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Чистый город 2020" sheetId="26" r:id="rId1"/>
    <sheet name="Приложение 2020" sheetId="19" r:id="rId2"/>
    <sheet name="Приложение от Кати" sheetId="25" r:id="rId3"/>
    <sheet name="Приложение 2" sheetId="21" r:id="rId4"/>
    <sheet name="2021" sheetId="22" r:id="rId5"/>
    <sheet name="2022" sheetId="2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calcPr calcId="162913"/>
</workbook>
</file>

<file path=xl/calcChain.xml><?xml version="1.0" encoding="utf-8"?>
<calcChain xmlns="http://schemas.openxmlformats.org/spreadsheetml/2006/main">
  <c r="I278" i="26" l="1"/>
  <c r="G278" i="26"/>
  <c r="G266" i="26"/>
  <c r="G280" i="26" s="1"/>
  <c r="I280" i="26" s="1"/>
  <c r="D266" i="26"/>
  <c r="G265" i="26"/>
  <c r="G264" i="26"/>
  <c r="E264" i="26"/>
  <c r="D264" i="26"/>
  <c r="G263" i="26"/>
  <c r="G262" i="26"/>
  <c r="G261" i="26"/>
  <c r="G260" i="26" s="1"/>
  <c r="G279" i="26" s="1"/>
  <c r="I279" i="26" s="1"/>
  <c r="D260" i="26"/>
  <c r="G258" i="26"/>
  <c r="G257" i="26"/>
  <c r="G256" i="26"/>
  <c r="G255" i="26" s="1"/>
  <c r="G251" i="26" s="1"/>
  <c r="D255" i="26"/>
  <c r="G248" i="26"/>
  <c r="G246" i="26"/>
  <c r="D246" i="26"/>
  <c r="G245" i="26"/>
  <c r="G244" i="26" s="1"/>
  <c r="G240" i="26" s="1"/>
  <c r="D240" i="26"/>
  <c r="G236" i="26"/>
  <c r="D236" i="26"/>
  <c r="D232" i="26" s="1"/>
  <c r="G235" i="26"/>
  <c r="D234" i="26"/>
  <c r="G234" i="26" s="1"/>
  <c r="G233" i="26"/>
  <c r="G231" i="26"/>
  <c r="G230" i="26"/>
  <c r="G229" i="26" s="1"/>
  <c r="D229" i="26"/>
  <c r="G228" i="26"/>
  <c r="G224" i="26" s="1"/>
  <c r="G227" i="26"/>
  <c r="G226" i="26"/>
  <c r="G225" i="26"/>
  <c r="D224" i="26"/>
  <c r="D223" i="26"/>
  <c r="G222" i="26"/>
  <c r="G221" i="26" s="1"/>
  <c r="D221" i="26"/>
  <c r="G220" i="26"/>
  <c r="G219" i="26"/>
  <c r="G218" i="26"/>
  <c r="G217" i="26"/>
  <c r="D217" i="26"/>
  <c r="G216" i="26"/>
  <c r="D215" i="26"/>
  <c r="D211" i="26" s="1"/>
  <c r="D210" i="26" s="1"/>
  <c r="G214" i="26"/>
  <c r="G213" i="26"/>
  <c r="G212" i="26"/>
  <c r="G209" i="26"/>
  <c r="G207" i="26"/>
  <c r="G205" i="26"/>
  <c r="G204" i="26"/>
  <c r="G203" i="26"/>
  <c r="D203" i="26"/>
  <c r="G202" i="26"/>
  <c r="G199" i="26" s="1"/>
  <c r="G201" i="26"/>
  <c r="D201" i="26"/>
  <c r="G200" i="26"/>
  <c r="D199" i="26"/>
  <c r="G198" i="26"/>
  <c r="G197" i="26"/>
  <c r="G196" i="26"/>
  <c r="D196" i="26"/>
  <c r="G195" i="26"/>
  <c r="D194" i="26"/>
  <c r="G194" i="26" s="1"/>
  <c r="G193" i="26"/>
  <c r="D193" i="26"/>
  <c r="D192" i="26"/>
  <c r="G192" i="26" s="1"/>
  <c r="G191" i="26"/>
  <c r="E191" i="26"/>
  <c r="G190" i="26"/>
  <c r="G189" i="26"/>
  <c r="G188" i="26"/>
  <c r="G185" i="26"/>
  <c r="G184" i="26"/>
  <c r="G183" i="26"/>
  <c r="G182" i="26"/>
  <c r="G181" i="26"/>
  <c r="G180" i="26" s="1"/>
  <c r="D180" i="26"/>
  <c r="G179" i="26"/>
  <c r="G178" i="26"/>
  <c r="G177" i="26"/>
  <c r="G176" i="26"/>
  <c r="G175" i="26"/>
  <c r="G174" i="26"/>
  <c r="G173" i="26"/>
  <c r="G172" i="26"/>
  <c r="G171" i="26"/>
  <c r="D171" i="26"/>
  <c r="G170" i="26"/>
  <c r="G169" i="26"/>
  <c r="G168" i="26"/>
  <c r="D168" i="26"/>
  <c r="D167" i="26"/>
  <c r="G167" i="26" s="1"/>
  <c r="G166" i="26"/>
  <c r="G165" i="26"/>
  <c r="G164" i="26"/>
  <c r="G163" i="26"/>
  <c r="G162" i="26"/>
  <c r="G161" i="26"/>
  <c r="G160" i="26"/>
  <c r="G159" i="26"/>
  <c r="G158" i="26"/>
  <c r="G157" i="26"/>
  <c r="G156" i="26"/>
  <c r="G155" i="26"/>
  <c r="G154" i="26"/>
  <c r="D153" i="26"/>
  <c r="D149" i="26"/>
  <c r="G148" i="26"/>
  <c r="D148" i="26"/>
  <c r="G147" i="26"/>
  <c r="D147" i="26"/>
  <c r="G146" i="26"/>
  <c r="G145" i="26" s="1"/>
  <c r="D146" i="26"/>
  <c r="D145" i="26" s="1"/>
  <c r="G144" i="26"/>
  <c r="E144" i="26"/>
  <c r="G143" i="26"/>
  <c r="E143" i="26"/>
  <c r="G142" i="26"/>
  <c r="G141" i="26" s="1"/>
  <c r="D141" i="26"/>
  <c r="D140" i="26"/>
  <c r="G139" i="26"/>
  <c r="G137" i="26"/>
  <c r="E137" i="26"/>
  <c r="E138" i="26" s="1"/>
  <c r="D137" i="26"/>
  <c r="D136" i="26"/>
  <c r="G135" i="26"/>
  <c r="E135" i="26"/>
  <c r="G134" i="26"/>
  <c r="G133" i="26"/>
  <c r="G132" i="26"/>
  <c r="G131" i="26"/>
  <c r="G130" i="26" s="1"/>
  <c r="D130" i="26"/>
  <c r="D129" i="26" s="1"/>
  <c r="G128" i="26"/>
  <c r="G127" i="26"/>
  <c r="D125" i="26"/>
  <c r="G125" i="26" s="1"/>
  <c r="G124" i="26"/>
  <c r="D124" i="26"/>
  <c r="D126" i="26" s="1"/>
  <c r="G126" i="26" s="1"/>
  <c r="E123" i="26"/>
  <c r="G123" i="26" s="1"/>
  <c r="G122" i="26"/>
  <c r="G121" i="26"/>
  <c r="D121" i="26"/>
  <c r="G120" i="26"/>
  <c r="E120" i="26"/>
  <c r="G119" i="26"/>
  <c r="G118" i="26"/>
  <c r="G117" i="26"/>
  <c r="D116" i="26"/>
  <c r="G115" i="26"/>
  <c r="G114" i="26"/>
  <c r="E112" i="26"/>
  <c r="E113" i="26" s="1"/>
  <c r="G113" i="26" s="1"/>
  <c r="G111" i="26"/>
  <c r="G109" i="26"/>
  <c r="E109" i="26"/>
  <c r="E110" i="26" s="1"/>
  <c r="G110" i="26" s="1"/>
  <c r="G108" i="26"/>
  <c r="D107" i="26"/>
  <c r="D106" i="26" s="1"/>
  <c r="D102" i="26" s="1"/>
  <c r="D105" i="26"/>
  <c r="G105" i="26" s="1"/>
  <c r="G104" i="26"/>
  <c r="D103" i="26"/>
  <c r="G101" i="26"/>
  <c r="G100" i="26" s="1"/>
  <c r="D100" i="26"/>
  <c r="D98" i="26"/>
  <c r="D99" i="26" s="1"/>
  <c r="G99" i="26" s="1"/>
  <c r="G97" i="26"/>
  <c r="G96" i="26"/>
  <c r="G95" i="26"/>
  <c r="G94" i="26"/>
  <c r="G93" i="26"/>
  <c r="G91" i="26"/>
  <c r="D91" i="26"/>
  <c r="G89" i="26"/>
  <c r="D89" i="26"/>
  <c r="D92" i="26" s="1"/>
  <c r="G92" i="26" s="1"/>
  <c r="G88" i="26"/>
  <c r="E87" i="26"/>
  <c r="D87" i="26"/>
  <c r="G87" i="26" s="1"/>
  <c r="G86" i="26"/>
  <c r="G85" i="26"/>
  <c r="G84" i="26"/>
  <c r="G83" i="26"/>
  <c r="E82" i="26"/>
  <c r="D82" i="26"/>
  <c r="G82" i="26" s="1"/>
  <c r="G81" i="26"/>
  <c r="D81" i="26"/>
  <c r="G80" i="26"/>
  <c r="D79" i="26"/>
  <c r="G78" i="26"/>
  <c r="D78" i="26"/>
  <c r="G77" i="26"/>
  <c r="G76" i="26"/>
  <c r="D76" i="26"/>
  <c r="E75" i="26"/>
  <c r="G75" i="26" s="1"/>
  <c r="G74" i="26"/>
  <c r="G73" i="26"/>
  <c r="G72" i="26"/>
  <c r="E71" i="26"/>
  <c r="G71" i="26" s="1"/>
  <c r="G68" i="26" s="1"/>
  <c r="G70" i="26"/>
  <c r="G69" i="26"/>
  <c r="D68" i="26"/>
  <c r="D67" i="26" s="1"/>
  <c r="G65" i="26"/>
  <c r="G64" i="26"/>
  <c r="G63" i="26"/>
  <c r="G62" i="26"/>
  <c r="D62" i="26"/>
  <c r="G61" i="26"/>
  <c r="G60" i="26" s="1"/>
  <c r="D60" i="26"/>
  <c r="G59" i="26"/>
  <c r="D59" i="26"/>
  <c r="G58" i="26"/>
  <c r="D57" i="26"/>
  <c r="G57" i="26" s="1"/>
  <c r="G56" i="26"/>
  <c r="D55" i="26"/>
  <c r="E53" i="26"/>
  <c r="E54" i="26" s="1"/>
  <c r="G54" i="26" s="1"/>
  <c r="G52" i="26"/>
  <c r="G51" i="26"/>
  <c r="G50" i="26"/>
  <c r="E49" i="26"/>
  <c r="G49" i="26" s="1"/>
  <c r="D48" i="26"/>
  <c r="G47" i="26"/>
  <c r="G46" i="26"/>
  <c r="G45" i="26"/>
  <c r="E44" i="26"/>
  <c r="G44" i="26" s="1"/>
  <c r="G43" i="26"/>
  <c r="G42" i="26"/>
  <c r="G41" i="26"/>
  <c r="G40" i="26"/>
  <c r="D39" i="26"/>
  <c r="E38" i="26"/>
  <c r="G38" i="26" s="1"/>
  <c r="G37" i="26"/>
  <c r="G36" i="26"/>
  <c r="E35" i="26"/>
  <c r="G35" i="26" s="1"/>
  <c r="G34" i="26"/>
  <c r="G33" i="26"/>
  <c r="G32" i="26" s="1"/>
  <c r="D32" i="26"/>
  <c r="G31" i="26"/>
  <c r="G30" i="26"/>
  <c r="G29" i="26"/>
  <c r="G28" i="26"/>
  <c r="G27" i="26"/>
  <c r="D27" i="26"/>
  <c r="D22" i="26" s="1"/>
  <c r="G26" i="26"/>
  <c r="G25" i="26"/>
  <c r="G24" i="26"/>
  <c r="G23" i="26" s="1"/>
  <c r="D23" i="26"/>
  <c r="G21" i="26"/>
  <c r="G20" i="26"/>
  <c r="G19" i="26"/>
  <c r="E19" i="26"/>
  <c r="G18" i="26"/>
  <c r="G17" i="26"/>
  <c r="G16" i="26" s="1"/>
  <c r="E17" i="26"/>
  <c r="D16" i="26"/>
  <c r="G15" i="26"/>
  <c r="G14" i="26"/>
  <c r="D13" i="26"/>
  <c r="D9" i="26" s="1"/>
  <c r="D8" i="26" s="1"/>
  <c r="G12" i="26"/>
  <c r="G11" i="26"/>
  <c r="D11" i="26"/>
  <c r="G10" i="26"/>
  <c r="I3" i="26"/>
  <c r="E150" i="26" l="1"/>
  <c r="G138" i="26"/>
  <c r="G116" i="26"/>
  <c r="G136" i="26"/>
  <c r="G187" i="26"/>
  <c r="G186" i="26" s="1"/>
  <c r="G9" i="26"/>
  <c r="G8" i="26" s="1"/>
  <c r="G103" i="26"/>
  <c r="G153" i="26"/>
  <c r="G223" i="26"/>
  <c r="G232" i="26"/>
  <c r="G39" i="26"/>
  <c r="G55" i="26"/>
  <c r="G247" i="26"/>
  <c r="I282" i="26"/>
  <c r="G13" i="26"/>
  <c r="G53" i="26"/>
  <c r="G48" i="26" s="1"/>
  <c r="D90" i="26"/>
  <c r="G90" i="26" s="1"/>
  <c r="G79" i="26" s="1"/>
  <c r="G67" i="26" s="1"/>
  <c r="G98" i="26"/>
  <c r="G107" i="26"/>
  <c r="G106" i="26" s="1"/>
  <c r="G112" i="26"/>
  <c r="D187" i="26"/>
  <c r="D186" i="26" s="1"/>
  <c r="G215" i="26"/>
  <c r="G211" i="26" s="1"/>
  <c r="G210" i="26" s="1"/>
  <c r="G286" i="25"/>
  <c r="G273" i="25"/>
  <c r="G261" i="25"/>
  <c r="G275" i="25" s="1"/>
  <c r="D261" i="25"/>
  <c r="J260" i="25"/>
  <c r="G260" i="25"/>
  <c r="G259" i="25"/>
  <c r="E259" i="25"/>
  <c r="D259" i="25"/>
  <c r="J258" i="25"/>
  <c r="G258" i="25"/>
  <c r="J256" i="25"/>
  <c r="G256" i="25"/>
  <c r="G255" i="25"/>
  <c r="D255" i="25"/>
  <c r="J254" i="25"/>
  <c r="D254" i="25"/>
  <c r="G254" i="25" s="1"/>
  <c r="G252" i="25" s="1"/>
  <c r="J253" i="25"/>
  <c r="G253" i="25"/>
  <c r="D251" i="25"/>
  <c r="D250" i="25"/>
  <c r="D248" i="25"/>
  <c r="D247" i="25"/>
  <c r="D245" i="25"/>
  <c r="D246" i="25" s="1"/>
  <c r="D243" i="25"/>
  <c r="G243" i="25" s="1"/>
  <c r="E240" i="25"/>
  <c r="E248" i="25" s="1"/>
  <c r="D240" i="25"/>
  <c r="G240" i="25" s="1"/>
  <c r="D239" i="25"/>
  <c r="E237" i="25"/>
  <c r="E245" i="25" s="1"/>
  <c r="D237" i="25"/>
  <c r="D238" i="25" s="1"/>
  <c r="E235" i="25"/>
  <c r="E243" i="25" s="1"/>
  <c r="E251" i="25" s="1"/>
  <c r="G251" i="25" s="1"/>
  <c r="D235" i="25"/>
  <c r="G235" i="25" s="1"/>
  <c r="J234" i="25"/>
  <c r="E234" i="25"/>
  <c r="E242" i="25" s="1"/>
  <c r="J232" i="25"/>
  <c r="D231" i="25"/>
  <c r="D232" i="25" s="1"/>
  <c r="G232" i="25" s="1"/>
  <c r="E230" i="25"/>
  <c r="E238" i="25" s="1"/>
  <c r="J229" i="25"/>
  <c r="D229" i="25"/>
  <c r="G229" i="25" s="1"/>
  <c r="D227" i="25"/>
  <c r="J226" i="25"/>
  <c r="G226" i="25"/>
  <c r="J225" i="25"/>
  <c r="G225" i="25"/>
  <c r="J224" i="25"/>
  <c r="G224" i="25"/>
  <c r="J223" i="25"/>
  <c r="G223" i="25"/>
  <c r="J222" i="25"/>
  <c r="G222" i="25"/>
  <c r="G221" i="25"/>
  <c r="D221" i="25"/>
  <c r="E220" i="25"/>
  <c r="D220" i="25"/>
  <c r="G220" i="25" s="1"/>
  <c r="G219" i="25"/>
  <c r="E219" i="25"/>
  <c r="D219" i="25"/>
  <c r="G218" i="25"/>
  <c r="E218" i="25"/>
  <c r="G217" i="25"/>
  <c r="J216" i="25"/>
  <c r="G216" i="25"/>
  <c r="G215" i="25"/>
  <c r="E215" i="25"/>
  <c r="E231" i="25" s="1"/>
  <c r="J214" i="25"/>
  <c r="G214" i="25"/>
  <c r="G213" i="25"/>
  <c r="E213" i="25"/>
  <c r="E212" i="25"/>
  <c r="G212" i="25" s="1"/>
  <c r="J211" i="25"/>
  <c r="G211" i="25"/>
  <c r="E210" i="25"/>
  <c r="G210" i="25" s="1"/>
  <c r="G209" i="25" s="1"/>
  <c r="G208" i="25" s="1"/>
  <c r="J207" i="25"/>
  <c r="G207" i="25"/>
  <c r="J206" i="25"/>
  <c r="G206" i="25"/>
  <c r="G205" i="25"/>
  <c r="E205" i="25"/>
  <c r="E204" i="25"/>
  <c r="G204" i="25" s="1"/>
  <c r="G203" i="25" s="1"/>
  <c r="D203" i="25"/>
  <c r="J202" i="25"/>
  <c r="G202" i="25"/>
  <c r="G201" i="25"/>
  <c r="E201" i="25"/>
  <c r="D201" i="25"/>
  <c r="E200" i="25"/>
  <c r="D200" i="25"/>
  <c r="D195" i="25" s="1"/>
  <c r="D194" i="25" s="1"/>
  <c r="E199" i="25"/>
  <c r="G199" i="25" s="1"/>
  <c r="E197" i="25"/>
  <c r="G197" i="25" s="1"/>
  <c r="G196" i="25"/>
  <c r="E196" i="25"/>
  <c r="J193" i="25"/>
  <c r="G193" i="25"/>
  <c r="J192" i="25"/>
  <c r="G192" i="25"/>
  <c r="J191" i="25"/>
  <c r="G191" i="25"/>
  <c r="G190" i="25" s="1"/>
  <c r="D190" i="25"/>
  <c r="J189" i="25"/>
  <c r="G189" i="25"/>
  <c r="J188" i="25"/>
  <c r="G188" i="25"/>
  <c r="G187" i="25"/>
  <c r="J186" i="25"/>
  <c r="D186" i="25"/>
  <c r="G186" i="25" s="1"/>
  <c r="J185" i="25"/>
  <c r="G185" i="25"/>
  <c r="E184" i="25"/>
  <c r="G184" i="25" s="1"/>
  <c r="I184" i="25" s="1"/>
  <c r="J183" i="25"/>
  <c r="D183" i="25"/>
  <c r="G183" i="25" s="1"/>
  <c r="J182" i="25"/>
  <c r="G182" i="25"/>
  <c r="G181" i="25" s="1"/>
  <c r="G180" i="25" s="1"/>
  <c r="D181" i="25"/>
  <c r="I178" i="25"/>
  <c r="G178" i="25"/>
  <c r="J177" i="25"/>
  <c r="G177" i="25"/>
  <c r="J176" i="25"/>
  <c r="G176" i="25"/>
  <c r="J175" i="25"/>
  <c r="G175" i="25"/>
  <c r="I174" i="25"/>
  <c r="G174" i="25"/>
  <c r="K174" i="25" s="1"/>
  <c r="D174" i="25"/>
  <c r="I173" i="25"/>
  <c r="J172" i="25"/>
  <c r="I172" i="25"/>
  <c r="J171" i="25"/>
  <c r="I171" i="25"/>
  <c r="J170" i="25"/>
  <c r="I170" i="25"/>
  <c r="J169" i="25"/>
  <c r="I169" i="25"/>
  <c r="J168" i="25"/>
  <c r="I168" i="25"/>
  <c r="J166" i="25"/>
  <c r="J165" i="25"/>
  <c r="I165" i="25"/>
  <c r="J164" i="25"/>
  <c r="I164" i="25"/>
  <c r="J163" i="25"/>
  <c r="I163" i="25"/>
  <c r="I162" i="25"/>
  <c r="J161" i="25"/>
  <c r="G161" i="25"/>
  <c r="J160" i="25"/>
  <c r="G160" i="25"/>
  <c r="J159" i="25"/>
  <c r="G159" i="25"/>
  <c r="G158" i="25"/>
  <c r="G155" i="25" s="1"/>
  <c r="D158" i="25"/>
  <c r="I157" i="25"/>
  <c r="I156" i="25"/>
  <c r="J174" i="25" s="1"/>
  <c r="I154" i="25"/>
  <c r="J178" i="25" s="1"/>
  <c r="G153" i="25"/>
  <c r="J179" i="25" s="1"/>
  <c r="D152" i="25"/>
  <c r="G152" i="25" s="1"/>
  <c r="D151" i="25"/>
  <c r="G151" i="25" s="1"/>
  <c r="D150" i="25"/>
  <c r="D149" i="25" s="1"/>
  <c r="G147" i="25"/>
  <c r="E147" i="25"/>
  <c r="E148" i="25" s="1"/>
  <c r="G148" i="25" s="1"/>
  <c r="G145" i="25" s="1"/>
  <c r="G146" i="25"/>
  <c r="E146" i="25"/>
  <c r="D145" i="25"/>
  <c r="D144" i="25" s="1"/>
  <c r="D140" i="25"/>
  <c r="I139" i="25"/>
  <c r="G139" i="25"/>
  <c r="J138" i="25"/>
  <c r="G138" i="25"/>
  <c r="J137" i="25"/>
  <c r="G137" i="25"/>
  <c r="J136" i="25"/>
  <c r="G136" i="25"/>
  <c r="G135" i="25"/>
  <c r="D135" i="25"/>
  <c r="J134" i="25"/>
  <c r="D134" i="25"/>
  <c r="G134" i="25" s="1"/>
  <c r="J133" i="25"/>
  <c r="G133" i="25"/>
  <c r="D132" i="25"/>
  <c r="J131" i="25"/>
  <c r="G131" i="25"/>
  <c r="D129" i="25"/>
  <c r="D128" i="25"/>
  <c r="E127" i="25"/>
  <c r="G127" i="25" s="1"/>
  <c r="G124" i="25" s="1"/>
  <c r="G126" i="25"/>
  <c r="J125" i="25"/>
  <c r="G125" i="25"/>
  <c r="D124" i="25"/>
  <c r="I123" i="25"/>
  <c r="G123" i="25"/>
  <c r="G122" i="25"/>
  <c r="G121" i="25" s="1"/>
  <c r="D121" i="25"/>
  <c r="G120" i="25"/>
  <c r="G119" i="25"/>
  <c r="D119" i="25"/>
  <c r="E118" i="25"/>
  <c r="G118" i="25" s="1"/>
  <c r="I118" i="25" s="1"/>
  <c r="G117" i="25"/>
  <c r="G116" i="25"/>
  <c r="E116" i="25"/>
  <c r="G115" i="25"/>
  <c r="D113" i="25"/>
  <c r="D114" i="25" s="1"/>
  <c r="G114" i="25" s="1"/>
  <c r="G111" i="25"/>
  <c r="G110" i="25"/>
  <c r="D108" i="25"/>
  <c r="G108" i="25" s="1"/>
  <c r="D107" i="25"/>
  <c r="D109" i="25" s="1"/>
  <c r="G109" i="25" s="1"/>
  <c r="E106" i="25"/>
  <c r="G106" i="25" s="1"/>
  <c r="G105" i="25"/>
  <c r="G104" i="25"/>
  <c r="D104" i="25"/>
  <c r="G103" i="25"/>
  <c r="E103" i="25"/>
  <c r="G102" i="25"/>
  <c r="G101" i="25"/>
  <c r="G100" i="25"/>
  <c r="D99" i="25"/>
  <c r="G97" i="25"/>
  <c r="D97" i="25"/>
  <c r="D98" i="25" s="1"/>
  <c r="G98" i="25" s="1"/>
  <c r="G96" i="25"/>
  <c r="G95" i="25"/>
  <c r="G94" i="25"/>
  <c r="I92" i="25" s="1"/>
  <c r="G93" i="25"/>
  <c r="G92" i="25"/>
  <c r="D90" i="25"/>
  <c r="G90" i="25" s="1"/>
  <c r="J89" i="25"/>
  <c r="G89" i="25"/>
  <c r="D89" i="25"/>
  <c r="G87" i="25"/>
  <c r="D87" i="25"/>
  <c r="J86" i="25"/>
  <c r="G86" i="25"/>
  <c r="G85" i="25"/>
  <c r="E85" i="25"/>
  <c r="D85" i="25"/>
  <c r="G84" i="25"/>
  <c r="G83" i="25"/>
  <c r="G82" i="25"/>
  <c r="G81" i="25"/>
  <c r="E80" i="25"/>
  <c r="G80" i="25" s="1"/>
  <c r="D80" i="25"/>
  <c r="D88" i="25" s="1"/>
  <c r="G88" i="25" s="1"/>
  <c r="G79" i="25"/>
  <c r="D79" i="25"/>
  <c r="D77" i="25" s="1"/>
  <c r="G78" i="25"/>
  <c r="J75" i="25"/>
  <c r="J74" i="25"/>
  <c r="I74" i="25"/>
  <c r="G74" i="25"/>
  <c r="J73" i="25"/>
  <c r="I73" i="25"/>
  <c r="G73" i="25"/>
  <c r="J72" i="25"/>
  <c r="I72" i="25"/>
  <c r="G72" i="25"/>
  <c r="J71" i="25"/>
  <c r="I71" i="25"/>
  <c r="G71" i="25"/>
  <c r="J70" i="25"/>
  <c r="I70" i="25"/>
  <c r="G70" i="25"/>
  <c r="J69" i="25"/>
  <c r="I69" i="25"/>
  <c r="G69" i="25"/>
  <c r="J68" i="25"/>
  <c r="I68" i="25"/>
  <c r="G68" i="25"/>
  <c r="J67" i="25"/>
  <c r="D67" i="25"/>
  <c r="I67" i="25" s="1"/>
  <c r="J66" i="25"/>
  <c r="I66" i="25"/>
  <c r="G66" i="25"/>
  <c r="J65" i="25"/>
  <c r="I65" i="25"/>
  <c r="G65" i="25"/>
  <c r="J64" i="25"/>
  <c r="I64" i="25"/>
  <c r="D64" i="25"/>
  <c r="G64" i="25" s="1"/>
  <c r="J63" i="25"/>
  <c r="I63" i="25"/>
  <c r="D63" i="25"/>
  <c r="G63" i="25" s="1"/>
  <c r="J62" i="25"/>
  <c r="I62" i="25"/>
  <c r="G62" i="25"/>
  <c r="J61" i="25"/>
  <c r="I61" i="25"/>
  <c r="G61" i="25"/>
  <c r="J60" i="25"/>
  <c r="I60" i="25"/>
  <c r="G60" i="25"/>
  <c r="J59" i="25"/>
  <c r="I59" i="25"/>
  <c r="G59" i="25"/>
  <c r="J58" i="25"/>
  <c r="I58" i="25"/>
  <c r="G58" i="25"/>
  <c r="J57" i="25"/>
  <c r="I57" i="25"/>
  <c r="G57" i="25"/>
  <c r="J56" i="25"/>
  <c r="I56" i="25"/>
  <c r="G56" i="25"/>
  <c r="J55" i="25"/>
  <c r="I55" i="25"/>
  <c r="G55" i="25"/>
  <c r="J54" i="25"/>
  <c r="I54" i="25"/>
  <c r="G54" i="25"/>
  <c r="J53" i="25"/>
  <c r="I53" i="25"/>
  <c r="G53" i="25"/>
  <c r="J52" i="25"/>
  <c r="I52" i="25"/>
  <c r="G52" i="25"/>
  <c r="J51" i="25"/>
  <c r="I51" i="25"/>
  <c r="G51" i="25"/>
  <c r="J50" i="25"/>
  <c r="I50" i="25"/>
  <c r="I75" i="25" s="1"/>
  <c r="D75" i="25" s="1"/>
  <c r="G50" i="25"/>
  <c r="I49" i="25"/>
  <c r="J48" i="25"/>
  <c r="G48" i="25"/>
  <c r="J47" i="25"/>
  <c r="I47" i="25"/>
  <c r="G47" i="25"/>
  <c r="E45" i="25"/>
  <c r="G45" i="25" s="1"/>
  <c r="J44" i="25"/>
  <c r="G44" i="25"/>
  <c r="E43" i="25"/>
  <c r="G43" i="25" s="1"/>
  <c r="G42" i="25"/>
  <c r="E42" i="25"/>
  <c r="J41" i="25"/>
  <c r="G41" i="25"/>
  <c r="J40" i="25"/>
  <c r="D40" i="25"/>
  <c r="G40" i="25" s="1"/>
  <c r="D39" i="25"/>
  <c r="J38" i="25"/>
  <c r="G38" i="25"/>
  <c r="G37" i="25" s="1"/>
  <c r="D37" i="25"/>
  <c r="J36" i="25"/>
  <c r="G36" i="25"/>
  <c r="D36" i="25"/>
  <c r="J35" i="25"/>
  <c r="G35" i="25"/>
  <c r="G34" i="25" s="1"/>
  <c r="D34" i="25"/>
  <c r="D33" i="25"/>
  <c r="G33" i="25" s="1"/>
  <c r="G26" i="25" s="1"/>
  <c r="G32" i="25"/>
  <c r="D31" i="25"/>
  <c r="G31" i="25" s="1"/>
  <c r="G30" i="25"/>
  <c r="E30" i="25"/>
  <c r="G29" i="25"/>
  <c r="G28" i="25"/>
  <c r="G27" i="25"/>
  <c r="D26" i="25"/>
  <c r="E25" i="25"/>
  <c r="G25" i="25" s="1"/>
  <c r="G24" i="25"/>
  <c r="G23" i="25"/>
  <c r="G22" i="25" s="1"/>
  <c r="D22" i="25"/>
  <c r="G20" i="25"/>
  <c r="D20" i="25"/>
  <c r="G19" i="25"/>
  <c r="E18" i="25"/>
  <c r="G18" i="25" s="1"/>
  <c r="G17" i="25"/>
  <c r="E17" i="25"/>
  <c r="G16" i="25"/>
  <c r="G15" i="25"/>
  <c r="G14" i="25"/>
  <c r="E14" i="25"/>
  <c r="D13" i="25"/>
  <c r="G13" i="25" s="1"/>
  <c r="G12" i="25"/>
  <c r="G11" i="25"/>
  <c r="G10" i="25"/>
  <c r="D9" i="25"/>
  <c r="G22" i="26" l="1"/>
  <c r="G102" i="26"/>
  <c r="E151" i="26"/>
  <c r="G150" i="26"/>
  <c r="E239" i="25"/>
  <c r="G231" i="25"/>
  <c r="G77" i="25"/>
  <c r="G132" i="25"/>
  <c r="E250" i="25"/>
  <c r="G250" i="25" s="1"/>
  <c r="G249" i="25" s="1"/>
  <c r="G242" i="25"/>
  <c r="G241" i="25" s="1"/>
  <c r="G248" i="25"/>
  <c r="I181" i="25"/>
  <c r="E46" i="25"/>
  <c r="G46" i="25" s="1"/>
  <c r="G39" i="25" s="1"/>
  <c r="G107" i="25"/>
  <c r="I101" i="25" s="1"/>
  <c r="E198" i="25"/>
  <c r="G198" i="25" s="1"/>
  <c r="G195" i="25" s="1"/>
  <c r="G194" i="25" s="1"/>
  <c r="D230" i="25"/>
  <c r="G230" i="25" s="1"/>
  <c r="G228" i="25" s="1"/>
  <c r="G257" i="25"/>
  <c r="G91" i="25"/>
  <c r="E129" i="25"/>
  <c r="G129" i="25" s="1"/>
  <c r="G9" i="25"/>
  <c r="G67" i="25"/>
  <c r="G113" i="25"/>
  <c r="G112" i="25" s="1"/>
  <c r="G150" i="25"/>
  <c r="G149" i="25" s="1"/>
  <c r="G144" i="25" s="1"/>
  <c r="G200" i="25"/>
  <c r="G237" i="25"/>
  <c r="G245" i="25"/>
  <c r="I266" i="25"/>
  <c r="D112" i="25"/>
  <c r="J9" i="25" s="1"/>
  <c r="D180" i="25"/>
  <c r="D209" i="25"/>
  <c r="D208" i="25" s="1"/>
  <c r="G234" i="25"/>
  <c r="G233" i="25" s="1"/>
  <c r="D49" i="25"/>
  <c r="G75" i="25"/>
  <c r="G49" i="25"/>
  <c r="G239" i="25"/>
  <c r="E247" i="25"/>
  <c r="G247" i="25" s="1"/>
  <c r="G238" i="25"/>
  <c r="G236" i="25" s="1"/>
  <c r="E246" i="25"/>
  <c r="G246" i="25" s="1"/>
  <c r="G274" i="25"/>
  <c r="G21" i="25"/>
  <c r="I78" i="25"/>
  <c r="I28" i="25"/>
  <c r="E152" i="26" l="1"/>
  <c r="G152" i="26" s="1"/>
  <c r="G151" i="26"/>
  <c r="G149" i="26" s="1"/>
  <c r="G140" i="26" s="1"/>
  <c r="G129" i="26" s="1"/>
  <c r="G66" i="26" s="1"/>
  <c r="D179" i="25"/>
  <c r="E130" i="25"/>
  <c r="G130" i="25" s="1"/>
  <c r="G128" i="25" s="1"/>
  <c r="E141" i="25"/>
  <c r="G99" i="25"/>
  <c r="G76" i="25" s="1"/>
  <c r="I269" i="25"/>
  <c r="J92" i="25"/>
  <c r="G244" i="25"/>
  <c r="G227" i="25" s="1"/>
  <c r="G179" i="25" s="1"/>
  <c r="G7" i="26" l="1"/>
  <c r="G6" i="26" s="1"/>
  <c r="E142" i="25"/>
  <c r="G141" i="25"/>
  <c r="I262" i="25"/>
  <c r="I248" i="26" l="1"/>
  <c r="J248" i="26" s="1"/>
  <c r="I203" i="26"/>
  <c r="J203" i="26" s="1"/>
  <c r="I207" i="26"/>
  <c r="J207" i="26" s="1"/>
  <c r="G277" i="26"/>
  <c r="I251" i="26"/>
  <c r="J251" i="26" s="1"/>
  <c r="I180" i="26"/>
  <c r="J180" i="26" s="1"/>
  <c r="I60" i="26"/>
  <c r="J60" i="26" s="1"/>
  <c r="I240" i="26"/>
  <c r="J240" i="26" s="1"/>
  <c r="I223" i="26"/>
  <c r="J223" i="26" s="1"/>
  <c r="I8" i="26"/>
  <c r="J8" i="26" s="1"/>
  <c r="I186" i="26"/>
  <c r="J186" i="26" s="1"/>
  <c r="I210" i="26"/>
  <c r="J210" i="26" s="1"/>
  <c r="I22" i="26"/>
  <c r="J22" i="26" s="1"/>
  <c r="I66" i="26"/>
  <c r="J66" i="26" s="1"/>
  <c r="E143" i="25"/>
  <c r="G143" i="25" s="1"/>
  <c r="G142" i="25"/>
  <c r="G140" i="25" s="1"/>
  <c r="G8" i="25" s="1"/>
  <c r="G60" i="21"/>
  <c r="E60" i="21"/>
  <c r="G34" i="21"/>
  <c r="G33" i="21"/>
  <c r="F30" i="21"/>
  <c r="G26" i="21"/>
  <c r="G22" i="21"/>
  <c r="J277" i="26" l="1"/>
  <c r="G281" i="26"/>
  <c r="G284" i="26" s="1"/>
  <c r="I263" i="25"/>
  <c r="I264" i="25" s="1"/>
  <c r="G7" i="25"/>
  <c r="G6" i="25" s="1"/>
  <c r="I6" i="25" s="1"/>
  <c r="I48" i="25" s="1"/>
  <c r="G272" i="25"/>
  <c r="G276" i="25" s="1"/>
  <c r="G279" i="25" s="1"/>
  <c r="J281" i="26" l="1"/>
  <c r="J276" i="26"/>
  <c r="I154" i="19" l="1"/>
  <c r="G153" i="19"/>
  <c r="D67" i="19"/>
  <c r="D64" i="19"/>
  <c r="D63" i="19"/>
  <c r="D20" i="19"/>
  <c r="D13" i="19"/>
  <c r="J188" i="23" l="1"/>
  <c r="J188" i="22"/>
  <c r="J185" i="19"/>
  <c r="N6" i="19"/>
  <c r="G131" i="19"/>
  <c r="D129" i="19"/>
  <c r="E127" i="19"/>
  <c r="E129" i="19" s="1"/>
  <c r="E130" i="19" s="1"/>
  <c r="G130" i="19" s="1"/>
  <c r="G126" i="19"/>
  <c r="G125" i="19"/>
  <c r="D124" i="19"/>
  <c r="G123" i="19"/>
  <c r="G122" i="19"/>
  <c r="G121" i="19" s="1"/>
  <c r="D121" i="19"/>
  <c r="G120" i="19"/>
  <c r="D119" i="19"/>
  <c r="G119" i="19" s="1"/>
  <c r="G117" i="19"/>
  <c r="E116" i="19"/>
  <c r="E118" i="19" s="1"/>
  <c r="G118" i="19" s="1"/>
  <c r="G115" i="19"/>
  <c r="D113" i="19"/>
  <c r="D114" i="19" s="1"/>
  <c r="G111" i="19"/>
  <c r="G110" i="19"/>
  <c r="D108" i="19"/>
  <c r="G108" i="19" s="1"/>
  <c r="E106" i="19"/>
  <c r="G106" i="19" s="1"/>
  <c r="G105" i="19"/>
  <c r="D104" i="19"/>
  <c r="D107" i="19" s="1"/>
  <c r="E103" i="19"/>
  <c r="G103" i="19" s="1"/>
  <c r="G102" i="19"/>
  <c r="G101" i="19"/>
  <c r="G100" i="19"/>
  <c r="D97" i="19"/>
  <c r="D98" i="19" s="1"/>
  <c r="G98" i="19" s="1"/>
  <c r="G96" i="19"/>
  <c r="G95" i="19"/>
  <c r="G94" i="19"/>
  <c r="G93" i="19"/>
  <c r="G92" i="19"/>
  <c r="D91" i="19"/>
  <c r="D89" i="19"/>
  <c r="G89" i="19" s="1"/>
  <c r="D87" i="19"/>
  <c r="G87" i="19" s="1"/>
  <c r="G86" i="19"/>
  <c r="E85" i="19"/>
  <c r="D85" i="19"/>
  <c r="G84" i="19"/>
  <c r="G83" i="19"/>
  <c r="G82" i="19"/>
  <c r="G81" i="19"/>
  <c r="E80" i="19"/>
  <c r="D80" i="19"/>
  <c r="D88" i="19" s="1"/>
  <c r="G88" i="19" s="1"/>
  <c r="D79" i="19"/>
  <c r="D77" i="19" s="1"/>
  <c r="G78" i="19"/>
  <c r="G75" i="19"/>
  <c r="G74" i="19"/>
  <c r="G73" i="19"/>
  <c r="G72" i="19"/>
  <c r="G71" i="19"/>
  <c r="G70" i="19"/>
  <c r="G69" i="19"/>
  <c r="G68" i="19"/>
  <c r="G67" i="19"/>
  <c r="G66" i="19"/>
  <c r="G65" i="19"/>
  <c r="G64" i="19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K25" i="19"/>
  <c r="G48" i="19"/>
  <c r="G47" i="19"/>
  <c r="E45" i="19"/>
  <c r="G45" i="19" s="1"/>
  <c r="G44" i="19"/>
  <c r="E42" i="19"/>
  <c r="E43" i="19" s="1"/>
  <c r="G43" i="19" s="1"/>
  <c r="G41" i="19"/>
  <c r="D40" i="19"/>
  <c r="G40" i="19" s="1"/>
  <c r="G38" i="19"/>
  <c r="G37" i="19" s="1"/>
  <c r="D37" i="19"/>
  <c r="D36" i="19"/>
  <c r="G36" i="19" s="1"/>
  <c r="G35" i="19"/>
  <c r="D34" i="19"/>
  <c r="D33" i="19"/>
  <c r="G33" i="19" s="1"/>
  <c r="G32" i="19"/>
  <c r="G31" i="19"/>
  <c r="D31" i="19"/>
  <c r="E30" i="19"/>
  <c r="G30" i="19" s="1"/>
  <c r="G29" i="19"/>
  <c r="G28" i="19"/>
  <c r="G27" i="19"/>
  <c r="D26" i="19"/>
  <c r="E25" i="19"/>
  <c r="G25" i="19" s="1"/>
  <c r="G24" i="19"/>
  <c r="G23" i="19"/>
  <c r="D22" i="19"/>
  <c r="G20" i="19"/>
  <c r="G19" i="19"/>
  <c r="E17" i="19"/>
  <c r="G17" i="19" s="1"/>
  <c r="G16" i="19"/>
  <c r="G15" i="19"/>
  <c r="E14" i="19"/>
  <c r="G14" i="19" s="1"/>
  <c r="G13" i="19"/>
  <c r="G12" i="19"/>
  <c r="J16" i="19" s="1"/>
  <c r="G11" i="19"/>
  <c r="G10" i="19"/>
  <c r="D9" i="19"/>
  <c r="E46" i="19" l="1"/>
  <c r="G46" i="19" s="1"/>
  <c r="G114" i="19"/>
  <c r="J114" i="19"/>
  <c r="G9" i="19"/>
  <c r="G113" i="19"/>
  <c r="D112" i="19"/>
  <c r="G49" i="19"/>
  <c r="G85" i="19"/>
  <c r="K22" i="19"/>
  <c r="D39" i="19"/>
  <c r="K24" i="19" s="1"/>
  <c r="G42" i="19"/>
  <c r="G79" i="19"/>
  <c r="D90" i="19"/>
  <c r="G90" i="19" s="1"/>
  <c r="G97" i="19"/>
  <c r="G91" i="19" s="1"/>
  <c r="G26" i="19"/>
  <c r="G34" i="19"/>
  <c r="G129" i="19"/>
  <c r="G128" i="19" s="1"/>
  <c r="E18" i="19"/>
  <c r="G18" i="19" s="1"/>
  <c r="J13" i="19" s="1"/>
  <c r="G80" i="19"/>
  <c r="G107" i="19"/>
  <c r="D109" i="19"/>
  <c r="G109" i="19" s="1"/>
  <c r="G22" i="19"/>
  <c r="G39" i="19"/>
  <c r="D99" i="19"/>
  <c r="G104" i="19"/>
  <c r="G116" i="19"/>
  <c r="G127" i="19"/>
  <c r="G124" i="19" s="1"/>
  <c r="D128" i="19"/>
  <c r="J15" i="19" l="1"/>
  <c r="J17" i="19" s="1"/>
  <c r="G112" i="19"/>
  <c r="G21" i="19"/>
  <c r="G77" i="19"/>
  <c r="G99" i="19"/>
  <c r="G76" i="19"/>
  <c r="R8" i="23" l="1"/>
  <c r="M8" i="23"/>
  <c r="O8" i="23"/>
  <c r="Q8" i="23"/>
  <c r="P6" i="22"/>
  <c r="O6" i="22"/>
  <c r="N6" i="22"/>
  <c r="D78" i="22"/>
  <c r="D51" i="22" s="1"/>
  <c r="G78" i="22"/>
  <c r="G77" i="22"/>
  <c r="G76" i="22"/>
  <c r="G75" i="22"/>
  <c r="G74" i="22"/>
  <c r="G73" i="22"/>
  <c r="G72" i="22"/>
  <c r="G71" i="22"/>
  <c r="G70" i="22"/>
  <c r="D70" i="22"/>
  <c r="G69" i="22"/>
  <c r="G68" i="22"/>
  <c r="G67" i="22"/>
  <c r="D67" i="22"/>
  <c r="D66" i="22"/>
  <c r="G66" i="22" s="1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24" i="22"/>
  <c r="G25" i="22"/>
  <c r="G26" i="22"/>
  <c r="G31" i="22"/>
  <c r="G32" i="22"/>
  <c r="G33" i="22"/>
  <c r="G37" i="22"/>
  <c r="G40" i="22"/>
  <c r="G39" i="22" s="1"/>
  <c r="G43" i="22"/>
  <c r="G46" i="22"/>
  <c r="G49" i="22"/>
  <c r="G50" i="22"/>
  <c r="G51" i="22" l="1"/>
  <c r="G306" i="23" l="1"/>
  <c r="M5" i="22" l="1"/>
  <c r="G306" i="22"/>
  <c r="I292" i="23"/>
  <c r="I292" i="22"/>
  <c r="G178" i="19" l="1"/>
  <c r="J163" i="19"/>
  <c r="M163" i="19" s="1"/>
  <c r="J156" i="19"/>
  <c r="M156" i="19" s="1"/>
  <c r="G293" i="23" l="1"/>
  <c r="G281" i="23"/>
  <c r="G295" i="23" s="1"/>
  <c r="D281" i="23"/>
  <c r="G280" i="23"/>
  <c r="E279" i="23"/>
  <c r="G279" i="23" s="1"/>
  <c r="G278" i="23"/>
  <c r="G276" i="23"/>
  <c r="G275" i="23" s="1"/>
  <c r="D275" i="23"/>
  <c r="D274" i="23"/>
  <c r="G274" i="23" s="1"/>
  <c r="G273" i="23"/>
  <c r="E271" i="23"/>
  <c r="G271" i="23" s="1"/>
  <c r="G270" i="23"/>
  <c r="G269" i="23"/>
  <c r="D268" i="23"/>
  <c r="E267" i="23"/>
  <c r="G267" i="23" s="1"/>
  <c r="G266" i="23"/>
  <c r="G264" i="23"/>
  <c r="D263" i="23"/>
  <c r="G263" i="23" s="1"/>
  <c r="G262" i="23"/>
  <c r="D261" i="23"/>
  <c r="G261" i="23" s="1"/>
  <c r="D260" i="23"/>
  <c r="G260" i="23" s="1"/>
  <c r="G259" i="23"/>
  <c r="D255" i="23"/>
  <c r="D256" i="23" s="1"/>
  <c r="D252" i="23"/>
  <c r="D253" i="23" s="1"/>
  <c r="G253" i="23" s="1"/>
  <c r="D250" i="23"/>
  <c r="D251" i="23" s="1"/>
  <c r="D248" i="23"/>
  <c r="E245" i="23"/>
  <c r="E253" i="23" s="1"/>
  <c r="D245" i="23"/>
  <c r="G245" i="23" s="1"/>
  <c r="D244" i="23"/>
  <c r="E242" i="23"/>
  <c r="D242" i="23"/>
  <c r="D243" i="23" s="1"/>
  <c r="G243" i="23" s="1"/>
  <c r="E240" i="23"/>
  <c r="E248" i="23" s="1"/>
  <c r="E256" i="23" s="1"/>
  <c r="D240" i="23"/>
  <c r="E239" i="23"/>
  <c r="E247" i="23" s="1"/>
  <c r="D236" i="23"/>
  <c r="D237" i="23" s="1"/>
  <c r="G237" i="23" s="1"/>
  <c r="D234" i="23"/>
  <c r="D235" i="23" s="1"/>
  <c r="D232" i="23"/>
  <c r="G231" i="23"/>
  <c r="G230" i="23"/>
  <c r="G229" i="23"/>
  <c r="G228" i="23"/>
  <c r="G227" i="23"/>
  <c r="D226" i="23"/>
  <c r="E225" i="23"/>
  <c r="D225" i="23"/>
  <c r="E224" i="23"/>
  <c r="D224" i="23"/>
  <c r="G224" i="23" s="1"/>
  <c r="E223" i="23"/>
  <c r="G223" i="23" s="1"/>
  <c r="G222" i="23"/>
  <c r="G221" i="23"/>
  <c r="E220" i="23"/>
  <c r="G220" i="23" s="1"/>
  <c r="G219" i="23"/>
  <c r="E218" i="23"/>
  <c r="E235" i="23" s="1"/>
  <c r="E243" i="23" s="1"/>
  <c r="E251" i="23" s="1"/>
  <c r="E217" i="23"/>
  <c r="G217" i="23" s="1"/>
  <c r="G216" i="23"/>
  <c r="E215" i="23"/>
  <c r="G215" i="23" s="1"/>
  <c r="G212" i="23"/>
  <c r="G211" i="23"/>
  <c r="E209" i="23"/>
  <c r="E210" i="23" s="1"/>
  <c r="G210" i="23" s="1"/>
  <c r="D208" i="23"/>
  <c r="G207" i="23"/>
  <c r="D206" i="23"/>
  <c r="D200" i="23" s="1"/>
  <c r="D199" i="23" s="1"/>
  <c r="E205" i="23"/>
  <c r="D205" i="23"/>
  <c r="E204" i="23"/>
  <c r="G204" i="23" s="1"/>
  <c r="E202" i="23"/>
  <c r="G202" i="23" s="1"/>
  <c r="E201" i="23"/>
  <c r="G201" i="23" s="1"/>
  <c r="G198" i="23"/>
  <c r="G197" i="23"/>
  <c r="G196" i="23"/>
  <c r="D195" i="23"/>
  <c r="G194" i="23"/>
  <c r="G193" i="23"/>
  <c r="E192" i="23"/>
  <c r="E206" i="23" s="1"/>
  <c r="D191" i="23"/>
  <c r="G190" i="23"/>
  <c r="G189" i="23"/>
  <c r="E187" i="23"/>
  <c r="E203" i="23" s="1"/>
  <c r="G203" i="23" s="1"/>
  <c r="G186" i="23"/>
  <c r="G185" i="23"/>
  <c r="G181" i="23"/>
  <c r="G180" i="23"/>
  <c r="G179" i="23"/>
  <c r="G178" i="23"/>
  <c r="D177" i="23"/>
  <c r="G176" i="23"/>
  <c r="G175" i="23"/>
  <c r="G174" i="23"/>
  <c r="G173" i="23"/>
  <c r="G172" i="23"/>
  <c r="G171" i="23"/>
  <c r="G170" i="23"/>
  <c r="G169" i="23"/>
  <c r="J169" i="23" s="1"/>
  <c r="L169" i="23" s="1"/>
  <c r="G168" i="23"/>
  <c r="G167" i="23"/>
  <c r="G166" i="23"/>
  <c r="G165" i="23"/>
  <c r="D164" i="23"/>
  <c r="G162" i="23"/>
  <c r="E155" i="23"/>
  <c r="E156" i="23" s="1"/>
  <c r="D151" i="23"/>
  <c r="D150" i="23"/>
  <c r="D155" i="23" s="1"/>
  <c r="D149" i="23"/>
  <c r="D154" i="23" s="1"/>
  <c r="D158" i="23" s="1"/>
  <c r="G147" i="23"/>
  <c r="J147" i="23" s="1"/>
  <c r="L147" i="23" s="1"/>
  <c r="G146" i="23"/>
  <c r="G145" i="23"/>
  <c r="G144" i="23"/>
  <c r="G143" i="23" s="1"/>
  <c r="D143" i="23"/>
  <c r="D142" i="23"/>
  <c r="G142" i="23" s="1"/>
  <c r="G141" i="23"/>
  <c r="D140" i="23"/>
  <c r="G139" i="23"/>
  <c r="D136" i="23"/>
  <c r="G135" i="23"/>
  <c r="E134" i="23"/>
  <c r="E137" i="23" s="1"/>
  <c r="G133" i="23"/>
  <c r="G132" i="23"/>
  <c r="D131" i="23"/>
  <c r="G130" i="23"/>
  <c r="D129" i="23"/>
  <c r="G129" i="23" s="1"/>
  <c r="G128" i="23"/>
  <c r="G127" i="23"/>
  <c r="D126" i="23"/>
  <c r="G126" i="23" s="1"/>
  <c r="G125" i="23"/>
  <c r="E124" i="23"/>
  <c r="G124" i="23" s="1"/>
  <c r="D122" i="23"/>
  <c r="G122" i="23" s="1"/>
  <c r="G120" i="23"/>
  <c r="G119" i="23"/>
  <c r="D117" i="23"/>
  <c r="G117" i="23" s="1"/>
  <c r="E116" i="23"/>
  <c r="G116" i="23" s="1"/>
  <c r="G114" i="23"/>
  <c r="E112" i="23"/>
  <c r="G112" i="23" s="1"/>
  <c r="G111" i="23"/>
  <c r="D110" i="23"/>
  <c r="D113" i="23" s="1"/>
  <c r="G109" i="23"/>
  <c r="E106" i="23"/>
  <c r="E105" i="23"/>
  <c r="G104" i="23"/>
  <c r="G103" i="23"/>
  <c r="D102" i="23"/>
  <c r="D105" i="23" s="1"/>
  <c r="E99" i="23"/>
  <c r="D98" i="23"/>
  <c r="G98" i="23" s="1"/>
  <c r="G93" i="23"/>
  <c r="E92" i="23"/>
  <c r="E94" i="23" s="1"/>
  <c r="D92" i="23"/>
  <c r="D91" i="23"/>
  <c r="G91" i="23" s="1"/>
  <c r="G90" i="23"/>
  <c r="E88" i="23"/>
  <c r="G87" i="23"/>
  <c r="D86" i="23"/>
  <c r="G86" i="23" s="1"/>
  <c r="D85" i="23"/>
  <c r="D96" i="23" s="1"/>
  <c r="G96" i="23" s="1"/>
  <c r="D84" i="23"/>
  <c r="G84" i="23" s="1"/>
  <c r="D83" i="23"/>
  <c r="D89" i="23" s="1"/>
  <c r="E82" i="23"/>
  <c r="D82" i="23"/>
  <c r="G81" i="23"/>
  <c r="G77" i="23"/>
  <c r="G76" i="23"/>
  <c r="G75" i="23"/>
  <c r="G74" i="23"/>
  <c r="G73" i="23"/>
  <c r="G72" i="23"/>
  <c r="G71" i="23"/>
  <c r="D70" i="23"/>
  <c r="G70" i="23" s="1"/>
  <c r="G69" i="23"/>
  <c r="G68" i="23"/>
  <c r="D67" i="23"/>
  <c r="G67" i="23" s="1"/>
  <c r="D66" i="23"/>
  <c r="G65" i="23"/>
  <c r="G64" i="23"/>
  <c r="G63" i="23"/>
  <c r="G62" i="23"/>
  <c r="G61" i="23"/>
  <c r="G60" i="23"/>
  <c r="G59" i="23"/>
  <c r="G58" i="23"/>
  <c r="G57" i="23"/>
  <c r="G56" i="23"/>
  <c r="G55" i="23"/>
  <c r="G54" i="23"/>
  <c r="G53" i="23"/>
  <c r="G52" i="23"/>
  <c r="G50" i="23"/>
  <c r="G49" i="23"/>
  <c r="E47" i="23"/>
  <c r="E48" i="23" s="1"/>
  <c r="G48" i="23" s="1"/>
  <c r="G46" i="23"/>
  <c r="E44" i="23"/>
  <c r="G44" i="23" s="1"/>
  <c r="G43" i="23"/>
  <c r="D42" i="23"/>
  <c r="D41" i="23" s="1"/>
  <c r="G40" i="23"/>
  <c r="G39" i="23" s="1"/>
  <c r="D39" i="23"/>
  <c r="D38" i="23"/>
  <c r="G38" i="23" s="1"/>
  <c r="G36" i="23" s="1"/>
  <c r="G37" i="23"/>
  <c r="D36" i="23"/>
  <c r="D34" i="23"/>
  <c r="D35" i="23" s="1"/>
  <c r="G35" i="23" s="1"/>
  <c r="G33" i="23"/>
  <c r="G32" i="23"/>
  <c r="G31" i="23"/>
  <c r="D30" i="23"/>
  <c r="D29" i="23" s="1"/>
  <c r="D27" i="23"/>
  <c r="G27" i="23" s="1"/>
  <c r="G26" i="23"/>
  <c r="G25" i="23"/>
  <c r="G24" i="23"/>
  <c r="G23" i="23"/>
  <c r="D23" i="23"/>
  <c r="D22" i="23" s="1"/>
  <c r="D20" i="23"/>
  <c r="G20" i="23" s="1"/>
  <c r="G19" i="23"/>
  <c r="E17" i="23"/>
  <c r="E18" i="23" s="1"/>
  <c r="G18" i="23" s="1"/>
  <c r="D17" i="23"/>
  <c r="G16" i="23"/>
  <c r="G15" i="23"/>
  <c r="E14" i="23"/>
  <c r="D14" i="23"/>
  <c r="D13" i="23"/>
  <c r="G13" i="23" s="1"/>
  <c r="G12" i="23"/>
  <c r="G11" i="23"/>
  <c r="G10" i="23"/>
  <c r="G293" i="22"/>
  <c r="G281" i="22"/>
  <c r="G295" i="22" s="1"/>
  <c r="D281" i="22"/>
  <c r="G280" i="22"/>
  <c r="E279" i="22"/>
  <c r="G279" i="22" s="1"/>
  <c r="G278" i="22"/>
  <c r="G276" i="22"/>
  <c r="G275" i="22" s="1"/>
  <c r="D275" i="22"/>
  <c r="D274" i="22"/>
  <c r="G274" i="22" s="1"/>
  <c r="G273" i="22"/>
  <c r="E271" i="22"/>
  <c r="G271" i="22" s="1"/>
  <c r="G270" i="22"/>
  <c r="G269" i="22"/>
  <c r="D268" i="22"/>
  <c r="E267" i="22"/>
  <c r="G267" i="22" s="1"/>
  <c r="G266" i="22"/>
  <c r="D265" i="22"/>
  <c r="G264" i="22"/>
  <c r="D263" i="22"/>
  <c r="G263" i="22" s="1"/>
  <c r="G262" i="22"/>
  <c r="G261" i="22"/>
  <c r="G260" i="22"/>
  <c r="D260" i="22"/>
  <c r="G259" i="22"/>
  <c r="D255" i="22"/>
  <c r="D256" i="22" s="1"/>
  <c r="D253" i="22"/>
  <c r="D252" i="22"/>
  <c r="D250" i="22"/>
  <c r="D251" i="22" s="1"/>
  <c r="D248" i="22"/>
  <c r="E245" i="22"/>
  <c r="E253" i="22" s="1"/>
  <c r="D244" i="22"/>
  <c r="D245" i="22" s="1"/>
  <c r="E242" i="22"/>
  <c r="E250" i="22" s="1"/>
  <c r="G250" i="22" s="1"/>
  <c r="D242" i="22"/>
  <c r="D243" i="22" s="1"/>
  <c r="E240" i="22"/>
  <c r="E248" i="22" s="1"/>
  <c r="D240" i="22"/>
  <c r="E239" i="22"/>
  <c r="E247" i="22" s="1"/>
  <c r="D236" i="22"/>
  <c r="D237" i="22" s="1"/>
  <c r="G237" i="22" s="1"/>
  <c r="D234" i="22"/>
  <c r="D235" i="22" s="1"/>
  <c r="D232" i="22"/>
  <c r="G231" i="22"/>
  <c r="G230" i="22"/>
  <c r="G229" i="22"/>
  <c r="G228" i="22"/>
  <c r="G227" i="22"/>
  <c r="D226" i="22"/>
  <c r="E225" i="22"/>
  <c r="D225" i="22"/>
  <c r="E224" i="22"/>
  <c r="D224" i="22"/>
  <c r="G223" i="22"/>
  <c r="E223" i="22"/>
  <c r="G222" i="22"/>
  <c r="G221" i="22"/>
  <c r="G220" i="22"/>
  <c r="E220" i="22"/>
  <c r="E236" i="22" s="1"/>
  <c r="G219" i="22"/>
  <c r="E218" i="22"/>
  <c r="E235" i="22" s="1"/>
  <c r="E243" i="22" s="1"/>
  <c r="E251" i="22" s="1"/>
  <c r="E217" i="22"/>
  <c r="G217" i="22" s="1"/>
  <c r="G216" i="22"/>
  <c r="E215" i="22"/>
  <c r="G215" i="22" s="1"/>
  <c r="G212" i="22"/>
  <c r="G211" i="22"/>
  <c r="E209" i="22"/>
  <c r="E210" i="22" s="1"/>
  <c r="G210" i="22" s="1"/>
  <c r="D208" i="22"/>
  <c r="G207" i="22"/>
  <c r="D206" i="22"/>
  <c r="E205" i="22"/>
  <c r="D205" i="22"/>
  <c r="J202" i="22" s="1"/>
  <c r="E204" i="22"/>
  <c r="G204" i="22" s="1"/>
  <c r="E202" i="22"/>
  <c r="G202" i="22" s="1"/>
  <c r="E201" i="22"/>
  <c r="G201" i="22" s="1"/>
  <c r="G198" i="22"/>
  <c r="G197" i="22"/>
  <c r="G196" i="22"/>
  <c r="D195" i="22"/>
  <c r="G194" i="22"/>
  <c r="G193" i="22"/>
  <c r="E192" i="22"/>
  <c r="G192" i="22" s="1"/>
  <c r="D191" i="22"/>
  <c r="G190" i="22"/>
  <c r="G189" i="22"/>
  <c r="E187" i="22"/>
  <c r="E203" i="22" s="1"/>
  <c r="G203" i="22" s="1"/>
  <c r="G186" i="22"/>
  <c r="G185" i="22"/>
  <c r="G181" i="22"/>
  <c r="G180" i="22"/>
  <c r="G179" i="22"/>
  <c r="G178" i="22"/>
  <c r="D177" i="22"/>
  <c r="G176" i="22"/>
  <c r="G175" i="22"/>
  <c r="G174" i="22"/>
  <c r="G173" i="22"/>
  <c r="G172" i="22"/>
  <c r="G171" i="22"/>
  <c r="G170" i="22"/>
  <c r="G169" i="22"/>
  <c r="J169" i="22" s="1"/>
  <c r="L169" i="22" s="1"/>
  <c r="G168" i="22"/>
  <c r="G167" i="22"/>
  <c r="G166" i="22"/>
  <c r="G165" i="22"/>
  <c r="D164" i="22"/>
  <c r="G162" i="22"/>
  <c r="E155" i="22"/>
  <c r="E156" i="22" s="1"/>
  <c r="D151" i="22"/>
  <c r="D156" i="22" s="1"/>
  <c r="D150" i="22"/>
  <c r="D155" i="22" s="1"/>
  <c r="D149" i="22"/>
  <c r="G147" i="22"/>
  <c r="J147" i="22" s="1"/>
  <c r="L147" i="22" s="1"/>
  <c r="G146" i="22"/>
  <c r="G145" i="22"/>
  <c r="G144" i="22"/>
  <c r="D143" i="22"/>
  <c r="D142" i="22"/>
  <c r="G142" i="22" s="1"/>
  <c r="G141" i="22"/>
  <c r="G140" i="22" s="1"/>
  <c r="D140" i="22"/>
  <c r="G139" i="22"/>
  <c r="D136" i="22"/>
  <c r="G135" i="22"/>
  <c r="E134" i="22"/>
  <c r="E137" i="22" s="1"/>
  <c r="G133" i="22"/>
  <c r="G132" i="22"/>
  <c r="D131" i="22"/>
  <c r="G130" i="22"/>
  <c r="G129" i="22"/>
  <c r="G128" i="22"/>
  <c r="G127" i="22"/>
  <c r="G126" i="22"/>
  <c r="G125" i="22"/>
  <c r="E124" i="22"/>
  <c r="G124" i="22" s="1"/>
  <c r="D122" i="22"/>
  <c r="G122" i="22" s="1"/>
  <c r="G120" i="22"/>
  <c r="G119" i="22"/>
  <c r="D117" i="22"/>
  <c r="G117" i="22" s="1"/>
  <c r="E116" i="22"/>
  <c r="G116" i="22" s="1"/>
  <c r="G114" i="22"/>
  <c r="D113" i="22"/>
  <c r="G113" i="22" s="1"/>
  <c r="E112" i="22"/>
  <c r="G112" i="22" s="1"/>
  <c r="G111" i="22"/>
  <c r="G110" i="22"/>
  <c r="G109" i="22"/>
  <c r="E106" i="22"/>
  <c r="D106" i="22"/>
  <c r="D107" i="22" s="1"/>
  <c r="G107" i="22" s="1"/>
  <c r="E105" i="22"/>
  <c r="G105" i="22" s="1"/>
  <c r="G104" i="22"/>
  <c r="G103" i="22"/>
  <c r="G102" i="22"/>
  <c r="D101" i="22"/>
  <c r="E99" i="22"/>
  <c r="D98" i="22"/>
  <c r="G98" i="22" s="1"/>
  <c r="G93" i="22"/>
  <c r="E92" i="22"/>
  <c r="E94" i="22" s="1"/>
  <c r="D92" i="22"/>
  <c r="D91" i="22"/>
  <c r="G91" i="22" s="1"/>
  <c r="G90" i="22"/>
  <c r="D89" i="22"/>
  <c r="G89" i="22" s="1"/>
  <c r="E88" i="22"/>
  <c r="G87" i="22"/>
  <c r="D86" i="22"/>
  <c r="D97" i="22" s="1"/>
  <c r="G97" i="22" s="1"/>
  <c r="D85" i="22"/>
  <c r="G85" i="22" s="1"/>
  <c r="D84" i="22"/>
  <c r="G84" i="22" s="1"/>
  <c r="G83" i="22"/>
  <c r="E82" i="22"/>
  <c r="D82" i="22"/>
  <c r="D88" i="22" s="1"/>
  <c r="G81" i="22"/>
  <c r="E47" i="22"/>
  <c r="E44" i="22"/>
  <c r="D42" i="22"/>
  <c r="G42" i="22" s="1"/>
  <c r="D39" i="22"/>
  <c r="D38" i="22"/>
  <c r="G38" i="22" s="1"/>
  <c r="G36" i="22" s="1"/>
  <c r="D36" i="22"/>
  <c r="D34" i="22"/>
  <c r="D30" i="22"/>
  <c r="G30" i="22" s="1"/>
  <c r="D29" i="22"/>
  <c r="D27" i="22"/>
  <c r="D23" i="22"/>
  <c r="G23" i="22" s="1"/>
  <c r="D20" i="22"/>
  <c r="G20" i="22" s="1"/>
  <c r="G19" i="22"/>
  <c r="E17" i="22"/>
  <c r="E18" i="22" s="1"/>
  <c r="G18" i="22" s="1"/>
  <c r="D17" i="22"/>
  <c r="G16" i="22"/>
  <c r="G15" i="22"/>
  <c r="E14" i="22"/>
  <c r="D14" i="22"/>
  <c r="D13" i="22"/>
  <c r="G13" i="22" s="1"/>
  <c r="G12" i="22"/>
  <c r="G11" i="22"/>
  <c r="G10" i="22"/>
  <c r="D287" i="19"/>
  <c r="D286" i="19"/>
  <c r="C286" i="19"/>
  <c r="D285" i="19"/>
  <c r="C285" i="19"/>
  <c r="D284" i="19"/>
  <c r="C284" i="19"/>
  <c r="D283" i="19"/>
  <c r="C283" i="19"/>
  <c r="D282" i="19"/>
  <c r="C282" i="19"/>
  <c r="G273" i="19"/>
  <c r="G261" i="19"/>
  <c r="G275" i="19" s="1"/>
  <c r="D261" i="19"/>
  <c r="J260" i="19"/>
  <c r="G260" i="19"/>
  <c r="E259" i="19"/>
  <c r="D259" i="19"/>
  <c r="J258" i="19"/>
  <c r="G258" i="19"/>
  <c r="G256" i="19"/>
  <c r="G255" i="19" s="1"/>
  <c r="D255" i="19"/>
  <c r="D254" i="19"/>
  <c r="G254" i="19" s="1"/>
  <c r="G253" i="19"/>
  <c r="D250" i="19"/>
  <c r="D247" i="19"/>
  <c r="D248" i="19" s="1"/>
  <c r="D245" i="19"/>
  <c r="D246" i="19" s="1"/>
  <c r="D243" i="19"/>
  <c r="E240" i="19"/>
  <c r="E248" i="19" s="1"/>
  <c r="D239" i="19"/>
  <c r="D240" i="19" s="1"/>
  <c r="E237" i="19"/>
  <c r="E245" i="19" s="1"/>
  <c r="G245" i="19" s="1"/>
  <c r="D237" i="19"/>
  <c r="D238" i="19" s="1"/>
  <c r="E235" i="19"/>
  <c r="E243" i="19" s="1"/>
  <c r="D235" i="19"/>
  <c r="E234" i="19"/>
  <c r="E242" i="19" s="1"/>
  <c r="D231" i="19"/>
  <c r="D229" i="19"/>
  <c r="D227" i="19"/>
  <c r="J228" i="19" s="1"/>
  <c r="G226" i="19"/>
  <c r="G225" i="19"/>
  <c r="G224" i="19"/>
  <c r="G223" i="19"/>
  <c r="G222" i="19"/>
  <c r="D221" i="19"/>
  <c r="E220" i="19"/>
  <c r="D220" i="19"/>
  <c r="E219" i="19"/>
  <c r="D219" i="19"/>
  <c r="E218" i="19"/>
  <c r="G218" i="19" s="1"/>
  <c r="G217" i="19"/>
  <c r="G216" i="19"/>
  <c r="E215" i="19"/>
  <c r="E231" i="19" s="1"/>
  <c r="E239" i="19" s="1"/>
  <c r="E247" i="19" s="1"/>
  <c r="G214" i="19"/>
  <c r="E213" i="19"/>
  <c r="E230" i="19" s="1"/>
  <c r="E212" i="19"/>
  <c r="G212" i="19" s="1"/>
  <c r="G211" i="19"/>
  <c r="E210" i="19"/>
  <c r="G210" i="19" s="1"/>
  <c r="G207" i="19"/>
  <c r="G206" i="19"/>
  <c r="E204" i="19"/>
  <c r="E205" i="19" s="1"/>
  <c r="G205" i="19" s="1"/>
  <c r="D203" i="19"/>
  <c r="G202" i="19"/>
  <c r="E201" i="19"/>
  <c r="D201" i="19"/>
  <c r="E200" i="19"/>
  <c r="D200" i="19"/>
  <c r="J197" i="19" s="1"/>
  <c r="E199" i="19"/>
  <c r="G199" i="19" s="1"/>
  <c r="E197" i="19"/>
  <c r="G197" i="19" s="1"/>
  <c r="E196" i="19"/>
  <c r="G196" i="19" s="1"/>
  <c r="G193" i="19"/>
  <c r="G192" i="19"/>
  <c r="G191" i="19"/>
  <c r="D190" i="19"/>
  <c r="K11" i="19" s="1"/>
  <c r="G189" i="19"/>
  <c r="G188" i="19"/>
  <c r="G187" i="19"/>
  <c r="D186" i="19"/>
  <c r="G185" i="19"/>
  <c r="E184" i="19"/>
  <c r="E198" i="19" s="1"/>
  <c r="G198" i="19" s="1"/>
  <c r="D183" i="19"/>
  <c r="G183" i="19" s="1"/>
  <c r="G182" i="19"/>
  <c r="G177" i="19"/>
  <c r="G176" i="19"/>
  <c r="G175" i="19"/>
  <c r="D174" i="19"/>
  <c r="G161" i="19"/>
  <c r="G160" i="19"/>
  <c r="G159" i="19"/>
  <c r="D158" i="19"/>
  <c r="D152" i="19"/>
  <c r="G152" i="19" s="1"/>
  <c r="D151" i="19"/>
  <c r="G151" i="19" s="1"/>
  <c r="D150" i="19"/>
  <c r="G150" i="19" s="1"/>
  <c r="E146" i="19"/>
  <c r="G146" i="19" s="1"/>
  <c r="D145" i="19"/>
  <c r="D144" i="19" s="1"/>
  <c r="D140" i="19"/>
  <c r="K23" i="19" s="1"/>
  <c r="G139" i="19"/>
  <c r="J139" i="19" s="1"/>
  <c r="M139" i="19" s="1"/>
  <c r="G138" i="19"/>
  <c r="G137" i="19"/>
  <c r="G136" i="19"/>
  <c r="D135" i="19"/>
  <c r="D134" i="19"/>
  <c r="G134" i="19" s="1"/>
  <c r="G133" i="19"/>
  <c r="D132" i="19"/>
  <c r="D230" i="19" l="1"/>
  <c r="J230" i="19" s="1"/>
  <c r="J229" i="19"/>
  <c r="J235" i="19"/>
  <c r="G259" i="19"/>
  <c r="D28" i="22"/>
  <c r="G28" i="22" s="1"/>
  <c r="G27" i="22"/>
  <c r="G143" i="22"/>
  <c r="J162" i="22"/>
  <c r="L162" i="22" s="1"/>
  <c r="G191" i="22"/>
  <c r="J186" i="22"/>
  <c r="G240" i="22"/>
  <c r="G245" i="22"/>
  <c r="D121" i="23"/>
  <c r="G225" i="23"/>
  <c r="G235" i="23"/>
  <c r="G240" i="23"/>
  <c r="D251" i="19"/>
  <c r="J234" i="19"/>
  <c r="J25" i="22"/>
  <c r="D265" i="23"/>
  <c r="G265" i="23" s="1"/>
  <c r="D232" i="19"/>
  <c r="J231" i="19"/>
  <c r="E48" i="22"/>
  <c r="G48" i="22" s="1"/>
  <c r="G47" i="22"/>
  <c r="G106" i="22"/>
  <c r="E45" i="23"/>
  <c r="G45" i="23" s="1"/>
  <c r="J185" i="23"/>
  <c r="L185" i="23" s="1"/>
  <c r="E45" i="22"/>
  <c r="G45" i="22" s="1"/>
  <c r="G44" i="22"/>
  <c r="G41" i="22" s="1"/>
  <c r="J140" i="22"/>
  <c r="L140" i="22" s="1"/>
  <c r="G22" i="22"/>
  <c r="D35" i="22"/>
  <c r="G35" i="22" s="1"/>
  <c r="G34" i="22"/>
  <c r="G29" i="22" s="1"/>
  <c r="D41" i="22"/>
  <c r="J23" i="22" s="1"/>
  <c r="G14" i="23"/>
  <c r="G17" i="23"/>
  <c r="G9" i="23" s="1"/>
  <c r="J9" i="23" s="1"/>
  <c r="L9" i="23" s="1"/>
  <c r="D148" i="23"/>
  <c r="J162" i="23"/>
  <c r="L162" i="23" s="1"/>
  <c r="D184" i="23"/>
  <c r="D183" i="23" s="1"/>
  <c r="J186" i="23"/>
  <c r="D214" i="23"/>
  <c r="D213" i="23" s="1"/>
  <c r="G239" i="23"/>
  <c r="G238" i="23" s="1"/>
  <c r="G242" i="23"/>
  <c r="G158" i="19"/>
  <c r="J158" i="19" s="1"/>
  <c r="M158" i="19" s="1"/>
  <c r="G174" i="19"/>
  <c r="J162" i="19" s="1"/>
  <c r="M162" i="19" s="1"/>
  <c r="D181" i="19"/>
  <c r="D180" i="19" s="1"/>
  <c r="J183" i="19"/>
  <c r="G132" i="19"/>
  <c r="G219" i="19"/>
  <c r="G135" i="19"/>
  <c r="G229" i="19"/>
  <c r="D195" i="19"/>
  <c r="D194" i="19" s="1"/>
  <c r="G221" i="19"/>
  <c r="G220" i="19"/>
  <c r="E147" i="19"/>
  <c r="E148" i="19" s="1"/>
  <c r="G148" i="19" s="1"/>
  <c r="G209" i="22"/>
  <c r="D258" i="22"/>
  <c r="D257" i="22" s="1"/>
  <c r="G164" i="22"/>
  <c r="J164" i="22" s="1"/>
  <c r="L164" i="22" s="1"/>
  <c r="G235" i="22"/>
  <c r="D96" i="22"/>
  <c r="G96" i="22" s="1"/>
  <c r="D123" i="22"/>
  <c r="G123" i="22" s="1"/>
  <c r="G121" i="22" s="1"/>
  <c r="G134" i="22"/>
  <c r="G131" i="22" s="1"/>
  <c r="G277" i="22"/>
  <c r="G195" i="22"/>
  <c r="G201" i="19"/>
  <c r="G234" i="19"/>
  <c r="G235" i="19"/>
  <c r="G137" i="22"/>
  <c r="E138" i="22"/>
  <c r="G138" i="22" s="1"/>
  <c r="G252" i="19"/>
  <c r="J165" i="19" s="1"/>
  <c r="M165" i="19" s="1"/>
  <c r="G258" i="23"/>
  <c r="G268" i="23"/>
  <c r="E206" i="22"/>
  <c r="G206" i="22" s="1"/>
  <c r="G140" i="23"/>
  <c r="J140" i="23" s="1"/>
  <c r="L140" i="23" s="1"/>
  <c r="D149" i="19"/>
  <c r="G186" i="19"/>
  <c r="G190" i="19"/>
  <c r="J10" i="19" s="1"/>
  <c r="D209" i="19"/>
  <c r="D208" i="19" s="1"/>
  <c r="G237" i="19"/>
  <c r="G257" i="19"/>
  <c r="G14" i="22"/>
  <c r="G9" i="22" s="1"/>
  <c r="G17" i="22"/>
  <c r="D22" i="22"/>
  <c r="D121" i="22"/>
  <c r="G177" i="22"/>
  <c r="J168" i="22" s="1"/>
  <c r="L168" i="22" s="1"/>
  <c r="D184" i="22"/>
  <c r="D183" i="22" s="1"/>
  <c r="G187" i="22"/>
  <c r="G205" i="22"/>
  <c r="G200" i="22" s="1"/>
  <c r="G225" i="22"/>
  <c r="G253" i="22"/>
  <c r="G272" i="22"/>
  <c r="J170" i="22" s="1"/>
  <c r="L170" i="22" s="1"/>
  <c r="G34" i="23"/>
  <c r="G42" i="23"/>
  <c r="D97" i="23"/>
  <c r="G97" i="23" s="1"/>
  <c r="G102" i="23"/>
  <c r="G177" i="23"/>
  <c r="J168" i="23" s="1"/>
  <c r="L168" i="23" s="1"/>
  <c r="G200" i="19"/>
  <c r="E188" i="22"/>
  <c r="G188" i="22" s="1"/>
  <c r="J185" i="22" s="1"/>
  <c r="L185" i="22" s="1"/>
  <c r="G268" i="22"/>
  <c r="D9" i="23"/>
  <c r="G92" i="23"/>
  <c r="D123" i="23"/>
  <c r="G123" i="23" s="1"/>
  <c r="G121" i="23" s="1"/>
  <c r="G164" i="23"/>
  <c r="J164" i="23" s="1"/>
  <c r="L164" i="23" s="1"/>
  <c r="E188" i="23"/>
  <c r="G188" i="23" s="1"/>
  <c r="G206" i="23"/>
  <c r="G195" i="23"/>
  <c r="G226" i="23"/>
  <c r="G277" i="23"/>
  <c r="G213" i="19"/>
  <c r="G215" i="19"/>
  <c r="G240" i="19"/>
  <c r="D9" i="22"/>
  <c r="J10" i="22" s="1"/>
  <c r="G92" i="22"/>
  <c r="G208" i="22"/>
  <c r="G224" i="22"/>
  <c r="G226" i="22"/>
  <c r="G234" i="22"/>
  <c r="G242" i="22"/>
  <c r="D28" i="23"/>
  <c r="G28" i="23" s="1"/>
  <c r="G22" i="23" s="1"/>
  <c r="G47" i="23"/>
  <c r="G66" i="23"/>
  <c r="G82" i="23"/>
  <c r="G205" i="23"/>
  <c r="G200" i="23" s="1"/>
  <c r="G199" i="23" s="1"/>
  <c r="G218" i="23"/>
  <c r="G272" i="23"/>
  <c r="J170" i="23" s="1"/>
  <c r="L170" i="23" s="1"/>
  <c r="D288" i="19"/>
  <c r="C287" i="19"/>
  <c r="D106" i="23"/>
  <c r="G105" i="23"/>
  <c r="D101" i="23"/>
  <c r="G41" i="23"/>
  <c r="D100" i="23"/>
  <c r="G100" i="23" s="1"/>
  <c r="D95" i="23"/>
  <c r="G95" i="23" s="1"/>
  <c r="G89" i="23"/>
  <c r="G161" i="23"/>
  <c r="G248" i="23"/>
  <c r="G256" i="23"/>
  <c r="G158" i="23"/>
  <c r="D108" i="23"/>
  <c r="G113" i="23"/>
  <c r="D115" i="23"/>
  <c r="E138" i="23"/>
  <c r="G138" i="23" s="1"/>
  <c r="G137" i="23"/>
  <c r="E149" i="23"/>
  <c r="D159" i="23"/>
  <c r="G159" i="23" s="1"/>
  <c r="G155" i="23"/>
  <c r="G214" i="23"/>
  <c r="G247" i="23"/>
  <c r="E255" i="23"/>
  <c r="G255" i="23" s="1"/>
  <c r="G254" i="23" s="1"/>
  <c r="G251" i="23"/>
  <c r="G294" i="23"/>
  <c r="G30" i="23"/>
  <c r="G29" i="23" s="1"/>
  <c r="G83" i="23"/>
  <c r="G85" i="23"/>
  <c r="D88" i="23"/>
  <c r="D80" i="23" s="1"/>
  <c r="G134" i="23"/>
  <c r="G131" i="23" s="1"/>
  <c r="G154" i="23"/>
  <c r="D156" i="23"/>
  <c r="G191" i="23"/>
  <c r="G209" i="23"/>
  <c r="G208" i="23" s="1"/>
  <c r="G234" i="23"/>
  <c r="E250" i="23"/>
  <c r="G250" i="23" s="1"/>
  <c r="D258" i="23"/>
  <c r="D257" i="23" s="1"/>
  <c r="D182" i="23" s="1"/>
  <c r="E236" i="23"/>
  <c r="E244" i="23" s="1"/>
  <c r="E252" i="23" s="1"/>
  <c r="G252" i="23" s="1"/>
  <c r="G110" i="23"/>
  <c r="G187" i="23"/>
  <c r="G192" i="23"/>
  <c r="D160" i="22"/>
  <c r="G160" i="22" s="1"/>
  <c r="G156" i="22"/>
  <c r="D94" i="22"/>
  <c r="G94" i="22" s="1"/>
  <c r="D99" i="22"/>
  <c r="G99" i="22" s="1"/>
  <c r="G88" i="22"/>
  <c r="G251" i="22"/>
  <c r="G248" i="22"/>
  <c r="E256" i="22"/>
  <c r="G256" i="22" s="1"/>
  <c r="G101" i="22"/>
  <c r="G136" i="22"/>
  <c r="D159" i="22"/>
  <c r="G159" i="22" s="1"/>
  <c r="G155" i="22"/>
  <c r="G236" i="22"/>
  <c r="G233" i="22" s="1"/>
  <c r="E244" i="22"/>
  <c r="E252" i="22" s="1"/>
  <c r="G252" i="22" s="1"/>
  <c r="E255" i="22"/>
  <c r="G255" i="22" s="1"/>
  <c r="G247" i="22"/>
  <c r="G243" i="22"/>
  <c r="G294" i="22"/>
  <c r="D80" i="22"/>
  <c r="G86" i="22"/>
  <c r="D100" i="22"/>
  <c r="G100" i="22" s="1"/>
  <c r="D115" i="22"/>
  <c r="E149" i="22"/>
  <c r="E150" i="22" s="1"/>
  <c r="D154" i="22"/>
  <c r="D214" i="22"/>
  <c r="D213" i="22" s="1"/>
  <c r="G218" i="22"/>
  <c r="G239" i="22"/>
  <c r="G238" i="22" s="1"/>
  <c r="G265" i="22"/>
  <c r="G258" i="22" s="1"/>
  <c r="G257" i="22" s="1"/>
  <c r="G82" i="22"/>
  <c r="D95" i="22"/>
  <c r="G95" i="22" s="1"/>
  <c r="D148" i="22"/>
  <c r="D200" i="22"/>
  <c r="D199" i="22" s="1"/>
  <c r="D108" i="22"/>
  <c r="G230" i="19"/>
  <c r="E238" i="19"/>
  <c r="G248" i="19"/>
  <c r="G149" i="19"/>
  <c r="G242" i="19"/>
  <c r="E250" i="19"/>
  <c r="G250" i="19" s="1"/>
  <c r="G243" i="19"/>
  <c r="E251" i="19"/>
  <c r="G251" i="19" s="1"/>
  <c r="G204" i="19"/>
  <c r="G203" i="19" s="1"/>
  <c r="G247" i="19"/>
  <c r="G184" i="19"/>
  <c r="G231" i="19"/>
  <c r="G239" i="19"/>
  <c r="J9" i="22" l="1"/>
  <c r="G209" i="19"/>
  <c r="G208" i="19" s="1"/>
  <c r="J196" i="19"/>
  <c r="G155" i="19"/>
  <c r="G232" i="19"/>
  <c r="J232" i="19"/>
  <c r="G246" i="22"/>
  <c r="G213" i="23"/>
  <c r="J10" i="23"/>
  <c r="J132" i="19"/>
  <c r="M132" i="19" s="1"/>
  <c r="J201" i="22"/>
  <c r="L201" i="22" s="1"/>
  <c r="G184" i="23"/>
  <c r="G183" i="23" s="1"/>
  <c r="J187" i="23"/>
  <c r="L187" i="23" s="1"/>
  <c r="J187" i="22"/>
  <c r="L187" i="22" s="1"/>
  <c r="J22" i="22"/>
  <c r="G233" i="19"/>
  <c r="G21" i="22"/>
  <c r="J201" i="23"/>
  <c r="L201" i="23" s="1"/>
  <c r="G147" i="19"/>
  <c r="G145" i="19" s="1"/>
  <c r="G144" i="19" s="1"/>
  <c r="J182" i="19"/>
  <c r="M182" i="19" s="1"/>
  <c r="D179" i="19"/>
  <c r="J184" i="19"/>
  <c r="M184" i="19" s="1"/>
  <c r="G195" i="19"/>
  <c r="G194" i="19" s="1"/>
  <c r="G214" i="22"/>
  <c r="I286" i="22" s="1"/>
  <c r="G161" i="22"/>
  <c r="G184" i="22"/>
  <c r="G183" i="22" s="1"/>
  <c r="D182" i="22"/>
  <c r="G199" i="22"/>
  <c r="M10" i="19"/>
  <c r="M196" i="19"/>
  <c r="G249" i="23"/>
  <c r="G136" i="23"/>
  <c r="G257" i="23"/>
  <c r="G274" i="19"/>
  <c r="G249" i="22"/>
  <c r="G228" i="19"/>
  <c r="G254" i="22"/>
  <c r="G21" i="23"/>
  <c r="I286" i="23"/>
  <c r="G156" i="23"/>
  <c r="G153" i="23" s="1"/>
  <c r="D160" i="23"/>
  <c r="E150" i="23"/>
  <c r="G149" i="23"/>
  <c r="D153" i="23"/>
  <c r="D152" i="23" s="1"/>
  <c r="G246" i="23"/>
  <c r="G236" i="23"/>
  <c r="G233" i="23" s="1"/>
  <c r="G244" i="23"/>
  <c r="G241" i="23" s="1"/>
  <c r="G88" i="23"/>
  <c r="D99" i="23"/>
  <c r="G99" i="23" s="1"/>
  <c r="D94" i="23"/>
  <c r="G94" i="23" s="1"/>
  <c r="G115" i="23"/>
  <c r="D118" i="23"/>
  <c r="G118" i="23" s="1"/>
  <c r="G78" i="23"/>
  <c r="G51" i="23" s="1"/>
  <c r="D51" i="23"/>
  <c r="G106" i="23"/>
  <c r="D107" i="23"/>
  <c r="G107" i="23" s="1"/>
  <c r="G213" i="22"/>
  <c r="E151" i="22"/>
  <c r="G151" i="22" s="1"/>
  <c r="G150" i="22"/>
  <c r="G244" i="22"/>
  <c r="G241" i="22" s="1"/>
  <c r="G80" i="22"/>
  <c r="D118" i="22"/>
  <c r="G118" i="22" s="1"/>
  <c r="G115" i="22"/>
  <c r="D158" i="22"/>
  <c r="D153" i="22"/>
  <c r="D152" i="22" s="1"/>
  <c r="G154" i="22"/>
  <c r="G153" i="22" s="1"/>
  <c r="G149" i="22"/>
  <c r="G249" i="19"/>
  <c r="G238" i="19"/>
  <c r="G236" i="19" s="1"/>
  <c r="E246" i="19"/>
  <c r="G246" i="19" s="1"/>
  <c r="G244" i="19" s="1"/>
  <c r="G241" i="19"/>
  <c r="E141" i="19"/>
  <c r="G181" i="19"/>
  <c r="G101" i="23" l="1"/>
  <c r="G108" i="23"/>
  <c r="L9" i="22"/>
  <c r="G232" i="22"/>
  <c r="J232" i="22" s="1"/>
  <c r="L232" i="22" s="1"/>
  <c r="G232" i="23"/>
  <c r="G108" i="22"/>
  <c r="G79" i="22" s="1"/>
  <c r="G8" i="22" s="1"/>
  <c r="G227" i="19"/>
  <c r="J227" i="19" s="1"/>
  <c r="M227" i="19" s="1"/>
  <c r="G80" i="23"/>
  <c r="G79" i="23" s="1"/>
  <c r="G150" i="23"/>
  <c r="G148" i="23" s="1"/>
  <c r="E151" i="23"/>
  <c r="G151" i="23" s="1"/>
  <c r="G160" i="23"/>
  <c r="G157" i="23" s="1"/>
  <c r="G152" i="23" s="1"/>
  <c r="D157" i="23"/>
  <c r="D157" i="22"/>
  <c r="G158" i="22"/>
  <c r="G157" i="22" s="1"/>
  <c r="G152" i="22" s="1"/>
  <c r="G148" i="22"/>
  <c r="G182" i="22"/>
  <c r="E142" i="19"/>
  <c r="G141" i="19"/>
  <c r="G180" i="19"/>
  <c r="G182" i="23" l="1"/>
  <c r="J232" i="23"/>
  <c r="L232" i="23" s="1"/>
  <c r="J21" i="22"/>
  <c r="I282" i="23"/>
  <c r="I282" i="22"/>
  <c r="J21" i="23"/>
  <c r="G179" i="19"/>
  <c r="G8" i="23"/>
  <c r="G7" i="23" s="1"/>
  <c r="G6" i="23" s="1"/>
  <c r="I6" i="23" s="1"/>
  <c r="I7" i="23" s="1"/>
  <c r="I283" i="23"/>
  <c r="G292" i="23"/>
  <c r="I283" i="22"/>
  <c r="I284" i="22" s="1"/>
  <c r="G292" i="22"/>
  <c r="G296" i="22" s="1"/>
  <c r="G299" i="22" s="1"/>
  <c r="G7" i="22"/>
  <c r="G6" i="22" s="1"/>
  <c r="E143" i="19"/>
  <c r="G143" i="19" s="1"/>
  <c r="G142" i="19"/>
  <c r="L21" i="23" l="1"/>
  <c r="L8" i="23" s="1"/>
  <c r="J8" i="23"/>
  <c r="L21" i="22"/>
  <c r="L5" i="22" s="1"/>
  <c r="J5" i="22"/>
  <c r="J6" i="22" s="1"/>
  <c r="I284" i="23"/>
  <c r="G140" i="19"/>
  <c r="J21" i="19"/>
  <c r="J6" i="19" s="1"/>
  <c r="G296" i="23"/>
  <c r="G299" i="23" s="1"/>
  <c r="F292" i="23"/>
  <c r="G8" i="19" l="1"/>
  <c r="G7" i="19" s="1"/>
  <c r="G6" i="19" s="1"/>
  <c r="M21" i="19"/>
  <c r="M6" i="19" s="1"/>
  <c r="G272" i="19" l="1"/>
  <c r="G276" i="19"/>
  <c r="G279" i="19" s="1"/>
</calcChain>
</file>

<file path=xl/sharedStrings.xml><?xml version="1.0" encoding="utf-8"?>
<sst xmlns="http://schemas.openxmlformats.org/spreadsheetml/2006/main" count="3642" uniqueCount="503">
  <si>
    <t>3</t>
  </si>
  <si>
    <t>2</t>
  </si>
  <si>
    <t>Организация благоустройства и озеленения</t>
  </si>
  <si>
    <t>_</t>
  </si>
  <si>
    <t>Предупреждение возникновения и распространения лесных пожаров, включая территорию ООПТ</t>
  </si>
  <si>
    <t>5</t>
  </si>
  <si>
    <t xml:space="preserve"> </t>
  </si>
  <si>
    <t xml:space="preserve">Расчет затрат на выполнение работ муниципальным бюджетным учреждением "Зеленстрой" </t>
  </si>
  <si>
    <t xml:space="preserve"> городского округа Тольятти на 2020 год</t>
  </si>
  <si>
    <t>№ п/п</t>
  </si>
  <si>
    <t>Наименование муниципальной работы, выполняемой муниципальным учреждением</t>
  </si>
  <si>
    <t>Единица измерения</t>
  </si>
  <si>
    <t>Количество</t>
  </si>
  <si>
    <t>Цена за единицу, руб.</t>
  </si>
  <si>
    <t>Кратность выполнения работ</t>
  </si>
  <si>
    <t>Стоимость выполнения работ, руб.</t>
  </si>
  <si>
    <t>№ расчета</t>
  </si>
  <si>
    <t>Прейскурант</t>
  </si>
  <si>
    <t>Всего по муниципальному заданию</t>
  </si>
  <si>
    <t>1.1</t>
  </si>
  <si>
    <t>Содержание объектов озеленения</t>
  </si>
  <si>
    <t>1.1.1</t>
  </si>
  <si>
    <t>Косьба газонов</t>
  </si>
  <si>
    <t>м2</t>
  </si>
  <si>
    <t>Выкашивание газона роторной косилкой с вывозом травы (1 раз за сезон)</t>
  </si>
  <si>
    <t>Выкашивание газона роторной косилкой без вывоза травы (1 раз за сезон)</t>
  </si>
  <si>
    <t>Выкашивание газона роторной косилкой с вывозом травы на территории жилых кварталов Центрального района (1 раз за сезон)</t>
  </si>
  <si>
    <t>Выкашивание газона роторной косилкой без вывоза травы на территории жилых кварталов Центрального района (1 раз за сезон)</t>
  </si>
  <si>
    <t>Выкашивание газона роторной косилкой с вывозом травы (2 раза за сезон)</t>
  </si>
  <si>
    <t>Выкашивание газона триммером с вывозом травы (1 раз за сезон)</t>
  </si>
  <si>
    <t>Выкашивание газона триммером без вывоза травы (1 раз за сезон)</t>
  </si>
  <si>
    <t>54/1</t>
  </si>
  <si>
    <t>Выкашивание газона триммером с вывозом травы (2 раза за сезон)</t>
  </si>
  <si>
    <t>Выкашивание газона триммером с вывозом травы (5 раз за сезон)</t>
  </si>
  <si>
    <t>Выкашивание газона триммером с вывозом травы на территории жилых кварталов Центрального района (1 раз за сезон)</t>
  </si>
  <si>
    <t>Выкашивание газона триммером без вывоза травы на территории жилых кварталов Центрального района (1 раз за сезон)</t>
  </si>
  <si>
    <t>1.1.2</t>
  </si>
  <si>
    <t xml:space="preserve"> Уход за молодыми посадками, в том числе</t>
  </si>
  <si>
    <t>1.1.2.1</t>
  </si>
  <si>
    <t xml:space="preserve"> Деревья</t>
  </si>
  <si>
    <t>шт.</t>
  </si>
  <si>
    <t>Устройство лунок для полива деревьев с комом земли размером 0,8*0,8*0,5м (1 раз)</t>
  </si>
  <si>
    <t>Полив деревьев с комом земли размером 0,8*0,8*0,5м из шланга поливомоечной машины – 6 раз</t>
  </si>
  <si>
    <t>Полив деревьев с комом земли размером 0,8*0,8*0,5м из шланга поливомоечной машины – 10 раз</t>
  </si>
  <si>
    <t>1.1.2.2</t>
  </si>
  <si>
    <t>Кустарники одиночные и в группах</t>
  </si>
  <si>
    <t>Устройство приствольных лунок для полива кустарников одиночных и групповых (1 раз)</t>
  </si>
  <si>
    <t>Полив одиночных и групповых кустарников из шланга поливомоечной машины – 6 раз</t>
  </si>
  <si>
    <t>Полив одиночных и групповых кустарников из шланга поливомоечной машины –16 раз</t>
  </si>
  <si>
    <t>Прополка приствольных лунок</t>
  </si>
  <si>
    <t>Внесение минеральных удобрений</t>
  </si>
  <si>
    <t>1.1.2.3</t>
  </si>
  <si>
    <t>Кустарники в живой изгороди</t>
  </si>
  <si>
    <t>Устройство канавок для полива живой изгороди (1 раз)</t>
  </si>
  <si>
    <t>п/м</t>
  </si>
  <si>
    <t>Полив живой изгороди из шланга поливомоечной машины – 6 раз</t>
  </si>
  <si>
    <t>1.1.3</t>
  </si>
  <si>
    <t>Уход за кустарниками одиночными и в группах</t>
  </si>
  <si>
    <t>Формирование крон кустарников с диметром куста свыше 1 м – 2 раза</t>
  </si>
  <si>
    <t>1.1.4</t>
  </si>
  <si>
    <t>Уход за кустарниками в живой изгороди</t>
  </si>
  <si>
    <t xml:space="preserve">Стрижка живой изгороди без шипов и колючек высотой до 0,5 м механизированным способом (2 раза за сезон) </t>
  </si>
  <si>
    <t xml:space="preserve">Стрижка живой изгороди без шипов и колючек высотой от 0,5 до 1,0 м механизированным способом (1 раз за сезон) </t>
  </si>
  <si>
    <t xml:space="preserve">Стрижка живой изгороди без шипов и колючек высотой от 0,5 до 1,0 м механизированным способом (2 раза за сезон) </t>
  </si>
  <si>
    <t xml:space="preserve">Стрижка живой изгороди без шипов и колючек высотой от 0,5 до 1,0 м механизированным способом (3 раза за сезон) </t>
  </si>
  <si>
    <t xml:space="preserve">Стрижка живой изгороди без шипов и колючек высотой от 1,0 до 1,5 м механизированным способом (2 раза за сезон) </t>
  </si>
  <si>
    <t xml:space="preserve">Стрижка живой изгороди без шипов и колючек высотой от 1,0 до 1,5 м механизированным способом (3 раза за сезон) </t>
  </si>
  <si>
    <t xml:space="preserve">Стрижка живой изгороди без шипов и колючек высотой от 1,0 до 1,5 м механизированным способом (4 раза за сезон) </t>
  </si>
  <si>
    <t xml:space="preserve">Стрижка живой изгороди с наличием шипов и колючек высотой от 0,5 до 1,0 м механизированным способом (2 раза) </t>
  </si>
  <si>
    <t xml:space="preserve">Стрижка живой изгороди с наличием шипов и колючек высотой от 1,0 до 1,5 м механизированным способом (2 раза) </t>
  </si>
  <si>
    <t>1.1.5</t>
  </si>
  <si>
    <t>Валка и обрезка сухостойных и аварийно-опасных деревьев</t>
  </si>
  <si>
    <t>м3</t>
  </si>
  <si>
    <t>Валка деревьев мягколиственных пород (липа, осина, сосна, тополь) диаметром до 30 см бензопилой без корчевки пня</t>
  </si>
  <si>
    <t>Валка деревьев мягколиственных пород (липа, осина, сосна, тополь) диаметром свыше 30 см бензопилой без корчевки пня</t>
  </si>
  <si>
    <t>Валка деревьев мягколиственных пород (ель, береза, лиственница, ольха, рябина, черемуха) диаметром до 30 см бензопилой без корчевки пня</t>
  </si>
  <si>
    <t>Валка деревьев мягколиственных пород (ель, береза, лиственница, ольха, рябина, черемуха) диаметром свыше 30 см бензопилой без корчевки пня</t>
  </si>
  <si>
    <t>Валка деревьев твердолиственных пород (дуб, клен, ясень, вяз, яблоня, лох) диаметром до 30 см бензопилой без корчевки пня</t>
  </si>
  <si>
    <t>Валка деревьев твердолиственных пород (дуб, клен, ясень, вяз, яблоня, лох) диаметром свыше 30 см бензопилой без корчевки пня</t>
  </si>
  <si>
    <t>Валка деревьев твердолиственных и мягколиственных пород (кроме породы тополь) диаметром до 36 см бензопилой с применением АП-22 без корчевки пня</t>
  </si>
  <si>
    <t>Валка деревьев твердолиственных и мягколиственных пород (кроме породы тополь) диаметром от 36 до 52 см бензопилой с применением АП-22 без корчевки пня</t>
  </si>
  <si>
    <t>Валка деревьев твердолиственных и мягколиственных пород (кроме породы тополь) диаметром свыше 52 см бензопилой с применением АП-22 без корчевки пня</t>
  </si>
  <si>
    <t>Валка деревьев породы тополь диаметром до 100 см бензопилой с применением АП-22 без корчевки пня</t>
  </si>
  <si>
    <t>Валка деревьев породы тополь диаметром от 100 до 120 см бензопилой с применением АП-22 без корчевки пня</t>
  </si>
  <si>
    <t>Валка деревьев породы тополь диаметром свыше 120 см бензопилой с применением АП-22 без корчевки пня</t>
  </si>
  <si>
    <t>Санитарная обрезка деревьев с прореживанием кроны с диаметром ствола  до 25 см без применения автоподъемника</t>
  </si>
  <si>
    <t>Санитарная обрезка деревьев с прореживанием кроны с диаметром ствола 26 - 40 см без применения автоподъемника</t>
  </si>
  <si>
    <t>Санитарная обрезка деревьев с прореживанием кроны с диаметром ствола до 36 см с применением автовышки АП-22</t>
  </si>
  <si>
    <t>Санитарная обрезка деревьев с прореживанием кроны с диаметром ствола от 36 до 52 см с применением автоподъемника АП-22</t>
  </si>
  <si>
    <t>Санитарная обрезка деревьев с прореживанием кроны с диаметром ствола свыше 52 см с применением автоподъемника АП-22</t>
  </si>
  <si>
    <t>Омолаживающая обрезка деревьев лиственных пород с диаметром ствола до 50 см с применением автоподъемника АП-22</t>
  </si>
  <si>
    <t>Омолаживающая обрезка деревьев лиственных пород с диаметром ствола свыше 50 см с применением автоподъемника АП-22</t>
  </si>
  <si>
    <t>Омолаживающая обрезка деревьев твердолиственных и мягколиственных пород (кроме породы тополь) с диаметром ствола до 36 см способом "на развилку" с применением автоподъемника</t>
  </si>
  <si>
    <t>Омолаживающая обрезка деревьев твердолиственных и мягколиственных пород (кроме породы тополь) с диаметром ствола от 36 до 52 см способом "на развилку" с применением автоподъемника</t>
  </si>
  <si>
    <t>Омолаживающая обрезка деревьев твердолиственных и мягколиственных пород (кроме породы тополь) с диаметром ствола свыше 50 см способом "на развилку" с применением автоподъемника</t>
  </si>
  <si>
    <t>Омолаживающая обрезка пылящих тополей с диаметром ствола до 50 см способом "на развилку" с применением автоподъемника</t>
  </si>
  <si>
    <t>Омолаживающая обрезка пылящих тополей с диаметром ствола от 50 до 100  см способом "на развилку" с применением автоподъемника</t>
  </si>
  <si>
    <t>Омолаживающая обрезка пылящих тополей с диаметром ствола свыше 100  см способом "на развилку" с применением автоподъемника</t>
  </si>
  <si>
    <t>Вырезка свободнорастущей поросли семенного и порослевого происхождения</t>
  </si>
  <si>
    <t>Содержание отвала</t>
  </si>
  <si>
    <t>1.1.6</t>
  </si>
  <si>
    <t>Содержание объектов ландшафтной архитектуры, в том числе</t>
  </si>
  <si>
    <t>1.1.6.1</t>
  </si>
  <si>
    <t xml:space="preserve"> Деревья и кустарники с комом земли</t>
  </si>
  <si>
    <t>шт</t>
  </si>
  <si>
    <t>Полив деревьев и кустарников с комом земли размером 0,8*0,8*0,5м из шланга поливомоечной машины – 6 раз</t>
  </si>
  <si>
    <t>Полив деревьев и кустарников с комом земли размером 0,8*0,8*0,5м из шланга поливомоечной машины – 12 раз</t>
  </si>
  <si>
    <t>Полив деревьев и кустарников с комом земли размером 0,3*0,3м из шланга поливомоечной машины – 12 раз</t>
  </si>
  <si>
    <t>59/1</t>
  </si>
  <si>
    <t>Полив деревьев и кустарников с комом земли размером 0,8*0,8*0,5м из шланга поливомоечной машины – 16 раз</t>
  </si>
  <si>
    <t>Прополка приствольных лунок у деревьев и кустарников с комом земли размером 0,8*0,8*0,5м - 1 раз</t>
  </si>
  <si>
    <t>Прополка приствольных лунок у деревьев и кустарников с комом земли размером 0,8*0,8*0,5м - 2 раза</t>
  </si>
  <si>
    <t>Прополка приствольных лунок у деревьев и кустарников с комом земли размером 0,3*0,3м - 2 раза</t>
  </si>
  <si>
    <t>62/1</t>
  </si>
  <si>
    <t>Прополка приствольных лунок у деревьев и кустарников с комом земли размером 0,8*0,8*0,5м - 4 раза</t>
  </si>
  <si>
    <t>Внесение сухих минеральных удобрений под деревья и кустарники с комом земли размером 0,8*0,8*0,5м - 1 раз</t>
  </si>
  <si>
    <t>Внесение сухих минеральных удобрений под деревья и кустарники с комом земли размером 0,3*0,3м - 1 раз</t>
  </si>
  <si>
    <t>68/1</t>
  </si>
  <si>
    <t>Внесение сухих минеральных удобрений под деревья и кустарники с комом земли размером 0,8*0,8*0,5м - 2 раза</t>
  </si>
  <si>
    <t>1.1.6.2</t>
  </si>
  <si>
    <t>Полив одиночных и групповых кустарников из шланга поливомоечной машины – 12 раз</t>
  </si>
  <si>
    <t>Полив одиночных и групповых кустарников из шланга поливомоечной машины – 16 раз</t>
  </si>
  <si>
    <t>Прополка приствольных лунок - 1 раз</t>
  </si>
  <si>
    <t>Прополка приствольных лунок - 4 раза</t>
  </si>
  <si>
    <t>Внесение сухих минеральных удобрений</t>
  </si>
  <si>
    <t>1.1.6.3</t>
  </si>
  <si>
    <t xml:space="preserve"> Кустарники в живой изгороди</t>
  </si>
  <si>
    <t>Полив живой изгороди из шланга поливомоечной машины – 12 раз</t>
  </si>
  <si>
    <t>Полив живой изгороди из шланга поливомоечной машины –12 раз</t>
  </si>
  <si>
    <t>Прополка приствольных канавок - 1 раз</t>
  </si>
  <si>
    <t>Прополка приствольных канавок - 2 раза</t>
  </si>
  <si>
    <t>Прополка приствольных канавок - 4 раза</t>
  </si>
  <si>
    <t>Внесение сухих минеральных удобрений - 1 раз</t>
  </si>
  <si>
    <t>Внесение сухих минеральных удобрений - 2 раза</t>
  </si>
  <si>
    <t xml:space="preserve">Стрижка живой изгороди с наличием шипов и колючек высотой до 0,5 м механизированным способом (2 раза за сезон) </t>
  </si>
  <si>
    <t>1.1.6.4</t>
  </si>
  <si>
    <t>Газоны</t>
  </si>
  <si>
    <t>Выкашивание триммером с вывозом травы (2 раза)</t>
  </si>
  <si>
    <t>Выкашивание газона триммером с вывозом травы (5 раз)</t>
  </si>
  <si>
    <t>Уход за газонами партерными (6 месяцев)</t>
  </si>
  <si>
    <t>Выкашивание газона триммером с вывозом травы (3 раза за сезон)</t>
  </si>
  <si>
    <t>1.1.6.5</t>
  </si>
  <si>
    <t>Цветники из многолетников</t>
  </si>
  <si>
    <t>Уход за цветниками из многолетников (5 месяцев)</t>
  </si>
  <si>
    <t>1.1.6.6</t>
  </si>
  <si>
    <t>Цветники из однолетников</t>
  </si>
  <si>
    <t>Посадка цветников из однолетников (горшечных)</t>
  </si>
  <si>
    <t>Стоимость цветочной рассады</t>
  </si>
  <si>
    <t>Уход за цветниками из однолетников (в течение 5 месяцев)</t>
  </si>
  <si>
    <t>1.1.7</t>
  </si>
  <si>
    <t>Содержание цветников из многолетников</t>
  </si>
  <si>
    <t>Уход за цветниками из многолетников (4 месяца)</t>
  </si>
  <si>
    <t>Укрытие роз на зиму</t>
  </si>
  <si>
    <t>1.1.8</t>
  </si>
  <si>
    <t xml:space="preserve"> Содержание автомобильных дорог</t>
  </si>
  <si>
    <t>Зимнее, дороги 4 категории (5 месяцев)</t>
  </si>
  <si>
    <t>Летнее, дороги 4 категории (2 месяца)</t>
  </si>
  <si>
    <t>1.1.9</t>
  </si>
  <si>
    <t>Содержание ливневой канализации</t>
  </si>
  <si>
    <t>Очистка колодцев (1 раз за сезон)</t>
  </si>
  <si>
    <t>Содержание ливневой канализации ( 1 раз за сезон)</t>
  </si>
  <si>
    <t>Замена крышек дождеприемника и колодца ливневой канализации</t>
  </si>
  <si>
    <t>1.1.10</t>
  </si>
  <si>
    <t>Вывоз мусора из муниципального жилого фонда</t>
  </si>
  <si>
    <t>объект</t>
  </si>
  <si>
    <t>1.1.12</t>
  </si>
  <si>
    <t>Автозаводский район</t>
  </si>
  <si>
    <t>Центральный район</t>
  </si>
  <si>
    <t>Комсомольский район</t>
  </si>
  <si>
    <t>1.2</t>
  </si>
  <si>
    <t>Благоустройство объектов озеленения</t>
  </si>
  <si>
    <t>1.2.1</t>
  </si>
  <si>
    <t>Посадка цветов (горшечных, без стоимости цветов)</t>
  </si>
  <si>
    <t>1.2.2</t>
  </si>
  <si>
    <t>Стоимость рассады</t>
  </si>
  <si>
    <t>а/д</t>
  </si>
  <si>
    <t>1.3</t>
  </si>
  <si>
    <t>Благоустройство объектов социальной сферы</t>
  </si>
  <si>
    <t>1.3.1</t>
  </si>
  <si>
    <t xml:space="preserve"> Ремонт малых архитектурных форм</t>
  </si>
  <si>
    <t>Содержание фонтанов</t>
  </si>
  <si>
    <t>единица</t>
  </si>
  <si>
    <t>расчет</t>
  </si>
  <si>
    <t>1.3.3</t>
  </si>
  <si>
    <t>Ремонт ограждения катков и кортов</t>
  </si>
  <si>
    <t>Ремонт щитов (1 раз за сезон)</t>
  </si>
  <si>
    <t>Ремонт сетчатого ограждения</t>
  </si>
  <si>
    <t>Окраска щитов ограждения катков и кортов</t>
  </si>
  <si>
    <t>1.3.4</t>
  </si>
  <si>
    <t>Перевозка и расстановка барьерных ограждений в местах проведения праздничных мероприятий</t>
  </si>
  <si>
    <t>1.3.5</t>
  </si>
  <si>
    <t>Ремонт монумента Славы в парке Победы, Автозаводский район</t>
  </si>
  <si>
    <t>Ремонт сцены в парке Победы, Автозаводский район</t>
  </si>
  <si>
    <t>1.3.6</t>
  </si>
  <si>
    <t>Планировка тела пляжа</t>
  </si>
  <si>
    <t>1.3.7</t>
  </si>
  <si>
    <t>Ремонт МАФ на пляже</t>
  </si>
  <si>
    <t>1.3.8</t>
  </si>
  <si>
    <t>Ремонт МАФ в парках, ремонт и перевозка МАФ в местах празднования</t>
  </si>
  <si>
    <t>1.3.9</t>
  </si>
  <si>
    <t>Демонтаж новогодней ели и иллюминации</t>
  </si>
  <si>
    <t>1.3.10</t>
  </si>
  <si>
    <t xml:space="preserve">Ремонт памятника "Скорбящий Ангел" </t>
  </si>
  <si>
    <t>Ремонт танцплощадки в парке Комсомольского района</t>
  </si>
  <si>
    <t>1.3.11</t>
  </si>
  <si>
    <t>Текущий ремонт туалетов на пляже Центрального района</t>
  </si>
  <si>
    <t>1.3.12</t>
  </si>
  <si>
    <t>Монтаж трибуны к 9 мая (у ДК "Русич")</t>
  </si>
  <si>
    <t>Приобретение флагов</t>
  </si>
  <si>
    <t>1.3.13</t>
  </si>
  <si>
    <t>Вывешивание, снятие флагов</t>
  </si>
  <si>
    <t>1.4</t>
  </si>
  <si>
    <t>Содержание и эксплуатация общественных туалетов</t>
  </si>
  <si>
    <t>ед.</t>
  </si>
  <si>
    <t>Уборка территории и аналогичная деятельность</t>
  </si>
  <si>
    <t>2.1</t>
  </si>
  <si>
    <t>Содержание тротуаров и газонов в скверах Центрального района</t>
  </si>
  <si>
    <t>2.1.1</t>
  </si>
  <si>
    <t>Тротуары</t>
  </si>
  <si>
    <t>Зимнее, механизированная уборка (5 месяцев)</t>
  </si>
  <si>
    <t>Зимнее, ручная уборка (5 месяцев)</t>
  </si>
  <si>
    <t>105/1</t>
  </si>
  <si>
    <t>Летнее, механизированная уборка (2 месяца)</t>
  </si>
  <si>
    <t>Летнее, ручная уборка (7 месяцев)</t>
  </si>
  <si>
    <t>107а</t>
  </si>
  <si>
    <t>107б</t>
  </si>
  <si>
    <t>107г</t>
  </si>
  <si>
    <t>2.1.2</t>
  </si>
  <si>
    <t>Уборка мусора с газонов (7 месяцев)</t>
  </si>
  <si>
    <t>109а</t>
  </si>
  <si>
    <t>109б</t>
  </si>
  <si>
    <t>109г</t>
  </si>
  <si>
    <t>2.2</t>
  </si>
  <si>
    <t>Содержание территории берегоукрепления  и сквера "Маяк"</t>
  </si>
  <si>
    <t>2.2.1</t>
  </si>
  <si>
    <t>Зимнее содержание тротуаров, механизированная уборка (5 месяцев)</t>
  </si>
  <si>
    <t>Зимнее содержание тротуаров, ручная уборка (5 месяцев)</t>
  </si>
  <si>
    <t>Летнее содержание тротуаров, механизированная уборка (2 месяцев)</t>
  </si>
  <si>
    <t>Летнее содержание тротуаров, ручная уборка (7 месяцев)</t>
  </si>
  <si>
    <t>108г</t>
  </si>
  <si>
    <t>2.2.2</t>
  </si>
  <si>
    <t>110г</t>
  </si>
  <si>
    <t>110д</t>
  </si>
  <si>
    <t>2.3</t>
  </si>
  <si>
    <t>Уборка территории в границах комплексного содержания жилых кварталов Центрального района</t>
  </si>
  <si>
    <t>2.3.1</t>
  </si>
  <si>
    <t>Тротуары в жилых кварталах</t>
  </si>
  <si>
    <t>Зимнее содержание и заливка катков (3 месяца)</t>
  </si>
  <si>
    <t>108д</t>
  </si>
  <si>
    <t>2.3.2</t>
  </si>
  <si>
    <t xml:space="preserve"> Газоны в жилых кварталах</t>
  </si>
  <si>
    <t>Сбор ветвей и сучьев с территорий общего пользования после явлений стихийного характера: сильный ветер, шторм, ураган (без вывоза и утилизации)</t>
  </si>
  <si>
    <t>Погрузка и вывоз ветвей и сучьев, собранных на территориях общего пользования</t>
  </si>
  <si>
    <t>2.4</t>
  </si>
  <si>
    <t>Уборка территории парков города</t>
  </si>
  <si>
    <t>2.4.1</t>
  </si>
  <si>
    <t>Содержание тротуаров в парке Автозаводского района</t>
  </si>
  <si>
    <t xml:space="preserve">Зимнее, механизированная уборка (6 раз в месяц) </t>
  </si>
  <si>
    <t>Зимнее, ручная уборка (6 раз в месяц)</t>
  </si>
  <si>
    <t xml:space="preserve">Летнее, механизированная уборка (4,5 раза в месяц) </t>
  </si>
  <si>
    <t>Летнее, ручная уборка (6 раз в неделю)</t>
  </si>
  <si>
    <t>127а</t>
  </si>
  <si>
    <t>2.4.2</t>
  </si>
  <si>
    <t>Санитарное содержание газонов в парке Автозаводского района</t>
  </si>
  <si>
    <t>Уборка мусора с газонов (6 раз в неделю)</t>
  </si>
  <si>
    <t>Уборка мусора с газонов (3 раза в неделю)</t>
  </si>
  <si>
    <t>2.4.3</t>
  </si>
  <si>
    <t>Содержание тротуаров в парке Центрального района</t>
  </si>
  <si>
    <t>2.4.4</t>
  </si>
  <si>
    <t>Санитарное содержание газонов в парке Центрального района</t>
  </si>
  <si>
    <t>2.4.5</t>
  </si>
  <si>
    <t>Содержание тротуаров в парке Комсомольского района</t>
  </si>
  <si>
    <t>2.4.6</t>
  </si>
  <si>
    <t>Санитарное содержание газонов в парке Комсомольского района</t>
  </si>
  <si>
    <t>2.7</t>
  </si>
  <si>
    <t>Содержание пляжа и прилегающей территории</t>
  </si>
  <si>
    <t>Содержание береговой зоны</t>
  </si>
  <si>
    <t>Уборка мусора с газонов (2 раза в неделю)</t>
  </si>
  <si>
    <t>км</t>
  </si>
  <si>
    <t>3.1</t>
  </si>
  <si>
    <t>Устройство минерализованных полос</t>
  </si>
  <si>
    <t>4.</t>
  </si>
  <si>
    <t>4.1</t>
  </si>
  <si>
    <t>Содержание минерализованных полос (1 раз за сезон)</t>
  </si>
  <si>
    <t>Содержание минерализованных полос (2 раза за сезон)</t>
  </si>
  <si>
    <t>4.2</t>
  </si>
  <si>
    <t>Расчистка леса от внелесосечной захламленности (мягколиственные породы)</t>
  </si>
  <si>
    <t>Обеспечение оперативной и технической готовности подразделений противопожарной и аварийно-технической служб</t>
  </si>
  <si>
    <t>5.1</t>
  </si>
  <si>
    <t xml:space="preserve">Дежурство оперативной группы по подвозу воды к местам возгорания в выходные и праздничные дни </t>
  </si>
  <si>
    <t>м/час</t>
  </si>
  <si>
    <t>Объемы комплексного содержания</t>
  </si>
  <si>
    <t>Объемы МБУ "Парки города"</t>
  </si>
  <si>
    <t>Содержание объектов реконструкции 2019 года</t>
  </si>
  <si>
    <t>Тольятти -чистый город</t>
  </si>
  <si>
    <t>Фонтаны</t>
  </si>
  <si>
    <t>Минполосы</t>
  </si>
  <si>
    <t>Мобильная группа</t>
  </si>
  <si>
    <t>Итого</t>
  </si>
  <si>
    <t>Налоги</t>
  </si>
  <si>
    <t>Всего с учетом налогов</t>
  </si>
  <si>
    <t>Предупреждение возникновения и распространения лесных пожаров, включая территорию ООПТ (устройство противопожарных минерализованных полос)</t>
  </si>
  <si>
    <t>Предупреждение возникновения и распространения лесных пожаров, включая территорию ООПТ (прочистка и обновление противопожарных минерализованных полос)</t>
  </si>
  <si>
    <t>Приложение № 2</t>
  </si>
  <si>
    <t>Оценка потребности в оказании муниципальных услуг (выполнении работ) в натуральном выражении</t>
  </si>
  <si>
    <t>Наименование муниципальной услуги (работы)</t>
  </si>
  <si>
    <t>Оценка потребности по годам</t>
  </si>
  <si>
    <t>Текущий финансовый год</t>
  </si>
  <si>
    <t>Очередной финансовый год</t>
  </si>
  <si>
    <t>Потребность</t>
  </si>
  <si>
    <t xml:space="preserve">Количественное выражение оказания муниципальных услуг (выполнения работ) в соответствии с муниципальным заданием </t>
  </si>
  <si>
    <t xml:space="preserve">Количественное выражение оказания муниципальных услуг (выполнения работ) для включения в муниципальное задание </t>
  </si>
  <si>
    <t xml:space="preserve">Организация благоустройства и озеленения  </t>
  </si>
  <si>
    <t>%</t>
  </si>
  <si>
    <t>1.1. Содержание объектов озеленения</t>
  </si>
  <si>
    <t xml:space="preserve">косьба газонов и уборка мусора на землях общего пользования </t>
  </si>
  <si>
    <t>уход за молодыми посадками:</t>
  </si>
  <si>
    <t>деревья</t>
  </si>
  <si>
    <t>кустарники в группах</t>
  </si>
  <si>
    <t xml:space="preserve">кустарники в живой изгороди </t>
  </si>
  <si>
    <t>уход за кустарниками одиночными и в группах</t>
  </si>
  <si>
    <t xml:space="preserve">уход за кустарниками в живой изгороди </t>
  </si>
  <si>
    <t>валка и обрезка сухостойных и аварийно-опасных деревьев</t>
  </si>
  <si>
    <t>содержание объектов ландшафтной архитектуры:</t>
  </si>
  <si>
    <t>деревья и кустарники с комом</t>
  </si>
  <si>
    <t>кустарники в живой изгороди</t>
  </si>
  <si>
    <t>цветники из многолетников</t>
  </si>
  <si>
    <t>цветники из однолетников</t>
  </si>
  <si>
    <t xml:space="preserve">содержание цветников из многолетников </t>
  </si>
  <si>
    <t xml:space="preserve"> содержание автодорог</t>
  </si>
  <si>
    <t xml:space="preserve"> содержание ливневой канализации</t>
  </si>
  <si>
    <t xml:space="preserve">уход за цветниками из однолетников </t>
  </si>
  <si>
    <t>погрузка и вывоз мусора с объектов</t>
  </si>
  <si>
    <t>1.2. Благоустройство  объектов озеленения : посадка цветников из однолетников</t>
  </si>
  <si>
    <t>1.3. Благоустройство  объектов социальной сферы</t>
  </si>
  <si>
    <t>вывешивание и снятие флагов</t>
  </si>
  <si>
    <t xml:space="preserve">ремонт малых архитектурных форм, состоящих в реестре муниципальной собственности </t>
  </si>
  <si>
    <t>перевозка и расстовка барьерных ограждений</t>
  </si>
  <si>
    <t>содержание фонтанов</t>
  </si>
  <si>
    <t>ед</t>
  </si>
  <si>
    <t>ремонт ограждений катков и кортов</t>
  </si>
  <si>
    <t xml:space="preserve"> ремонт памятника "Скорбящий ангел"</t>
  </si>
  <si>
    <t xml:space="preserve"> ремонт и покраска скамеек в парках</t>
  </si>
  <si>
    <t>ремонт и окраска урн в парках</t>
  </si>
  <si>
    <t>окраска танка и пушки в парке</t>
  </si>
  <si>
    <t xml:space="preserve"> ремонт и покраска малых архитектурных форм</t>
  </si>
  <si>
    <t>установка скамеек</t>
  </si>
  <si>
    <t xml:space="preserve"> демонтаж новогоднего оформления и иллюминации</t>
  </si>
  <si>
    <t xml:space="preserve"> планировка тела пляжа</t>
  </si>
  <si>
    <t xml:space="preserve"> ремонт урн на пляже </t>
  </si>
  <si>
    <t xml:space="preserve">окраска урн на пляже </t>
  </si>
  <si>
    <t xml:space="preserve"> ремонт скамеек на пляже</t>
  </si>
  <si>
    <t>покраска скамеек на пляже</t>
  </si>
  <si>
    <t>окраска кабинок на пляже</t>
  </si>
  <si>
    <t xml:space="preserve">окраска детских МАФ на пляже </t>
  </si>
  <si>
    <t>текущий ремонт туалета на пляже</t>
  </si>
  <si>
    <t>монтаж трибуны к 9 Мая</t>
  </si>
  <si>
    <t>1.4. Содержание и эксплуатация общественных туалетов</t>
  </si>
  <si>
    <t xml:space="preserve">Уборка территории  и аналогичная деятельность  </t>
  </si>
  <si>
    <t xml:space="preserve"> городского округа Тольятти на 2021 год</t>
  </si>
  <si>
    <t>в ценах 2019 года</t>
  </si>
  <si>
    <t>Выкашивание газона роторной косилкой с вывозом травы на территории жилых кварталов Центрального района (2 раза за сезон)</t>
  </si>
  <si>
    <t>Выкашивание газона триммером с вывозом травы на территории жилых кварталов Центрального района (2 раза за сезон)</t>
  </si>
  <si>
    <t>Полив деревьев с комом земли размером 0,8*0,8*0,5м из шланга поливомоечной машины – 16 раз</t>
  </si>
  <si>
    <t>Полив одиночных и групповых кустарников из шланга поливомоечной машины – 10 раз</t>
  </si>
  <si>
    <t>Устройство лунок для полива кустарников с комом земли размером 0,3*0,3м (1 раз)</t>
  </si>
  <si>
    <t>56/1</t>
  </si>
  <si>
    <t>Полив кустарников с комом земли размером 0,3*0,3м из шланга поливомоечной машины – 12 раз</t>
  </si>
  <si>
    <t>Полив кустарников с комом земли размером 0,3*0,3м из шланга поливомоечной машины – 16 раз</t>
  </si>
  <si>
    <t>Прополка приствольных лунок у кустарников с комом земли размером 0,3*0,3м - 4 раза</t>
  </si>
  <si>
    <t>Внесение сухих минеральных удобрений под кустарники с комом земли размером 0,3*0,3м - 2 раза</t>
  </si>
  <si>
    <t>Полив живой изгороди из шланга поливомоечной машины –16 раз</t>
  </si>
  <si>
    <t>Газоны и цветники из многолетников</t>
  </si>
  <si>
    <t>Выкашивание триммером  с  вывозом травы (2 раза)</t>
  </si>
  <si>
    <t>Выкашивание газона триммером  с  вывозом травы (5 раз)</t>
  </si>
  <si>
    <t>Полив цветников из однолетников</t>
  </si>
  <si>
    <t>Ремонт монумента Славы и сцены в парке Победы, Автозаводский район</t>
  </si>
  <si>
    <t>Демонтаж новогодних елей и иллюминации</t>
  </si>
  <si>
    <t>Содержание тротуаров и газонов на территории Итальянского сквера и сквера 50-летия ВАЗа</t>
  </si>
  <si>
    <t>2.7.1</t>
  </si>
  <si>
    <t>Летнее, механизированная уборка (7 месяцев)</t>
  </si>
  <si>
    <t>2.7.2</t>
  </si>
  <si>
    <t>Содержание объектов реконструкции 2018 года</t>
  </si>
  <si>
    <t>приобретение флагов</t>
  </si>
  <si>
    <t>ремонт и окраска монумента Славы</t>
  </si>
  <si>
    <t>ремонт сцены в парке Победы</t>
  </si>
  <si>
    <t>устройство катка</t>
  </si>
  <si>
    <t>1.4 или в парки?</t>
  </si>
  <si>
    <t>?</t>
  </si>
  <si>
    <t>1.10</t>
  </si>
  <si>
    <t>1.12</t>
  </si>
  <si>
    <t>1.11</t>
  </si>
  <si>
    <t>1.5</t>
  </si>
  <si>
    <t>4.3</t>
  </si>
  <si>
    <t>1.13</t>
  </si>
  <si>
    <t>1.6</t>
  </si>
  <si>
    <t>катки</t>
  </si>
  <si>
    <t>объекты благоустройства</t>
  </si>
  <si>
    <t>автодороги</t>
  </si>
  <si>
    <t>озеленение</t>
  </si>
  <si>
    <t>газоны</t>
  </si>
  <si>
    <t>праздники</t>
  </si>
  <si>
    <t>ремонт памятных мест</t>
  </si>
  <si>
    <t>пляжи</t>
  </si>
  <si>
    <t>тротуары</t>
  </si>
  <si>
    <t>скверы</t>
  </si>
  <si>
    <t>парки</t>
  </si>
  <si>
    <t>берегоукрепление</t>
  </si>
  <si>
    <t>с налогами руб.</t>
  </si>
  <si>
    <t xml:space="preserve">без налога </t>
  </si>
  <si>
    <t>налог</t>
  </si>
  <si>
    <t xml:space="preserve">1.4 </t>
  </si>
  <si>
    <t>в тыс. руб.</t>
  </si>
  <si>
    <t>без налога</t>
  </si>
  <si>
    <t>с налогом</t>
  </si>
  <si>
    <t>коэффициент</t>
  </si>
  <si>
    <t>1.1, тротуары</t>
  </si>
  <si>
    <t>1.6, скверы</t>
  </si>
  <si>
    <t>1.11, берегоукрепление</t>
  </si>
  <si>
    <t>1.2, газоны (уборка и косьба)</t>
  </si>
  <si>
    <t>1.4, озеленение</t>
  </si>
  <si>
    <t>с налогами, тыс. руб.</t>
  </si>
  <si>
    <t>Содержание территорий общего пользования, комплексное содержание жилых кварталов и объектов озеленения городского округа Тольятти</t>
  </si>
  <si>
    <t xml:space="preserve">Содержание тротуаров </t>
  </si>
  <si>
    <t>Содержание тротуаров в скверах Центрального района</t>
  </si>
  <si>
    <t xml:space="preserve">Содержание газонов </t>
  </si>
  <si>
    <t>1.2.3</t>
  </si>
  <si>
    <t>Косьба газонов на территориях общего пользования</t>
  </si>
  <si>
    <t>Косьба газонов на территориях комплексного содержания Центрального района</t>
  </si>
  <si>
    <t>Косьба газонов на территории берегоукрепления</t>
  </si>
  <si>
    <t>1.2.4</t>
  </si>
  <si>
    <t>Уход за газонами на ландшафтных объектах</t>
  </si>
  <si>
    <t xml:space="preserve"> Содержание объектов озеленения</t>
  </si>
  <si>
    <t>1.4.1</t>
  </si>
  <si>
    <t>1.4.1.1</t>
  </si>
  <si>
    <t>Уход за молодыми посадками</t>
  </si>
  <si>
    <t>1.4.1.2</t>
  </si>
  <si>
    <t>Содержание объектов ландшафтной архитектуры</t>
  </si>
  <si>
    <t>Косьба газонов в скверах Центрального района</t>
  </si>
  <si>
    <t>1.4.1.3</t>
  </si>
  <si>
    <t xml:space="preserve"> Деревья и кустарники одиночные и в группах</t>
  </si>
  <si>
    <t>1.4.2</t>
  </si>
  <si>
    <t>1.4.2.1</t>
  </si>
  <si>
    <t>1.4.2.2</t>
  </si>
  <si>
    <t>1.4.3</t>
  </si>
  <si>
    <t>Цветники</t>
  </si>
  <si>
    <t>1.4.3.1</t>
  </si>
  <si>
    <t>1.4.3.2</t>
  </si>
  <si>
    <t>1.4.3.3</t>
  </si>
  <si>
    <t>Посадка и содержание цветников из однолетников</t>
  </si>
  <si>
    <t>1.4.4</t>
  </si>
  <si>
    <t>Содержание катков и кортов</t>
  </si>
  <si>
    <t>1.23</t>
  </si>
  <si>
    <t>Освобождение земельных участков и благоустройство после сноса</t>
  </si>
  <si>
    <t>Демонтаж сооружений</t>
  </si>
  <si>
    <t>р/с</t>
  </si>
  <si>
    <t>1.2.5</t>
  </si>
  <si>
    <t>1.2.6</t>
  </si>
  <si>
    <t>Содержание скверов и площадок семейного отдыха</t>
  </si>
  <si>
    <t>1.6.1</t>
  </si>
  <si>
    <t>1.6.2</t>
  </si>
  <si>
    <t>Уборка мусора с газонов</t>
  </si>
  <si>
    <t>1.9</t>
  </si>
  <si>
    <t>Обращение с твердыми коммунальными отходами</t>
  </si>
  <si>
    <t>1.9.1</t>
  </si>
  <si>
    <t>1.9.2</t>
  </si>
  <si>
    <t>Содержание объектов благоустройства</t>
  </si>
  <si>
    <t>1.10.1</t>
  </si>
  <si>
    <t>1.10.2</t>
  </si>
  <si>
    <t>1.10.3</t>
  </si>
  <si>
    <t>1.10.4</t>
  </si>
  <si>
    <t>Содержание территории берегоукрепления</t>
  </si>
  <si>
    <t>1.11.1</t>
  </si>
  <si>
    <t>1.11.2</t>
  </si>
  <si>
    <t>1.11.3</t>
  </si>
  <si>
    <t>Содержание территории парков города</t>
  </si>
  <si>
    <t>1.12.1</t>
  </si>
  <si>
    <t>Летнее содержание тротуаров, механизированная уборка (2 месяца)</t>
  </si>
  <si>
    <t>1.12.2</t>
  </si>
  <si>
    <t>1.12.3</t>
  </si>
  <si>
    <t>Косьба газонов на территории парков города</t>
  </si>
  <si>
    <t>Праздничное оформление городских общественных пространств</t>
  </si>
  <si>
    <t>Текущий ремонт памятных мест</t>
  </si>
  <si>
    <t>1.13.1</t>
  </si>
  <si>
    <t>1.13.2</t>
  </si>
  <si>
    <t>1.13.3</t>
  </si>
  <si>
    <t>1.13.4</t>
  </si>
  <si>
    <t>4.1.1</t>
  </si>
  <si>
    <t>4.2.2</t>
  </si>
  <si>
    <t>Подготовка мест проведения праздничных мероприятий</t>
  </si>
  <si>
    <t>Косьба газонов в скверах семейного отдыха</t>
  </si>
  <si>
    <t>Итого с налогами</t>
  </si>
  <si>
    <t>Показатели объема муниципальной работы с 01.01.2020 года</t>
  </si>
  <si>
    <t>Площадь, охваченная мероприятиями - гектар</t>
  </si>
  <si>
    <t xml:space="preserve">газоны </t>
  </si>
  <si>
    <t>Освобождение земельных участков и благоустройство после сноса (демонтаж сооружений)</t>
  </si>
  <si>
    <t>ремонт танцплощадки в парке Комсомольского района</t>
  </si>
  <si>
    <t xml:space="preserve">Предупреждение возникновения и распространения лесных пожаров, включая территорию ООПТ (дежурство оперативной группы в пожароопасный период по подвозу воды к местам возникновения пожаров и опашке мест возгорания на территории г.о. Тольятти </t>
  </si>
  <si>
    <t>машино-часы работы автомобилей</t>
  </si>
  <si>
    <t>ё</t>
  </si>
  <si>
    <t>1.3.14</t>
  </si>
  <si>
    <t>1.3.15</t>
  </si>
  <si>
    <t>1.3.16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</si>
</sst>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#,##0.000"/>
    <numFmt numFmtId="167" formatCode="#,##0.00_ ;\-#,##0.00\ "/>
    <numFmt numFmtId="168" formatCode="#,##0.0000000"/>
    <numFmt numFmtId="169" formatCode="#,##0.000000"/>
    <numFmt numFmtId="170" formatCode="0.00000000000"/>
    <numFmt numFmtId="171" formatCode="#,##0.0000"/>
  </numFmts>
  <fonts count="44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Arial Cyr"/>
      <charset val="204"/>
    </font>
    <font>
      <b/>
      <i/>
      <sz val="12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Arial Cyr"/>
      <charset val="204"/>
    </font>
    <font>
      <sz val="14"/>
      <color theme="1"/>
      <name val="Calibri"/>
      <family val="2"/>
      <charset val="204"/>
      <scheme val="minor"/>
    </font>
    <font>
      <sz val="14"/>
      <name val="Arial Cyr"/>
      <charset val="204"/>
    </font>
    <font>
      <b/>
      <i/>
      <sz val="14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506">
    <xf numFmtId="0" fontId="0" fillId="0" borderId="0" xfId="0"/>
    <xf numFmtId="0" fontId="3" fillId="0" borderId="0" xfId="0" applyFont="1"/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7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/>
    <xf numFmtId="4" fontId="11" fillId="0" borderId="0" xfId="0" applyNumberFormat="1" applyFont="1"/>
    <xf numFmtId="0" fontId="15" fillId="0" borderId="0" xfId="0" applyFont="1"/>
    <xf numFmtId="0" fontId="3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top" wrapText="1"/>
    </xf>
    <xf numFmtId="3" fontId="3" fillId="0" borderId="7" xfId="0" applyNumberFormat="1" applyFont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center" vertical="center" wrapText="1"/>
    </xf>
    <xf numFmtId="4" fontId="3" fillId="0" borderId="0" xfId="0" applyNumberFormat="1" applyFont="1" applyFill="1"/>
    <xf numFmtId="4" fontId="11" fillId="0" borderId="0" xfId="0" applyNumberFormat="1" applyFont="1" applyFill="1"/>
    <xf numFmtId="49" fontId="8" fillId="0" borderId="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3" fontId="2" fillId="0" borderId="7" xfId="0" applyNumberFormat="1" applyFont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 wrapText="1"/>
    </xf>
    <xf numFmtId="3" fontId="2" fillId="3" borderId="7" xfId="0" applyNumberFormat="1" applyFont="1" applyFill="1" applyBorder="1" applyAlignment="1">
      <alignment horizontal="center" vertical="center" wrapText="1"/>
    </xf>
    <xf numFmtId="2" fontId="17" fillId="3" borderId="7" xfId="0" applyNumberFormat="1" applyFont="1" applyFill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 vertical="center" wrapText="1"/>
    </xf>
    <xf numFmtId="3" fontId="2" fillId="4" borderId="7" xfId="0" applyNumberFormat="1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4" fontId="17" fillId="0" borderId="7" xfId="0" applyNumberFormat="1" applyFont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2" fontId="1" fillId="4" borderId="7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4" fontId="11" fillId="5" borderId="0" xfId="0" applyNumberFormat="1" applyFont="1" applyFill="1"/>
    <xf numFmtId="49" fontId="8" fillId="0" borderId="8" xfId="0" applyNumberFormat="1" applyFont="1" applyBorder="1" applyAlignment="1">
      <alignment horizontal="right" vertical="center" wrapText="1"/>
    </xf>
    <xf numFmtId="0" fontId="3" fillId="4" borderId="8" xfId="0" applyFont="1" applyFill="1" applyBorder="1" applyAlignment="1">
      <alignment vertical="center" wrapText="1"/>
    </xf>
    <xf numFmtId="3" fontId="2" fillId="4" borderId="8" xfId="0" applyNumberFormat="1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center" vertical="center" wrapText="1"/>
    </xf>
    <xf numFmtId="3" fontId="3" fillId="4" borderId="8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3" fontId="11" fillId="0" borderId="8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2" fontId="17" fillId="4" borderId="7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right" vertical="center" wrapText="1"/>
    </xf>
    <xf numFmtId="0" fontId="8" fillId="0" borderId="10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2" fontId="17" fillId="0" borderId="10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13" fillId="3" borderId="7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5" fontId="2" fillId="3" borderId="7" xfId="0" applyNumberFormat="1" applyFont="1" applyFill="1" applyBorder="1" applyAlignment="1">
      <alignment horizontal="center" vertical="center"/>
    </xf>
    <xf numFmtId="4" fontId="17" fillId="3" borderId="10" xfId="0" applyNumberFormat="1" applyFont="1" applyFill="1" applyBorder="1" applyAlignment="1">
      <alignment horizontal="center" vertical="center"/>
    </xf>
    <xf numFmtId="3" fontId="2" fillId="3" borderId="7" xfId="0" applyNumberFormat="1" applyFont="1" applyFill="1" applyBorder="1" applyAlignment="1">
      <alignment horizontal="center" vertical="center"/>
    </xf>
    <xf numFmtId="4" fontId="17" fillId="3" borderId="7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3" fontId="11" fillId="0" borderId="7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vertical="center" wrapText="1"/>
    </xf>
    <xf numFmtId="0" fontId="11" fillId="6" borderId="7" xfId="0" applyFont="1" applyFill="1" applyBorder="1" applyAlignment="1">
      <alignment horizontal="center" vertical="center" wrapText="1"/>
    </xf>
    <xf numFmtId="3" fontId="11" fillId="6" borderId="7" xfId="0" applyNumberFormat="1" applyFont="1" applyFill="1" applyBorder="1" applyAlignment="1">
      <alignment horizontal="center" vertical="center" wrapText="1"/>
    </xf>
    <xf numFmtId="2" fontId="8" fillId="6" borderId="7" xfId="0" applyNumberFormat="1" applyFont="1" applyFill="1" applyBorder="1" applyAlignment="1">
      <alignment horizontal="center" vertical="center" wrapText="1"/>
    </xf>
    <xf numFmtId="4" fontId="11" fillId="6" borderId="7" xfId="0" applyNumberFormat="1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/>
    <xf numFmtId="49" fontId="3" fillId="0" borderId="7" xfId="0" applyNumberFormat="1" applyFont="1" applyBorder="1" applyAlignment="1">
      <alignment horizontal="right" vertical="center" wrapText="1"/>
    </xf>
    <xf numFmtId="0" fontId="3" fillId="6" borderId="7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horizontal="center" vertical="center" wrapText="1"/>
    </xf>
    <xf numFmtId="3" fontId="3" fillId="6" borderId="7" xfId="0" applyNumberFormat="1" applyFont="1" applyFill="1" applyBorder="1" applyAlignment="1">
      <alignment horizontal="center" vertical="center" wrapText="1"/>
    </xf>
    <xf numFmtId="2" fontId="19" fillId="6" borderId="10" xfId="0" applyNumberFormat="1" applyFont="1" applyFill="1" applyBorder="1" applyAlignment="1">
      <alignment horizontal="center" vertical="center" wrapText="1"/>
    </xf>
    <xf numFmtId="4" fontId="3" fillId="6" borderId="7" xfId="0" applyNumberFormat="1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right" vertical="center" wrapText="1"/>
    </xf>
    <xf numFmtId="0" fontId="8" fillId="6" borderId="7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horizontal="center" vertical="center" wrapText="1"/>
    </xf>
    <xf numFmtId="3" fontId="8" fillId="6" borderId="7" xfId="0" applyNumberFormat="1" applyFont="1" applyFill="1" applyBorder="1" applyAlignment="1">
      <alignment horizontal="center" vertical="center" wrapText="1"/>
    </xf>
    <xf numFmtId="4" fontId="8" fillId="6" borderId="7" xfId="0" applyNumberFormat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right" vertical="center" wrapText="1"/>
    </xf>
    <xf numFmtId="4" fontId="19" fillId="6" borderId="10" xfId="0" applyNumberFormat="1" applyFont="1" applyFill="1" applyBorder="1" applyAlignment="1">
      <alignment horizontal="center" vertical="center" wrapText="1"/>
    </xf>
    <xf numFmtId="3" fontId="12" fillId="6" borderId="7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/>
    <xf numFmtId="4" fontId="11" fillId="0" borderId="0" xfId="0" applyNumberFormat="1" applyFont="1" applyFill="1" applyBorder="1"/>
    <xf numFmtId="0" fontId="11" fillId="0" borderId="7" xfId="0" applyFont="1" applyFill="1" applyBorder="1" applyAlignment="1">
      <alignment horizontal="center" vertical="center" wrapText="1"/>
    </xf>
    <xf numFmtId="3" fontId="20" fillId="0" borderId="7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/>
    </xf>
    <xf numFmtId="3" fontId="11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0" xfId="0" applyFont="1"/>
    <xf numFmtId="0" fontId="3" fillId="7" borderId="7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horizontal="center" vertical="center" wrapText="1"/>
    </xf>
    <xf numFmtId="3" fontId="3" fillId="7" borderId="7" xfId="0" applyNumberFormat="1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4" fontId="8" fillId="7" borderId="7" xfId="0" applyNumberFormat="1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4" fontId="21" fillId="0" borderId="0" xfId="0" applyNumberFormat="1" applyFont="1" applyFill="1" applyBorder="1"/>
    <xf numFmtId="0" fontId="8" fillId="6" borderId="10" xfId="0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right" vertical="center" wrapText="1"/>
    </xf>
    <xf numFmtId="0" fontId="11" fillId="4" borderId="7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horizontal="center" vertical="center" wrapText="1"/>
    </xf>
    <xf numFmtId="3" fontId="20" fillId="4" borderId="7" xfId="0" applyNumberFormat="1" applyFont="1" applyFill="1" applyBorder="1" applyAlignment="1">
      <alignment horizontal="center" vertical="center"/>
    </xf>
    <xf numFmtId="2" fontId="5" fillId="4" borderId="10" xfId="0" applyNumberFormat="1" applyFont="1" applyFill="1" applyBorder="1" applyAlignment="1">
      <alignment horizontal="center" vertical="center"/>
    </xf>
    <xf numFmtId="3" fontId="11" fillId="4" borderId="7" xfId="0" applyNumberFormat="1" applyFont="1" applyFill="1" applyBorder="1" applyAlignment="1">
      <alignment horizontal="center" vertical="center" wrapText="1"/>
    </xf>
    <xf numFmtId="4" fontId="11" fillId="4" borderId="7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right" vertical="center" wrapText="1"/>
    </xf>
    <xf numFmtId="0" fontId="11" fillId="2" borderId="7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 vertical="center" wrapText="1"/>
    </xf>
    <xf numFmtId="3" fontId="20" fillId="2" borderId="7" xfId="0" applyNumberFormat="1" applyFont="1" applyFill="1" applyBorder="1" applyAlignment="1">
      <alignment horizontal="center" vertical="center" wrapText="1"/>
    </xf>
    <xf numFmtId="2" fontId="5" fillId="2" borderId="7" xfId="0" applyNumberFormat="1" applyFont="1" applyFill="1" applyBorder="1" applyAlignment="1">
      <alignment horizontal="center" vertical="center" wrapText="1"/>
    </xf>
    <xf numFmtId="3" fontId="11" fillId="2" borderId="7" xfId="0" applyNumberFormat="1" applyFont="1" applyFill="1" applyBorder="1" applyAlignment="1">
      <alignment horizontal="center" vertical="center" wrapText="1"/>
    </xf>
    <xf numFmtId="4" fontId="11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/>
    </xf>
    <xf numFmtId="2" fontId="17" fillId="0" borderId="10" xfId="0" applyNumberFormat="1" applyFont="1" applyBorder="1" applyAlignment="1">
      <alignment horizontal="center" vertical="center"/>
    </xf>
    <xf numFmtId="3" fontId="2" fillId="4" borderId="7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2" fontId="17" fillId="0" borderId="10" xfId="0" applyNumberFormat="1" applyFont="1" applyFill="1" applyBorder="1" applyAlignment="1">
      <alignment horizontal="center" vertical="center"/>
    </xf>
    <xf numFmtId="2" fontId="22" fillId="0" borderId="10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 wrapText="1"/>
    </xf>
    <xf numFmtId="3" fontId="11" fillId="0" borderId="0" xfId="0" applyNumberFormat="1" applyFont="1" applyFill="1"/>
    <xf numFmtId="3" fontId="3" fillId="0" borderId="0" xfId="0" applyNumberFormat="1" applyFont="1" applyFill="1"/>
    <xf numFmtId="3" fontId="11" fillId="0" borderId="7" xfId="0" applyNumberFormat="1" applyFont="1" applyBorder="1" applyAlignment="1">
      <alignment horizontal="center" vertical="center"/>
    </xf>
    <xf numFmtId="0" fontId="3" fillId="3" borderId="7" xfId="2" applyFont="1" applyFill="1" applyBorder="1" applyAlignment="1">
      <alignment vertical="center" wrapText="1"/>
    </xf>
    <xf numFmtId="4" fontId="2" fillId="3" borderId="7" xfId="0" applyNumberFormat="1" applyFont="1" applyFill="1" applyBorder="1" applyAlignment="1">
      <alignment horizontal="center" vertical="center" wrapText="1"/>
    </xf>
    <xf numFmtId="4" fontId="17" fillId="3" borderId="7" xfId="0" applyNumberFormat="1" applyFont="1" applyFill="1" applyBorder="1" applyAlignment="1">
      <alignment horizontal="center" vertical="center" wrapText="1"/>
    </xf>
    <xf numFmtId="166" fontId="8" fillId="6" borderId="7" xfId="0" applyNumberFormat="1" applyFont="1" applyFill="1" applyBorder="1" applyAlignment="1">
      <alignment horizontal="center" vertical="center" wrapText="1"/>
    </xf>
    <xf numFmtId="166" fontId="8" fillId="0" borderId="0" xfId="0" applyNumberFormat="1" applyFont="1" applyFill="1"/>
    <xf numFmtId="3" fontId="3" fillId="6" borderId="7" xfId="0" applyNumberFormat="1" applyFont="1" applyFill="1" applyBorder="1" applyAlignment="1">
      <alignment horizontal="center" vertical="center"/>
    </xf>
    <xf numFmtId="2" fontId="19" fillId="6" borderId="1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/>
    <xf numFmtId="10" fontId="3" fillId="0" borderId="0" xfId="0" applyNumberFormat="1" applyFont="1" applyFill="1"/>
    <xf numFmtId="167" fontId="19" fillId="6" borderId="10" xfId="0" applyNumberFormat="1" applyFont="1" applyFill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1" fontId="11" fillId="0" borderId="7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/>
    </xf>
    <xf numFmtId="3" fontId="8" fillId="0" borderId="7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" fontId="23" fillId="0" borderId="0" xfId="0" applyNumberFormat="1" applyFont="1" applyFill="1"/>
    <xf numFmtId="0" fontId="0" fillId="0" borderId="0" xfId="0" applyFill="1"/>
    <xf numFmtId="49" fontId="8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4" fillId="0" borderId="0" xfId="0" applyFont="1"/>
    <xf numFmtId="4" fontId="23" fillId="0" borderId="0" xfId="0" applyNumberFormat="1" applyFont="1"/>
    <xf numFmtId="4" fontId="0" fillId="0" borderId="0" xfId="0" applyNumberFormat="1"/>
    <xf numFmtId="0" fontId="0" fillId="3" borderId="0" xfId="0" applyFill="1"/>
    <xf numFmtId="0" fontId="0" fillId="6" borderId="0" xfId="0" applyFill="1"/>
    <xf numFmtId="0" fontId="0" fillId="4" borderId="0" xfId="0" applyFill="1"/>
    <xf numFmtId="3" fontId="0" fillId="0" borderId="0" xfId="0" applyNumberFormat="1"/>
    <xf numFmtId="4" fontId="25" fillId="0" borderId="0" xfId="0" applyNumberFormat="1" applyFont="1" applyFill="1"/>
    <xf numFmtId="164" fontId="23" fillId="0" borderId="0" xfId="0" applyNumberFormat="1" applyFont="1" applyFill="1"/>
    <xf numFmtId="164" fontId="0" fillId="0" borderId="0" xfId="0" applyNumberFormat="1" applyFill="1"/>
    <xf numFmtId="0" fontId="23" fillId="0" borderId="0" xfId="0" applyFont="1" applyFill="1"/>
    <xf numFmtId="2" fontId="0" fillId="0" borderId="0" xfId="0" applyNumberFormat="1"/>
    <xf numFmtId="0" fontId="28" fillId="0" borderId="0" xfId="0" applyFont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28" fillId="0" borderId="0" xfId="0" applyNumberFormat="1" applyFont="1" applyAlignment="1">
      <alignment horizontal="center" vertical="center" wrapText="1"/>
    </xf>
    <xf numFmtId="0" fontId="28" fillId="0" borderId="7" xfId="0" applyFont="1" applyBorder="1" applyAlignment="1">
      <alignment horizontal="center" vertical="center"/>
    </xf>
    <xf numFmtId="4" fontId="21" fillId="0" borderId="0" xfId="0" applyNumberFormat="1" applyFont="1" applyFill="1"/>
    <xf numFmtId="4" fontId="17" fillId="4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4" fontId="17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horizontal="center" vertical="center" wrapText="1"/>
    </xf>
    <xf numFmtId="3" fontId="2" fillId="4" borderId="10" xfId="0" applyNumberFormat="1" applyFont="1" applyFill="1" applyBorder="1" applyAlignment="1">
      <alignment horizontal="center" vertical="center" wrapText="1"/>
    </xf>
    <xf numFmtId="2" fontId="17" fillId="4" borderId="10" xfId="0" applyNumberFormat="1" applyFont="1" applyFill="1" applyBorder="1" applyAlignment="1">
      <alignment horizontal="center" vertical="center" wrapText="1"/>
    </xf>
    <xf numFmtId="0" fontId="19" fillId="6" borderId="10" xfId="0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/>
    </xf>
    <xf numFmtId="4" fontId="23" fillId="3" borderId="0" xfId="0" applyNumberFormat="1" applyFont="1" applyFill="1"/>
    <xf numFmtId="49" fontId="3" fillId="0" borderId="3" xfId="0" applyNumberFormat="1" applyFont="1" applyFill="1" applyBorder="1" applyAlignment="1">
      <alignment horizontal="center" vertical="center"/>
    </xf>
    <xf numFmtId="4" fontId="8" fillId="9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Border="1"/>
    <xf numFmtId="49" fontId="3" fillId="0" borderId="0" xfId="0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8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vertical="center"/>
    </xf>
    <xf numFmtId="49" fontId="8" fillId="2" borderId="7" xfId="0" applyNumberFormat="1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8" fillId="4" borderId="7" xfId="0" applyNumberFormat="1" applyFont="1" applyFill="1" applyBorder="1" applyAlignment="1">
      <alignment horizontal="center" vertical="center"/>
    </xf>
    <xf numFmtId="49" fontId="8" fillId="4" borderId="7" xfId="1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/>
    <xf numFmtId="49" fontId="11" fillId="0" borderId="0" xfId="0" applyNumberFormat="1" applyFont="1" applyFill="1" applyAlignment="1">
      <alignment horizontal="right" vertical="center"/>
    </xf>
    <xf numFmtId="49" fontId="11" fillId="0" borderId="0" xfId="1" applyNumberFormat="1" applyFont="1" applyFill="1" applyBorder="1" applyAlignment="1">
      <alignment horizontal="center" vertical="center" wrapText="1"/>
    </xf>
    <xf numFmtId="49" fontId="11" fillId="0" borderId="0" xfId="0" applyNumberFormat="1" applyFont="1"/>
    <xf numFmtId="4" fontId="6" fillId="0" borderId="0" xfId="0" applyNumberFormat="1" applyFont="1" applyFill="1"/>
    <xf numFmtId="4" fontId="6" fillId="0" borderId="0" xfId="0" applyNumberFormat="1" applyFont="1"/>
    <xf numFmtId="164" fontId="6" fillId="0" borderId="0" xfId="0" applyNumberFormat="1" applyFont="1" applyFill="1"/>
    <xf numFmtId="0" fontId="6" fillId="0" borderId="0" xfId="0" applyFont="1" applyFill="1"/>
    <xf numFmtId="0" fontId="1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8" fillId="0" borderId="0" xfId="0" applyNumberFormat="1" applyFont="1"/>
    <xf numFmtId="4" fontId="3" fillId="0" borderId="7" xfId="0" applyNumberFormat="1" applyFont="1" applyBorder="1"/>
    <xf numFmtId="4" fontId="11" fillId="0" borderId="7" xfId="0" applyNumberFormat="1" applyFont="1" applyBorder="1"/>
    <xf numFmtId="4" fontId="30" fillId="0" borderId="0" xfId="0" applyNumberFormat="1" applyFont="1" applyFill="1"/>
    <xf numFmtId="4" fontId="31" fillId="0" borderId="0" xfId="0" applyNumberFormat="1" applyFont="1" applyFill="1"/>
    <xf numFmtId="4" fontId="31" fillId="0" borderId="0" xfId="0" applyNumberFormat="1" applyFont="1"/>
    <xf numFmtId="4" fontId="30" fillId="0" borderId="0" xfId="0" applyNumberFormat="1" applyFont="1"/>
    <xf numFmtId="4" fontId="11" fillId="0" borderId="7" xfId="0" applyNumberFormat="1" applyFont="1" applyFill="1" applyBorder="1"/>
    <xf numFmtId="4" fontId="3" fillId="0" borderId="7" xfId="0" applyNumberFormat="1" applyFont="1" applyFill="1" applyBorder="1"/>
    <xf numFmtId="0" fontId="3" fillId="0" borderId="7" xfId="0" applyFont="1" applyBorder="1"/>
    <xf numFmtId="168" fontId="3" fillId="0" borderId="0" xfId="0" applyNumberFormat="1" applyFont="1" applyFill="1"/>
    <xf numFmtId="49" fontId="8" fillId="4" borderId="7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top"/>
    </xf>
    <xf numFmtId="49" fontId="3" fillId="0" borderId="7" xfId="1" applyNumberFormat="1" applyFont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 wrapText="1"/>
    </xf>
    <xf numFmtId="49" fontId="0" fillId="0" borderId="7" xfId="0" applyNumberFormat="1" applyFill="1" applyBorder="1" applyAlignment="1">
      <alignment horizontal="center" vertical="top"/>
    </xf>
    <xf numFmtId="49" fontId="0" fillId="0" borderId="7" xfId="0" applyNumberFormat="1" applyBorder="1" applyAlignment="1">
      <alignment horizontal="center" vertical="top"/>
    </xf>
    <xf numFmtId="49" fontId="8" fillId="5" borderId="7" xfId="0" applyNumberFormat="1" applyFont="1" applyFill="1" applyBorder="1" applyAlignment="1">
      <alignment horizontal="center" vertical="top"/>
    </xf>
    <xf numFmtId="4" fontId="32" fillId="0" borderId="0" xfId="0" applyNumberFormat="1" applyFont="1"/>
    <xf numFmtId="3" fontId="11" fillId="0" borderId="0" xfId="0" applyNumberFormat="1" applyFont="1"/>
    <xf numFmtId="3" fontId="3" fillId="0" borderId="0" xfId="0" applyNumberFormat="1" applyFont="1"/>
    <xf numFmtId="169" fontId="3" fillId="0" borderId="0" xfId="0" applyNumberFormat="1" applyFont="1" applyFill="1"/>
    <xf numFmtId="170" fontId="3" fillId="0" borderId="0" xfId="0" applyNumberFormat="1" applyFont="1"/>
    <xf numFmtId="2" fontId="1" fillId="3" borderId="7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left" vertical="center"/>
    </xf>
    <xf numFmtId="0" fontId="3" fillId="0" borderId="0" xfId="0" applyFont="1" applyBorder="1"/>
    <xf numFmtId="4" fontId="3" fillId="0" borderId="0" xfId="0" applyNumberFormat="1" applyFont="1" applyBorder="1"/>
    <xf numFmtId="4" fontId="11" fillId="0" borderId="2" xfId="0" applyNumberFormat="1" applyFont="1" applyFill="1" applyBorder="1" applyAlignment="1">
      <alignment horizontal="right" vertical="center"/>
    </xf>
    <xf numFmtId="0" fontId="3" fillId="0" borderId="4" xfId="0" applyFont="1" applyBorder="1"/>
    <xf numFmtId="49" fontId="11" fillId="0" borderId="7" xfId="0" applyNumberFormat="1" applyFont="1" applyFill="1" applyBorder="1"/>
    <xf numFmtId="4" fontId="8" fillId="0" borderId="7" xfId="0" applyNumberFormat="1" applyFont="1" applyBorder="1"/>
    <xf numFmtId="49" fontId="8" fillId="4" borderId="7" xfId="0" applyNumberFormat="1" applyFont="1" applyFill="1" applyBorder="1" applyAlignment="1">
      <alignment vertical="center"/>
    </xf>
    <xf numFmtId="0" fontId="11" fillId="4" borderId="2" xfId="0" applyFont="1" applyFill="1" applyBorder="1" applyAlignment="1">
      <alignment horizontal="center" vertical="center"/>
    </xf>
    <xf numFmtId="4" fontId="11" fillId="0" borderId="4" xfId="0" applyNumberFormat="1" applyFont="1" applyFill="1" applyBorder="1"/>
    <xf numFmtId="4" fontId="11" fillId="0" borderId="0" xfId="0" applyNumberFormat="1" applyFont="1" applyFill="1" applyBorder="1" applyAlignment="1">
      <alignment vertical="top"/>
    </xf>
    <xf numFmtId="4" fontId="11" fillId="0" borderId="7" xfId="0" applyNumberFormat="1" applyFont="1" applyFill="1" applyBorder="1" applyAlignment="1">
      <alignment vertical="top"/>
    </xf>
    <xf numFmtId="49" fontId="11" fillId="0" borderId="7" xfId="0" applyNumberFormat="1" applyFont="1" applyFill="1" applyBorder="1" applyAlignment="1">
      <alignment horizontal="left"/>
    </xf>
    <xf numFmtId="4" fontId="11" fillId="0" borderId="4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4" fontId="8" fillId="4" borderId="7" xfId="0" applyNumberFormat="1" applyFont="1" applyFill="1" applyBorder="1"/>
    <xf numFmtId="4" fontId="8" fillId="2" borderId="7" xfId="0" applyNumberFormat="1" applyFont="1" applyFill="1" applyBorder="1"/>
    <xf numFmtId="49" fontId="8" fillId="2" borderId="7" xfId="0" applyNumberFormat="1" applyFont="1" applyFill="1" applyBorder="1" applyAlignment="1">
      <alignment horizontal="center" vertical="center"/>
    </xf>
    <xf numFmtId="4" fontId="33" fillId="4" borderId="7" xfId="0" applyNumberFormat="1" applyFont="1" applyFill="1" applyBorder="1"/>
    <xf numFmtId="4" fontId="8" fillId="2" borderId="0" xfId="0" applyNumberFormat="1" applyFont="1" applyFill="1" applyBorder="1"/>
    <xf numFmtId="4" fontId="8" fillId="2" borderId="0" xfId="1" applyNumberFormat="1" applyFont="1" applyFill="1" applyBorder="1" applyAlignment="1">
      <alignment horizontal="center" vertical="center" wrapText="1"/>
    </xf>
    <xf numFmtId="4" fontId="11" fillId="0" borderId="7" xfId="1" applyNumberFormat="1" applyFont="1" applyBorder="1" applyAlignment="1">
      <alignment horizontal="center" vertical="center" wrapText="1"/>
    </xf>
    <xf numFmtId="4" fontId="11" fillId="0" borderId="1" xfId="0" applyNumberFormat="1" applyFont="1" applyFill="1" applyBorder="1"/>
    <xf numFmtId="4" fontId="33" fillId="4" borderId="10" xfId="0" applyNumberFormat="1" applyFont="1" applyFill="1" applyBorder="1"/>
    <xf numFmtId="4" fontId="33" fillId="2" borderId="0" xfId="0" applyNumberFormat="1" applyFont="1" applyFill="1" applyBorder="1"/>
    <xf numFmtId="164" fontId="34" fillId="2" borderId="0" xfId="0" applyNumberFormat="1" applyFont="1" applyFill="1" applyBorder="1"/>
    <xf numFmtId="0" fontId="33" fillId="2" borderId="0" xfId="0" applyFont="1" applyFill="1" applyBorder="1"/>
    <xf numFmtId="49" fontId="33" fillId="2" borderId="8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Border="1"/>
    <xf numFmtId="3" fontId="3" fillId="0" borderId="0" xfId="0" applyNumberFormat="1" applyFont="1" applyFill="1" applyBorder="1"/>
    <xf numFmtId="169" fontId="3" fillId="0" borderId="0" xfId="0" applyNumberFormat="1" applyFont="1" applyFill="1" applyAlignment="1">
      <alignment horizontal="right"/>
    </xf>
    <xf numFmtId="4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169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4" fontId="1" fillId="3" borderId="7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/>
    <xf numFmtId="0" fontId="3" fillId="10" borderId="7" xfId="0" applyFont="1" applyFill="1" applyBorder="1" applyAlignment="1">
      <alignment vertical="center" wrapText="1"/>
    </xf>
    <xf numFmtId="0" fontId="8" fillId="10" borderId="7" xfId="0" applyFont="1" applyFill="1" applyBorder="1" applyAlignment="1">
      <alignment horizontal="center" vertical="center" wrapText="1"/>
    </xf>
    <xf numFmtId="3" fontId="2" fillId="10" borderId="7" xfId="0" applyNumberFormat="1" applyFont="1" applyFill="1" applyBorder="1" applyAlignment="1">
      <alignment horizontal="center" vertical="center" wrapText="1"/>
    </xf>
    <xf numFmtId="4" fontId="1" fillId="10" borderId="7" xfId="0" applyNumberFormat="1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wrapText="1"/>
    </xf>
    <xf numFmtId="4" fontId="3" fillId="10" borderId="7" xfId="0" applyNumberFormat="1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/>
    </xf>
    <xf numFmtId="3" fontId="0" fillId="11" borderId="0" xfId="0" applyNumberFormat="1" applyFill="1"/>
    <xf numFmtId="0" fontId="3" fillId="0" borderId="0" xfId="0" applyFont="1" applyFill="1" applyBorder="1"/>
    <xf numFmtId="4" fontId="8" fillId="0" borderId="0" xfId="0" applyNumberFormat="1" applyFont="1" applyFill="1" applyBorder="1" applyAlignment="1">
      <alignment horizontal="center" vertical="center"/>
    </xf>
    <xf numFmtId="49" fontId="8" fillId="12" borderId="7" xfId="0" applyNumberFormat="1" applyFont="1" applyFill="1" applyBorder="1" applyAlignment="1">
      <alignment horizontal="right" vertical="center" wrapText="1"/>
    </xf>
    <xf numFmtId="0" fontId="8" fillId="12" borderId="7" xfId="0" applyFont="1" applyFill="1" applyBorder="1" applyAlignment="1">
      <alignment vertical="center" wrapText="1"/>
    </xf>
    <xf numFmtId="0" fontId="3" fillId="12" borderId="7" xfId="0" applyFont="1" applyFill="1" applyBorder="1" applyAlignment="1">
      <alignment horizontal="center" vertical="center" wrapText="1"/>
    </xf>
    <xf numFmtId="3" fontId="8" fillId="12" borderId="7" xfId="0" applyNumberFormat="1" applyFont="1" applyFill="1" applyBorder="1" applyAlignment="1">
      <alignment horizontal="center" vertical="center" wrapText="1"/>
    </xf>
    <xf numFmtId="3" fontId="3" fillId="12" borderId="7" xfId="0" applyNumberFormat="1" applyFont="1" applyFill="1" applyBorder="1" applyAlignment="1">
      <alignment horizontal="center" vertical="top" wrapText="1"/>
    </xf>
    <xf numFmtId="0" fontId="3" fillId="12" borderId="7" xfId="0" applyFont="1" applyFill="1" applyBorder="1" applyAlignment="1">
      <alignment horizontal="center" vertical="top" wrapText="1"/>
    </xf>
    <xf numFmtId="4" fontId="8" fillId="12" borderId="7" xfId="0" applyNumberFormat="1" applyFont="1" applyFill="1" applyBorder="1" applyAlignment="1">
      <alignment horizontal="center" vertical="center" wrapText="1"/>
    </xf>
    <xf numFmtId="0" fontId="3" fillId="12" borderId="7" xfId="0" applyFont="1" applyFill="1" applyBorder="1" applyAlignment="1">
      <alignment horizontal="center" vertical="center"/>
    </xf>
    <xf numFmtId="0" fontId="11" fillId="12" borderId="7" xfId="0" applyFont="1" applyFill="1" applyBorder="1" applyAlignment="1">
      <alignment horizontal="center" vertical="center" wrapText="1"/>
    </xf>
    <xf numFmtId="3" fontId="11" fillId="12" borderId="7" xfId="0" applyNumberFormat="1" applyFont="1" applyFill="1" applyBorder="1" applyAlignment="1">
      <alignment horizontal="center" vertical="center" wrapText="1"/>
    </xf>
    <xf numFmtId="4" fontId="11" fillId="12" borderId="7" xfId="0" applyNumberFormat="1" applyFont="1" applyFill="1" applyBorder="1" applyAlignment="1">
      <alignment horizontal="center" vertical="center" wrapText="1"/>
    </xf>
    <xf numFmtId="2" fontId="22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3" borderId="7" xfId="0" applyNumberFormat="1" applyFont="1" applyFill="1" applyBorder="1" applyAlignment="1">
      <alignment horizontal="center" vertical="center"/>
    </xf>
    <xf numFmtId="2" fontId="3" fillId="6" borderId="7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/>
    </xf>
    <xf numFmtId="2" fontId="5" fillId="0" borderId="7" xfId="0" applyNumberFormat="1" applyFont="1" applyFill="1" applyBorder="1" applyAlignment="1">
      <alignment horizontal="center" vertical="center"/>
    </xf>
    <xf numFmtId="2" fontId="5" fillId="4" borderId="7" xfId="0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4" fontId="8" fillId="0" borderId="0" xfId="0" applyNumberFormat="1" applyFont="1" applyFill="1"/>
    <xf numFmtId="0" fontId="3" fillId="0" borderId="4" xfId="0" applyFont="1" applyFill="1" applyBorder="1"/>
    <xf numFmtId="4" fontId="8" fillId="0" borderId="7" xfId="0" applyNumberFormat="1" applyFont="1" applyFill="1" applyBorder="1"/>
    <xf numFmtId="4" fontId="3" fillId="0" borderId="0" xfId="0" applyNumberFormat="1" applyFont="1" applyAlignment="1">
      <alignment wrapText="1"/>
    </xf>
    <xf numFmtId="0" fontId="0" fillId="2" borderId="0" xfId="0" applyFill="1"/>
    <xf numFmtId="0" fontId="26" fillId="2" borderId="0" xfId="0" applyFont="1" applyFill="1" applyAlignment="1">
      <alignment horizontal="right"/>
    </xf>
    <xf numFmtId="0" fontId="35" fillId="2" borderId="0" xfId="0" applyFont="1" applyFill="1"/>
    <xf numFmtId="0" fontId="2" fillId="2" borderId="0" xfId="0" applyFont="1" applyFill="1"/>
    <xf numFmtId="0" fontId="27" fillId="2" borderId="0" xfId="0" applyFont="1" applyFill="1" applyAlignment="1">
      <alignment horizontal="center"/>
    </xf>
    <xf numFmtId="0" fontId="28" fillId="2" borderId="0" xfId="0" applyFont="1" applyFill="1" applyBorder="1" applyAlignment="1">
      <alignment horizontal="center" vertical="center" wrapText="1"/>
    </xf>
    <xf numFmtId="0" fontId="36" fillId="2" borderId="7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5" fillId="2" borderId="7" xfId="0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171" fontId="2" fillId="2" borderId="7" xfId="0" applyNumberFormat="1" applyFont="1" applyFill="1" applyBorder="1" applyAlignment="1">
      <alignment horizontal="center" vertical="center" wrapText="1"/>
    </xf>
    <xf numFmtId="0" fontId="14" fillId="2" borderId="7" xfId="1" applyFont="1" applyFill="1" applyBorder="1" applyAlignment="1">
      <alignment horizontal="left" vertical="center" wrapText="1"/>
    </xf>
    <xf numFmtId="0" fontId="4" fillId="2" borderId="7" xfId="1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29" fillId="2" borderId="7" xfId="1" applyFont="1" applyFill="1" applyBorder="1" applyAlignment="1">
      <alignment horizontal="center" vertical="center" wrapText="1"/>
    </xf>
    <xf numFmtId="3" fontId="35" fillId="2" borderId="7" xfId="0" applyNumberFormat="1" applyFont="1" applyFill="1" applyBorder="1" applyAlignment="1">
      <alignment horizontal="center" vertical="center" wrapText="1"/>
    </xf>
    <xf numFmtId="3" fontId="35" fillId="2" borderId="7" xfId="1" applyNumberFormat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28" fillId="2" borderId="8" xfId="0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3" fontId="35" fillId="2" borderId="7" xfId="0" applyNumberFormat="1" applyFont="1" applyFill="1" applyBorder="1" applyAlignment="1">
      <alignment horizontal="center" vertical="center"/>
    </xf>
    <xf numFmtId="49" fontId="2" fillId="2" borderId="0" xfId="0" applyNumberFormat="1" applyFont="1" applyFill="1"/>
    <xf numFmtId="49" fontId="0" fillId="2" borderId="0" xfId="0" applyNumberFormat="1" applyFill="1"/>
    <xf numFmtId="0" fontId="1" fillId="12" borderId="7" xfId="0" applyFont="1" applyFill="1" applyBorder="1" applyAlignment="1">
      <alignment horizontal="center" vertical="center" wrapText="1"/>
    </xf>
    <xf numFmtId="2" fontId="1" fillId="4" borderId="10" xfId="0" applyNumberFormat="1" applyFont="1" applyFill="1" applyBorder="1" applyAlignment="1">
      <alignment horizontal="center" vertical="center"/>
    </xf>
    <xf numFmtId="4" fontId="0" fillId="0" borderId="0" xfId="0" applyNumberFormat="1" applyFont="1" applyFill="1"/>
    <xf numFmtId="0" fontId="0" fillId="0" borderId="0" xfId="0" applyFont="1" applyFill="1"/>
    <xf numFmtId="0" fontId="0" fillId="0" borderId="0" xfId="0" applyFont="1"/>
    <xf numFmtId="167" fontId="3" fillId="6" borderId="7" xfId="0" applyNumberFormat="1" applyFont="1" applyFill="1" applyBorder="1" applyAlignment="1">
      <alignment horizontal="center" vertical="center" wrapText="1"/>
    </xf>
    <xf numFmtId="4" fontId="0" fillId="0" borderId="0" xfId="0" applyNumberFormat="1" applyFont="1"/>
    <xf numFmtId="0" fontId="0" fillId="3" borderId="0" xfId="0" applyFont="1" applyFill="1"/>
    <xf numFmtId="0" fontId="0" fillId="6" borderId="0" xfId="0" applyFont="1" applyFill="1"/>
    <xf numFmtId="0" fontId="0" fillId="4" borderId="0" xfId="0" applyFont="1" applyFill="1"/>
    <xf numFmtId="3" fontId="0" fillId="0" borderId="0" xfId="0" applyNumberFormat="1" applyFont="1"/>
    <xf numFmtId="4" fontId="37" fillId="0" borderId="0" xfId="0" applyNumberFormat="1" applyFont="1" applyFill="1"/>
    <xf numFmtId="2" fontId="0" fillId="0" borderId="0" xfId="0" applyNumberFormat="1" applyFont="1"/>
    <xf numFmtId="0" fontId="1" fillId="0" borderId="0" xfId="0" applyFont="1"/>
    <xf numFmtId="0" fontId="1" fillId="0" borderId="7" xfId="0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top" wrapText="1"/>
    </xf>
    <xf numFmtId="4" fontId="3" fillId="4" borderId="0" xfId="0" applyNumberFormat="1" applyFont="1" applyFill="1"/>
    <xf numFmtId="4" fontId="3" fillId="5" borderId="0" xfId="0" applyNumberFormat="1" applyFont="1" applyFill="1"/>
    <xf numFmtId="2" fontId="1" fillId="3" borderId="10" xfId="0" applyNumberFormat="1" applyFont="1" applyFill="1" applyBorder="1" applyAlignment="1">
      <alignment horizontal="center" vertical="center"/>
    </xf>
    <xf numFmtId="4" fontId="1" fillId="3" borderId="10" xfId="0" applyNumberFormat="1" applyFont="1" applyFill="1" applyBorder="1" applyAlignment="1">
      <alignment horizontal="center" vertical="center"/>
    </xf>
    <xf numFmtId="3" fontId="3" fillId="7" borderId="0" xfId="0" applyNumberFormat="1" applyFont="1" applyFill="1"/>
    <xf numFmtId="2" fontId="38" fillId="6" borderId="7" xfId="0" applyNumberFormat="1" applyFont="1" applyFill="1" applyBorder="1" applyAlignment="1">
      <alignment horizontal="center" vertical="center" wrapText="1"/>
    </xf>
    <xf numFmtId="2" fontId="1" fillId="6" borderId="10" xfId="0" applyNumberFormat="1" applyFont="1" applyFill="1" applyBorder="1" applyAlignment="1">
      <alignment horizontal="center" vertical="center" wrapText="1"/>
    </xf>
    <xf numFmtId="0" fontId="38" fillId="6" borderId="7" xfId="0" applyFont="1" applyFill="1" applyBorder="1" applyAlignment="1">
      <alignment horizontal="center" vertical="center" wrapText="1"/>
    </xf>
    <xf numFmtId="3" fontId="8" fillId="0" borderId="0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4" fontId="1" fillId="6" borderId="10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4" fontId="39" fillId="0" borderId="0" xfId="0" applyNumberFormat="1" applyFont="1" applyFill="1" applyBorder="1" applyAlignment="1">
      <alignment horizontal="center" vertical="center" wrapText="1"/>
    </xf>
    <xf numFmtId="3" fontId="11" fillId="13" borderId="0" xfId="0" applyNumberFormat="1" applyFont="1" applyFill="1" applyBorder="1"/>
    <xf numFmtId="3" fontId="3" fillId="7" borderId="0" xfId="0" applyNumberFormat="1" applyFont="1" applyFill="1" applyBorder="1"/>
    <xf numFmtId="0" fontId="38" fillId="6" borderId="10" xfId="0" applyFont="1" applyFill="1" applyBorder="1" applyAlignment="1">
      <alignment horizontal="center" vertical="center" wrapText="1"/>
    </xf>
    <xf numFmtId="3" fontId="8" fillId="7" borderId="0" xfId="0" applyNumberFormat="1" applyFont="1" applyFill="1"/>
    <xf numFmtId="3" fontId="8" fillId="7" borderId="0" xfId="0" applyNumberFormat="1" applyFont="1" applyFill="1" applyAlignment="1">
      <alignment horizontal="center" vertical="center"/>
    </xf>
    <xf numFmtId="3" fontId="8" fillId="0" borderId="0" xfId="0" applyNumberFormat="1" applyFont="1" applyFill="1"/>
    <xf numFmtId="4" fontId="11" fillId="13" borderId="0" xfId="0" applyNumberFormat="1" applyFont="1" applyFill="1" applyBorder="1"/>
    <xf numFmtId="3" fontId="8" fillId="7" borderId="0" xfId="1" applyNumberFormat="1" applyFont="1" applyFill="1" applyBorder="1" applyAlignment="1">
      <alignment horizontal="center" vertical="center" wrapText="1"/>
    </xf>
    <xf numFmtId="4" fontId="11" fillId="7" borderId="0" xfId="1" applyNumberFormat="1" applyFont="1" applyFill="1" applyBorder="1" applyAlignment="1">
      <alignment horizontal="center" vertical="center" wrapText="1"/>
    </xf>
    <xf numFmtId="166" fontId="38" fillId="6" borderId="7" xfId="0" applyNumberFormat="1" applyFont="1" applyFill="1" applyBorder="1" applyAlignment="1">
      <alignment horizontal="center" vertical="center" wrapText="1"/>
    </xf>
    <xf numFmtId="2" fontId="1" fillId="6" borderId="10" xfId="0" applyNumberFormat="1" applyFont="1" applyFill="1" applyBorder="1" applyAlignment="1">
      <alignment horizontal="center" vertical="center"/>
    </xf>
    <xf numFmtId="167" fontId="1" fillId="6" borderId="10" xfId="0" applyNumberFormat="1" applyFont="1" applyFill="1" applyBorder="1" applyAlignment="1">
      <alignment horizontal="center" vertical="center" wrapText="1"/>
    </xf>
    <xf numFmtId="0" fontId="40" fillId="0" borderId="0" xfId="0" applyFont="1"/>
    <xf numFmtId="4" fontId="0" fillId="5" borderId="0" xfId="0" applyNumberFormat="1" applyFill="1"/>
    <xf numFmtId="4" fontId="0" fillId="4" borderId="0" xfId="0" applyNumberFormat="1" applyFill="1"/>
    <xf numFmtId="0" fontId="40" fillId="0" borderId="0" xfId="0" applyFont="1" applyFill="1"/>
    <xf numFmtId="4" fontId="41" fillId="0" borderId="0" xfId="0" applyNumberFormat="1" applyFont="1" applyFill="1"/>
    <xf numFmtId="4" fontId="42" fillId="0" borderId="0" xfId="0" applyNumberFormat="1" applyFont="1" applyFill="1"/>
    <xf numFmtId="4" fontId="43" fillId="0" borderId="0" xfId="0" applyNumberFormat="1" applyFont="1" applyFill="1"/>
    <xf numFmtId="4" fontId="42" fillId="0" borderId="0" xfId="0" applyNumberFormat="1" applyFont="1"/>
    <xf numFmtId="4" fontId="40" fillId="0" borderId="0" xfId="0" applyNumberFormat="1" applyFont="1"/>
    <xf numFmtId="0" fontId="9" fillId="0" borderId="0" xfId="0" applyFont="1" applyAlignment="1">
      <alignment horizontal="center"/>
    </xf>
    <xf numFmtId="49" fontId="8" fillId="4" borderId="7" xfId="0" applyNumberFormat="1" applyFont="1" applyFill="1" applyBorder="1" applyAlignment="1">
      <alignment horizontal="center" vertical="center"/>
    </xf>
    <xf numFmtId="49" fontId="8" fillId="4" borderId="7" xfId="0" applyNumberFormat="1" applyFont="1" applyFill="1" applyBorder="1" applyAlignment="1">
      <alignment horizontal="center" vertical="top"/>
    </xf>
    <xf numFmtId="49" fontId="8" fillId="4" borderId="8" xfId="0" applyNumberFormat="1" applyFont="1" applyFill="1" applyBorder="1" applyAlignment="1">
      <alignment horizontal="center" vertical="top" wrapText="1"/>
    </xf>
    <xf numFmtId="49" fontId="8" fillId="4" borderId="9" xfId="0" applyNumberFormat="1" applyFont="1" applyFill="1" applyBorder="1" applyAlignment="1">
      <alignment horizontal="center" vertical="top" wrapText="1"/>
    </xf>
    <xf numFmtId="49" fontId="8" fillId="4" borderId="10" xfId="0" applyNumberFormat="1" applyFont="1" applyFill="1" applyBorder="1" applyAlignment="1">
      <alignment horizontal="center" vertical="top" wrapText="1"/>
    </xf>
    <xf numFmtId="3" fontId="35" fillId="2" borderId="8" xfId="1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3" fontId="35" fillId="2" borderId="8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171" fontId="2" fillId="2" borderId="8" xfId="0" applyNumberFormat="1" applyFont="1" applyFill="1" applyBorder="1" applyAlignment="1">
      <alignment horizontal="center" vertical="center" wrapText="1"/>
    </xf>
    <xf numFmtId="171" fontId="0" fillId="2" borderId="9" xfId="0" applyNumberFormat="1" applyFill="1" applyBorder="1" applyAlignment="1">
      <alignment horizontal="center" vertical="center" wrapText="1"/>
    </xf>
    <xf numFmtId="171" fontId="0" fillId="2" borderId="10" xfId="0" applyNumberFormat="1" applyFill="1" applyBorder="1" applyAlignment="1">
      <alignment horizontal="center" vertical="center" wrapText="1"/>
    </xf>
    <xf numFmtId="0" fontId="28" fillId="2" borderId="8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center"/>
    </xf>
    <xf numFmtId="49" fontId="3" fillId="8" borderId="8" xfId="0" applyNumberFormat="1" applyFont="1" applyFill="1" applyBorder="1" applyAlignment="1">
      <alignment horizontal="center" vertical="center"/>
    </xf>
    <xf numFmtId="49" fontId="3" fillId="8" borderId="9" xfId="0" applyNumberFormat="1" applyFont="1" applyFill="1" applyBorder="1" applyAlignment="1">
      <alignment horizontal="center" vertical="center"/>
    </xf>
    <xf numFmtId="49" fontId="3" fillId="8" borderId="10" xfId="0" applyNumberFormat="1" applyFont="1" applyFill="1" applyBorder="1" applyAlignment="1">
      <alignment horizontal="center" vertical="center"/>
    </xf>
    <xf numFmtId="49" fontId="3" fillId="8" borderId="3" xfId="0" applyNumberFormat="1" applyFont="1" applyFill="1" applyBorder="1" applyAlignment="1">
      <alignment horizontal="center" vertical="top"/>
    </xf>
    <xf numFmtId="49" fontId="3" fillId="8" borderId="5" xfId="0" applyNumberFormat="1" applyFont="1" applyFill="1" applyBorder="1" applyAlignment="1">
      <alignment horizontal="center" vertical="top"/>
    </xf>
    <xf numFmtId="49" fontId="3" fillId="4" borderId="6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3" fillId="4" borderId="5" xfId="0" applyNumberFormat="1" applyFont="1" applyFill="1" applyBorder="1" applyAlignment="1">
      <alignment horizontal="center" vertical="top"/>
    </xf>
    <xf numFmtId="49" fontId="3" fillId="8" borderId="6" xfId="0" applyNumberFormat="1" applyFont="1" applyFill="1" applyBorder="1" applyAlignment="1">
      <alignment horizontal="center" vertical="center"/>
    </xf>
    <xf numFmtId="49" fontId="3" fillId="8" borderId="3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8" borderId="8" xfId="0" applyNumberFormat="1" applyFont="1" applyFill="1" applyBorder="1" applyAlignment="1">
      <alignment horizontal="center" vertical="center"/>
    </xf>
    <xf numFmtId="49" fontId="8" fillId="8" borderId="10" xfId="0" applyNumberFormat="1" applyFont="1" applyFill="1" applyBorder="1" applyAlignment="1">
      <alignment horizontal="center" vertical="center"/>
    </xf>
    <xf numFmtId="49" fontId="3" fillId="8" borderId="7" xfId="0" applyNumberFormat="1" applyFont="1" applyFill="1" applyBorder="1" applyAlignment="1">
      <alignment horizontal="center" vertical="center"/>
    </xf>
    <xf numFmtId="49" fontId="8" fillId="8" borderId="3" xfId="0" applyNumberFormat="1" applyFont="1" applyFill="1" applyBorder="1" applyAlignment="1">
      <alignment horizontal="center" vertical="center"/>
    </xf>
    <xf numFmtId="49" fontId="3" fillId="4" borderId="7" xfId="0" applyNumberFormat="1" applyFont="1" applyFill="1" applyBorder="1" applyAlignment="1">
      <alignment horizontal="center" vertical="center"/>
    </xf>
    <xf numFmtId="49" fontId="8" fillId="4" borderId="8" xfId="0" applyNumberFormat="1" applyFont="1" applyFill="1" applyBorder="1" applyAlignment="1">
      <alignment horizontal="center" vertical="center"/>
    </xf>
    <xf numFmtId="49" fontId="8" fillId="4" borderId="10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8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8" fillId="4" borderId="6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49" fontId="8" fillId="8" borderId="9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top"/>
    </xf>
    <xf numFmtId="49" fontId="8" fillId="0" borderId="10" xfId="0" applyNumberFormat="1" applyFont="1" applyFill="1" applyBorder="1" applyAlignment="1">
      <alignment horizontal="center" vertical="top"/>
    </xf>
    <xf numFmtId="49" fontId="8" fillId="0" borderId="9" xfId="0" applyNumberFormat="1" applyFont="1" applyFill="1" applyBorder="1" applyAlignment="1">
      <alignment horizontal="center" vertical="top"/>
    </xf>
    <xf numFmtId="49" fontId="8" fillId="0" borderId="8" xfId="1" applyNumberFormat="1" applyFont="1" applyFill="1" applyBorder="1" applyAlignment="1">
      <alignment horizontal="center" vertical="top" wrapText="1"/>
    </xf>
    <xf numFmtId="49" fontId="8" fillId="0" borderId="9" xfId="1" applyNumberFormat="1" applyFont="1" applyFill="1" applyBorder="1" applyAlignment="1">
      <alignment horizontal="center" vertical="top" wrapText="1"/>
    </xf>
    <xf numFmtId="49" fontId="8" fillId="0" borderId="10" xfId="1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34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calcChain" Target="calcChain.xml"/><Relationship Id="rId8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55;&#1088;&#1077;&#1081;&#1089;&#1082;&#1091;&#1088;&#1072;&#1085;&#1090;%20&#1076;&#1083;&#1103;%20&#1052;&#1047;%202020%20&#1085;&#1072;%20&#1088;&#1072;&#1089;&#1087;&#1077;&#1095;&#1072;&#1090;&#1082;&#1091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vbuh\&#1086;&#1073;&#1084;&#1077;&#1085;\&#1076;&#1083;&#1103;%20&#1053;&#1080;&#1085;&#1099;%20&#1048;&#1074;&#1072;&#1085;&#1086;&#1074;&#1085;&#1099;\&#1057;&#1084;&#1077;&#1090;&#1099;%20&#1079;&#1072;%202018-19%20&#1086;&#1090;%20&#1057;.&#1058;.&#1040;\&#1089;&#1084;&#1077;&#1090;&#1099;%20&#1052;&#1047;%202020\&#1055;&#1051;&#1071;&#1046;\&#1056;&#1057;%20&#1056;&#1077;&#1084;.&#1091;&#1088;&#1085;%20(&#1055;&#1083;&#1103;&#1078;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vbuh\&#1086;&#1073;&#1084;&#1077;&#1085;\&#1076;&#1083;&#1103;%20&#1053;&#1080;&#1085;&#1099;%20&#1048;&#1074;&#1072;&#1085;&#1086;&#1074;&#1085;&#1099;\&#1057;&#1084;&#1077;&#1090;&#1099;%20&#1079;&#1072;%202018-19%20&#1086;&#1090;%20&#1057;.&#1058;.&#1040;\&#1089;&#1084;&#1077;&#1090;&#1099;%20&#1052;&#1047;%202020\&#1056;&#1057;%20(&#1088;&#1077;&#1084;&#1086;&#1085;&#1090;%20&#1089;&#1082;&#1072;&#1084;&#1077;&#1077;&#1082;)%2035%25%20&#1087;&#1072;&#1088;&#1082;&#108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vbuh\&#1086;&#1073;&#1084;&#1077;&#1085;\&#1076;&#1083;&#1103;%20&#1053;&#1080;&#1085;&#1099;%20&#1048;&#1074;&#1072;&#1085;&#1086;&#1074;&#1085;&#1099;\&#1057;&#1084;&#1077;&#1090;&#1099;%20&#1079;&#1072;%202018-19%20&#1086;&#1090;%20&#1057;.&#1058;.&#1040;\&#1089;&#1084;&#1077;&#1090;&#1099;%20&#1052;&#1047;%202020\&#1056;&#1057;%20&#1087;&#1077;&#1088;&#1077;&#1074;&#1086;&#1079;&#1082;&#1072;%20&#1089;&#1082;&#1072;&#1084;&#1077;&#1077;&#108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89;&#1084;&#1077;&#1090;&#1099;%20&#1052;&#1047;%202020/&#1056;&#1057;%20(&#1056;&#1077;&#1084;&#1086;&#1085;&#1090;%20&#1052;&#1086;&#1085;&#1091;&#1084;&#1077;&#1085;&#1090;&#1072;%20&#1089;&#1083;&#1072;&#1074;&#1099;)%20&#1040;.&#1088;.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89;&#1084;&#1077;&#1090;&#1099;%20&#1052;&#1047;%202020/&#1056;&#1057;%20&#1088;&#1077;&#1084;&#1086;&#1085;&#1090;%20&#1089;&#1094;&#1077;&#1085;&#1099;%20&#1055;&#1072;&#1088;&#1082;%20(&#1040;.&#1056;.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89;&#1084;&#1077;&#1090;&#1099;%20&#1052;&#1047;%202020/&#1055;&#1051;&#1071;&#1046;/&#1056;&#1057;%20&#1090;&#1077;&#1083;&#1086;%20&#1087;&#1083;&#1103;&#1078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89;&#1084;&#1077;&#1090;&#1099;%20&#1052;&#1047;%202020/&#1055;&#1051;&#1071;&#1046;/&#1056;&#1057;%20&#1050;&#1072;&#1073;&#1080;&#1085;&#1082;&#1080;%20(&#1087;&#1083;&#1103;&#1078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89;&#1084;&#1077;&#1090;&#1099;%20&#1052;&#1047;%202020/&#1055;&#1051;&#1071;&#1046;/&#1056;&#1057;%20&#1054;&#1082;&#1088;.&#1089;&#1082;&#1072;&#1084;.%20(&#1087;&#1083;&#1103;&#1078;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89;&#1084;&#1077;&#1090;&#1099;%20&#1052;&#1047;%202020/&#1055;&#1051;&#1071;&#1046;/&#1056;&#1057;%20&#1086;&#1082;&#1088;.&#1091;&#1088;&#1085;%20(&#1087;&#1083;&#1103;&#1078;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89;&#1084;&#1077;&#1090;&#1099;%20&#1052;&#1047;%202020/&#1055;&#1051;&#1071;&#1046;/&#1056;&#1057;%20&#1056;&#1077;&#1084;.&#1089;&#1082;&#1072;&#1084;&#1077;&#1077;&#1082;(&#1087;&#1083;&#1103;&#1078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vbuh\&#1086;&#1073;&#1084;&#1077;&#1085;\&#1076;&#1083;&#1103;%20&#1053;&#1080;&#1085;&#1099;%20&#1048;&#1074;&#1072;&#1085;&#1086;&#1074;&#1085;&#1099;\&#1057;&#1084;&#1077;&#1090;&#1099;%20&#1079;&#1072;%202018-19%20&#1086;&#1090;%20&#1057;.&#1058;.&#1040;\&#1089;&#1084;&#1077;&#1090;&#1099;%20&#1052;&#1047;%202020\&#1055;&#1051;&#1071;&#1046;\&#1056;&#1057;%20&#1050;&#1072;&#1073;&#1080;&#1085;&#1082;&#1080;%20(&#1087;&#1083;&#1103;&#1078;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89;&#1084;&#1077;&#1090;&#1099;%20&#1052;&#1047;%202020/&#1055;&#1051;&#1071;&#1046;/&#1056;&#1057;%20&#1056;&#1077;&#1084;.&#1091;&#1088;&#1085;%20(&#1055;&#1083;&#1103;&#1078;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89;&#1084;&#1077;&#1090;&#1099;%20&#1052;&#1047;%202020/&#1056;&#1057;%20&#1044;&#1077;&#1084;&#1086;&#1085;&#1090;.%20&#1053;&#1086;&#1074;.&#1091;&#1082;&#1088;&#1072;&#1096;.%20&#1050;.&#1088;.%202020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89;&#1084;&#1077;&#1090;&#1099;%20&#1052;&#1047;%202020/&#1056;&#1057;%20&#1057;&#1082;&#1086;&#1088;&#1073;.&#1072;&#1085;&#1075;&#1077;&#1083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89;&#1084;&#1077;&#1090;&#1099;%20&#1052;&#1047;%202020/&#1056;&#1057;%20&#1088;&#1077;&#1084;&#1086;&#1085;&#1090;%20&#1090;&#1072;&#1085;&#1094;.&#1087;&#1083;&#1086;&#1097;&#1072;&#1076;&#1082;&#108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89;&#1084;&#1077;&#1090;&#1099;%20&#1052;&#1047;%202020/&#1055;&#1051;&#1071;&#1046;/&#1056;&#1057;%20(&#1088;&#1077;&#1084;.&#1090;&#1091;&#1072;&#1083;&#1077;&#1090;&#1072;)%20&#1087;&#1083;&#1103;&#107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/Desktop/2020/&#1056;&#1072;&#1089;&#1095;&#1077;&#1090;&#1099;/&#1089;&#1084;&#1077;&#1090;&#1099;%20&#1052;&#1047;%202020/&#1056;&#1057;%20(&#1058;&#1088;&#1080;&#1073;&#1091;&#1085;&#1072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vbuh\&#1086;&#1073;&#1084;&#1077;&#1085;\&#1076;&#1083;&#1103;%20&#1053;&#1080;&#1085;&#1099;%20&#1048;&#1074;&#1072;&#1085;&#1086;&#1074;&#1085;&#1099;\&#1057;&#1084;&#1077;&#1090;&#1099;%20&#1079;&#1072;%202018-19%20&#1086;&#1090;%20&#1057;.&#1058;.&#1040;\&#1089;&#1084;&#1077;&#1090;&#1099;%20&#1052;&#1047;%202020\&#1056;&#1057;%20&#1086;&#1082;&#1088;&#1072;&#1089;&#1082;&#1072;%20&#1090;&#1072;&#1085;&#1082;&#1086;&#107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vbuh\&#1086;&#1073;&#1084;&#1077;&#1085;\&#1076;&#1083;&#1103;%20&#1053;&#1080;&#1085;&#1099;%20&#1048;&#1074;&#1072;&#1085;&#1086;&#1074;&#1085;&#1099;\&#1057;&#1084;&#1077;&#1090;&#1099;%20&#1079;&#1072;%202018-19%20&#1086;&#1090;%20&#1057;.&#1058;.&#1040;\&#1089;&#1084;&#1077;&#1090;&#1099;%20&#1052;&#1047;%202020\&#1055;&#1051;&#1071;&#1046;\&#1056;&#1057;%20&#1054;&#1082;&#1088;.&#1089;&#1082;&#1072;&#1084;.%20(&#1087;&#1083;&#1103;&#1078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vbuh\&#1086;&#1073;&#1084;&#1077;&#1085;\&#1076;&#1083;&#1103;%20&#1053;&#1080;&#1085;&#1099;%20&#1048;&#1074;&#1072;&#1085;&#1086;&#1074;&#1085;&#1099;\&#1057;&#1084;&#1077;&#1090;&#1099;%20&#1079;&#1072;%202018-19%20&#1086;&#1090;%20&#1057;.&#1058;.&#1040;\&#1089;&#1084;&#1077;&#1090;&#1099;%20&#1052;&#1047;%202020\&#1056;&#1057;%20(&#1054;&#1082;&#1088;&#1072;&#1089;&#1082;&#1072;%20&#1089;&#1082;&#1072;&#1084;&#1077;&#1077;&#1082;)%20&#1087;&#1072;&#1088;&#1082;&#1080;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vbuh\&#1086;&#1073;&#1084;&#1077;&#1085;\&#1076;&#1083;&#1103;%20&#1053;&#1080;&#1085;&#1099;%20&#1048;&#1074;&#1072;&#1085;&#1086;&#1074;&#1085;&#1099;\&#1057;&#1084;&#1077;&#1090;&#1099;%20&#1079;&#1072;%202018-19%20&#1086;&#1090;%20&#1057;.&#1058;.&#1040;\&#1089;&#1084;&#1077;&#1090;&#1099;%20&#1052;&#1047;%202020\&#1055;&#1051;&#1071;&#1046;\&#1056;&#1057;%20&#1086;&#1082;&#1088;.&#1091;&#1088;&#1085;%20(&#1087;&#1083;&#1103;&#1078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vbuh\&#1086;&#1073;&#1084;&#1077;&#1085;\&#1076;&#1083;&#1103;%20&#1053;&#1080;&#1085;&#1099;%20&#1048;&#1074;&#1072;&#1085;&#1086;&#1074;&#1085;&#1099;\&#1057;&#1084;&#1077;&#1090;&#1099;%20&#1079;&#1072;%202018-19%20&#1086;&#1090;%20&#1057;.&#1058;.&#1040;\&#1089;&#1084;&#1077;&#1090;&#1099;%20&#1052;&#1047;%202020\&#1056;&#1057;%20(&#1088;&#1077;&#1084;,&#1086;&#1082;&#1088;.&#1073;&#1077;&#1090;%20&#1080;%20&#1076;&#1077;&#1088;%20&#1091;&#1088;&#1085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vbuh\&#1086;&#1073;&#1084;&#1077;&#1085;\&#1076;&#1083;&#1103;%20&#1053;&#1080;&#1085;&#1099;%20&#1048;&#1074;&#1072;&#1085;&#1086;&#1074;&#1085;&#1099;\&#1057;&#1084;&#1077;&#1090;&#1099;%20&#1079;&#1072;%202018-19%20&#1086;&#1090;%20&#1057;.&#1058;.&#1040;\&#1089;&#1084;&#1077;&#1090;&#1099;%20&#1052;&#1047;%202020\&#1055;&#1051;&#1071;&#1046;\&#1056;&#1057;%20&#1056;&#1077;&#1084;.&#1089;&#1082;&#1072;&#1084;&#1077;&#1077;&#1082;(&#1087;&#1083;&#1103;&#1078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vbuh\&#1086;&#1073;&#1084;&#1077;&#1085;\&#1076;&#1083;&#1103;%20&#1053;&#1080;&#1085;&#1099;%20&#1048;&#1074;&#1072;&#1085;&#1086;&#1074;&#1085;&#1099;\&#1057;&#1084;&#1077;&#1090;&#1099;%20&#1079;&#1072;%202018-19%20&#1086;&#1090;%20&#1057;.&#1058;.&#1040;\&#1089;&#1084;&#1077;&#1090;&#1099;%20&#1052;&#1047;%202020\&#1056;&#1057;%20(&#1088;&#1077;&#1084;,&#1086;&#1082;&#1088;.&#1084;&#1077;&#1090;&#1091;&#1088;&#1085;)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лка 1-38, 138, 139"/>
      <sheetName val="косьба 53-55"/>
      <sheetName val="м.п. 39,40,56-65,68-86, 100,130"/>
      <sheetName val="комплекс. по уходу 87-91"/>
      <sheetName val="живая изгородь 41-52,72"/>
      <sheetName val="тротуары (зима)103,105,106,112"/>
      <sheetName val="тротуары мех. (лето)104,73"/>
      <sheetName val="трот. руч, убо лет 107,108, 127"/>
      <sheetName val="газоны 109-110"/>
      <sheetName val="урн пляж 96 111"/>
      <sheetName val="Прейскурант"/>
      <sheetName val="уборка 74-85,92,93, 133, 134"/>
      <sheetName val="корты, ливневка 113-119"/>
      <sheetName val="дороги 101,102,120"/>
      <sheetName val="цвет66,67,71,124,125,94-96,72"/>
      <sheetName val="Минполосы 121-123-132"/>
      <sheetName val="флаги"/>
      <sheetName val="валка 1-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1">
          <cell r="E11">
            <v>275.57</v>
          </cell>
        </row>
        <row r="12">
          <cell r="E12">
            <v>443.54040000000003</v>
          </cell>
        </row>
        <row r="13">
          <cell r="E13">
            <v>981.98479999999972</v>
          </cell>
        </row>
        <row r="14">
          <cell r="E14">
            <v>1649.3200000000002</v>
          </cell>
        </row>
        <row r="15">
          <cell r="E15">
            <v>2314.6799999999998</v>
          </cell>
        </row>
        <row r="16">
          <cell r="E16">
            <v>2970.2122000000004</v>
          </cell>
        </row>
        <row r="17">
          <cell r="E17">
            <v>3768.9100000000003</v>
          </cell>
        </row>
        <row r="18">
          <cell r="E18">
            <v>4104.51</v>
          </cell>
        </row>
        <row r="20">
          <cell r="E20">
            <v>9895.92</v>
          </cell>
        </row>
        <row r="22">
          <cell r="E22">
            <v>13881.75</v>
          </cell>
        </row>
        <row r="24">
          <cell r="E24">
            <v>5243.29</v>
          </cell>
        </row>
        <row r="26">
          <cell r="E26">
            <v>13108.279999999999</v>
          </cell>
        </row>
        <row r="28">
          <cell r="E28">
            <v>22814.39</v>
          </cell>
        </row>
        <row r="30">
          <cell r="E30">
            <v>861.30000000000007</v>
          </cell>
        </row>
        <row r="31">
          <cell r="E31">
            <v>1297.8800000000001</v>
          </cell>
        </row>
        <row r="32">
          <cell r="E32">
            <v>986.36000000000013</v>
          </cell>
        </row>
        <row r="33">
          <cell r="E33">
            <v>1702.43</v>
          </cell>
        </row>
        <row r="34">
          <cell r="E34">
            <v>1178.6100000000001</v>
          </cell>
        </row>
        <row r="35">
          <cell r="E35">
            <v>1986.9600000000003</v>
          </cell>
        </row>
        <row r="36">
          <cell r="E36">
            <v>4242.6899999999996</v>
          </cell>
        </row>
        <row r="37">
          <cell r="E37">
            <v>3437.3999999999996</v>
          </cell>
        </row>
        <row r="38">
          <cell r="E38">
            <v>1680.6899999999998</v>
          </cell>
        </row>
        <row r="39">
          <cell r="E39">
            <v>1419.5696000000003</v>
          </cell>
        </row>
        <row r="40">
          <cell r="E40">
            <v>1249.4699999999998</v>
          </cell>
        </row>
        <row r="46">
          <cell r="E46">
            <v>1032.8969999999999</v>
          </cell>
        </row>
        <row r="50">
          <cell r="E50">
            <v>96.013443600000016</v>
          </cell>
        </row>
        <row r="51">
          <cell r="E51">
            <v>26.409755999999998</v>
          </cell>
        </row>
        <row r="52">
          <cell r="E52">
            <v>55.028099999999995</v>
          </cell>
        </row>
        <row r="53">
          <cell r="E53">
            <v>91.515800000000013</v>
          </cell>
        </row>
        <row r="55">
          <cell r="E55">
            <v>57.303700000000006</v>
          </cell>
        </row>
        <row r="56">
          <cell r="E56">
            <v>95.366916000000003</v>
          </cell>
        </row>
        <row r="70">
          <cell r="E70">
            <v>17.637599999999999</v>
          </cell>
        </row>
        <row r="74">
          <cell r="E74">
            <v>32.415000000000006</v>
          </cell>
        </row>
        <row r="76">
          <cell r="E76">
            <v>10.334060629600001</v>
          </cell>
        </row>
        <row r="81">
          <cell r="E81">
            <v>74.575100000000006</v>
          </cell>
        </row>
        <row r="83">
          <cell r="E83">
            <v>60.610099999999981</v>
          </cell>
        </row>
        <row r="94">
          <cell r="E94">
            <v>0.77099999999999991</v>
          </cell>
        </row>
        <row r="97">
          <cell r="E97">
            <v>431.96999999999997</v>
          </cell>
        </row>
        <row r="99">
          <cell r="E99">
            <v>230.41812000000002</v>
          </cell>
        </row>
        <row r="112">
          <cell r="E112">
            <v>13.336604200000002</v>
          </cell>
        </row>
        <row r="113">
          <cell r="E113">
            <v>549.9316</v>
          </cell>
        </row>
        <row r="114">
          <cell r="E114">
            <v>556.98599999999999</v>
          </cell>
        </row>
        <row r="115">
          <cell r="E115">
            <v>532.35</v>
          </cell>
        </row>
        <row r="117">
          <cell r="E117">
            <v>6.3530959999999999</v>
          </cell>
        </row>
        <row r="118">
          <cell r="E118">
            <v>2.5973336000000007</v>
          </cell>
        </row>
        <row r="119">
          <cell r="E119">
            <v>7.36564</v>
          </cell>
        </row>
        <row r="120">
          <cell r="E120">
            <v>4.5071599999999998</v>
          </cell>
        </row>
        <row r="122">
          <cell r="E122">
            <v>59.076476100000001</v>
          </cell>
        </row>
        <row r="123">
          <cell r="E123">
            <v>44.497844000000001</v>
          </cell>
        </row>
        <row r="125">
          <cell r="E125">
            <v>12.02</v>
          </cell>
        </row>
        <row r="126">
          <cell r="E126">
            <v>7.09</v>
          </cell>
        </row>
        <row r="128">
          <cell r="E128">
            <v>3.78</v>
          </cell>
        </row>
        <row r="134">
          <cell r="E134">
            <v>2.66</v>
          </cell>
        </row>
        <row r="137">
          <cell r="E137">
            <v>6.54</v>
          </cell>
        </row>
        <row r="138">
          <cell r="E138">
            <v>3.7</v>
          </cell>
        </row>
        <row r="140">
          <cell r="E140">
            <v>1.81</v>
          </cell>
        </row>
        <row r="146">
          <cell r="E146">
            <v>1.62</v>
          </cell>
        </row>
        <row r="147">
          <cell r="E147">
            <v>1.1499999999999999</v>
          </cell>
        </row>
        <row r="149">
          <cell r="E149">
            <v>67.514259999999993</v>
          </cell>
        </row>
        <row r="150">
          <cell r="E150">
            <v>503.22239999999999</v>
          </cell>
        </row>
        <row r="151">
          <cell r="E151">
            <v>58.927599999999991</v>
          </cell>
        </row>
        <row r="152">
          <cell r="E152">
            <v>1387.45591272</v>
          </cell>
        </row>
        <row r="153">
          <cell r="E153">
            <v>285.364036</v>
          </cell>
        </row>
        <row r="154">
          <cell r="E154">
            <v>3539.7561496200001</v>
          </cell>
        </row>
        <row r="156">
          <cell r="E156">
            <v>8385.51</v>
          </cell>
        </row>
        <row r="158">
          <cell r="E158">
            <v>965.09999999999991</v>
          </cell>
        </row>
        <row r="159">
          <cell r="E159">
            <v>386.03999999999996</v>
          </cell>
        </row>
        <row r="160">
          <cell r="E160">
            <v>966.51886000000002</v>
          </cell>
        </row>
        <row r="162">
          <cell r="E162">
            <v>94.797512000000012</v>
          </cell>
        </row>
        <row r="165">
          <cell r="E165">
            <v>11.05</v>
          </cell>
        </row>
      </sheetData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41">
          <cell r="G41">
            <v>3718.2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Лист1"/>
    </sheetNames>
    <sheetDataSet>
      <sheetData sheetId="0"/>
      <sheetData sheetId="1">
        <row r="54">
          <cell r="G54">
            <v>320098.09000000003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80">
          <cell r="G80">
            <v>127440.74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>
        <row r="49">
          <cell r="G49">
            <v>197856.26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110">
          <cell r="G110">
            <v>122938.2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46">
          <cell r="G46">
            <v>214675.03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69">
          <cell r="G69">
            <v>63645.59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54">
          <cell r="G54">
            <v>9409.92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71">
          <cell r="G71">
            <v>9827.7000000000007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50">
          <cell r="G50">
            <v>3876.7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69">
          <cell r="G69">
            <v>63645.59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тр.1_3"/>
      <sheetName val="стр.4_6"/>
      <sheetName val="Проект МЗ, старая форма"/>
      <sheetName val="Приложение 2020"/>
      <sheetName val="Приложение 7 2020"/>
      <sheetName val="Приложение 2"/>
      <sheetName val="2021"/>
      <sheetName val="2022"/>
    </sheetNames>
    <sheetDataSet>
      <sheetData sheetId="0">
        <row r="41">
          <cell r="G41">
            <v>3718.2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223">
          <cell r="G223">
            <v>110807.97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155">
          <cell r="G155" t="str">
            <v>158 507,16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тр.1_3"/>
      <sheetName val="стр.4_6"/>
      <sheetName val="Проект МЗ, старая форма"/>
      <sheetName val="Приложение 2020"/>
      <sheetName val="Приложение 7 2020"/>
      <sheetName val="Приложение 2"/>
      <sheetName val="2021"/>
      <sheetName val="2022"/>
    </sheetNames>
    <sheetDataSet>
      <sheetData sheetId="0">
        <row r="91">
          <cell r="G91" t="str">
            <v>588 789,98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144">
          <cell r="G144">
            <v>49416.29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83">
          <cell r="G83">
            <v>13260.21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78">
          <cell r="G78">
            <v>35078.21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54">
          <cell r="G54">
            <v>9409.92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59">
          <cell r="G59">
            <v>146419.63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71">
          <cell r="G71">
            <v>9827.7000000000007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81">
          <cell r="G81">
            <v>18431.689999999999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50">
          <cell r="G50">
            <v>3876.7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>
        <row r="58">
          <cell r="G58">
            <v>65421.919999999998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5"/>
  <sheetViews>
    <sheetView tabSelected="1" zoomScale="70" zoomScaleNormal="70" workbookViewId="0">
      <selection activeCell="K25" sqref="K25"/>
    </sheetView>
  </sheetViews>
  <sheetFormatPr defaultRowHeight="12.75" x14ac:dyDescent="0.2"/>
  <cols>
    <col min="1" max="1" width="10.85546875" style="405" customWidth="1"/>
    <col min="2" max="2" width="83" style="405" customWidth="1"/>
    <col min="3" max="3" width="13.42578125" style="405" customWidth="1"/>
    <col min="4" max="4" width="15" style="405" customWidth="1"/>
    <col min="5" max="5" width="13.5703125" style="405" customWidth="1"/>
    <col min="6" max="6" width="10.140625" style="405" customWidth="1"/>
    <col min="7" max="7" width="19.5703125" style="405" customWidth="1"/>
    <col min="8" max="8" width="9.140625" style="405"/>
    <col min="9" max="9" width="19.85546875" style="407" customWidth="1"/>
    <col min="10" max="10" width="17" style="407" customWidth="1"/>
    <col min="11" max="11" width="10.7109375" style="405" customWidth="1"/>
    <col min="12" max="16384" width="9.140625" style="405"/>
  </cols>
  <sheetData>
    <row r="1" spans="1:24" s="1" customFormat="1" ht="18.75" x14ac:dyDescent="0.3">
      <c r="A1" s="451" t="s">
        <v>7</v>
      </c>
      <c r="B1" s="451"/>
      <c r="C1" s="451"/>
      <c r="D1" s="451"/>
      <c r="E1" s="451"/>
      <c r="F1" s="451"/>
      <c r="G1" s="451"/>
      <c r="H1" s="451"/>
      <c r="I1" s="10"/>
      <c r="J1" s="10"/>
    </row>
    <row r="2" spans="1:24" s="1" customFormat="1" ht="18.75" x14ac:dyDescent="0.3">
      <c r="A2" s="451" t="s">
        <v>8</v>
      </c>
      <c r="B2" s="451"/>
      <c r="C2" s="451"/>
      <c r="D2" s="451"/>
      <c r="E2" s="451"/>
      <c r="F2" s="451"/>
      <c r="G2" s="451"/>
      <c r="H2" s="12"/>
      <c r="I2" s="10"/>
      <c r="J2" s="10"/>
    </row>
    <row r="3" spans="1:24" s="1" customFormat="1" ht="15.75" x14ac:dyDescent="0.25">
      <c r="G3" s="13"/>
      <c r="H3" s="13"/>
      <c r="I3" s="10">
        <f>I277</f>
        <v>2103111.9500000002</v>
      </c>
      <c r="J3" s="10"/>
    </row>
    <row r="4" spans="1:24" s="1" customFormat="1" ht="76.5" customHeight="1" x14ac:dyDescent="0.25">
      <c r="A4" s="334" t="s">
        <v>9</v>
      </c>
      <c r="B4" s="14" t="s">
        <v>10</v>
      </c>
      <c r="C4" s="14" t="s">
        <v>11</v>
      </c>
      <c r="D4" s="14" t="s">
        <v>12</v>
      </c>
      <c r="E4" s="14" t="s">
        <v>13</v>
      </c>
      <c r="F4" s="14" t="s">
        <v>14</v>
      </c>
      <c r="G4" s="14" t="s">
        <v>15</v>
      </c>
      <c r="H4" s="14" t="s">
        <v>16</v>
      </c>
      <c r="I4" s="371" t="s">
        <v>299</v>
      </c>
      <c r="J4" s="371" t="s">
        <v>491</v>
      </c>
    </row>
    <row r="5" spans="1:24" s="1" customFormat="1" ht="15.75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0"/>
      <c r="J5" s="10"/>
    </row>
    <row r="6" spans="1:24" s="1" customFormat="1" ht="22.5" customHeight="1" x14ac:dyDescent="0.25">
      <c r="A6" s="15"/>
      <c r="B6" s="16" t="s">
        <v>18</v>
      </c>
      <c r="C6" s="15"/>
      <c r="D6" s="15"/>
      <c r="E6" s="15"/>
      <c r="F6" s="15"/>
      <c r="G6" s="17">
        <f>G7+G247</f>
        <v>131618886.192</v>
      </c>
      <c r="H6" s="15"/>
      <c r="I6" s="10"/>
      <c r="J6" s="10"/>
    </row>
    <row r="7" spans="1:24" s="1" customFormat="1" ht="36" customHeight="1" x14ac:dyDescent="0.25">
      <c r="A7" s="20">
        <v>1</v>
      </c>
      <c r="B7" s="21" t="s">
        <v>422</v>
      </c>
      <c r="C7" s="14"/>
      <c r="D7" s="22"/>
      <c r="E7" s="23"/>
      <c r="F7" s="22"/>
      <c r="G7" s="24">
        <f>G8+G22+G60+G66+G180+G186+G203+G207+G210+G223+G240</f>
        <v>129365642.752</v>
      </c>
      <c r="H7" s="15"/>
      <c r="I7" s="25"/>
      <c r="J7" s="25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s="1" customFormat="1" ht="21.75" customHeight="1" x14ac:dyDescent="0.25">
      <c r="A8" s="349" t="s">
        <v>19</v>
      </c>
      <c r="B8" s="350" t="s">
        <v>423</v>
      </c>
      <c r="C8" s="351"/>
      <c r="D8" s="352">
        <f>D9+D16</f>
        <v>396145</v>
      </c>
      <c r="E8" s="353"/>
      <c r="F8" s="354"/>
      <c r="G8" s="355">
        <f>G9+G16</f>
        <v>27618154.75</v>
      </c>
      <c r="H8" s="356"/>
      <c r="I8" s="25">
        <f>G8/G6*I3</f>
        <v>441304.99028037442</v>
      </c>
      <c r="J8" s="25">
        <f>G8+I8</f>
        <v>28059459.740280375</v>
      </c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s="1" customFormat="1" ht="19.5" customHeight="1" x14ac:dyDescent="0.25">
      <c r="A9" s="27" t="s">
        <v>21</v>
      </c>
      <c r="B9" s="21" t="s">
        <v>424</v>
      </c>
      <c r="C9" s="28"/>
      <c r="D9" s="150">
        <f>D12+D13+D14+D15</f>
        <v>103286</v>
      </c>
      <c r="E9" s="334"/>
      <c r="F9" s="14"/>
      <c r="G9" s="132">
        <f>SUM(G10:G15)</f>
        <v>9668079.5399999972</v>
      </c>
      <c r="H9" s="15"/>
      <c r="I9" s="25"/>
      <c r="J9" s="25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s="1" customFormat="1" ht="20.100000000000001" customHeight="1" x14ac:dyDescent="0.25">
      <c r="A10" s="27"/>
      <c r="B10" s="46" t="s">
        <v>219</v>
      </c>
      <c r="C10" s="14" t="s">
        <v>23</v>
      </c>
      <c r="D10" s="168">
        <v>87556</v>
      </c>
      <c r="E10" s="361">
        <v>7.37</v>
      </c>
      <c r="F10" s="30">
        <v>5</v>
      </c>
      <c r="G10" s="60">
        <f>ROUND((D10*E10*F10),2)</f>
        <v>3226438.6</v>
      </c>
      <c r="H10" s="15">
        <v>103</v>
      </c>
      <c r="I10" s="25"/>
      <c r="J10" s="25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s="1" customFormat="1" ht="20.100000000000001" customHeight="1" x14ac:dyDescent="0.25">
      <c r="A11" s="27"/>
      <c r="B11" s="46" t="s">
        <v>220</v>
      </c>
      <c r="C11" s="14" t="s">
        <v>23</v>
      </c>
      <c r="D11" s="168">
        <f>11908+3157</f>
        <v>15065</v>
      </c>
      <c r="E11" s="361">
        <v>59.08</v>
      </c>
      <c r="F11" s="30">
        <v>5</v>
      </c>
      <c r="G11" s="60">
        <f t="shared" ref="G11:G15" si="0">ROUND((D11*E11*F11),2)</f>
        <v>4450201</v>
      </c>
      <c r="H11" s="15" t="s">
        <v>221</v>
      </c>
      <c r="I11" s="25"/>
      <c r="J11" s="25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s="1" customFormat="1" ht="20.100000000000001" customHeight="1" x14ac:dyDescent="0.25">
      <c r="A12" s="27"/>
      <c r="B12" s="46" t="s">
        <v>222</v>
      </c>
      <c r="C12" s="14" t="s">
        <v>23</v>
      </c>
      <c r="D12" s="168">
        <v>88263</v>
      </c>
      <c r="E12" s="361">
        <v>4.51</v>
      </c>
      <c r="F12" s="30">
        <v>2</v>
      </c>
      <c r="G12" s="60">
        <f t="shared" si="0"/>
        <v>796132.26</v>
      </c>
      <c r="H12" s="15">
        <v>104</v>
      </c>
      <c r="I12" s="25"/>
      <c r="J12" s="25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s="1" customFormat="1" ht="20.100000000000001" customHeight="1" x14ac:dyDescent="0.25">
      <c r="A13" s="27"/>
      <c r="B13" s="46" t="s">
        <v>223</v>
      </c>
      <c r="C13" s="14" t="s">
        <v>23</v>
      </c>
      <c r="D13" s="168">
        <f>10611+3157</f>
        <v>13768</v>
      </c>
      <c r="E13" s="361">
        <v>12.02</v>
      </c>
      <c r="F13" s="30">
        <v>7</v>
      </c>
      <c r="G13" s="60">
        <f t="shared" si="0"/>
        <v>1158439.52</v>
      </c>
      <c r="H13" s="15" t="s">
        <v>224</v>
      </c>
      <c r="I13" s="25"/>
      <c r="J13" s="25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s="1" customFormat="1" ht="20.100000000000001" customHeight="1" x14ac:dyDescent="0.25">
      <c r="A14" s="27"/>
      <c r="B14" s="46" t="s">
        <v>223</v>
      </c>
      <c r="C14" s="14" t="s">
        <v>23</v>
      </c>
      <c r="D14" s="168">
        <v>158</v>
      </c>
      <c r="E14" s="361">
        <v>7.09</v>
      </c>
      <c r="F14" s="30">
        <v>7</v>
      </c>
      <c r="G14" s="60">
        <f t="shared" si="0"/>
        <v>7841.54</v>
      </c>
      <c r="H14" s="15" t="s">
        <v>225</v>
      </c>
      <c r="I14" s="25"/>
      <c r="J14" s="25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s="1" customFormat="1" ht="20.100000000000001" customHeight="1" x14ac:dyDescent="0.25">
      <c r="A15" s="27"/>
      <c r="B15" s="46" t="s">
        <v>223</v>
      </c>
      <c r="C15" s="14" t="s">
        <v>23</v>
      </c>
      <c r="D15" s="168">
        <v>1097</v>
      </c>
      <c r="E15" s="361">
        <v>3.78</v>
      </c>
      <c r="F15" s="30">
        <v>7</v>
      </c>
      <c r="G15" s="60">
        <f t="shared" si="0"/>
        <v>29026.62</v>
      </c>
      <c r="H15" s="15" t="s">
        <v>226</v>
      </c>
      <c r="I15" s="25"/>
      <c r="J15" s="25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s="1" customFormat="1" ht="20.25" customHeight="1" x14ac:dyDescent="0.25">
      <c r="A16" s="27" t="s">
        <v>245</v>
      </c>
      <c r="B16" s="44" t="s">
        <v>246</v>
      </c>
      <c r="C16" s="14"/>
      <c r="D16" s="29">
        <f>D19+D20+D21</f>
        <v>292859</v>
      </c>
      <c r="E16" s="360"/>
      <c r="F16" s="176"/>
      <c r="G16" s="56">
        <f>SUM(G17:G21)</f>
        <v>17950075.210000001</v>
      </c>
      <c r="H16" s="15"/>
      <c r="I16" s="25"/>
      <c r="J16" s="25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s="1" customFormat="1" ht="24" customHeight="1" x14ac:dyDescent="0.25">
      <c r="A17" s="27"/>
      <c r="B17" s="36" t="s">
        <v>219</v>
      </c>
      <c r="C17" s="37" t="s">
        <v>23</v>
      </c>
      <c r="D17" s="101">
        <v>263573</v>
      </c>
      <c r="E17" s="362">
        <f>E10</f>
        <v>7.37</v>
      </c>
      <c r="F17" s="40">
        <v>5</v>
      </c>
      <c r="G17" s="97">
        <f>ROUND((D17*E17*F17),2)</f>
        <v>9712665.0500000007</v>
      </c>
      <c r="H17" s="42">
        <v>103</v>
      </c>
      <c r="I17" s="25"/>
      <c r="J17" s="25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s="1" customFormat="1" ht="20.25" customHeight="1" x14ac:dyDescent="0.25">
      <c r="A18" s="27"/>
      <c r="B18" s="36" t="s">
        <v>220</v>
      </c>
      <c r="C18" s="37" t="s">
        <v>23</v>
      </c>
      <c r="D18" s="101">
        <v>29286</v>
      </c>
      <c r="E18" s="362">
        <v>44.5</v>
      </c>
      <c r="F18" s="40">
        <v>4</v>
      </c>
      <c r="G18" s="97">
        <f t="shared" ref="G18:G21" si="1">ROUND((D18*E18*F18),2)</f>
        <v>5212908</v>
      </c>
      <c r="H18" s="42">
        <v>106</v>
      </c>
      <c r="I18" s="25"/>
      <c r="J18" s="25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s="1" customFormat="1" ht="21" customHeight="1" x14ac:dyDescent="0.25">
      <c r="A19" s="27"/>
      <c r="B19" s="36" t="s">
        <v>222</v>
      </c>
      <c r="C19" s="37" t="s">
        <v>23</v>
      </c>
      <c r="D19" s="101">
        <v>243994</v>
      </c>
      <c r="E19" s="362">
        <f>E12</f>
        <v>4.51</v>
      </c>
      <c r="F19" s="40">
        <v>2</v>
      </c>
      <c r="G19" s="97">
        <f t="shared" si="1"/>
        <v>2200825.88</v>
      </c>
      <c r="H19" s="42">
        <v>104</v>
      </c>
      <c r="I19" s="25"/>
      <c r="J19" s="25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s="1" customFormat="1" ht="21" customHeight="1" x14ac:dyDescent="0.25">
      <c r="A20" s="27"/>
      <c r="B20" s="36" t="s">
        <v>223</v>
      </c>
      <c r="C20" s="37" t="s">
        <v>23</v>
      </c>
      <c r="D20" s="101">
        <v>32226</v>
      </c>
      <c r="E20" s="362">
        <v>2.66</v>
      </c>
      <c r="F20" s="40">
        <v>7</v>
      </c>
      <c r="G20" s="97">
        <f t="shared" si="1"/>
        <v>600048.12</v>
      </c>
      <c r="H20" s="42" t="s">
        <v>239</v>
      </c>
      <c r="I20" s="25"/>
      <c r="J20" s="25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s="1" customFormat="1" ht="18.75" customHeight="1" x14ac:dyDescent="0.25">
      <c r="A21" s="27"/>
      <c r="B21" s="36" t="s">
        <v>223</v>
      </c>
      <c r="C21" s="37" t="s">
        <v>23</v>
      </c>
      <c r="D21" s="101">
        <v>16639</v>
      </c>
      <c r="E21" s="362">
        <v>1.92</v>
      </c>
      <c r="F21" s="40">
        <v>7</v>
      </c>
      <c r="G21" s="97">
        <f t="shared" si="1"/>
        <v>223628.16</v>
      </c>
      <c r="H21" s="42" t="s">
        <v>248</v>
      </c>
      <c r="I21" s="25"/>
      <c r="J21" s="25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s="1" customFormat="1" ht="21.75" customHeight="1" x14ac:dyDescent="0.25">
      <c r="A22" s="349" t="s">
        <v>169</v>
      </c>
      <c r="B22" s="350" t="s">
        <v>425</v>
      </c>
      <c r="C22" s="351"/>
      <c r="D22" s="352">
        <f>D23+D27+D32+D39</f>
        <v>1414689</v>
      </c>
      <c r="E22" s="353"/>
      <c r="F22" s="354"/>
      <c r="G22" s="355">
        <f>G23+G27+G32+G39+G48+G55</f>
        <v>29528585.579999994</v>
      </c>
      <c r="H22" s="356"/>
      <c r="I22" s="25">
        <f>G22/G6*I3</f>
        <v>471831.3837522075</v>
      </c>
      <c r="J22" s="25">
        <f>G22+I22</f>
        <v>30000416.963752203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s="1" customFormat="1" ht="15.75" x14ac:dyDescent="0.25">
      <c r="A23" s="27" t="s">
        <v>171</v>
      </c>
      <c r="B23" s="44" t="s">
        <v>136</v>
      </c>
      <c r="C23" s="45" t="s">
        <v>23</v>
      </c>
      <c r="D23" s="29">
        <f>D24+D25+D26</f>
        <v>167657</v>
      </c>
      <c r="E23" s="149"/>
      <c r="F23" s="29"/>
      <c r="G23" s="56">
        <f>SUM(G24:G26)</f>
        <v>6144031.3899999997</v>
      </c>
      <c r="H23" s="15"/>
      <c r="I23" s="25"/>
      <c r="J23" s="25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s="1" customFormat="1" ht="17.25" customHeight="1" x14ac:dyDescent="0.25">
      <c r="A24" s="27"/>
      <c r="B24" s="46" t="s">
        <v>228</v>
      </c>
      <c r="C24" s="14" t="s">
        <v>23</v>
      </c>
      <c r="D24" s="33">
        <v>111910</v>
      </c>
      <c r="E24" s="361">
        <v>6.54</v>
      </c>
      <c r="F24" s="30">
        <v>7</v>
      </c>
      <c r="G24" s="60">
        <f>ROUND((D24*E24*F24),2)</f>
        <v>5123239.8</v>
      </c>
      <c r="H24" s="15" t="s">
        <v>229</v>
      </c>
      <c r="I24" s="25"/>
      <c r="J24" s="25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s="1" customFormat="1" ht="19.5" customHeight="1" x14ac:dyDescent="0.25">
      <c r="A25" s="27"/>
      <c r="B25" s="46" t="s">
        <v>228</v>
      </c>
      <c r="C25" s="14" t="s">
        <v>23</v>
      </c>
      <c r="D25" s="33">
        <v>23770</v>
      </c>
      <c r="E25" s="361">
        <v>3.7</v>
      </c>
      <c r="F25" s="30">
        <v>7</v>
      </c>
      <c r="G25" s="60">
        <f>ROUND((D25*E25*F25),2)</f>
        <v>615643</v>
      </c>
      <c r="H25" s="15" t="s">
        <v>230</v>
      </c>
      <c r="I25" s="25"/>
      <c r="J25" s="25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s="1" customFormat="1" ht="18" customHeight="1" x14ac:dyDescent="0.25">
      <c r="A26" s="27"/>
      <c r="B26" s="46" t="s">
        <v>228</v>
      </c>
      <c r="C26" s="14" t="s">
        <v>23</v>
      </c>
      <c r="D26" s="33">
        <v>31977</v>
      </c>
      <c r="E26" s="361">
        <v>1.81</v>
      </c>
      <c r="F26" s="30">
        <v>7</v>
      </c>
      <c r="G26" s="60">
        <f>ROUND((D26*E26*F26),2)</f>
        <v>405148.59</v>
      </c>
      <c r="H26" s="15" t="s">
        <v>231</v>
      </c>
      <c r="I26" s="25"/>
      <c r="J26" s="25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s="1" customFormat="1" ht="15.75" x14ac:dyDescent="0.25">
      <c r="A27" s="27" t="s">
        <v>173</v>
      </c>
      <c r="B27" s="44" t="s">
        <v>250</v>
      </c>
      <c r="C27" s="28" t="s">
        <v>23</v>
      </c>
      <c r="D27" s="179">
        <f>D28+D29</f>
        <v>874622</v>
      </c>
      <c r="E27" s="361"/>
      <c r="F27" s="30"/>
      <c r="G27" s="56">
        <f>SUM(G28:G31)</f>
        <v>9123353.5499999989</v>
      </c>
      <c r="H27" s="15"/>
      <c r="I27" s="25"/>
      <c r="J27" s="25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s="1" customFormat="1" ht="20.25" customHeight="1" x14ac:dyDescent="0.25">
      <c r="A28" s="27"/>
      <c r="B28" s="36" t="s">
        <v>228</v>
      </c>
      <c r="C28" s="37" t="s">
        <v>23</v>
      </c>
      <c r="D28" s="101">
        <v>527873</v>
      </c>
      <c r="E28" s="362">
        <v>1.62</v>
      </c>
      <c r="F28" s="40">
        <v>7</v>
      </c>
      <c r="G28" s="97">
        <f>ROUND((D28*E28*F28),2)</f>
        <v>5986079.8200000003</v>
      </c>
      <c r="H28" s="42" t="s">
        <v>241</v>
      </c>
      <c r="I28" s="25"/>
      <c r="J28" s="25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s="1" customFormat="1" ht="21.75" customHeight="1" x14ac:dyDescent="0.25">
      <c r="A29" s="27"/>
      <c r="B29" s="36" t="s">
        <v>228</v>
      </c>
      <c r="C29" s="37" t="s">
        <v>23</v>
      </c>
      <c r="D29" s="101">
        <v>346749</v>
      </c>
      <c r="E29" s="362">
        <v>1.1499999999999999</v>
      </c>
      <c r="F29" s="40">
        <v>7</v>
      </c>
      <c r="G29" s="97">
        <f>ROUND((D29*E29*F29),2)</f>
        <v>2791329.45</v>
      </c>
      <c r="H29" s="42" t="s">
        <v>242</v>
      </c>
      <c r="I29" s="25"/>
      <c r="J29" s="25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s="1" customFormat="1" ht="33.75" customHeight="1" x14ac:dyDescent="0.25">
      <c r="A30" s="57"/>
      <c r="B30" s="180" t="s">
        <v>251</v>
      </c>
      <c r="C30" s="37" t="s">
        <v>23</v>
      </c>
      <c r="D30" s="181">
        <v>359518.28</v>
      </c>
      <c r="E30" s="41">
        <v>0.77</v>
      </c>
      <c r="F30" s="37"/>
      <c r="G30" s="97">
        <f>ROUND((D30*E30*1),2)</f>
        <v>276829.08</v>
      </c>
      <c r="H30" s="42">
        <v>78</v>
      </c>
      <c r="I30" s="25"/>
      <c r="J30" s="25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s="1" customFormat="1" ht="24" customHeight="1" x14ac:dyDescent="0.25">
      <c r="A31" s="57"/>
      <c r="B31" s="180" t="s">
        <v>252</v>
      </c>
      <c r="C31" s="37" t="s">
        <v>72</v>
      </c>
      <c r="D31" s="38">
        <v>160</v>
      </c>
      <c r="E31" s="41">
        <v>431.97</v>
      </c>
      <c r="F31" s="37"/>
      <c r="G31" s="97">
        <f>ROUND((D31*E31*1),2)</f>
        <v>69115.199999999997</v>
      </c>
      <c r="H31" s="42">
        <v>81</v>
      </c>
      <c r="I31" s="25"/>
      <c r="J31" s="25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s="1" customFormat="1" ht="18" customHeight="1" x14ac:dyDescent="0.25">
      <c r="A32" s="27" t="s">
        <v>426</v>
      </c>
      <c r="B32" s="44" t="s">
        <v>427</v>
      </c>
      <c r="C32" s="28" t="s">
        <v>23</v>
      </c>
      <c r="D32" s="29">
        <f>D33+D35+D36+D38</f>
        <v>324269</v>
      </c>
      <c r="E32" s="334"/>
      <c r="F32" s="30"/>
      <c r="G32" s="31">
        <f>G33+G34+G35+G36+G37+G38</f>
        <v>2139864.08</v>
      </c>
      <c r="H32" s="15"/>
      <c r="I32" s="25"/>
      <c r="J32" s="25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s="1" customFormat="1" ht="21.75" customHeight="1" x14ac:dyDescent="0.25">
      <c r="A33" s="27"/>
      <c r="B33" s="32" t="s">
        <v>24</v>
      </c>
      <c r="C33" s="14" t="s">
        <v>23</v>
      </c>
      <c r="D33" s="33">
        <v>199638</v>
      </c>
      <c r="E33" s="82">
        <v>3.5</v>
      </c>
      <c r="F33" s="30">
        <v>1</v>
      </c>
      <c r="G33" s="35">
        <f>ROUND((D33*E33*F33),2)</f>
        <v>698733</v>
      </c>
      <c r="H33" s="15">
        <v>53</v>
      </c>
      <c r="I33" s="25"/>
      <c r="J33" s="25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s="1" customFormat="1" ht="21.75" customHeight="1" x14ac:dyDescent="0.25">
      <c r="A34" s="27"/>
      <c r="B34" s="32" t="s">
        <v>25</v>
      </c>
      <c r="C34" s="14" t="s">
        <v>23</v>
      </c>
      <c r="D34" s="33">
        <v>205238</v>
      </c>
      <c r="E34" s="82">
        <v>0.91</v>
      </c>
      <c r="F34" s="30">
        <v>1</v>
      </c>
      <c r="G34" s="35">
        <f t="shared" ref="G34:G38" si="2">ROUND((D34*E34*F34),2)</f>
        <v>186766.58</v>
      </c>
      <c r="H34" s="15">
        <v>55</v>
      </c>
      <c r="I34" s="25"/>
      <c r="J34" s="25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s="1" customFormat="1" ht="22.5" customHeight="1" x14ac:dyDescent="0.25">
      <c r="A35" s="27"/>
      <c r="B35" s="32" t="s">
        <v>28</v>
      </c>
      <c r="C35" s="14" t="s">
        <v>23</v>
      </c>
      <c r="D35" s="33">
        <v>5600</v>
      </c>
      <c r="E35" s="82">
        <f>E33</f>
        <v>3.5</v>
      </c>
      <c r="F35" s="30">
        <v>2</v>
      </c>
      <c r="G35" s="35">
        <f t="shared" si="2"/>
        <v>39200</v>
      </c>
      <c r="H35" s="15">
        <v>53</v>
      </c>
      <c r="I35" s="25"/>
      <c r="J35" s="25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s="1" customFormat="1" ht="21" customHeight="1" x14ac:dyDescent="0.25">
      <c r="A36" s="27"/>
      <c r="B36" s="32" t="s">
        <v>29</v>
      </c>
      <c r="C36" s="14" t="s">
        <v>23</v>
      </c>
      <c r="D36" s="33">
        <v>104731</v>
      </c>
      <c r="E36" s="149">
        <v>5.9</v>
      </c>
      <c r="F36" s="30">
        <v>1</v>
      </c>
      <c r="G36" s="35">
        <f t="shared" si="2"/>
        <v>617912.9</v>
      </c>
      <c r="H36" s="15">
        <v>54</v>
      </c>
      <c r="I36" s="25"/>
      <c r="J36" s="25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s="1" customFormat="1" ht="21.75" customHeight="1" x14ac:dyDescent="0.25">
      <c r="A37" s="27"/>
      <c r="B37" s="32" t="s">
        <v>30</v>
      </c>
      <c r="C37" s="14" t="s">
        <v>23</v>
      </c>
      <c r="D37" s="33">
        <v>119031</v>
      </c>
      <c r="E37" s="149">
        <v>3.6</v>
      </c>
      <c r="F37" s="30">
        <v>1</v>
      </c>
      <c r="G37" s="35">
        <f t="shared" si="2"/>
        <v>428511.6</v>
      </c>
      <c r="H37" s="15" t="s">
        <v>31</v>
      </c>
      <c r="I37" s="25"/>
      <c r="J37" s="25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s="1" customFormat="1" ht="23.25" customHeight="1" x14ac:dyDescent="0.25">
      <c r="A38" s="27"/>
      <c r="B38" s="32" t="s">
        <v>32</v>
      </c>
      <c r="C38" s="14" t="s">
        <v>23</v>
      </c>
      <c r="D38" s="33">
        <v>14300</v>
      </c>
      <c r="E38" s="149">
        <f>E36</f>
        <v>5.9</v>
      </c>
      <c r="F38" s="30">
        <v>2</v>
      </c>
      <c r="G38" s="35">
        <f t="shared" si="2"/>
        <v>168740</v>
      </c>
      <c r="H38" s="15">
        <v>54</v>
      </c>
      <c r="I38" s="25"/>
      <c r="J38" s="25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s="1" customFormat="1" ht="18.75" customHeight="1" x14ac:dyDescent="0.25">
      <c r="A39" s="27" t="s">
        <v>430</v>
      </c>
      <c r="B39" s="44" t="s">
        <v>431</v>
      </c>
      <c r="C39" s="28" t="s">
        <v>23</v>
      </c>
      <c r="D39" s="29">
        <f>D41+D42+D46</f>
        <v>48141</v>
      </c>
      <c r="E39" s="334"/>
      <c r="F39" s="30"/>
      <c r="G39" s="31">
        <f>SUM(G40:G47)</f>
        <v>4640566.9000000004</v>
      </c>
      <c r="H39" s="15"/>
      <c r="I39" s="25"/>
      <c r="J39" s="25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s="1" customFormat="1" ht="21" customHeight="1" x14ac:dyDescent="0.25">
      <c r="A40" s="27"/>
      <c r="B40" s="32" t="s">
        <v>140</v>
      </c>
      <c r="C40" s="14" t="s">
        <v>23</v>
      </c>
      <c r="D40" s="33">
        <v>29600</v>
      </c>
      <c r="E40" s="149">
        <v>5.9</v>
      </c>
      <c r="F40" s="30">
        <v>3</v>
      </c>
      <c r="G40" s="35">
        <f>ROUND((D40*E40*F40),2)</f>
        <v>523920</v>
      </c>
      <c r="H40" s="15">
        <v>54</v>
      </c>
      <c r="I40" s="25"/>
      <c r="J40" s="25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s="1" customFormat="1" ht="21" customHeight="1" x14ac:dyDescent="0.25">
      <c r="A41" s="27"/>
      <c r="B41" s="32" t="s">
        <v>140</v>
      </c>
      <c r="C41" s="14" t="s">
        <v>23</v>
      </c>
      <c r="D41" s="33">
        <v>80</v>
      </c>
      <c r="E41" s="149">
        <v>5.9</v>
      </c>
      <c r="F41" s="30">
        <v>3</v>
      </c>
      <c r="G41" s="35">
        <f>ROUND((D41*E41*F41),2)</f>
        <v>1416</v>
      </c>
      <c r="H41" s="15">
        <v>54</v>
      </c>
      <c r="I41" s="25"/>
      <c r="J41" s="25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s="1" customFormat="1" ht="21" customHeight="1" x14ac:dyDescent="0.25">
      <c r="A42" s="27"/>
      <c r="B42" s="32" t="s">
        <v>32</v>
      </c>
      <c r="C42" s="14" t="s">
        <v>23</v>
      </c>
      <c r="D42" s="33">
        <v>36732</v>
      </c>
      <c r="E42" s="149">
        <v>5.9</v>
      </c>
      <c r="F42" s="30">
        <v>2</v>
      </c>
      <c r="G42" s="35">
        <f>ROUND((D42*E42*F42),2)</f>
        <v>433437.6</v>
      </c>
      <c r="H42" s="15">
        <v>54</v>
      </c>
      <c r="I42" s="25"/>
      <c r="J42" s="25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s="1" customFormat="1" ht="21" customHeight="1" x14ac:dyDescent="0.25">
      <c r="A43" s="27"/>
      <c r="B43" s="32" t="s">
        <v>32</v>
      </c>
      <c r="C43" s="14" t="s">
        <v>23</v>
      </c>
      <c r="D43" s="33">
        <v>3690</v>
      </c>
      <c r="E43" s="149">
        <v>5.9</v>
      </c>
      <c r="F43" s="30">
        <v>2</v>
      </c>
      <c r="G43" s="35">
        <f>ROUND((D43*E43*F43),2)</f>
        <v>43542</v>
      </c>
      <c r="H43" s="15">
        <v>54</v>
      </c>
      <c r="I43" s="25"/>
      <c r="J43" s="25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s="1" customFormat="1" ht="20.25" customHeight="1" x14ac:dyDescent="0.25">
      <c r="A44" s="27"/>
      <c r="B44" s="46" t="s">
        <v>138</v>
      </c>
      <c r="C44" s="14" t="s">
        <v>23</v>
      </c>
      <c r="D44" s="33">
        <v>2500</v>
      </c>
      <c r="E44" s="149">
        <f>E41</f>
        <v>5.9</v>
      </c>
      <c r="F44" s="14">
        <v>5</v>
      </c>
      <c r="G44" s="62">
        <f t="shared" ref="G44" si="3">ROUND((D44*E44*F44),2)</f>
        <v>73750</v>
      </c>
      <c r="H44" s="15">
        <v>54</v>
      </c>
      <c r="I44" s="25"/>
      <c r="J44" s="25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s="1" customFormat="1" ht="21.75" customHeight="1" x14ac:dyDescent="0.25">
      <c r="A45" s="27"/>
      <c r="B45" s="32" t="s">
        <v>30</v>
      </c>
      <c r="C45" s="14" t="s">
        <v>23</v>
      </c>
      <c r="D45" s="33">
        <v>70022</v>
      </c>
      <c r="E45" s="149">
        <v>3.6</v>
      </c>
      <c r="F45" s="30">
        <v>1</v>
      </c>
      <c r="G45" s="35">
        <f>ROUND((D45*E45*F45),2)</f>
        <v>252079.2</v>
      </c>
      <c r="H45" s="15" t="s">
        <v>31</v>
      </c>
      <c r="I45" s="25"/>
      <c r="J45" s="25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s="1" customFormat="1" ht="20.25" customHeight="1" x14ac:dyDescent="0.25">
      <c r="A46" s="27"/>
      <c r="B46" s="49" t="s">
        <v>139</v>
      </c>
      <c r="C46" s="50" t="s">
        <v>23</v>
      </c>
      <c r="D46" s="51">
        <v>11329</v>
      </c>
      <c r="E46" s="66">
        <v>37.35</v>
      </c>
      <c r="F46" s="50">
        <v>6</v>
      </c>
      <c r="G46" s="68">
        <f t="shared" ref="G46:G47" si="4">ROUND((D46*E46*F46),2)</f>
        <v>2538828.9</v>
      </c>
      <c r="H46" s="54">
        <v>129</v>
      </c>
      <c r="I46" s="25"/>
      <c r="J46" s="25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s="1" customFormat="1" ht="20.25" customHeight="1" x14ac:dyDescent="0.25">
      <c r="A47" s="27"/>
      <c r="B47" s="32" t="s">
        <v>139</v>
      </c>
      <c r="C47" s="63" t="s">
        <v>23</v>
      </c>
      <c r="D47" s="7">
        <v>3452</v>
      </c>
      <c r="E47" s="82">
        <v>37.35</v>
      </c>
      <c r="F47" s="63">
        <v>6</v>
      </c>
      <c r="G47" s="35">
        <f t="shared" si="4"/>
        <v>773593.2</v>
      </c>
      <c r="H47" s="4">
        <v>129</v>
      </c>
      <c r="I47" s="25"/>
      <c r="J47" s="25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s="1" customFormat="1" ht="19.5" customHeight="1" x14ac:dyDescent="0.25">
      <c r="A48" s="27" t="s">
        <v>456</v>
      </c>
      <c r="B48" s="21" t="s">
        <v>438</v>
      </c>
      <c r="C48" s="28" t="s">
        <v>23</v>
      </c>
      <c r="D48" s="29">
        <f>D49+D51+D53+D54</f>
        <v>157028</v>
      </c>
      <c r="E48" s="334"/>
      <c r="F48" s="30"/>
      <c r="G48" s="31">
        <f>G49+G50+G51+G52+G53+G54</f>
        <v>2002531.82</v>
      </c>
      <c r="H48" s="15"/>
      <c r="I48" s="25"/>
      <c r="J48" s="25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s="1" customFormat="1" ht="22.5" customHeight="1" x14ac:dyDescent="0.25">
      <c r="A49" s="27"/>
      <c r="B49" s="32" t="s">
        <v>24</v>
      </c>
      <c r="C49" s="14" t="s">
        <v>23</v>
      </c>
      <c r="D49" s="33">
        <v>18002</v>
      </c>
      <c r="E49" s="82">
        <f>E33</f>
        <v>3.5</v>
      </c>
      <c r="F49" s="30">
        <v>1</v>
      </c>
      <c r="G49" s="35">
        <f>ROUND((D49*E49*F49),2)</f>
        <v>63007</v>
      </c>
      <c r="H49" s="15">
        <v>53</v>
      </c>
      <c r="I49" s="25"/>
      <c r="J49" s="25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s="1" customFormat="1" ht="21.75" customHeight="1" x14ac:dyDescent="0.25">
      <c r="A50" s="27"/>
      <c r="B50" s="32" t="s">
        <v>25</v>
      </c>
      <c r="C50" s="14" t="s">
        <v>23</v>
      </c>
      <c r="D50" s="33">
        <v>18002</v>
      </c>
      <c r="E50" s="82">
        <v>0.91</v>
      </c>
      <c r="F50" s="30">
        <v>1</v>
      </c>
      <c r="G50" s="35">
        <f t="shared" ref="G50" si="5">ROUND((D50*E50*F50),2)</f>
        <v>16381.82</v>
      </c>
      <c r="H50" s="15">
        <v>55</v>
      </c>
      <c r="I50" s="25"/>
      <c r="J50" s="25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s="1" customFormat="1" ht="21" customHeight="1" x14ac:dyDescent="0.25">
      <c r="A51" s="27"/>
      <c r="B51" s="32" t="s">
        <v>29</v>
      </c>
      <c r="C51" s="14" t="s">
        <v>23</v>
      </c>
      <c r="D51" s="33">
        <v>53747</v>
      </c>
      <c r="E51" s="149">
        <v>5.9</v>
      </c>
      <c r="F51" s="30">
        <v>1</v>
      </c>
      <c r="G51" s="35">
        <f>ROUND((D51*E51*F51),2)</f>
        <v>317107.3</v>
      </c>
      <c r="H51" s="15">
        <v>54</v>
      </c>
      <c r="I51" s="25"/>
      <c r="J51" s="25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s="1" customFormat="1" ht="21.75" customHeight="1" x14ac:dyDescent="0.25">
      <c r="A52" s="27"/>
      <c r="B52" s="32" t="s">
        <v>30</v>
      </c>
      <c r="C52" s="14" t="s">
        <v>23</v>
      </c>
      <c r="D52" s="33">
        <v>131987</v>
      </c>
      <c r="E52" s="149">
        <v>3.6</v>
      </c>
      <c r="F52" s="30">
        <v>1</v>
      </c>
      <c r="G52" s="35">
        <f>ROUND((D52*E52*F52),2)</f>
        <v>475153.2</v>
      </c>
      <c r="H52" s="15" t="s">
        <v>31</v>
      </c>
      <c r="I52" s="25"/>
      <c r="J52" s="25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s="1" customFormat="1" ht="23.25" customHeight="1" x14ac:dyDescent="0.25">
      <c r="A53" s="27"/>
      <c r="B53" s="32" t="s">
        <v>32</v>
      </c>
      <c r="C53" s="14" t="s">
        <v>23</v>
      </c>
      <c r="D53" s="33">
        <v>78240</v>
      </c>
      <c r="E53" s="149">
        <f>E51</f>
        <v>5.9</v>
      </c>
      <c r="F53" s="30">
        <v>2</v>
      </c>
      <c r="G53" s="35">
        <f>ROUND((D53*E53*F53),2)</f>
        <v>923232</v>
      </c>
      <c r="H53" s="15">
        <v>54</v>
      </c>
      <c r="I53" s="25"/>
      <c r="J53" s="25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s="1" customFormat="1" ht="20.25" customHeight="1" x14ac:dyDescent="0.25">
      <c r="A54" s="27"/>
      <c r="B54" s="32" t="s">
        <v>33</v>
      </c>
      <c r="C54" s="14" t="s">
        <v>23</v>
      </c>
      <c r="D54" s="33">
        <v>7039</v>
      </c>
      <c r="E54" s="149">
        <f>E53</f>
        <v>5.9</v>
      </c>
      <c r="F54" s="30">
        <v>5</v>
      </c>
      <c r="G54" s="35">
        <f>ROUND((D54*E54*F54),2)</f>
        <v>207650.5</v>
      </c>
      <c r="H54" s="15">
        <v>54</v>
      </c>
      <c r="I54" s="25"/>
      <c r="J54" s="25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s="1" customFormat="1" ht="21.75" customHeight="1" x14ac:dyDescent="0.25">
      <c r="A55" s="27" t="s">
        <v>457</v>
      </c>
      <c r="B55" s="21" t="s">
        <v>428</v>
      </c>
      <c r="C55" s="28" t="s">
        <v>23</v>
      </c>
      <c r="D55" s="29">
        <f>D56+D58</f>
        <v>874622</v>
      </c>
      <c r="E55" s="334"/>
      <c r="F55" s="30"/>
      <c r="G55" s="31">
        <f>G56+G57+G58+G59</f>
        <v>5478237.8399999999</v>
      </c>
      <c r="H55" s="15"/>
      <c r="I55" s="25"/>
      <c r="J55" s="25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s="1" customFormat="1" ht="36.75" customHeight="1" x14ac:dyDescent="0.25">
      <c r="A56" s="27"/>
      <c r="B56" s="36" t="s">
        <v>26</v>
      </c>
      <c r="C56" s="37" t="s">
        <v>23</v>
      </c>
      <c r="D56" s="38">
        <v>556124</v>
      </c>
      <c r="E56" s="296">
        <v>3.5</v>
      </c>
      <c r="F56" s="40">
        <v>1</v>
      </c>
      <c r="G56" s="41">
        <f t="shared" ref="G56:G59" si="6">ROUND((D56*E56*F56),2)</f>
        <v>1946434</v>
      </c>
      <c r="H56" s="42">
        <v>53</v>
      </c>
      <c r="I56" s="25"/>
      <c r="J56" s="25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s="1" customFormat="1" ht="33" customHeight="1" x14ac:dyDescent="0.25">
      <c r="A57" s="27"/>
      <c r="B57" s="36" t="s">
        <v>27</v>
      </c>
      <c r="C57" s="37" t="s">
        <v>23</v>
      </c>
      <c r="D57" s="38">
        <f>D56</f>
        <v>556124</v>
      </c>
      <c r="E57" s="296">
        <v>0.91</v>
      </c>
      <c r="F57" s="40">
        <v>1</v>
      </c>
      <c r="G57" s="41">
        <f t="shared" si="6"/>
        <v>506072.84</v>
      </c>
      <c r="H57" s="42">
        <v>55</v>
      </c>
      <c r="I57" s="25"/>
      <c r="J57" s="25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s="1" customFormat="1" ht="34.5" customHeight="1" x14ac:dyDescent="0.25">
      <c r="A58" s="27"/>
      <c r="B58" s="36" t="s">
        <v>34</v>
      </c>
      <c r="C58" s="37" t="s">
        <v>23</v>
      </c>
      <c r="D58" s="38">
        <v>318498</v>
      </c>
      <c r="E58" s="296">
        <v>5.9</v>
      </c>
      <c r="F58" s="40">
        <v>1</v>
      </c>
      <c r="G58" s="41">
        <f t="shared" si="6"/>
        <v>1879138.2</v>
      </c>
      <c r="H58" s="42">
        <v>54</v>
      </c>
      <c r="I58" s="25"/>
      <c r="J58" s="25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s="1" customFormat="1" ht="34.5" customHeight="1" x14ac:dyDescent="0.25">
      <c r="A59" s="27"/>
      <c r="B59" s="36" t="s">
        <v>35</v>
      </c>
      <c r="C59" s="37" t="s">
        <v>23</v>
      </c>
      <c r="D59" s="38">
        <f>D58</f>
        <v>318498</v>
      </c>
      <c r="E59" s="296">
        <v>3.6</v>
      </c>
      <c r="F59" s="40">
        <v>1</v>
      </c>
      <c r="G59" s="41">
        <f t="shared" si="6"/>
        <v>1146592.8</v>
      </c>
      <c r="H59" s="42" t="s">
        <v>31</v>
      </c>
      <c r="I59" s="25"/>
      <c r="J59" s="25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s="1" customFormat="1" ht="19.5" customHeight="1" x14ac:dyDescent="0.25">
      <c r="A60" s="349" t="s">
        <v>176</v>
      </c>
      <c r="B60" s="350" t="s">
        <v>154</v>
      </c>
      <c r="C60" s="357" t="s">
        <v>23</v>
      </c>
      <c r="D60" s="358">
        <f>D61</f>
        <v>201947</v>
      </c>
      <c r="E60" s="401"/>
      <c r="F60" s="358"/>
      <c r="G60" s="359">
        <f>SUM(G61:G65)</f>
        <v>8313506.8900000006</v>
      </c>
      <c r="H60" s="356"/>
      <c r="I60" s="25">
        <f>G60/G6*I3</f>
        <v>132839.86966172227</v>
      </c>
      <c r="J60" s="25">
        <f>G60+I60</f>
        <v>8446346.7596617229</v>
      </c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s="1" customFormat="1" ht="19.5" customHeight="1" x14ac:dyDescent="0.25">
      <c r="A61" s="27"/>
      <c r="B61" s="36" t="s">
        <v>155</v>
      </c>
      <c r="C61" s="37" t="s">
        <v>23</v>
      </c>
      <c r="D61" s="95">
        <v>201947</v>
      </c>
      <c r="E61" s="362">
        <v>6.35</v>
      </c>
      <c r="F61" s="40">
        <v>5</v>
      </c>
      <c r="G61" s="97">
        <f>ROUND((D61*E61*F61),2)</f>
        <v>6411817.25</v>
      </c>
      <c r="H61" s="42">
        <v>101</v>
      </c>
      <c r="I61" s="25"/>
      <c r="J61" s="25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s="1" customFormat="1" ht="23.25" customHeight="1" x14ac:dyDescent="0.25">
      <c r="A62" s="27"/>
      <c r="B62" s="36" t="s">
        <v>156</v>
      </c>
      <c r="C62" s="37" t="s">
        <v>23</v>
      </c>
      <c r="D62" s="95">
        <f>D61</f>
        <v>201947</v>
      </c>
      <c r="E62" s="362">
        <v>2.6</v>
      </c>
      <c r="F62" s="40">
        <v>2</v>
      </c>
      <c r="G62" s="97">
        <f>ROUND((D62*E62*F62),2)</f>
        <v>1050124.3999999999</v>
      </c>
      <c r="H62" s="42">
        <v>102</v>
      </c>
      <c r="I62" s="25"/>
      <c r="J62" s="25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s="1" customFormat="1" ht="19.5" customHeight="1" x14ac:dyDescent="0.25">
      <c r="A63" s="27"/>
      <c r="B63" s="36" t="s">
        <v>159</v>
      </c>
      <c r="C63" s="37" t="s">
        <v>40</v>
      </c>
      <c r="D63" s="99">
        <v>140</v>
      </c>
      <c r="E63" s="333">
        <v>3539.76</v>
      </c>
      <c r="F63" s="40">
        <v>1</v>
      </c>
      <c r="G63" s="97">
        <f>ROUND((D63*E63*F63),2)</f>
        <v>495566.4</v>
      </c>
      <c r="H63" s="42">
        <v>117</v>
      </c>
      <c r="I63" s="25"/>
      <c r="J63" s="25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s="1" customFormat="1" ht="19.5" customHeight="1" x14ac:dyDescent="0.25">
      <c r="A64" s="27"/>
      <c r="B64" s="36" t="s">
        <v>160</v>
      </c>
      <c r="C64" s="37" t="s">
        <v>54</v>
      </c>
      <c r="D64" s="99">
        <v>1130</v>
      </c>
      <c r="E64" s="333">
        <v>285.36</v>
      </c>
      <c r="F64" s="40">
        <v>1</v>
      </c>
      <c r="G64" s="97">
        <f>ROUND((D64*E64*F64),2)</f>
        <v>322456.8</v>
      </c>
      <c r="H64" s="42">
        <v>116</v>
      </c>
      <c r="I64" s="25"/>
      <c r="J64" s="25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s="1" customFormat="1" ht="19.5" customHeight="1" x14ac:dyDescent="0.25">
      <c r="A65" s="27"/>
      <c r="B65" s="36" t="s">
        <v>161</v>
      </c>
      <c r="C65" s="37" t="s">
        <v>40</v>
      </c>
      <c r="D65" s="101">
        <v>4</v>
      </c>
      <c r="E65" s="333">
        <v>8385.51</v>
      </c>
      <c r="F65" s="40">
        <v>1</v>
      </c>
      <c r="G65" s="97">
        <f>ROUND((D65*E65*F65),2)</f>
        <v>33542.04</v>
      </c>
      <c r="H65" s="42">
        <v>119</v>
      </c>
      <c r="I65" s="25"/>
      <c r="J65" s="25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s="1" customFormat="1" ht="19.5" customHeight="1" x14ac:dyDescent="0.25">
      <c r="A66" s="349" t="s">
        <v>211</v>
      </c>
      <c r="B66" s="350" t="s">
        <v>432</v>
      </c>
      <c r="C66" s="357" t="s">
        <v>23</v>
      </c>
      <c r="D66" s="358"/>
      <c r="E66" s="401"/>
      <c r="F66" s="358"/>
      <c r="G66" s="359">
        <f>G67+G102+G129+G153</f>
        <v>19278876.940000001</v>
      </c>
      <c r="H66" s="356"/>
      <c r="I66" s="25">
        <f>G66/G6*I3</f>
        <v>308053.33222427667</v>
      </c>
      <c r="J66" s="25">
        <f>G66+I66</f>
        <v>19586930.272224277</v>
      </c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s="1" customFormat="1" ht="18" customHeight="1" x14ac:dyDescent="0.25">
      <c r="A67" s="27" t="s">
        <v>433</v>
      </c>
      <c r="B67" s="44" t="s">
        <v>440</v>
      </c>
      <c r="C67" s="45" t="s">
        <v>40</v>
      </c>
      <c r="D67" s="29">
        <f>D68+D79+D100</f>
        <v>4836</v>
      </c>
      <c r="E67" s="334"/>
      <c r="F67" s="29"/>
      <c r="G67" s="31">
        <f>G68+G79+G100</f>
        <v>3474646.73</v>
      </c>
      <c r="H67" s="15"/>
      <c r="I67" s="25"/>
      <c r="J67" s="25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s="1" customFormat="1" ht="18" customHeight="1" x14ac:dyDescent="0.25">
      <c r="A68" s="27" t="s">
        <v>434</v>
      </c>
      <c r="B68" s="44" t="s">
        <v>435</v>
      </c>
      <c r="C68" s="45" t="s">
        <v>40</v>
      </c>
      <c r="D68" s="29">
        <f>D70+D71+D74+D75+D76</f>
        <v>2433</v>
      </c>
      <c r="E68" s="334"/>
      <c r="F68" s="29"/>
      <c r="G68" s="31">
        <f>SUM(G69:G78)</f>
        <v>1493406.48</v>
      </c>
      <c r="H68" s="15"/>
      <c r="I68" s="25"/>
      <c r="J68" s="25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s="1" customFormat="1" ht="18" customHeight="1" x14ac:dyDescent="0.25">
      <c r="A69" s="27"/>
      <c r="B69" s="46" t="s">
        <v>41</v>
      </c>
      <c r="C69" s="14" t="s">
        <v>40</v>
      </c>
      <c r="D69" s="33">
        <v>1062</v>
      </c>
      <c r="E69" s="149">
        <v>47.06</v>
      </c>
      <c r="F69" s="14">
        <v>1</v>
      </c>
      <c r="G69" s="47">
        <f>ROUND((D69*E69*F69),2)</f>
        <v>49977.72</v>
      </c>
      <c r="H69" s="15">
        <v>56</v>
      </c>
      <c r="I69" s="25"/>
      <c r="J69" s="25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s="1" customFormat="1" ht="18" customHeight="1" x14ac:dyDescent="0.25">
      <c r="A70" s="27"/>
      <c r="B70" s="46" t="s">
        <v>42</v>
      </c>
      <c r="C70" s="14" t="s">
        <v>40</v>
      </c>
      <c r="D70" s="33">
        <v>918</v>
      </c>
      <c r="E70" s="149">
        <v>135.06</v>
      </c>
      <c r="F70" s="30">
        <v>6</v>
      </c>
      <c r="G70" s="47">
        <f>ROUND((D70*E70*F70),2)</f>
        <v>743910.48</v>
      </c>
      <c r="H70" s="15">
        <v>59</v>
      </c>
      <c r="I70" s="25"/>
      <c r="J70" s="25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s="1" customFormat="1" ht="18" customHeight="1" x14ac:dyDescent="0.25">
      <c r="A71" s="27"/>
      <c r="B71" s="46" t="s">
        <v>43</v>
      </c>
      <c r="C71" s="14" t="s">
        <v>40</v>
      </c>
      <c r="D71" s="33">
        <v>144</v>
      </c>
      <c r="E71" s="149">
        <f>E70</f>
        <v>135.06</v>
      </c>
      <c r="F71" s="30">
        <v>10</v>
      </c>
      <c r="G71" s="47">
        <f>ROUND((D71*E71*F71),2)</f>
        <v>194486.39999999999</v>
      </c>
      <c r="H71" s="15">
        <v>59</v>
      </c>
      <c r="I71" s="25"/>
      <c r="J71" s="25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s="1" customFormat="1" ht="18" customHeight="1" x14ac:dyDescent="0.25">
      <c r="A72" s="27"/>
      <c r="B72" s="46" t="s">
        <v>46</v>
      </c>
      <c r="C72" s="14" t="s">
        <v>40</v>
      </c>
      <c r="D72" s="33">
        <v>318</v>
      </c>
      <c r="E72" s="334">
        <v>8.14</v>
      </c>
      <c r="F72" s="14">
        <v>1</v>
      </c>
      <c r="G72" s="47">
        <f t="shared" ref="G72:G78" si="7">ROUND((D72*E72*F72),2)</f>
        <v>2588.52</v>
      </c>
      <c r="H72" s="15">
        <v>57</v>
      </c>
      <c r="I72" s="25"/>
      <c r="J72" s="25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s="1" customFormat="1" ht="18" customHeight="1" x14ac:dyDescent="0.25">
      <c r="A73" s="27"/>
      <c r="B73" s="49" t="s">
        <v>46</v>
      </c>
      <c r="C73" s="50" t="s">
        <v>40</v>
      </c>
      <c r="D73" s="51">
        <v>1053</v>
      </c>
      <c r="E73" s="52">
        <v>8.14</v>
      </c>
      <c r="F73" s="50">
        <v>1</v>
      </c>
      <c r="G73" s="53">
        <f t="shared" si="7"/>
        <v>8571.42</v>
      </c>
      <c r="H73" s="54">
        <v>57</v>
      </c>
      <c r="I73" s="25"/>
      <c r="J73" s="25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s="1" customFormat="1" ht="18" customHeight="1" x14ac:dyDescent="0.25">
      <c r="A74" s="27"/>
      <c r="B74" s="46" t="s">
        <v>47</v>
      </c>
      <c r="C74" s="14" t="s">
        <v>40</v>
      </c>
      <c r="D74" s="33">
        <v>300</v>
      </c>
      <c r="E74" s="334">
        <v>21.61</v>
      </c>
      <c r="F74" s="30">
        <v>6</v>
      </c>
      <c r="G74" s="47">
        <f t="shared" si="7"/>
        <v>38898</v>
      </c>
      <c r="H74" s="15">
        <v>60</v>
      </c>
      <c r="I74" s="25"/>
      <c r="J74" s="25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s="1" customFormat="1" ht="18" customHeight="1" x14ac:dyDescent="0.25">
      <c r="A75" s="27"/>
      <c r="B75" s="46" t="s">
        <v>364</v>
      </c>
      <c r="C75" s="14" t="s">
        <v>40</v>
      </c>
      <c r="D75" s="33">
        <v>18</v>
      </c>
      <c r="E75" s="334">
        <f>E74</f>
        <v>21.61</v>
      </c>
      <c r="F75" s="30">
        <v>10</v>
      </c>
      <c r="G75" s="47">
        <f t="shared" si="7"/>
        <v>3889.8</v>
      </c>
      <c r="H75" s="15">
        <v>60</v>
      </c>
      <c r="I75" s="25"/>
      <c r="J75" s="25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s="1" customFormat="1" ht="18" customHeight="1" x14ac:dyDescent="0.25">
      <c r="A76" s="27"/>
      <c r="B76" s="49" t="s">
        <v>48</v>
      </c>
      <c r="C76" s="50" t="s">
        <v>40</v>
      </c>
      <c r="D76" s="51">
        <f>D73</f>
        <v>1053</v>
      </c>
      <c r="E76" s="52">
        <v>21.61</v>
      </c>
      <c r="F76" s="55">
        <v>16</v>
      </c>
      <c r="G76" s="53">
        <f t="shared" si="7"/>
        <v>364085.28</v>
      </c>
      <c r="H76" s="54">
        <v>60</v>
      </c>
      <c r="I76" s="25"/>
      <c r="J76" s="25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s="1" customFormat="1" ht="18" customHeight="1" x14ac:dyDescent="0.25">
      <c r="A77" s="27"/>
      <c r="B77" s="49" t="s">
        <v>49</v>
      </c>
      <c r="C77" s="50" t="s">
        <v>40</v>
      </c>
      <c r="D77" s="51">
        <v>1053</v>
      </c>
      <c r="E77" s="52">
        <v>6.62</v>
      </c>
      <c r="F77" s="55">
        <v>4</v>
      </c>
      <c r="G77" s="53">
        <f t="shared" si="7"/>
        <v>27883.439999999999</v>
      </c>
      <c r="H77" s="54">
        <v>63</v>
      </c>
      <c r="I77" s="25"/>
      <c r="J77" s="25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s="1" customFormat="1" ht="18" customHeight="1" x14ac:dyDescent="0.25">
      <c r="A78" s="27"/>
      <c r="B78" s="49" t="s">
        <v>50</v>
      </c>
      <c r="C78" s="50" t="s">
        <v>40</v>
      </c>
      <c r="D78" s="51">
        <f>D77</f>
        <v>1053</v>
      </c>
      <c r="E78" s="52">
        <v>28.07</v>
      </c>
      <c r="F78" s="55">
        <v>2</v>
      </c>
      <c r="G78" s="53">
        <f t="shared" si="7"/>
        <v>59115.42</v>
      </c>
      <c r="H78" s="54">
        <v>69</v>
      </c>
      <c r="I78" s="25"/>
      <c r="J78" s="25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s="1" customFormat="1" ht="18" customHeight="1" x14ac:dyDescent="0.25">
      <c r="A79" s="27" t="s">
        <v>436</v>
      </c>
      <c r="B79" s="44" t="s">
        <v>437</v>
      </c>
      <c r="C79" s="45" t="s">
        <v>40</v>
      </c>
      <c r="D79" s="29">
        <f>D81+D82+D83+D84+D85+D94+D95+D96</f>
        <v>2263</v>
      </c>
      <c r="E79" s="334"/>
      <c r="F79" s="29"/>
      <c r="G79" s="31">
        <f>SUM(G80:G99)</f>
        <v>1954357.4500000002</v>
      </c>
      <c r="H79" s="15"/>
      <c r="I79" s="25"/>
      <c r="J79" s="25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s="1" customFormat="1" ht="18" customHeight="1" x14ac:dyDescent="0.25">
      <c r="A80" s="27"/>
      <c r="B80" s="49" t="s">
        <v>41</v>
      </c>
      <c r="C80" s="50" t="s">
        <v>40</v>
      </c>
      <c r="D80" s="51">
        <v>154</v>
      </c>
      <c r="E80" s="66">
        <v>47.06</v>
      </c>
      <c r="F80" s="50">
        <v>1</v>
      </c>
      <c r="G80" s="53">
        <f>ROUND((D80*E80*F80),2)</f>
        <v>7247.24</v>
      </c>
      <c r="H80" s="54">
        <v>56</v>
      </c>
      <c r="I80" s="25"/>
      <c r="J80" s="25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s="1" customFormat="1" ht="23.25" customHeight="1" x14ac:dyDescent="0.25">
      <c r="A81" s="27"/>
      <c r="B81" s="46" t="s">
        <v>105</v>
      </c>
      <c r="C81" s="14" t="s">
        <v>40</v>
      </c>
      <c r="D81" s="58">
        <f>161+31</f>
        <v>192</v>
      </c>
      <c r="E81" s="149">
        <v>135.06</v>
      </c>
      <c r="F81" s="14">
        <v>6</v>
      </c>
      <c r="G81" s="62">
        <f t="shared" ref="G81:G83" si="8">ROUND((D81*E81*F81),2)</f>
        <v>155589.12</v>
      </c>
      <c r="H81" s="15">
        <v>59</v>
      </c>
      <c r="I81" s="25"/>
      <c r="J81" s="25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s="1" customFormat="1" ht="27" customHeight="1" x14ac:dyDescent="0.25">
      <c r="A82" s="27"/>
      <c r="B82" s="32" t="s">
        <v>106</v>
      </c>
      <c r="C82" s="63" t="s">
        <v>40</v>
      </c>
      <c r="D82" s="260">
        <f>257+14</f>
        <v>271</v>
      </c>
      <c r="E82" s="82">
        <f>E81</f>
        <v>135.06</v>
      </c>
      <c r="F82" s="63">
        <v>12</v>
      </c>
      <c r="G82" s="35">
        <f t="shared" si="8"/>
        <v>439215.12</v>
      </c>
      <c r="H82" s="4">
        <v>59</v>
      </c>
      <c r="I82" s="25"/>
      <c r="J82" s="25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s="1" customFormat="1" ht="25.5" customHeight="1" x14ac:dyDescent="0.25">
      <c r="A83" s="27"/>
      <c r="B83" s="32" t="s">
        <v>107</v>
      </c>
      <c r="C83" s="63" t="s">
        <v>40</v>
      </c>
      <c r="D83" s="260">
        <v>129</v>
      </c>
      <c r="E83" s="82">
        <v>32.42</v>
      </c>
      <c r="F83" s="63">
        <v>12</v>
      </c>
      <c r="G83" s="35">
        <f t="shared" si="8"/>
        <v>50186.16</v>
      </c>
      <c r="H83" s="4" t="s">
        <v>108</v>
      </c>
      <c r="I83" s="25"/>
      <c r="J83" s="25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s="1" customFormat="1" ht="21.75" customHeight="1" x14ac:dyDescent="0.25">
      <c r="A84" s="27"/>
      <c r="B84" s="49" t="s">
        <v>106</v>
      </c>
      <c r="C84" s="50" t="s">
        <v>40</v>
      </c>
      <c r="D84" s="67">
        <v>154</v>
      </c>
      <c r="E84" s="66">
        <v>135.06</v>
      </c>
      <c r="F84" s="50">
        <v>12</v>
      </c>
      <c r="G84" s="68">
        <f>ROUND((D84*E84*F84),2)</f>
        <v>249590.88</v>
      </c>
      <c r="H84" s="54">
        <v>59</v>
      </c>
      <c r="I84" s="25"/>
      <c r="J84" s="25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s="1" customFormat="1" ht="21.75" customHeight="1" x14ac:dyDescent="0.25">
      <c r="A85" s="27"/>
      <c r="B85" s="49" t="s">
        <v>109</v>
      </c>
      <c r="C85" s="50" t="s">
        <v>40</v>
      </c>
      <c r="D85" s="67">
        <v>140</v>
      </c>
      <c r="E85" s="66">
        <v>135.06</v>
      </c>
      <c r="F85" s="50">
        <v>16</v>
      </c>
      <c r="G85" s="68">
        <f>ROUND((D85*E85*F85),2)</f>
        <v>302534.40000000002</v>
      </c>
      <c r="H85" s="54">
        <v>59</v>
      </c>
      <c r="I85" s="25"/>
      <c r="J85" s="25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s="1" customFormat="1" ht="21" customHeight="1" x14ac:dyDescent="0.25">
      <c r="A86" s="27"/>
      <c r="B86" s="32" t="s">
        <v>110</v>
      </c>
      <c r="C86" s="63" t="s">
        <v>40</v>
      </c>
      <c r="D86" s="260">
        <v>192</v>
      </c>
      <c r="E86" s="35">
        <v>37.82</v>
      </c>
      <c r="F86" s="69">
        <v>1</v>
      </c>
      <c r="G86" s="35">
        <f t="shared" ref="G86:G99" si="9">ROUND((D86*E86*F86),2)</f>
        <v>7261.44</v>
      </c>
      <c r="H86" s="4">
        <v>62</v>
      </c>
      <c r="I86" s="25"/>
      <c r="J86" s="25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s="1" customFormat="1" ht="28.5" customHeight="1" x14ac:dyDescent="0.25">
      <c r="A87" s="27"/>
      <c r="B87" s="32" t="s">
        <v>111</v>
      </c>
      <c r="C87" s="63" t="s">
        <v>40</v>
      </c>
      <c r="D87" s="260">
        <f>257+14</f>
        <v>271</v>
      </c>
      <c r="E87" s="35">
        <f>E86</f>
        <v>37.82</v>
      </c>
      <c r="F87" s="69">
        <v>2</v>
      </c>
      <c r="G87" s="35">
        <f t="shared" si="9"/>
        <v>20498.439999999999</v>
      </c>
      <c r="H87" s="4">
        <v>62</v>
      </c>
      <c r="I87" s="25"/>
      <c r="J87" s="25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s="1" customFormat="1" ht="21" customHeight="1" x14ac:dyDescent="0.25">
      <c r="A88" s="27"/>
      <c r="B88" s="32" t="s">
        <v>112</v>
      </c>
      <c r="C88" s="63" t="s">
        <v>40</v>
      </c>
      <c r="D88" s="260">
        <v>129</v>
      </c>
      <c r="E88" s="35">
        <v>10.33</v>
      </c>
      <c r="F88" s="69">
        <v>2</v>
      </c>
      <c r="G88" s="35">
        <f t="shared" si="9"/>
        <v>2665.14</v>
      </c>
      <c r="H88" s="4" t="s">
        <v>113</v>
      </c>
      <c r="I88" s="25"/>
      <c r="J88" s="25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s="1" customFormat="1" ht="21" customHeight="1" x14ac:dyDescent="0.25">
      <c r="A89" s="27"/>
      <c r="B89" s="49" t="s">
        <v>114</v>
      </c>
      <c r="C89" s="50" t="s">
        <v>40</v>
      </c>
      <c r="D89" s="51">
        <f>D84+D85</f>
        <v>294</v>
      </c>
      <c r="E89" s="68">
        <v>37.82</v>
      </c>
      <c r="F89" s="55">
        <v>4</v>
      </c>
      <c r="G89" s="68">
        <f t="shared" si="9"/>
        <v>44476.32</v>
      </c>
      <c r="H89" s="54">
        <v>62</v>
      </c>
      <c r="I89" s="25"/>
      <c r="J89" s="25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s="1" customFormat="1" ht="32.25" customHeight="1" x14ac:dyDescent="0.25">
      <c r="A90" s="27"/>
      <c r="B90" s="32" t="s">
        <v>115</v>
      </c>
      <c r="C90" s="63" t="s">
        <v>40</v>
      </c>
      <c r="D90" s="260">
        <f>D82</f>
        <v>271</v>
      </c>
      <c r="E90" s="35">
        <v>162.74</v>
      </c>
      <c r="F90" s="69">
        <v>1</v>
      </c>
      <c r="G90" s="35">
        <f t="shared" si="9"/>
        <v>44102.54</v>
      </c>
      <c r="H90" s="4">
        <v>68</v>
      </c>
      <c r="I90" s="25"/>
      <c r="J90" s="25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s="1" customFormat="1" ht="23.25" customHeight="1" x14ac:dyDescent="0.25">
      <c r="A91" s="27"/>
      <c r="B91" s="32" t="s">
        <v>116</v>
      </c>
      <c r="C91" s="63" t="s">
        <v>40</v>
      </c>
      <c r="D91" s="260">
        <f>D83</f>
        <v>129</v>
      </c>
      <c r="E91" s="35">
        <v>60.61</v>
      </c>
      <c r="F91" s="69">
        <v>1</v>
      </c>
      <c r="G91" s="35">
        <f t="shared" si="9"/>
        <v>7818.69</v>
      </c>
      <c r="H91" s="4" t="s">
        <v>117</v>
      </c>
      <c r="I91" s="25"/>
      <c r="J91" s="25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s="1" customFormat="1" ht="22.5" customHeight="1" x14ac:dyDescent="0.25">
      <c r="A92" s="27"/>
      <c r="B92" s="49" t="s">
        <v>118</v>
      </c>
      <c r="C92" s="50" t="s">
        <v>40</v>
      </c>
      <c r="D92" s="51">
        <f>D89</f>
        <v>294</v>
      </c>
      <c r="E92" s="68">
        <v>162.74</v>
      </c>
      <c r="F92" s="55">
        <v>2</v>
      </c>
      <c r="G92" s="68">
        <f t="shared" si="9"/>
        <v>95691.12</v>
      </c>
      <c r="H92" s="54">
        <v>68</v>
      </c>
      <c r="I92" s="25"/>
      <c r="J92" s="25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s="1" customFormat="1" ht="18" customHeight="1" x14ac:dyDescent="0.25">
      <c r="A93" s="27"/>
      <c r="B93" s="49" t="s">
        <v>46</v>
      </c>
      <c r="C93" s="50" t="s">
        <v>40</v>
      </c>
      <c r="D93" s="51">
        <v>1247</v>
      </c>
      <c r="E93" s="52">
        <v>8.14</v>
      </c>
      <c r="F93" s="50">
        <v>1</v>
      </c>
      <c r="G93" s="53">
        <f t="shared" si="9"/>
        <v>10150.58</v>
      </c>
      <c r="H93" s="54">
        <v>57</v>
      </c>
      <c r="I93" s="25"/>
      <c r="J93" s="25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s="1" customFormat="1" ht="21" customHeight="1" x14ac:dyDescent="0.25">
      <c r="A94" s="27"/>
      <c r="B94" s="46" t="s">
        <v>47</v>
      </c>
      <c r="C94" s="14" t="s">
        <v>40</v>
      </c>
      <c r="D94" s="58">
        <v>130</v>
      </c>
      <c r="E94" s="62">
        <v>21.61</v>
      </c>
      <c r="F94" s="14">
        <v>6</v>
      </c>
      <c r="G94" s="62">
        <f t="shared" si="9"/>
        <v>16855.8</v>
      </c>
      <c r="H94" s="15">
        <v>60</v>
      </c>
      <c r="I94" s="25"/>
      <c r="J94" s="25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s="1" customFormat="1" ht="21" customHeight="1" x14ac:dyDescent="0.25">
      <c r="A95" s="27"/>
      <c r="B95" s="49" t="s">
        <v>120</v>
      </c>
      <c r="C95" s="50" t="s">
        <v>40</v>
      </c>
      <c r="D95" s="51">
        <v>400</v>
      </c>
      <c r="E95" s="68">
        <v>21.61</v>
      </c>
      <c r="F95" s="50">
        <v>12</v>
      </c>
      <c r="G95" s="68">
        <f t="shared" si="9"/>
        <v>103728</v>
      </c>
      <c r="H95" s="54">
        <v>60</v>
      </c>
      <c r="I95" s="25"/>
      <c r="J95" s="25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s="1" customFormat="1" ht="21" customHeight="1" x14ac:dyDescent="0.25">
      <c r="A96" s="27"/>
      <c r="B96" s="49" t="s">
        <v>121</v>
      </c>
      <c r="C96" s="50" t="s">
        <v>40</v>
      </c>
      <c r="D96" s="51">
        <v>847</v>
      </c>
      <c r="E96" s="68">
        <v>21.61</v>
      </c>
      <c r="F96" s="50">
        <v>16</v>
      </c>
      <c r="G96" s="68">
        <f t="shared" si="9"/>
        <v>292858.71999999997</v>
      </c>
      <c r="H96" s="54">
        <v>60</v>
      </c>
      <c r="I96" s="25"/>
      <c r="J96" s="25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s="1" customFormat="1" ht="21" customHeight="1" x14ac:dyDescent="0.25">
      <c r="A97" s="27"/>
      <c r="B97" s="46" t="s">
        <v>122</v>
      </c>
      <c r="C97" s="14" t="s">
        <v>40</v>
      </c>
      <c r="D97" s="58">
        <v>130</v>
      </c>
      <c r="E97" s="62">
        <v>6.62</v>
      </c>
      <c r="F97" s="30">
        <v>1</v>
      </c>
      <c r="G97" s="62">
        <f t="shared" si="9"/>
        <v>860.6</v>
      </c>
      <c r="H97" s="15">
        <v>63</v>
      </c>
      <c r="I97" s="25"/>
      <c r="J97" s="25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s="1" customFormat="1" ht="21" customHeight="1" x14ac:dyDescent="0.25">
      <c r="A98" s="27"/>
      <c r="B98" s="49" t="s">
        <v>123</v>
      </c>
      <c r="C98" s="50" t="s">
        <v>40</v>
      </c>
      <c r="D98" s="51">
        <f>D93</f>
        <v>1247</v>
      </c>
      <c r="E98" s="68">
        <v>6.62</v>
      </c>
      <c r="F98" s="55">
        <v>4</v>
      </c>
      <c r="G98" s="68">
        <f t="shared" si="9"/>
        <v>33020.559999999998</v>
      </c>
      <c r="H98" s="54">
        <v>63</v>
      </c>
      <c r="I98" s="25"/>
      <c r="J98" s="25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s="1" customFormat="1" ht="21" customHeight="1" x14ac:dyDescent="0.25">
      <c r="A99" s="27"/>
      <c r="B99" s="49" t="s">
        <v>124</v>
      </c>
      <c r="C99" s="50" t="s">
        <v>40</v>
      </c>
      <c r="D99" s="51">
        <f>D98</f>
        <v>1247</v>
      </c>
      <c r="E99" s="68">
        <v>28.07</v>
      </c>
      <c r="F99" s="55">
        <v>2</v>
      </c>
      <c r="G99" s="68">
        <f t="shared" si="9"/>
        <v>70006.58</v>
      </c>
      <c r="H99" s="54">
        <v>69</v>
      </c>
      <c r="I99" s="25"/>
      <c r="J99" s="25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s="1" customFormat="1" ht="18" customHeight="1" x14ac:dyDescent="0.25">
      <c r="A100" s="27" t="s">
        <v>439</v>
      </c>
      <c r="B100" s="21" t="s">
        <v>57</v>
      </c>
      <c r="C100" s="14"/>
      <c r="D100" s="29">
        <f>D101</f>
        <v>140</v>
      </c>
      <c r="E100" s="334"/>
      <c r="F100" s="14"/>
      <c r="G100" s="56">
        <f>G101</f>
        <v>26882.799999999999</v>
      </c>
      <c r="H100" s="15"/>
      <c r="I100" s="25"/>
      <c r="J100" s="25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s="1" customFormat="1" ht="20.25" customHeight="1" x14ac:dyDescent="0.25">
      <c r="A101" s="57"/>
      <c r="B101" s="46" t="s">
        <v>58</v>
      </c>
      <c r="C101" s="14" t="s">
        <v>40</v>
      </c>
      <c r="D101" s="58">
        <v>140</v>
      </c>
      <c r="E101" s="62">
        <v>96.01</v>
      </c>
      <c r="F101" s="30">
        <v>2</v>
      </c>
      <c r="G101" s="47">
        <f>ROUND((D101*E101*F101),2)</f>
        <v>26882.799999999999</v>
      </c>
      <c r="H101" s="15">
        <v>40</v>
      </c>
      <c r="I101" s="25"/>
      <c r="J101" s="25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s="1" customFormat="1" ht="18" customHeight="1" x14ac:dyDescent="0.25">
      <c r="A102" s="27" t="s">
        <v>441</v>
      </c>
      <c r="B102" s="44" t="s">
        <v>52</v>
      </c>
      <c r="C102" s="45" t="s">
        <v>54</v>
      </c>
      <c r="D102" s="29">
        <f>D103+D106+D116</f>
        <v>33155</v>
      </c>
      <c r="E102" s="334"/>
      <c r="F102" s="29"/>
      <c r="G102" s="31">
        <f>G103+G106+G116</f>
        <v>6229907.5399999991</v>
      </c>
      <c r="H102" s="15"/>
      <c r="I102" s="25"/>
      <c r="J102" s="25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s="1" customFormat="1" ht="18" customHeight="1" x14ac:dyDescent="0.25">
      <c r="A103" s="27" t="s">
        <v>442</v>
      </c>
      <c r="B103" s="44" t="s">
        <v>435</v>
      </c>
      <c r="C103" s="28"/>
      <c r="D103" s="29">
        <f>D104</f>
        <v>135</v>
      </c>
      <c r="E103" s="334"/>
      <c r="F103" s="45"/>
      <c r="G103" s="31">
        <f>SUM(G104:G105)</f>
        <v>28641.600000000002</v>
      </c>
      <c r="H103" s="15"/>
      <c r="I103" s="25"/>
      <c r="J103" s="25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s="1" customFormat="1" ht="22.5" customHeight="1" x14ac:dyDescent="0.25">
      <c r="A104" s="27"/>
      <c r="B104" s="46" t="s">
        <v>53</v>
      </c>
      <c r="C104" s="14" t="s">
        <v>54</v>
      </c>
      <c r="D104" s="33">
        <v>135</v>
      </c>
      <c r="E104" s="149">
        <v>17.64</v>
      </c>
      <c r="F104" s="14">
        <v>1</v>
      </c>
      <c r="G104" s="47">
        <f>ROUND((D104*E104*F104),2)</f>
        <v>2381.4</v>
      </c>
      <c r="H104" s="15">
        <v>58</v>
      </c>
      <c r="I104" s="25"/>
      <c r="J104" s="25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s="1" customFormat="1" ht="22.5" customHeight="1" x14ac:dyDescent="0.25">
      <c r="A105" s="27"/>
      <c r="B105" s="46" t="s">
        <v>55</v>
      </c>
      <c r="C105" s="14" t="s">
        <v>54</v>
      </c>
      <c r="D105" s="33">
        <f>D104</f>
        <v>135</v>
      </c>
      <c r="E105" s="334">
        <v>32.42</v>
      </c>
      <c r="F105" s="30">
        <v>6</v>
      </c>
      <c r="G105" s="47">
        <f>ROUND((D105*E105*F105),2)</f>
        <v>26260.2</v>
      </c>
      <c r="H105" s="15">
        <v>61</v>
      </c>
      <c r="I105" s="25"/>
      <c r="J105" s="25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s="1" customFormat="1" ht="18" customHeight="1" x14ac:dyDescent="0.25">
      <c r="A106" s="27" t="s">
        <v>443</v>
      </c>
      <c r="B106" s="21" t="s">
        <v>60</v>
      </c>
      <c r="C106" s="14"/>
      <c r="D106" s="29">
        <f>D107+D108+D109+D110+D111+D112+D113+D114+D115</f>
        <v>31849</v>
      </c>
      <c r="E106" s="334"/>
      <c r="F106" s="14"/>
      <c r="G106" s="56">
        <f>SUM(G107:G115)</f>
        <v>5563460.7999999998</v>
      </c>
      <c r="H106" s="15"/>
      <c r="I106" s="25"/>
      <c r="J106" s="25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s="1" customFormat="1" ht="31.5" customHeight="1" x14ac:dyDescent="0.25">
      <c r="A107" s="57"/>
      <c r="B107" s="46" t="s">
        <v>61</v>
      </c>
      <c r="C107" s="14" t="s">
        <v>54</v>
      </c>
      <c r="D107" s="33">
        <f>220+594</f>
        <v>814</v>
      </c>
      <c r="E107" s="62">
        <v>26.41</v>
      </c>
      <c r="F107" s="30">
        <v>2</v>
      </c>
      <c r="G107" s="60">
        <f>ROUND((D107*E107*F107),2)</f>
        <v>42995.48</v>
      </c>
      <c r="H107" s="15">
        <v>41</v>
      </c>
      <c r="I107" s="25"/>
      <c r="J107" s="25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s="1" customFormat="1" ht="34.5" customHeight="1" x14ac:dyDescent="0.25">
      <c r="A108" s="57"/>
      <c r="B108" s="46" t="s">
        <v>62</v>
      </c>
      <c r="C108" s="14" t="s">
        <v>54</v>
      </c>
      <c r="D108" s="33">
        <v>2500</v>
      </c>
      <c r="E108" s="334">
        <v>55.03</v>
      </c>
      <c r="F108" s="30">
        <v>1</v>
      </c>
      <c r="G108" s="60">
        <f t="shared" ref="G108:G115" si="10">ROUND((D108*E108*F108),2)</f>
        <v>137575</v>
      </c>
      <c r="H108" s="15">
        <v>42</v>
      </c>
      <c r="I108" s="25"/>
      <c r="J108" s="25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s="1" customFormat="1" ht="32.25" customHeight="1" x14ac:dyDescent="0.25">
      <c r="A109" s="57"/>
      <c r="B109" s="46" t="s">
        <v>63</v>
      </c>
      <c r="C109" s="14" t="s">
        <v>54</v>
      </c>
      <c r="D109" s="33">
        <v>2230</v>
      </c>
      <c r="E109" s="334">
        <f>E108</f>
        <v>55.03</v>
      </c>
      <c r="F109" s="30">
        <v>2</v>
      </c>
      <c r="G109" s="60">
        <f t="shared" si="10"/>
        <v>245433.8</v>
      </c>
      <c r="H109" s="15">
        <v>42</v>
      </c>
      <c r="I109" s="25"/>
      <c r="J109" s="25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s="1" customFormat="1" ht="33" customHeight="1" x14ac:dyDescent="0.25">
      <c r="A110" s="57"/>
      <c r="B110" s="46" t="s">
        <v>64</v>
      </c>
      <c r="C110" s="14" t="s">
        <v>54</v>
      </c>
      <c r="D110" s="33">
        <v>250</v>
      </c>
      <c r="E110" s="334">
        <f>E109</f>
        <v>55.03</v>
      </c>
      <c r="F110" s="30">
        <v>3</v>
      </c>
      <c r="G110" s="60">
        <f t="shared" si="10"/>
        <v>41272.5</v>
      </c>
      <c r="H110" s="15">
        <v>42</v>
      </c>
      <c r="I110" s="25"/>
      <c r="J110" s="25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s="1" customFormat="1" ht="30.75" customHeight="1" x14ac:dyDescent="0.25">
      <c r="A111" s="57"/>
      <c r="B111" s="46" t="s">
        <v>65</v>
      </c>
      <c r="C111" s="14" t="s">
        <v>54</v>
      </c>
      <c r="D111" s="33">
        <v>13297</v>
      </c>
      <c r="E111" s="149">
        <v>91.52</v>
      </c>
      <c r="F111" s="30">
        <v>2</v>
      </c>
      <c r="G111" s="60">
        <f t="shared" si="10"/>
        <v>2433882.88</v>
      </c>
      <c r="H111" s="15">
        <v>43</v>
      </c>
      <c r="I111" s="25"/>
      <c r="J111" s="25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s="1" customFormat="1" ht="32.25" customHeight="1" x14ac:dyDescent="0.25">
      <c r="A112" s="57"/>
      <c r="B112" s="46" t="s">
        <v>66</v>
      </c>
      <c r="C112" s="14" t="s">
        <v>54</v>
      </c>
      <c r="D112" s="33">
        <v>1510</v>
      </c>
      <c r="E112" s="149">
        <f>E111</f>
        <v>91.52</v>
      </c>
      <c r="F112" s="30">
        <v>3</v>
      </c>
      <c r="G112" s="60">
        <f t="shared" si="10"/>
        <v>414585.59999999998</v>
      </c>
      <c r="H112" s="15">
        <v>43</v>
      </c>
      <c r="I112" s="25"/>
      <c r="J112" s="25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s="1" customFormat="1" ht="30.75" customHeight="1" x14ac:dyDescent="0.25">
      <c r="A113" s="57"/>
      <c r="B113" s="46" t="s">
        <v>67</v>
      </c>
      <c r="C113" s="14" t="s">
        <v>54</v>
      </c>
      <c r="D113" s="33">
        <v>737</v>
      </c>
      <c r="E113" s="149">
        <f>E112</f>
        <v>91.52</v>
      </c>
      <c r="F113" s="30">
        <v>4</v>
      </c>
      <c r="G113" s="60">
        <f t="shared" si="10"/>
        <v>269800.96000000002</v>
      </c>
      <c r="H113" s="15">
        <v>43</v>
      </c>
      <c r="I113" s="25"/>
      <c r="J113" s="25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s="1" customFormat="1" ht="35.25" customHeight="1" x14ac:dyDescent="0.25">
      <c r="A114" s="57"/>
      <c r="B114" s="46" t="s">
        <v>68</v>
      </c>
      <c r="C114" s="14" t="s">
        <v>54</v>
      </c>
      <c r="D114" s="33">
        <v>354</v>
      </c>
      <c r="E114" s="334">
        <v>57.3</v>
      </c>
      <c r="F114" s="30">
        <v>2</v>
      </c>
      <c r="G114" s="60">
        <f t="shared" si="10"/>
        <v>40568.400000000001</v>
      </c>
      <c r="H114" s="15">
        <v>45</v>
      </c>
      <c r="I114" s="25"/>
      <c r="J114" s="25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s="1" customFormat="1" ht="33" customHeight="1" x14ac:dyDescent="0.25">
      <c r="A115" s="57"/>
      <c r="B115" s="46" t="s">
        <v>69</v>
      </c>
      <c r="C115" s="14" t="s">
        <v>54</v>
      </c>
      <c r="D115" s="33">
        <v>10157</v>
      </c>
      <c r="E115" s="334">
        <v>95.37</v>
      </c>
      <c r="F115" s="30">
        <v>2</v>
      </c>
      <c r="G115" s="60">
        <f t="shared" si="10"/>
        <v>1937346.18</v>
      </c>
      <c r="H115" s="15">
        <v>46</v>
      </c>
      <c r="I115" s="25"/>
      <c r="J115" s="25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s="1" customFormat="1" ht="18" customHeight="1" x14ac:dyDescent="0.25">
      <c r="A116" s="27" t="s">
        <v>436</v>
      </c>
      <c r="B116" s="44" t="s">
        <v>437</v>
      </c>
      <c r="C116" s="45" t="s">
        <v>40</v>
      </c>
      <c r="D116" s="29">
        <f>D119+D120+D121</f>
        <v>1171</v>
      </c>
      <c r="E116" s="334"/>
      <c r="F116" s="29"/>
      <c r="G116" s="31">
        <f>SUM(G117:G128)</f>
        <v>637805.14</v>
      </c>
      <c r="H116" s="15"/>
      <c r="I116" s="25"/>
      <c r="J116" s="25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s="1" customFormat="1" ht="18" customHeight="1" x14ac:dyDescent="0.25">
      <c r="A117" s="27"/>
      <c r="B117" s="32" t="s">
        <v>53</v>
      </c>
      <c r="C117" s="63" t="s">
        <v>54</v>
      </c>
      <c r="D117" s="7">
        <v>766</v>
      </c>
      <c r="E117" s="82">
        <v>17.64</v>
      </c>
      <c r="F117" s="63">
        <v>1</v>
      </c>
      <c r="G117" s="60">
        <f t="shared" ref="G117" si="11">ROUND((D117*E117*F117),2)</f>
        <v>13512.24</v>
      </c>
      <c r="H117" s="4">
        <v>58</v>
      </c>
      <c r="I117" s="25"/>
      <c r="J117" s="25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s="1" customFormat="1" ht="18" customHeight="1" x14ac:dyDescent="0.25">
      <c r="A118" s="27"/>
      <c r="B118" s="49" t="s">
        <v>53</v>
      </c>
      <c r="C118" s="50" t="s">
        <v>54</v>
      </c>
      <c r="D118" s="51">
        <v>355</v>
      </c>
      <c r="E118" s="66">
        <v>17.64</v>
      </c>
      <c r="F118" s="50">
        <v>1</v>
      </c>
      <c r="G118" s="53">
        <f>ROUND((D118*E118*F118),2)</f>
        <v>6262.2</v>
      </c>
      <c r="H118" s="54">
        <v>58</v>
      </c>
      <c r="I118" s="25"/>
      <c r="J118" s="25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s="1" customFormat="1" ht="20.25" customHeight="1" x14ac:dyDescent="0.25">
      <c r="A119" s="27"/>
      <c r="B119" s="32" t="s">
        <v>55</v>
      </c>
      <c r="C119" s="63" t="s">
        <v>54</v>
      </c>
      <c r="D119" s="260">
        <v>50</v>
      </c>
      <c r="E119" s="35">
        <v>32.42</v>
      </c>
      <c r="F119" s="63">
        <v>6</v>
      </c>
      <c r="G119" s="35">
        <f t="shared" ref="G119:G120" si="12">ROUND((D119*E119*F119),2)</f>
        <v>9726</v>
      </c>
      <c r="H119" s="4">
        <v>61</v>
      </c>
      <c r="I119" s="25"/>
      <c r="J119" s="25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s="1" customFormat="1" ht="20.25" customHeight="1" x14ac:dyDescent="0.25">
      <c r="A120" s="27"/>
      <c r="B120" s="32" t="s">
        <v>127</v>
      </c>
      <c r="C120" s="63" t="s">
        <v>54</v>
      </c>
      <c r="D120" s="260">
        <v>766</v>
      </c>
      <c r="E120" s="35">
        <f>E119</f>
        <v>32.42</v>
      </c>
      <c r="F120" s="63">
        <v>12</v>
      </c>
      <c r="G120" s="35">
        <f t="shared" si="12"/>
        <v>298004.64</v>
      </c>
      <c r="H120" s="4">
        <v>61</v>
      </c>
      <c r="I120" s="25"/>
      <c r="J120" s="25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s="1" customFormat="1" ht="20.25" customHeight="1" x14ac:dyDescent="0.25">
      <c r="A121" s="27"/>
      <c r="B121" s="49" t="s">
        <v>128</v>
      </c>
      <c r="C121" s="50" t="s">
        <v>54</v>
      </c>
      <c r="D121" s="51">
        <f>D118</f>
        <v>355</v>
      </c>
      <c r="E121" s="68">
        <v>32.42</v>
      </c>
      <c r="F121" s="50">
        <v>12</v>
      </c>
      <c r="G121" s="68">
        <f>ROUND((D121*E121*F121),2)</f>
        <v>138109.20000000001</v>
      </c>
      <c r="H121" s="54">
        <v>61</v>
      </c>
      <c r="I121" s="25"/>
      <c r="J121" s="25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s="1" customFormat="1" ht="18" customHeight="1" x14ac:dyDescent="0.25">
      <c r="A122" s="27"/>
      <c r="B122" s="32" t="s">
        <v>129</v>
      </c>
      <c r="C122" s="63" t="s">
        <v>54</v>
      </c>
      <c r="D122" s="7">
        <v>50</v>
      </c>
      <c r="E122" s="35">
        <v>18.28</v>
      </c>
      <c r="F122" s="69">
        <v>1</v>
      </c>
      <c r="G122" s="35">
        <f t="shared" ref="G122:G128" si="13">ROUND((D122*E122*F122),2)</f>
        <v>914</v>
      </c>
      <c r="H122" s="4">
        <v>64</v>
      </c>
      <c r="I122" s="25"/>
      <c r="J122" s="25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s="1" customFormat="1" ht="18.75" customHeight="1" x14ac:dyDescent="0.25">
      <c r="A123" s="27"/>
      <c r="B123" s="32" t="s">
        <v>130</v>
      </c>
      <c r="C123" s="63" t="s">
        <v>54</v>
      </c>
      <c r="D123" s="7">
        <v>766</v>
      </c>
      <c r="E123" s="35">
        <f>E122</f>
        <v>18.28</v>
      </c>
      <c r="F123" s="69">
        <v>2</v>
      </c>
      <c r="G123" s="35">
        <f t="shared" si="13"/>
        <v>28004.959999999999</v>
      </c>
      <c r="H123" s="4">
        <v>64</v>
      </c>
      <c r="I123" s="25"/>
      <c r="J123" s="25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s="1" customFormat="1" ht="18" customHeight="1" x14ac:dyDescent="0.25">
      <c r="A124" s="27"/>
      <c r="B124" s="49" t="s">
        <v>131</v>
      </c>
      <c r="C124" s="50" t="s">
        <v>54</v>
      </c>
      <c r="D124" s="51">
        <f>D121</f>
        <v>355</v>
      </c>
      <c r="E124" s="68">
        <v>18.28</v>
      </c>
      <c r="F124" s="55">
        <v>4</v>
      </c>
      <c r="G124" s="68">
        <f t="shared" si="13"/>
        <v>25957.599999999999</v>
      </c>
      <c r="H124" s="54">
        <v>64</v>
      </c>
      <c r="I124" s="25"/>
      <c r="J124" s="25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s="1" customFormat="1" ht="21" customHeight="1" x14ac:dyDescent="0.25">
      <c r="A125" s="27"/>
      <c r="B125" s="32" t="s">
        <v>132</v>
      </c>
      <c r="C125" s="63" t="s">
        <v>40</v>
      </c>
      <c r="D125" s="7">
        <f>D117</f>
        <v>766</v>
      </c>
      <c r="E125" s="35">
        <v>66.760000000000005</v>
      </c>
      <c r="F125" s="69">
        <v>1</v>
      </c>
      <c r="G125" s="35">
        <f t="shared" si="13"/>
        <v>51138.16</v>
      </c>
      <c r="H125" s="4">
        <v>70</v>
      </c>
      <c r="I125" s="25"/>
      <c r="J125" s="25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s="1" customFormat="1" ht="21" customHeight="1" x14ac:dyDescent="0.25">
      <c r="A126" s="27"/>
      <c r="B126" s="49" t="s">
        <v>133</v>
      </c>
      <c r="C126" s="50" t="s">
        <v>54</v>
      </c>
      <c r="D126" s="51">
        <f>D124</f>
        <v>355</v>
      </c>
      <c r="E126" s="68">
        <v>66.760000000000005</v>
      </c>
      <c r="F126" s="55">
        <v>2</v>
      </c>
      <c r="G126" s="68">
        <f t="shared" si="13"/>
        <v>47399.6</v>
      </c>
      <c r="H126" s="54">
        <v>70</v>
      </c>
      <c r="I126" s="25"/>
      <c r="J126" s="25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s="1" customFormat="1" ht="21" customHeight="1" x14ac:dyDescent="0.25">
      <c r="A127" s="27"/>
      <c r="B127" s="49" t="s">
        <v>61</v>
      </c>
      <c r="C127" s="50" t="s">
        <v>54</v>
      </c>
      <c r="D127" s="51">
        <v>343</v>
      </c>
      <c r="E127" s="68">
        <v>26.41</v>
      </c>
      <c r="F127" s="55">
        <v>2</v>
      </c>
      <c r="G127" s="68">
        <f t="shared" si="13"/>
        <v>18117.259999999998</v>
      </c>
      <c r="H127" s="54">
        <v>41</v>
      </c>
      <c r="I127" s="25"/>
      <c r="J127" s="25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s="1" customFormat="1" ht="28.5" customHeight="1" x14ac:dyDescent="0.25">
      <c r="A128" s="27"/>
      <c r="B128" s="49" t="s">
        <v>134</v>
      </c>
      <c r="C128" s="50" t="s">
        <v>54</v>
      </c>
      <c r="D128" s="51">
        <v>12</v>
      </c>
      <c r="E128" s="68">
        <v>27.47</v>
      </c>
      <c r="F128" s="55">
        <v>2</v>
      </c>
      <c r="G128" s="68">
        <f t="shared" si="13"/>
        <v>659.28</v>
      </c>
      <c r="H128" s="54">
        <v>44</v>
      </c>
      <c r="I128" s="25"/>
      <c r="J128" s="25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s="1" customFormat="1" ht="18" customHeight="1" x14ac:dyDescent="0.25">
      <c r="A129" s="27" t="s">
        <v>444</v>
      </c>
      <c r="B129" s="44" t="s">
        <v>445</v>
      </c>
      <c r="C129" s="45" t="s">
        <v>23</v>
      </c>
      <c r="D129" s="29">
        <f>D130+D136+D140</f>
        <v>7307</v>
      </c>
      <c r="E129" s="334"/>
      <c r="F129" s="29"/>
      <c r="G129" s="31">
        <f>G130+G136+G140</f>
        <v>6008060.4000000004</v>
      </c>
      <c r="H129" s="15"/>
      <c r="I129" s="25"/>
      <c r="J129" s="25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s="1" customFormat="1" ht="18" customHeight="1" x14ac:dyDescent="0.25">
      <c r="A130" s="27" t="s">
        <v>446</v>
      </c>
      <c r="B130" s="44" t="s">
        <v>437</v>
      </c>
      <c r="C130" s="45" t="s">
        <v>23</v>
      </c>
      <c r="D130" s="29">
        <f>D131+D132+D133</f>
        <v>2959</v>
      </c>
      <c r="E130" s="334"/>
      <c r="F130" s="29"/>
      <c r="G130" s="31">
        <f>SUM(G131:G135)</f>
        <v>1752872.25</v>
      </c>
      <c r="H130" s="15"/>
      <c r="I130" s="25"/>
      <c r="J130" s="25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s="1" customFormat="1" ht="20.25" customHeight="1" x14ac:dyDescent="0.25">
      <c r="A131" s="27"/>
      <c r="B131" s="32" t="s">
        <v>143</v>
      </c>
      <c r="C131" s="63" t="s">
        <v>23</v>
      </c>
      <c r="D131" s="7">
        <v>223</v>
      </c>
      <c r="E131" s="82">
        <v>115.95</v>
      </c>
      <c r="F131" s="63">
        <v>5</v>
      </c>
      <c r="G131" s="35">
        <f>ROUND((D131*E131*F131),2)</f>
        <v>129284.25</v>
      </c>
      <c r="H131" s="4">
        <v>66</v>
      </c>
      <c r="I131" s="25"/>
      <c r="J131" s="25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s="1" customFormat="1" ht="20.25" customHeight="1" x14ac:dyDescent="0.25">
      <c r="A132" s="27"/>
      <c r="B132" s="49" t="s">
        <v>143</v>
      </c>
      <c r="C132" s="50" t="s">
        <v>23</v>
      </c>
      <c r="D132" s="51">
        <v>2696</v>
      </c>
      <c r="E132" s="66">
        <v>115.95</v>
      </c>
      <c r="F132" s="50">
        <v>5</v>
      </c>
      <c r="G132" s="68">
        <f>ROUND((D132*E132*F132),2)</f>
        <v>1563006</v>
      </c>
      <c r="H132" s="54">
        <v>66</v>
      </c>
      <c r="I132" s="25"/>
      <c r="J132" s="25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s="1" customFormat="1" ht="21" customHeight="1" x14ac:dyDescent="0.25">
      <c r="A133" s="27"/>
      <c r="B133" s="32" t="s">
        <v>146</v>
      </c>
      <c r="C133" s="63" t="s">
        <v>23</v>
      </c>
      <c r="D133" s="7">
        <v>40</v>
      </c>
      <c r="E133" s="82">
        <v>94.8</v>
      </c>
      <c r="F133" s="63">
        <v>1</v>
      </c>
      <c r="G133" s="35">
        <f>ROUND((D133*E133*F133),2)</f>
        <v>3792</v>
      </c>
      <c r="H133" s="4">
        <v>125</v>
      </c>
      <c r="I133" s="25"/>
      <c r="J133" s="25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s="1" customFormat="1" ht="20.25" customHeight="1" x14ac:dyDescent="0.25">
      <c r="A134" s="27"/>
      <c r="B134" s="32" t="s">
        <v>147</v>
      </c>
      <c r="C134" s="63" t="s">
        <v>40</v>
      </c>
      <c r="D134" s="7">
        <v>960</v>
      </c>
      <c r="E134" s="82">
        <v>35</v>
      </c>
      <c r="F134" s="69">
        <v>1</v>
      </c>
      <c r="G134" s="35">
        <f>ROUND((D134*E134*F134),2)</f>
        <v>33600</v>
      </c>
      <c r="H134" s="4">
        <v>126</v>
      </c>
      <c r="I134" s="25"/>
      <c r="J134" s="25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s="1" customFormat="1" ht="20.25" customHeight="1" x14ac:dyDescent="0.25">
      <c r="A135" s="27"/>
      <c r="B135" s="32" t="s">
        <v>148</v>
      </c>
      <c r="C135" s="63" t="s">
        <v>23</v>
      </c>
      <c r="D135" s="7">
        <v>40</v>
      </c>
      <c r="E135" s="82">
        <f>E131</f>
        <v>115.95</v>
      </c>
      <c r="F135" s="63">
        <v>5</v>
      </c>
      <c r="G135" s="35">
        <f>ROUND((D135*E135*F135),2)</f>
        <v>23190</v>
      </c>
      <c r="H135" s="4">
        <v>66</v>
      </c>
      <c r="I135" s="25"/>
      <c r="J135" s="25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s="1" customFormat="1" ht="15.75" x14ac:dyDescent="0.25">
      <c r="A136" s="27" t="s">
        <v>447</v>
      </c>
      <c r="B136" s="21" t="s">
        <v>150</v>
      </c>
      <c r="C136" s="28" t="s">
        <v>23</v>
      </c>
      <c r="D136" s="150">
        <f>D137+D138</f>
        <v>2281</v>
      </c>
      <c r="E136" s="334"/>
      <c r="F136" s="150"/>
      <c r="G136" s="24">
        <f>SUM(G137:G139)</f>
        <v>1124613.3</v>
      </c>
      <c r="H136" s="15"/>
      <c r="I136" s="25"/>
      <c r="J136" s="25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s="1" customFormat="1" ht="20.100000000000001" customHeight="1" x14ac:dyDescent="0.25">
      <c r="A137" s="57"/>
      <c r="B137" s="46" t="s">
        <v>151</v>
      </c>
      <c r="C137" s="14" t="s">
        <v>23</v>
      </c>
      <c r="D137" s="33">
        <f>1771+160</f>
        <v>1931</v>
      </c>
      <c r="E137" s="149">
        <f>E135</f>
        <v>115.95</v>
      </c>
      <c r="F137" s="30">
        <v>4</v>
      </c>
      <c r="G137" s="62">
        <f>ROUND((D137*E137*F137),2)</f>
        <v>895597.8</v>
      </c>
      <c r="H137" s="15">
        <v>66</v>
      </c>
      <c r="I137" s="25"/>
      <c r="J137" s="25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s="1" customFormat="1" ht="20.100000000000001" customHeight="1" x14ac:dyDescent="0.25">
      <c r="A138" s="57"/>
      <c r="B138" s="46" t="s">
        <v>143</v>
      </c>
      <c r="C138" s="14" t="s">
        <v>23</v>
      </c>
      <c r="D138" s="33">
        <v>350</v>
      </c>
      <c r="E138" s="149">
        <f>E137</f>
        <v>115.95</v>
      </c>
      <c r="F138" s="30">
        <v>5</v>
      </c>
      <c r="G138" s="62">
        <f>ROUND((D138*E138*F138),2)</f>
        <v>202912.5</v>
      </c>
      <c r="H138" s="15">
        <v>66</v>
      </c>
      <c r="I138" s="25"/>
      <c r="J138" s="25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s="1" customFormat="1" ht="20.100000000000001" customHeight="1" x14ac:dyDescent="0.25">
      <c r="A139" s="57"/>
      <c r="B139" s="46" t="s">
        <v>152</v>
      </c>
      <c r="C139" s="14" t="s">
        <v>23</v>
      </c>
      <c r="D139" s="33">
        <v>350</v>
      </c>
      <c r="E139" s="149">
        <v>74.58</v>
      </c>
      <c r="F139" s="30"/>
      <c r="G139" s="62">
        <f>ROUND((D139*E139*1),2)</f>
        <v>26103</v>
      </c>
      <c r="H139" s="15">
        <v>67</v>
      </c>
      <c r="I139" s="25"/>
      <c r="J139" s="25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s="1" customFormat="1" ht="18" customHeight="1" x14ac:dyDescent="0.25">
      <c r="A140" s="27" t="s">
        <v>448</v>
      </c>
      <c r="B140" s="21" t="s">
        <v>449</v>
      </c>
      <c r="C140" s="28" t="s">
        <v>23</v>
      </c>
      <c r="D140" s="150">
        <f>D141</f>
        <v>2067</v>
      </c>
      <c r="E140" s="334"/>
      <c r="F140" s="150"/>
      <c r="G140" s="24">
        <f>G141+G145+G149</f>
        <v>3130574.85</v>
      </c>
      <c r="H140" s="15"/>
      <c r="I140" s="25"/>
      <c r="J140" s="25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s="114" customFormat="1" ht="20.100000000000001" customHeight="1" x14ac:dyDescent="0.25">
      <c r="A141" s="122"/>
      <c r="B141" s="107" t="s">
        <v>172</v>
      </c>
      <c r="C141" s="108" t="s">
        <v>23</v>
      </c>
      <c r="D141" s="109">
        <f>D142+D143+D144</f>
        <v>2067</v>
      </c>
      <c r="E141" s="124"/>
      <c r="F141" s="109"/>
      <c r="G141" s="111">
        <f>G142+G143+G144</f>
        <v>195951.6</v>
      </c>
      <c r="H141" s="112"/>
      <c r="I141" s="368"/>
      <c r="J141" s="368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  <c r="W141" s="113"/>
      <c r="X141" s="113"/>
    </row>
    <row r="142" spans="1:24" s="1" customFormat="1" ht="20.100000000000001" customHeight="1" x14ac:dyDescent="0.25">
      <c r="A142" s="128"/>
      <c r="B142" s="116" t="s">
        <v>166</v>
      </c>
      <c r="C142" s="117" t="s">
        <v>23</v>
      </c>
      <c r="D142" s="118">
        <v>223</v>
      </c>
      <c r="E142" s="120">
        <v>94.8</v>
      </c>
      <c r="F142" s="130">
        <v>1</v>
      </c>
      <c r="G142" s="120">
        <f>ROUND((D142*E142*F142),2)</f>
        <v>21140.400000000001</v>
      </c>
      <c r="H142" s="121">
        <v>124</v>
      </c>
      <c r="I142" s="25"/>
      <c r="J142" s="25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s="1" customFormat="1" ht="20.100000000000001" customHeight="1" x14ac:dyDescent="0.25">
      <c r="A143" s="128"/>
      <c r="B143" s="116" t="s">
        <v>167</v>
      </c>
      <c r="C143" s="117" t="s">
        <v>23</v>
      </c>
      <c r="D143" s="118">
        <v>1627</v>
      </c>
      <c r="E143" s="120">
        <f>E142</f>
        <v>94.8</v>
      </c>
      <c r="F143" s="130">
        <v>1</v>
      </c>
      <c r="G143" s="120">
        <f>ROUND((D143*E143*F143),2)</f>
        <v>154239.6</v>
      </c>
      <c r="H143" s="121">
        <v>124</v>
      </c>
      <c r="I143" s="25"/>
      <c r="J143" s="25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s="1" customFormat="1" ht="20.100000000000001" customHeight="1" x14ac:dyDescent="0.25">
      <c r="A144" s="128"/>
      <c r="B144" s="116" t="s">
        <v>168</v>
      </c>
      <c r="C144" s="117" t="s">
        <v>23</v>
      </c>
      <c r="D144" s="118">
        <v>217</v>
      </c>
      <c r="E144" s="120">
        <f>E143</f>
        <v>94.8</v>
      </c>
      <c r="F144" s="130">
        <v>1</v>
      </c>
      <c r="G144" s="120">
        <f>ROUND((D144*E144*F144),2)</f>
        <v>20571.599999999999</v>
      </c>
      <c r="H144" s="121">
        <v>124</v>
      </c>
      <c r="I144" s="25"/>
      <c r="J144" s="25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s="114" customFormat="1" ht="20.100000000000001" customHeight="1" x14ac:dyDescent="0.25">
      <c r="A145" s="122"/>
      <c r="B145" s="107" t="s">
        <v>174</v>
      </c>
      <c r="C145" s="108" t="s">
        <v>40</v>
      </c>
      <c r="D145" s="109">
        <f>D146+D147+D148</f>
        <v>49608</v>
      </c>
      <c r="E145" s="110"/>
      <c r="F145" s="109"/>
      <c r="G145" s="111">
        <f>G146+G147+G148</f>
        <v>1736280</v>
      </c>
      <c r="H145" s="112"/>
      <c r="I145" s="368"/>
      <c r="J145" s="368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</row>
    <row r="146" spans="1:24" s="1" customFormat="1" ht="20.100000000000001" customHeight="1" x14ac:dyDescent="0.25">
      <c r="A146" s="128"/>
      <c r="B146" s="116" t="s">
        <v>166</v>
      </c>
      <c r="C146" s="117" t="s">
        <v>40</v>
      </c>
      <c r="D146" s="118">
        <f>D142*24</f>
        <v>5352</v>
      </c>
      <c r="E146" s="363">
        <v>35</v>
      </c>
      <c r="F146" s="130"/>
      <c r="G146" s="120">
        <f>ROUND((D146*E146),2)</f>
        <v>187320</v>
      </c>
      <c r="H146" s="121" t="s">
        <v>175</v>
      </c>
      <c r="I146" s="25"/>
      <c r="J146" s="25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s="1" customFormat="1" ht="20.100000000000001" customHeight="1" x14ac:dyDescent="0.25">
      <c r="A147" s="128"/>
      <c r="B147" s="116" t="s">
        <v>167</v>
      </c>
      <c r="C147" s="117" t="s">
        <v>40</v>
      </c>
      <c r="D147" s="118">
        <f>D143*24</f>
        <v>39048</v>
      </c>
      <c r="E147" s="363">
        <v>35</v>
      </c>
      <c r="F147" s="130"/>
      <c r="G147" s="120">
        <f>ROUND((D147*E147),2)</f>
        <v>1366680</v>
      </c>
      <c r="H147" s="121" t="s">
        <v>175</v>
      </c>
      <c r="I147" s="25"/>
      <c r="J147" s="25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s="1" customFormat="1" ht="20.100000000000001" customHeight="1" x14ac:dyDescent="0.25">
      <c r="A148" s="128"/>
      <c r="B148" s="116" t="s">
        <v>168</v>
      </c>
      <c r="C148" s="117" t="s">
        <v>40</v>
      </c>
      <c r="D148" s="118">
        <f>D144*24</f>
        <v>5208</v>
      </c>
      <c r="E148" s="363">
        <v>35</v>
      </c>
      <c r="F148" s="130"/>
      <c r="G148" s="120">
        <f>ROUND((D148*E148),2)</f>
        <v>182280</v>
      </c>
      <c r="H148" s="121" t="s">
        <v>175</v>
      </c>
      <c r="I148" s="25"/>
      <c r="J148" s="25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s="114" customFormat="1" ht="20.100000000000001" customHeight="1" x14ac:dyDescent="0.25">
      <c r="A149" s="27"/>
      <c r="B149" s="107" t="s">
        <v>148</v>
      </c>
      <c r="C149" s="108" t="s">
        <v>23</v>
      </c>
      <c r="D149" s="109">
        <f>D150+D151+D152</f>
        <v>2067</v>
      </c>
      <c r="E149" s="110"/>
      <c r="F149" s="109"/>
      <c r="G149" s="111">
        <f>SUM(G150:G152)</f>
        <v>1198343.25</v>
      </c>
      <c r="H149" s="112"/>
      <c r="I149" s="368"/>
      <c r="J149" s="368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</row>
    <row r="150" spans="1:24" s="1" customFormat="1" ht="20.100000000000001" customHeight="1" x14ac:dyDescent="0.25">
      <c r="A150" s="115"/>
      <c r="B150" s="116" t="s">
        <v>166</v>
      </c>
      <c r="C150" s="117" t="s">
        <v>23</v>
      </c>
      <c r="D150" s="118">
        <v>223</v>
      </c>
      <c r="E150" s="363">
        <f>E138</f>
        <v>115.95</v>
      </c>
      <c r="F150" s="118">
        <v>5</v>
      </c>
      <c r="G150" s="120">
        <f>ROUND((D150*E150*F150),2)</f>
        <v>129284.25</v>
      </c>
      <c r="H150" s="121">
        <v>66</v>
      </c>
      <c r="I150" s="25"/>
      <c r="J150" s="25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s="1" customFormat="1" ht="20.100000000000001" customHeight="1" x14ac:dyDescent="0.25">
      <c r="A151" s="115"/>
      <c r="B151" s="116" t="s">
        <v>167</v>
      </c>
      <c r="C151" s="117" t="s">
        <v>23</v>
      </c>
      <c r="D151" s="118">
        <v>1627</v>
      </c>
      <c r="E151" s="363">
        <f>E150</f>
        <v>115.95</v>
      </c>
      <c r="F151" s="118">
        <v>5</v>
      </c>
      <c r="G151" s="120">
        <f>ROUND((D151*E151*F151),2)</f>
        <v>943253.25</v>
      </c>
      <c r="H151" s="121">
        <v>66</v>
      </c>
      <c r="I151" s="25"/>
      <c r="J151" s="25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s="1" customFormat="1" ht="20.100000000000001" customHeight="1" x14ac:dyDescent="0.25">
      <c r="A152" s="115"/>
      <c r="B152" s="116" t="s">
        <v>168</v>
      </c>
      <c r="C152" s="117" t="s">
        <v>23</v>
      </c>
      <c r="D152" s="118">
        <v>217</v>
      </c>
      <c r="E152" s="363">
        <f>E151</f>
        <v>115.95</v>
      </c>
      <c r="F152" s="118">
        <v>5</v>
      </c>
      <c r="G152" s="120">
        <f>ROUND((D152*E152*F152),2)</f>
        <v>125805.75</v>
      </c>
      <c r="H152" s="121">
        <v>66</v>
      </c>
      <c r="I152" s="25"/>
      <c r="J152" s="25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s="1" customFormat="1" ht="22.5" customHeight="1" x14ac:dyDescent="0.25">
      <c r="A153" s="27" t="s">
        <v>450</v>
      </c>
      <c r="B153" s="21" t="s">
        <v>71</v>
      </c>
      <c r="C153" s="45" t="s">
        <v>72</v>
      </c>
      <c r="D153" s="29">
        <f>D179</f>
        <v>1580</v>
      </c>
      <c r="E153" s="334"/>
      <c r="F153" s="14"/>
      <c r="G153" s="31">
        <f>SUM(G154:G179)</f>
        <v>3566262.2700000005</v>
      </c>
      <c r="H153" s="15"/>
      <c r="I153" s="25"/>
      <c r="J153" s="25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s="1" customFormat="1" ht="33" customHeight="1" x14ac:dyDescent="0.25">
      <c r="A154" s="57"/>
      <c r="B154" s="61" t="s">
        <v>73</v>
      </c>
      <c r="C154" s="14" t="s">
        <v>72</v>
      </c>
      <c r="D154" s="7">
        <v>24</v>
      </c>
      <c r="E154" s="62">
        <v>861.3</v>
      </c>
      <c r="F154" s="14"/>
      <c r="G154" s="62">
        <f>ROUND((D154*E154*1),2)</f>
        <v>20671.2</v>
      </c>
      <c r="H154" s="15">
        <v>20</v>
      </c>
      <c r="I154" s="25"/>
      <c r="J154" s="25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s="1" customFormat="1" ht="33" customHeight="1" x14ac:dyDescent="0.25">
      <c r="A155" s="57"/>
      <c r="B155" s="61" t="s">
        <v>74</v>
      </c>
      <c r="C155" s="14" t="s">
        <v>72</v>
      </c>
      <c r="D155" s="7">
        <v>25</v>
      </c>
      <c r="E155" s="62">
        <v>1297.8800000000001</v>
      </c>
      <c r="F155" s="14"/>
      <c r="G155" s="62">
        <f>ROUND((D155*E155*1),2)</f>
        <v>32447</v>
      </c>
      <c r="H155" s="15">
        <v>21</v>
      </c>
      <c r="I155" s="25"/>
      <c r="J155" s="25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s="1" customFormat="1" ht="35.25" customHeight="1" x14ac:dyDescent="0.25">
      <c r="A156" s="57"/>
      <c r="B156" s="61" t="s">
        <v>75</v>
      </c>
      <c r="C156" s="14" t="s">
        <v>72</v>
      </c>
      <c r="D156" s="7">
        <v>15</v>
      </c>
      <c r="E156" s="62">
        <v>986.36</v>
      </c>
      <c r="F156" s="14"/>
      <c r="G156" s="62">
        <f t="shared" ref="G156:G179" si="14">ROUND((D156*E156*1),2)</f>
        <v>14795.4</v>
      </c>
      <c r="H156" s="15">
        <v>22</v>
      </c>
      <c r="I156" s="25"/>
      <c r="J156" s="25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s="1" customFormat="1" ht="29.25" customHeight="1" x14ac:dyDescent="0.25">
      <c r="A157" s="57"/>
      <c r="B157" s="61" t="s">
        <v>76</v>
      </c>
      <c r="C157" s="14" t="s">
        <v>72</v>
      </c>
      <c r="D157" s="7">
        <v>54</v>
      </c>
      <c r="E157" s="62">
        <v>1702.43</v>
      </c>
      <c r="F157" s="14"/>
      <c r="G157" s="62">
        <f t="shared" si="14"/>
        <v>91931.22</v>
      </c>
      <c r="H157" s="15">
        <v>23</v>
      </c>
      <c r="I157" s="25"/>
      <c r="J157" s="25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s="1" customFormat="1" ht="27.75" customHeight="1" x14ac:dyDescent="0.25">
      <c r="A158" s="57"/>
      <c r="B158" s="61" t="s">
        <v>77</v>
      </c>
      <c r="C158" s="14" t="s">
        <v>72</v>
      </c>
      <c r="D158" s="7">
        <v>34</v>
      </c>
      <c r="E158" s="62">
        <v>1178.6099999999999</v>
      </c>
      <c r="F158" s="14"/>
      <c r="G158" s="62">
        <f t="shared" si="14"/>
        <v>40072.74</v>
      </c>
      <c r="H158" s="15">
        <v>24</v>
      </c>
      <c r="I158" s="25"/>
      <c r="J158" s="25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s="1" customFormat="1" ht="27.75" customHeight="1" x14ac:dyDescent="0.25">
      <c r="A159" s="57"/>
      <c r="B159" s="61" t="s">
        <v>78</v>
      </c>
      <c r="C159" s="14" t="s">
        <v>72</v>
      </c>
      <c r="D159" s="7">
        <v>60</v>
      </c>
      <c r="E159" s="62">
        <v>1986.96</v>
      </c>
      <c r="F159" s="14"/>
      <c r="G159" s="62">
        <f t="shared" si="14"/>
        <v>119217.60000000001</v>
      </c>
      <c r="H159" s="15">
        <v>25</v>
      </c>
      <c r="I159" s="25"/>
      <c r="J159" s="25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s="1" customFormat="1" ht="32.25" customHeight="1" x14ac:dyDescent="0.25">
      <c r="A160" s="57"/>
      <c r="B160" s="61" t="s">
        <v>79</v>
      </c>
      <c r="C160" s="14" t="s">
        <v>72</v>
      </c>
      <c r="D160" s="7">
        <v>91</v>
      </c>
      <c r="E160" s="62">
        <v>4242.6899999999996</v>
      </c>
      <c r="F160" s="14"/>
      <c r="G160" s="62">
        <f t="shared" si="14"/>
        <v>386084.79</v>
      </c>
      <c r="H160" s="15">
        <v>26</v>
      </c>
      <c r="I160" s="25"/>
      <c r="J160" s="25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s="1" customFormat="1" ht="33" customHeight="1" x14ac:dyDescent="0.25">
      <c r="A161" s="57"/>
      <c r="B161" s="61" t="s">
        <v>80</v>
      </c>
      <c r="C161" s="14" t="s">
        <v>72</v>
      </c>
      <c r="D161" s="7">
        <v>141</v>
      </c>
      <c r="E161" s="62">
        <v>3437.4</v>
      </c>
      <c r="F161" s="14"/>
      <c r="G161" s="62">
        <f t="shared" si="14"/>
        <v>484673.4</v>
      </c>
      <c r="H161" s="15">
        <v>27</v>
      </c>
      <c r="I161" s="25"/>
      <c r="J161" s="25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s="1" customFormat="1" ht="29.25" customHeight="1" x14ac:dyDescent="0.25">
      <c r="A162" s="57"/>
      <c r="B162" s="61" t="s">
        <v>81</v>
      </c>
      <c r="C162" s="14" t="s">
        <v>72</v>
      </c>
      <c r="D162" s="7">
        <v>160</v>
      </c>
      <c r="E162" s="62">
        <v>1680.69</v>
      </c>
      <c r="F162" s="14"/>
      <c r="G162" s="62">
        <f t="shared" si="14"/>
        <v>268910.40000000002</v>
      </c>
      <c r="H162" s="15">
        <v>28</v>
      </c>
      <c r="I162" s="25"/>
      <c r="J162" s="25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s="1" customFormat="1" ht="29.25" customHeight="1" x14ac:dyDescent="0.25">
      <c r="A163" s="57"/>
      <c r="B163" s="61" t="s">
        <v>82</v>
      </c>
      <c r="C163" s="14" t="s">
        <v>72</v>
      </c>
      <c r="D163" s="7">
        <v>180</v>
      </c>
      <c r="E163" s="62">
        <v>1419.57</v>
      </c>
      <c r="F163" s="14"/>
      <c r="G163" s="62">
        <f t="shared" si="14"/>
        <v>255522.6</v>
      </c>
      <c r="H163" s="15">
        <v>29</v>
      </c>
      <c r="I163" s="25"/>
      <c r="J163" s="25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s="1" customFormat="1" ht="29.25" customHeight="1" x14ac:dyDescent="0.25">
      <c r="A164" s="57"/>
      <c r="B164" s="61" t="s">
        <v>83</v>
      </c>
      <c r="C164" s="14" t="s">
        <v>72</v>
      </c>
      <c r="D164" s="7">
        <v>84</v>
      </c>
      <c r="E164" s="62">
        <v>1249.47</v>
      </c>
      <c r="F164" s="14"/>
      <c r="G164" s="62">
        <f t="shared" si="14"/>
        <v>104955.48</v>
      </c>
      <c r="H164" s="15">
        <v>30</v>
      </c>
      <c r="I164" s="25"/>
      <c r="J164" s="25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s="1" customFormat="1" ht="34.5" customHeight="1" x14ac:dyDescent="0.25">
      <c r="A165" s="57"/>
      <c r="B165" s="46" t="s">
        <v>85</v>
      </c>
      <c r="C165" s="14" t="s">
        <v>40</v>
      </c>
      <c r="D165" s="33">
        <v>10</v>
      </c>
      <c r="E165" s="62">
        <v>275.57</v>
      </c>
      <c r="F165" s="14"/>
      <c r="G165" s="62">
        <f t="shared" si="14"/>
        <v>2755.7</v>
      </c>
      <c r="H165" s="15">
        <v>1</v>
      </c>
      <c r="I165" s="25"/>
      <c r="J165" s="25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s="1" customFormat="1" ht="36" customHeight="1" x14ac:dyDescent="0.25">
      <c r="A166" s="57"/>
      <c r="B166" s="32" t="s">
        <v>86</v>
      </c>
      <c r="C166" s="63" t="s">
        <v>40</v>
      </c>
      <c r="D166" s="33">
        <v>20</v>
      </c>
      <c r="E166" s="35">
        <v>443.54</v>
      </c>
      <c r="F166" s="63"/>
      <c r="G166" s="35">
        <f t="shared" si="14"/>
        <v>8870.7999999999993</v>
      </c>
      <c r="H166" s="4">
        <v>2</v>
      </c>
      <c r="I166" s="25"/>
      <c r="J166" s="25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s="1" customFormat="1" ht="31.5" customHeight="1" x14ac:dyDescent="0.25">
      <c r="A167" s="57"/>
      <c r="B167" s="46" t="s">
        <v>87</v>
      </c>
      <c r="C167" s="14" t="s">
        <v>40</v>
      </c>
      <c r="D167" s="33">
        <f>10+29</f>
        <v>39</v>
      </c>
      <c r="E167" s="62">
        <v>981.98</v>
      </c>
      <c r="F167" s="14"/>
      <c r="G167" s="62">
        <f t="shared" si="14"/>
        <v>38297.22</v>
      </c>
      <c r="H167" s="15">
        <v>3</v>
      </c>
      <c r="I167" s="25"/>
      <c r="J167" s="25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s="1" customFormat="1" ht="31.5" customHeight="1" x14ac:dyDescent="0.25">
      <c r="A168" s="57"/>
      <c r="B168" s="32" t="s">
        <v>88</v>
      </c>
      <c r="C168" s="63" t="s">
        <v>40</v>
      </c>
      <c r="D168" s="33">
        <f>20+27</f>
        <v>47</v>
      </c>
      <c r="E168" s="35">
        <v>1649.32</v>
      </c>
      <c r="F168" s="63"/>
      <c r="G168" s="35">
        <f t="shared" si="14"/>
        <v>77518.039999999994</v>
      </c>
      <c r="H168" s="4">
        <v>4</v>
      </c>
      <c r="I168" s="25"/>
      <c r="J168" s="25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s="1" customFormat="1" ht="31.5" customHeight="1" x14ac:dyDescent="0.25">
      <c r="A169" s="57"/>
      <c r="B169" s="32" t="s">
        <v>89</v>
      </c>
      <c r="C169" s="63" t="s">
        <v>40</v>
      </c>
      <c r="D169" s="33">
        <v>25</v>
      </c>
      <c r="E169" s="35">
        <v>2314.6799999999998</v>
      </c>
      <c r="F169" s="63"/>
      <c r="G169" s="35">
        <f t="shared" si="14"/>
        <v>57867</v>
      </c>
      <c r="H169" s="4">
        <v>5</v>
      </c>
      <c r="I169" s="25"/>
      <c r="J169" s="25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s="1" customFormat="1" ht="36.75" customHeight="1" x14ac:dyDescent="0.25">
      <c r="A170" s="57"/>
      <c r="B170" s="46" t="s">
        <v>90</v>
      </c>
      <c r="C170" s="14" t="s">
        <v>40</v>
      </c>
      <c r="D170" s="33">
        <v>92</v>
      </c>
      <c r="E170" s="62">
        <v>2970.21</v>
      </c>
      <c r="F170" s="14"/>
      <c r="G170" s="62">
        <f t="shared" si="14"/>
        <v>273259.32</v>
      </c>
      <c r="H170" s="15">
        <v>6</v>
      </c>
      <c r="I170" s="25"/>
      <c r="J170" s="25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s="1" customFormat="1" ht="35.25" customHeight="1" x14ac:dyDescent="0.25">
      <c r="A171" s="57"/>
      <c r="B171" s="46" t="s">
        <v>91</v>
      </c>
      <c r="C171" s="14" t="s">
        <v>40</v>
      </c>
      <c r="D171" s="33">
        <f>40-1</f>
        <v>39</v>
      </c>
      <c r="E171" s="62">
        <v>3768.91</v>
      </c>
      <c r="F171" s="14"/>
      <c r="G171" s="62">
        <f t="shared" si="14"/>
        <v>146987.49</v>
      </c>
      <c r="H171" s="15">
        <v>7</v>
      </c>
      <c r="I171" s="25"/>
      <c r="J171" s="25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s="1" customFormat="1" ht="35.25" customHeight="1" x14ac:dyDescent="0.25">
      <c r="A172" s="57"/>
      <c r="B172" s="61" t="s">
        <v>92</v>
      </c>
      <c r="C172" s="14" t="s">
        <v>40</v>
      </c>
      <c r="D172" s="33">
        <v>15</v>
      </c>
      <c r="E172" s="62">
        <v>4104.51</v>
      </c>
      <c r="F172" s="14"/>
      <c r="G172" s="62">
        <f t="shared" si="14"/>
        <v>61567.65</v>
      </c>
      <c r="H172" s="15">
        <v>8</v>
      </c>
      <c r="I172" s="25"/>
      <c r="J172" s="25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s="1" customFormat="1" ht="34.5" customHeight="1" x14ac:dyDescent="0.25">
      <c r="A173" s="57"/>
      <c r="B173" s="61" t="s">
        <v>93</v>
      </c>
      <c r="C173" s="14" t="s">
        <v>40</v>
      </c>
      <c r="D173" s="33">
        <v>16</v>
      </c>
      <c r="E173" s="62">
        <v>9895.92</v>
      </c>
      <c r="F173" s="14"/>
      <c r="G173" s="62">
        <f t="shared" si="14"/>
        <v>158334.72</v>
      </c>
      <c r="H173" s="15">
        <v>10</v>
      </c>
      <c r="I173" s="25"/>
      <c r="J173" s="25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s="1" customFormat="1" ht="30.75" customHeight="1" x14ac:dyDescent="0.25">
      <c r="A174" s="57"/>
      <c r="B174" s="61" t="s">
        <v>94</v>
      </c>
      <c r="C174" s="14" t="s">
        <v>40</v>
      </c>
      <c r="D174" s="33">
        <v>15</v>
      </c>
      <c r="E174" s="62">
        <v>13881.75</v>
      </c>
      <c r="F174" s="14"/>
      <c r="G174" s="62">
        <f t="shared" si="14"/>
        <v>208226.25</v>
      </c>
      <c r="H174" s="15">
        <v>12</v>
      </c>
      <c r="I174" s="25"/>
      <c r="J174" s="25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s="1" customFormat="1" ht="31.5" customHeight="1" x14ac:dyDescent="0.25">
      <c r="A175" s="57"/>
      <c r="B175" s="61" t="s">
        <v>95</v>
      </c>
      <c r="C175" s="14" t="s">
        <v>40</v>
      </c>
      <c r="D175" s="33">
        <v>10</v>
      </c>
      <c r="E175" s="62">
        <v>5243.29</v>
      </c>
      <c r="F175" s="14"/>
      <c r="G175" s="62">
        <f t="shared" si="14"/>
        <v>52432.9</v>
      </c>
      <c r="H175" s="15">
        <v>14</v>
      </c>
      <c r="I175" s="25"/>
      <c r="J175" s="25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s="1" customFormat="1" ht="31.5" customHeight="1" x14ac:dyDescent="0.25">
      <c r="A176" s="57"/>
      <c r="B176" s="61" t="s">
        <v>96</v>
      </c>
      <c r="C176" s="14" t="s">
        <v>40</v>
      </c>
      <c r="D176" s="33">
        <v>10</v>
      </c>
      <c r="E176" s="62">
        <v>13108.28</v>
      </c>
      <c r="F176" s="14"/>
      <c r="G176" s="62">
        <f t="shared" si="14"/>
        <v>131082.79999999999</v>
      </c>
      <c r="H176" s="15">
        <v>16</v>
      </c>
      <c r="I176" s="25"/>
      <c r="J176" s="25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s="1" customFormat="1" ht="31.5" customHeight="1" x14ac:dyDescent="0.25">
      <c r="A177" s="57"/>
      <c r="B177" s="61" t="s">
        <v>97</v>
      </c>
      <c r="C177" s="14" t="s">
        <v>40</v>
      </c>
      <c r="D177" s="33">
        <v>5</v>
      </c>
      <c r="E177" s="62">
        <v>22814.39</v>
      </c>
      <c r="F177" s="14"/>
      <c r="G177" s="62">
        <f t="shared" si="14"/>
        <v>114071.95</v>
      </c>
      <c r="H177" s="15">
        <v>18</v>
      </c>
      <c r="I177" s="25"/>
      <c r="J177" s="25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s="1" customFormat="1" ht="16.5" customHeight="1" x14ac:dyDescent="0.25">
      <c r="A178" s="57"/>
      <c r="B178" s="46" t="s">
        <v>98</v>
      </c>
      <c r="C178" s="14" t="s">
        <v>72</v>
      </c>
      <c r="D178" s="33">
        <v>50</v>
      </c>
      <c r="E178" s="62">
        <v>1032.9000000000001</v>
      </c>
      <c r="F178" s="14"/>
      <c r="G178" s="62">
        <f t="shared" si="14"/>
        <v>51645</v>
      </c>
      <c r="H178" s="15">
        <v>36</v>
      </c>
      <c r="I178" s="25"/>
      <c r="J178" s="25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s="1" customFormat="1" ht="16.5" customHeight="1" x14ac:dyDescent="0.25">
      <c r="A179" s="57"/>
      <c r="B179" s="46" t="s">
        <v>99</v>
      </c>
      <c r="C179" s="14" t="s">
        <v>72</v>
      </c>
      <c r="D179" s="33">
        <v>1580</v>
      </c>
      <c r="E179" s="62">
        <v>230.42</v>
      </c>
      <c r="F179" s="14"/>
      <c r="G179" s="62">
        <f t="shared" si="14"/>
        <v>364063.6</v>
      </c>
      <c r="H179" s="15">
        <v>83</v>
      </c>
      <c r="I179" s="25"/>
      <c r="J179" s="25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s="1" customFormat="1" ht="19.5" customHeight="1" x14ac:dyDescent="0.25">
      <c r="A180" s="349" t="s">
        <v>392</v>
      </c>
      <c r="B180" s="350" t="s">
        <v>451</v>
      </c>
      <c r="C180" s="357" t="s">
        <v>23</v>
      </c>
      <c r="D180" s="358">
        <f>D185</f>
        <v>16316</v>
      </c>
      <c r="E180" s="401"/>
      <c r="F180" s="358"/>
      <c r="G180" s="359">
        <f>SUM(G181:G185)</f>
        <v>2039889.63</v>
      </c>
      <c r="H180" s="356"/>
      <c r="I180" s="25">
        <f>G180/G6*I3</f>
        <v>32594.989835089782</v>
      </c>
      <c r="J180" s="25">
        <f>G180+I180</f>
        <v>2072484.6198350897</v>
      </c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s="1" customFormat="1" ht="24" customHeight="1" x14ac:dyDescent="0.25">
      <c r="A181" s="27"/>
      <c r="B181" s="36" t="s">
        <v>185</v>
      </c>
      <c r="C181" s="37" t="s">
        <v>23</v>
      </c>
      <c r="D181" s="101">
        <v>200</v>
      </c>
      <c r="E181" s="362">
        <v>503.22</v>
      </c>
      <c r="F181" s="40">
        <v>1</v>
      </c>
      <c r="G181" s="97">
        <f>ROUND((D181*E181*F181),2)</f>
        <v>100644</v>
      </c>
      <c r="H181" s="42">
        <v>113</v>
      </c>
      <c r="I181" s="25"/>
      <c r="J181" s="25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s="1" customFormat="1" ht="21" customHeight="1" x14ac:dyDescent="0.25">
      <c r="A182" s="27"/>
      <c r="B182" s="36" t="s">
        <v>186</v>
      </c>
      <c r="C182" s="37" t="s">
        <v>23</v>
      </c>
      <c r="D182" s="101">
        <v>60</v>
      </c>
      <c r="E182" s="333">
        <v>1387.46</v>
      </c>
      <c r="F182" s="40">
        <v>1</v>
      </c>
      <c r="G182" s="97">
        <f>ROUND((D182*E182*F182),2)</f>
        <v>83247.600000000006</v>
      </c>
      <c r="H182" s="42">
        <v>115</v>
      </c>
      <c r="I182" s="25"/>
      <c r="J182" s="25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s="1" customFormat="1" ht="21" customHeight="1" x14ac:dyDescent="0.25">
      <c r="A183" s="27"/>
      <c r="B183" s="36" t="s">
        <v>187</v>
      </c>
      <c r="C183" s="37" t="s">
        <v>23</v>
      </c>
      <c r="D183" s="99">
        <v>2400</v>
      </c>
      <c r="E183" s="362">
        <v>58.93</v>
      </c>
      <c r="F183" s="40">
        <v>1</v>
      </c>
      <c r="G183" s="97">
        <f>ROUND((D183*E183*F183),2)</f>
        <v>141432</v>
      </c>
      <c r="H183" s="42">
        <v>114</v>
      </c>
      <c r="I183" s="25"/>
      <c r="J183" s="25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s="1" customFormat="1" ht="21" customHeight="1" x14ac:dyDescent="0.25">
      <c r="A184" s="27"/>
      <c r="B184" s="36" t="s">
        <v>247</v>
      </c>
      <c r="C184" s="37" t="s">
        <v>23</v>
      </c>
      <c r="D184" s="101">
        <v>7383</v>
      </c>
      <c r="E184" s="362">
        <v>67.510000000000005</v>
      </c>
      <c r="F184" s="40">
        <v>3</v>
      </c>
      <c r="G184" s="97">
        <f t="shared" ref="G184:G185" si="15">ROUND((D184*E184*F184),2)</f>
        <v>1495278.99</v>
      </c>
      <c r="H184" s="42">
        <v>112</v>
      </c>
      <c r="I184" s="25"/>
      <c r="J184" s="25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s="1" customFormat="1" ht="22.5" customHeight="1" x14ac:dyDescent="0.25">
      <c r="A185" s="27"/>
      <c r="B185" s="36" t="s">
        <v>223</v>
      </c>
      <c r="C185" s="37" t="s">
        <v>23</v>
      </c>
      <c r="D185" s="101">
        <v>16316</v>
      </c>
      <c r="E185" s="362">
        <v>1.92</v>
      </c>
      <c r="F185" s="40">
        <v>7</v>
      </c>
      <c r="G185" s="97">
        <f t="shared" si="15"/>
        <v>219287.04000000001</v>
      </c>
      <c r="H185" s="42" t="s">
        <v>248</v>
      </c>
      <c r="I185" s="25"/>
      <c r="J185" s="25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s="1" customFormat="1" ht="19.5" customHeight="1" x14ac:dyDescent="0.25">
      <c r="A186" s="349" t="s">
        <v>395</v>
      </c>
      <c r="B186" s="350" t="s">
        <v>458</v>
      </c>
      <c r="C186" s="357" t="s">
        <v>23</v>
      </c>
      <c r="D186" s="358">
        <f>D187+D196</f>
        <v>76396</v>
      </c>
      <c r="E186" s="401"/>
      <c r="F186" s="358"/>
      <c r="G186" s="359">
        <f>G187+G196+G199</f>
        <v>6484740.1099999994</v>
      </c>
      <c r="H186" s="356"/>
      <c r="I186" s="25">
        <f>G186/G6*I3</f>
        <v>103618.36976868643</v>
      </c>
      <c r="J186" s="25">
        <f>G186+I186</f>
        <v>6588358.479768686</v>
      </c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s="1" customFormat="1" ht="21.75" customHeight="1" x14ac:dyDescent="0.25">
      <c r="A187" s="27" t="s">
        <v>459</v>
      </c>
      <c r="B187" s="21" t="s">
        <v>218</v>
      </c>
      <c r="C187" s="28" t="s">
        <v>23</v>
      </c>
      <c r="D187" s="29">
        <f>D192+D193+D194+D195</f>
        <v>19627</v>
      </c>
      <c r="E187" s="334"/>
      <c r="F187" s="30"/>
      <c r="G187" s="31">
        <f>SUM(G188:G195)</f>
        <v>4190317.19</v>
      </c>
      <c r="H187" s="15"/>
      <c r="I187" s="25"/>
      <c r="J187" s="25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s="1" customFormat="1" ht="19.5" customHeight="1" x14ac:dyDescent="0.25">
      <c r="A188" s="27"/>
      <c r="B188" s="32" t="s">
        <v>236</v>
      </c>
      <c r="C188" s="63" t="s">
        <v>23</v>
      </c>
      <c r="D188" s="173">
        <v>1700</v>
      </c>
      <c r="E188" s="364">
        <v>59.08</v>
      </c>
      <c r="F188" s="69">
        <v>5</v>
      </c>
      <c r="G188" s="60">
        <f>ROUND((D188*E188*F188),2)</f>
        <v>502180</v>
      </c>
      <c r="H188" s="4" t="s">
        <v>221</v>
      </c>
      <c r="I188" s="25"/>
      <c r="J188" s="25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s="1" customFormat="1" ht="22.5" customHeight="1" x14ac:dyDescent="0.25">
      <c r="A189" s="27"/>
      <c r="B189" s="36" t="s">
        <v>219</v>
      </c>
      <c r="C189" s="37" t="s">
        <v>23</v>
      </c>
      <c r="D189" s="101">
        <v>8901</v>
      </c>
      <c r="E189" s="362">
        <v>7.37</v>
      </c>
      <c r="F189" s="40">
        <v>5</v>
      </c>
      <c r="G189" s="97">
        <f t="shared" ref="G189:G191" si="16">ROUND((D189*E189*F189),2)</f>
        <v>328001.84999999998</v>
      </c>
      <c r="H189" s="42">
        <v>103</v>
      </c>
      <c r="I189" s="25"/>
      <c r="J189" s="25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s="1" customFormat="1" ht="20.25" customHeight="1" x14ac:dyDescent="0.25">
      <c r="A190" s="27"/>
      <c r="B190" s="36" t="s">
        <v>220</v>
      </c>
      <c r="C190" s="37" t="s">
        <v>23</v>
      </c>
      <c r="D190" s="101">
        <v>8372</v>
      </c>
      <c r="E190" s="362">
        <v>59.08</v>
      </c>
      <c r="F190" s="40">
        <v>5</v>
      </c>
      <c r="G190" s="97">
        <f t="shared" si="16"/>
        <v>2473088.7999999998</v>
      </c>
      <c r="H190" s="42" t="s">
        <v>221</v>
      </c>
      <c r="I190" s="25"/>
      <c r="J190" s="25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s="1" customFormat="1" ht="15.75" x14ac:dyDescent="0.25">
      <c r="A191" s="27"/>
      <c r="B191" s="49" t="s">
        <v>220</v>
      </c>
      <c r="C191" s="50" t="s">
        <v>23</v>
      </c>
      <c r="D191" s="170">
        <v>654</v>
      </c>
      <c r="E191" s="402">
        <f>E190</f>
        <v>59.08</v>
      </c>
      <c r="F191" s="55">
        <v>5</v>
      </c>
      <c r="G191" s="53">
        <f t="shared" si="16"/>
        <v>193191.6</v>
      </c>
      <c r="H191" s="278" t="s">
        <v>221</v>
      </c>
      <c r="I191" s="348"/>
      <c r="J191" s="134"/>
      <c r="K191" s="238"/>
      <c r="L191" s="369"/>
      <c r="M191" s="269"/>
      <c r="N191" s="269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s="1" customFormat="1" ht="21.75" customHeight="1" x14ac:dyDescent="0.25">
      <c r="A192" s="27"/>
      <c r="B192" s="32" t="s">
        <v>238</v>
      </c>
      <c r="C192" s="63" t="s">
        <v>23</v>
      </c>
      <c r="D192" s="173">
        <f>D188</f>
        <v>1700</v>
      </c>
      <c r="E192" s="364">
        <v>12.02</v>
      </c>
      <c r="F192" s="69">
        <v>7</v>
      </c>
      <c r="G192" s="60">
        <f>ROUND((D192*E192*F192),2)</f>
        <v>143038</v>
      </c>
      <c r="H192" s="4" t="s">
        <v>224</v>
      </c>
      <c r="I192" s="133"/>
      <c r="J192" s="133"/>
      <c r="K192" s="347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s="1" customFormat="1" ht="24" customHeight="1" x14ac:dyDescent="0.25">
      <c r="A193" s="27"/>
      <c r="B193" s="36" t="s">
        <v>222</v>
      </c>
      <c r="C193" s="37" t="s">
        <v>23</v>
      </c>
      <c r="D193" s="101">
        <f>D189</f>
        <v>8901</v>
      </c>
      <c r="E193" s="362">
        <v>4.51</v>
      </c>
      <c r="F193" s="40">
        <v>2</v>
      </c>
      <c r="G193" s="97">
        <f t="shared" ref="G193:G195" si="17">ROUND((D193*E193*F193),2)</f>
        <v>80287.02</v>
      </c>
      <c r="H193" s="42">
        <v>104</v>
      </c>
      <c r="I193" s="133"/>
      <c r="J193" s="133"/>
      <c r="K193" s="347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s="1" customFormat="1" ht="21" customHeight="1" x14ac:dyDescent="0.25">
      <c r="A194" s="27"/>
      <c r="B194" s="36" t="s">
        <v>223</v>
      </c>
      <c r="C194" s="37" t="s">
        <v>23</v>
      </c>
      <c r="D194" s="101">
        <f>D190</f>
        <v>8372</v>
      </c>
      <c r="E194" s="362">
        <v>7.09</v>
      </c>
      <c r="F194" s="40">
        <v>7</v>
      </c>
      <c r="G194" s="97">
        <f t="shared" si="17"/>
        <v>415502.36</v>
      </c>
      <c r="H194" s="42" t="s">
        <v>225</v>
      </c>
      <c r="I194" s="133"/>
      <c r="J194" s="133"/>
      <c r="K194" s="347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s="1" customFormat="1" ht="15.75" x14ac:dyDescent="0.25">
      <c r="A195" s="27"/>
      <c r="B195" s="49" t="s">
        <v>223</v>
      </c>
      <c r="C195" s="50" t="s">
        <v>23</v>
      </c>
      <c r="D195" s="170">
        <v>654</v>
      </c>
      <c r="E195" s="402">
        <v>12.02</v>
      </c>
      <c r="F195" s="55">
        <v>7</v>
      </c>
      <c r="G195" s="53">
        <f t="shared" si="17"/>
        <v>55027.56</v>
      </c>
      <c r="H195" s="278" t="s">
        <v>224</v>
      </c>
      <c r="I195" s="348"/>
      <c r="J195" s="134"/>
      <c r="K195" s="238"/>
      <c r="L195" s="347"/>
      <c r="M195" s="133"/>
      <c r="N195" s="25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s="1" customFormat="1" ht="21.75" customHeight="1" x14ac:dyDescent="0.25">
      <c r="A196" s="27" t="s">
        <v>460</v>
      </c>
      <c r="B196" s="21" t="s">
        <v>461</v>
      </c>
      <c r="C196" s="28" t="s">
        <v>23</v>
      </c>
      <c r="D196" s="29">
        <f>D197+D198</f>
        <v>56769</v>
      </c>
      <c r="E196" s="334"/>
      <c r="F196" s="30"/>
      <c r="G196" s="31">
        <f>G197+G198</f>
        <v>1496439.42</v>
      </c>
      <c r="H196" s="15"/>
      <c r="I196" s="25"/>
      <c r="J196" s="25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s="1" customFormat="1" ht="17.25" customHeight="1" x14ac:dyDescent="0.25">
      <c r="A197" s="27"/>
      <c r="B197" s="32" t="s">
        <v>228</v>
      </c>
      <c r="C197" s="63" t="s">
        <v>23</v>
      </c>
      <c r="D197" s="7">
        <v>1314</v>
      </c>
      <c r="E197" s="364">
        <v>6.54</v>
      </c>
      <c r="F197" s="69">
        <v>7</v>
      </c>
      <c r="G197" s="60">
        <f>ROUND((D197*E197*F197),2)</f>
        <v>60154.92</v>
      </c>
      <c r="H197" s="4" t="s">
        <v>229</v>
      </c>
      <c r="I197" s="25"/>
      <c r="J197" s="25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s="1" customFormat="1" ht="21.75" customHeight="1" x14ac:dyDescent="0.25">
      <c r="A198" s="27"/>
      <c r="B198" s="36" t="s">
        <v>228</v>
      </c>
      <c r="C198" s="37" t="s">
        <v>23</v>
      </c>
      <c r="D198" s="101">
        <v>55455</v>
      </c>
      <c r="E198" s="362">
        <v>3.7</v>
      </c>
      <c r="F198" s="40">
        <v>7</v>
      </c>
      <c r="G198" s="97">
        <f>ROUND((D198*E198*F198),2)</f>
        <v>1436284.5</v>
      </c>
      <c r="H198" s="42" t="s">
        <v>230</v>
      </c>
      <c r="I198" s="25"/>
      <c r="J198" s="25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s="1" customFormat="1" ht="21.75" customHeight="1" x14ac:dyDescent="0.25">
      <c r="A199" s="27" t="s">
        <v>460</v>
      </c>
      <c r="B199" s="21" t="s">
        <v>490</v>
      </c>
      <c r="C199" s="28" t="s">
        <v>23</v>
      </c>
      <c r="D199" s="29">
        <f>D200</f>
        <v>55455</v>
      </c>
      <c r="E199" s="334"/>
      <c r="F199" s="30"/>
      <c r="G199" s="31">
        <f>G200+G201+G202</f>
        <v>797983.5</v>
      </c>
      <c r="H199" s="15"/>
      <c r="I199" s="25"/>
      <c r="J199" s="25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s="1" customFormat="1" ht="34.5" customHeight="1" x14ac:dyDescent="0.25">
      <c r="A200" s="27"/>
      <c r="B200" s="36" t="s">
        <v>34</v>
      </c>
      <c r="C200" s="37" t="s">
        <v>23</v>
      </c>
      <c r="D200" s="38">
        <v>55455</v>
      </c>
      <c r="E200" s="296">
        <v>5.9</v>
      </c>
      <c r="F200" s="40">
        <v>1</v>
      </c>
      <c r="G200" s="41">
        <f t="shared" ref="G200:G202" si="18">ROUND((D200*E200*F200),2)</f>
        <v>327184.5</v>
      </c>
      <c r="H200" s="42">
        <v>54</v>
      </c>
      <c r="I200" s="25"/>
      <c r="J200" s="25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s="1" customFormat="1" ht="34.5" customHeight="1" x14ac:dyDescent="0.25">
      <c r="A201" s="27"/>
      <c r="B201" s="36" t="s">
        <v>35</v>
      </c>
      <c r="C201" s="37" t="s">
        <v>23</v>
      </c>
      <c r="D201" s="38">
        <f>D200</f>
        <v>55455</v>
      </c>
      <c r="E201" s="296">
        <v>3.6</v>
      </c>
      <c r="F201" s="40">
        <v>1</v>
      </c>
      <c r="G201" s="41">
        <f t="shared" si="18"/>
        <v>199638</v>
      </c>
      <c r="H201" s="42" t="s">
        <v>31</v>
      </c>
      <c r="I201" s="25"/>
      <c r="J201" s="25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s="1" customFormat="1" ht="20.25" customHeight="1" x14ac:dyDescent="0.25">
      <c r="A202" s="27"/>
      <c r="B202" s="32" t="s">
        <v>139</v>
      </c>
      <c r="C202" s="63" t="s">
        <v>23</v>
      </c>
      <c r="D202" s="7">
        <v>1210</v>
      </c>
      <c r="E202" s="82">
        <v>37.35</v>
      </c>
      <c r="F202" s="63">
        <v>6</v>
      </c>
      <c r="G202" s="35">
        <f t="shared" si="18"/>
        <v>271161</v>
      </c>
      <c r="H202" s="4">
        <v>129</v>
      </c>
      <c r="I202" s="25"/>
      <c r="J202" s="25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s="1" customFormat="1" ht="19.5" customHeight="1" x14ac:dyDescent="0.25">
      <c r="A203" s="349" t="s">
        <v>462</v>
      </c>
      <c r="B203" s="350" t="s">
        <v>463</v>
      </c>
      <c r="C203" s="357" t="s">
        <v>213</v>
      </c>
      <c r="D203" s="358">
        <f>D204+D206</f>
        <v>24</v>
      </c>
      <c r="E203" s="401"/>
      <c r="F203" s="358"/>
      <c r="G203" s="359">
        <f>G204+G205</f>
        <v>456250</v>
      </c>
      <c r="H203" s="356"/>
      <c r="I203" s="25">
        <f>G203/G6*I3</f>
        <v>7290.3278165396205</v>
      </c>
      <c r="J203" s="25">
        <f>G203+I203</f>
        <v>463540.32781653962</v>
      </c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s="3" customFormat="1" ht="22.5" customHeight="1" x14ac:dyDescent="0.25">
      <c r="A204" s="122" t="s">
        <v>464</v>
      </c>
      <c r="B204" s="103" t="s">
        <v>163</v>
      </c>
      <c r="C204" s="104" t="s">
        <v>164</v>
      </c>
      <c r="D204" s="105">
        <v>20</v>
      </c>
      <c r="E204" s="364"/>
      <c r="F204" s="69"/>
      <c r="G204" s="56">
        <f>250000*1.025</f>
        <v>256249.99999999997</v>
      </c>
      <c r="H204" s="4"/>
      <c r="I204" s="25"/>
      <c r="J204" s="25"/>
    </row>
    <row r="205" spans="1:24" ht="24.75" customHeight="1" x14ac:dyDescent="0.2">
      <c r="A205" s="27" t="s">
        <v>465</v>
      </c>
      <c r="B205" s="191" t="s">
        <v>453</v>
      </c>
      <c r="C205" s="104"/>
      <c r="D205" s="69"/>
      <c r="E205" s="8"/>
      <c r="F205" s="63"/>
      <c r="G205" s="132">
        <f>G206</f>
        <v>200000</v>
      </c>
      <c r="H205" s="4"/>
      <c r="I205" s="403"/>
      <c r="J205" s="403"/>
      <c r="K205" s="404"/>
      <c r="L205" s="404"/>
      <c r="M205" s="404"/>
      <c r="N205" s="404"/>
      <c r="O205" s="404"/>
      <c r="P205" s="404"/>
      <c r="Q205" s="404"/>
      <c r="R205" s="404"/>
      <c r="S205" s="404"/>
      <c r="T205" s="404"/>
      <c r="U205" s="404"/>
      <c r="V205" s="404"/>
      <c r="W205" s="404"/>
      <c r="X205" s="404"/>
    </row>
    <row r="206" spans="1:24" ht="24.75" customHeight="1" x14ac:dyDescent="0.2">
      <c r="A206" s="27"/>
      <c r="B206" s="339" t="s">
        <v>454</v>
      </c>
      <c r="C206" s="340" t="s">
        <v>213</v>
      </c>
      <c r="D206" s="341">
        <v>4</v>
      </c>
      <c r="E206" s="342"/>
      <c r="F206" s="343"/>
      <c r="G206" s="344">
        <v>200000</v>
      </c>
      <c r="H206" s="345" t="s">
        <v>455</v>
      </c>
      <c r="I206" s="403"/>
      <c r="J206" s="403"/>
      <c r="K206" s="404"/>
      <c r="L206" s="404"/>
      <c r="M206" s="404"/>
      <c r="N206" s="404"/>
      <c r="O206" s="404"/>
      <c r="P206" s="404"/>
      <c r="Q206" s="404"/>
      <c r="R206" s="404"/>
      <c r="S206" s="404"/>
      <c r="T206" s="404"/>
      <c r="U206" s="404"/>
      <c r="V206" s="404"/>
      <c r="W206" s="404"/>
      <c r="X206" s="404"/>
    </row>
    <row r="207" spans="1:24" s="1" customFormat="1" ht="19.5" customHeight="1" x14ac:dyDescent="0.25">
      <c r="A207" s="349" t="s">
        <v>389</v>
      </c>
      <c r="B207" s="350" t="s">
        <v>466</v>
      </c>
      <c r="C207" s="357"/>
      <c r="D207" s="358"/>
      <c r="E207" s="401"/>
      <c r="F207" s="358"/>
      <c r="G207" s="359">
        <f>G208+G209</f>
        <v>2149903.0119999996</v>
      </c>
      <c r="H207" s="356"/>
      <c r="I207" s="25">
        <f>G207/G6*I3</f>
        <v>34352.871739717055</v>
      </c>
      <c r="J207" s="25">
        <f>G207+I207</f>
        <v>2184255.8837397168</v>
      </c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s="140" customFormat="1" ht="20.25" customHeight="1" x14ac:dyDescent="0.25">
      <c r="A208" s="27" t="s">
        <v>467</v>
      </c>
      <c r="B208" s="103" t="s">
        <v>179</v>
      </c>
      <c r="C208" s="135" t="s">
        <v>40</v>
      </c>
      <c r="D208" s="136">
        <v>115</v>
      </c>
      <c r="E208" s="365"/>
      <c r="F208" s="138"/>
      <c r="G208" s="56">
        <v>538317.16</v>
      </c>
      <c r="H208" s="139"/>
      <c r="I208" s="26"/>
      <c r="J208" s="26"/>
      <c r="K208" s="98"/>
      <c r="L208" s="98"/>
      <c r="M208" s="98"/>
      <c r="N208" s="98"/>
      <c r="O208" s="98"/>
      <c r="P208" s="98"/>
      <c r="Q208" s="98"/>
      <c r="R208" s="98"/>
      <c r="S208" s="98"/>
      <c r="T208" s="98"/>
      <c r="U208" s="98"/>
      <c r="V208" s="98"/>
      <c r="W208" s="98"/>
      <c r="X208" s="98"/>
    </row>
    <row r="209" spans="1:24" s="114" customFormat="1" ht="20.100000000000001" customHeight="1" x14ac:dyDescent="0.25">
      <c r="A209" s="27" t="s">
        <v>470</v>
      </c>
      <c r="B209" s="123" t="s">
        <v>212</v>
      </c>
      <c r="C209" s="124" t="s">
        <v>213</v>
      </c>
      <c r="D209" s="125">
        <v>6</v>
      </c>
      <c r="E209" s="124"/>
      <c r="F209" s="124"/>
      <c r="G209" s="126">
        <f>1572278.88*1.025</f>
        <v>1611585.8519999997</v>
      </c>
      <c r="H209" s="112"/>
      <c r="I209" s="368"/>
      <c r="J209" s="368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  <c r="V209" s="113"/>
      <c r="W209" s="113"/>
      <c r="X209" s="113"/>
    </row>
    <row r="210" spans="1:24" s="1" customFormat="1" ht="19.5" customHeight="1" x14ac:dyDescent="0.25">
      <c r="A210" s="349" t="s">
        <v>391</v>
      </c>
      <c r="B210" s="350" t="s">
        <v>471</v>
      </c>
      <c r="C210" s="357" t="s">
        <v>23</v>
      </c>
      <c r="D210" s="358">
        <f>D211+D217</f>
        <v>209967</v>
      </c>
      <c r="E210" s="401"/>
      <c r="F210" s="358"/>
      <c r="G210" s="359">
        <f>G211+G217+G221</f>
        <v>6612472.2899999991</v>
      </c>
      <c r="H210" s="356"/>
      <c r="I210" s="25">
        <f>G210/G6*I3</f>
        <v>105659.37681508917</v>
      </c>
      <c r="J210" s="25">
        <f>G210+I210</f>
        <v>6718131.6668150881</v>
      </c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s="1" customFormat="1" ht="20.100000000000001" customHeight="1" x14ac:dyDescent="0.25">
      <c r="A211" s="27" t="s">
        <v>472</v>
      </c>
      <c r="B211" s="44" t="s">
        <v>218</v>
      </c>
      <c r="C211" s="45" t="s">
        <v>23</v>
      </c>
      <c r="D211" s="29">
        <f>SUM(D214:D216)</f>
        <v>40492</v>
      </c>
      <c r="E211" s="334"/>
      <c r="F211" s="29"/>
      <c r="G211" s="56">
        <f>SUM(G212:G216)</f>
        <v>2880404.2399999998</v>
      </c>
      <c r="H211" s="15"/>
      <c r="I211" s="25"/>
      <c r="J211" s="25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s="1" customFormat="1" ht="20.100000000000001" customHeight="1" x14ac:dyDescent="0.25">
      <c r="A212" s="27"/>
      <c r="B212" s="46" t="s">
        <v>235</v>
      </c>
      <c r="C212" s="14" t="s">
        <v>23</v>
      </c>
      <c r="D212" s="33">
        <v>15100</v>
      </c>
      <c r="E212" s="361">
        <v>7.37</v>
      </c>
      <c r="F212" s="69">
        <v>4</v>
      </c>
      <c r="G212" s="60">
        <f>ROUND((D212*E212*F212),2)</f>
        <v>445148</v>
      </c>
      <c r="H212" s="4">
        <v>103</v>
      </c>
      <c r="I212" s="25"/>
      <c r="J212" s="25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s="1" customFormat="1" ht="20.100000000000001" customHeight="1" x14ac:dyDescent="0.25">
      <c r="A213" s="27"/>
      <c r="B213" s="46" t="s">
        <v>236</v>
      </c>
      <c r="C213" s="14" t="s">
        <v>23</v>
      </c>
      <c r="D213" s="168">
        <v>5060</v>
      </c>
      <c r="E213" s="361">
        <v>59.08</v>
      </c>
      <c r="F213" s="69">
        <v>5</v>
      </c>
      <c r="G213" s="60">
        <f t="shared" ref="G213:G219" si="19">ROUND((D213*E213*F213),2)</f>
        <v>1494724</v>
      </c>
      <c r="H213" s="4" t="s">
        <v>221</v>
      </c>
      <c r="I213" s="25"/>
      <c r="J213" s="25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s="1" customFormat="1" ht="20.100000000000001" customHeight="1" x14ac:dyDescent="0.25">
      <c r="A214" s="27"/>
      <c r="B214" s="32" t="s">
        <v>237</v>
      </c>
      <c r="C214" s="63" t="s">
        <v>23</v>
      </c>
      <c r="D214" s="7">
        <v>15100</v>
      </c>
      <c r="E214" s="364">
        <v>4.51</v>
      </c>
      <c r="F214" s="69">
        <v>2</v>
      </c>
      <c r="G214" s="60">
        <f t="shared" si="19"/>
        <v>136202</v>
      </c>
      <c r="H214" s="4">
        <v>104</v>
      </c>
      <c r="I214" s="25"/>
      <c r="J214" s="25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s="1" customFormat="1" ht="20.100000000000001" customHeight="1" x14ac:dyDescent="0.25">
      <c r="A215" s="27"/>
      <c r="B215" s="32" t="s">
        <v>238</v>
      </c>
      <c r="C215" s="63" t="s">
        <v>23</v>
      </c>
      <c r="D215" s="173">
        <f>D213</f>
        <v>5060</v>
      </c>
      <c r="E215" s="364">
        <v>12.02</v>
      </c>
      <c r="F215" s="69">
        <v>7</v>
      </c>
      <c r="G215" s="60">
        <f t="shared" si="19"/>
        <v>425748.4</v>
      </c>
      <c r="H215" s="4" t="s">
        <v>224</v>
      </c>
      <c r="I215" s="25"/>
      <c r="J215" s="25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s="1" customFormat="1" ht="20.100000000000001" customHeight="1" x14ac:dyDescent="0.25">
      <c r="A216" s="27"/>
      <c r="B216" s="32" t="s">
        <v>238</v>
      </c>
      <c r="C216" s="63" t="s">
        <v>23</v>
      </c>
      <c r="D216" s="173">
        <v>20332</v>
      </c>
      <c r="E216" s="364">
        <v>2.66</v>
      </c>
      <c r="F216" s="69">
        <v>7</v>
      </c>
      <c r="G216" s="60">
        <f t="shared" si="19"/>
        <v>378581.84</v>
      </c>
      <c r="H216" s="4" t="s">
        <v>239</v>
      </c>
      <c r="I216" s="25"/>
      <c r="J216" s="25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s="1" customFormat="1" ht="20.100000000000001" customHeight="1" x14ac:dyDescent="0.25">
      <c r="A217" s="27" t="s">
        <v>473</v>
      </c>
      <c r="B217" s="103" t="s">
        <v>461</v>
      </c>
      <c r="C217" s="135" t="s">
        <v>23</v>
      </c>
      <c r="D217" s="138">
        <f>SUM(D218:D220)</f>
        <v>169475</v>
      </c>
      <c r="E217" s="82"/>
      <c r="F217" s="138"/>
      <c r="G217" s="56">
        <f>SUM(G218:G220)</f>
        <v>3132126.55</v>
      </c>
      <c r="H217" s="4"/>
      <c r="I217" s="25"/>
      <c r="J217" s="25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s="1" customFormat="1" ht="20.100000000000001" customHeight="1" x14ac:dyDescent="0.25">
      <c r="A218" s="27"/>
      <c r="B218" s="32" t="s">
        <v>228</v>
      </c>
      <c r="C218" s="63" t="s">
        <v>23</v>
      </c>
      <c r="D218" s="7">
        <v>40145</v>
      </c>
      <c r="E218" s="364">
        <v>6.54</v>
      </c>
      <c r="F218" s="69">
        <v>7</v>
      </c>
      <c r="G218" s="60">
        <f t="shared" si="19"/>
        <v>1837838.1</v>
      </c>
      <c r="H218" s="4" t="s">
        <v>229</v>
      </c>
      <c r="I218" s="25"/>
      <c r="J218" s="25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s="1" customFormat="1" ht="20.100000000000001" customHeight="1" x14ac:dyDescent="0.25">
      <c r="A219" s="27"/>
      <c r="B219" s="46" t="s">
        <v>228</v>
      </c>
      <c r="C219" s="14" t="s">
        <v>23</v>
      </c>
      <c r="D219" s="33">
        <v>76955</v>
      </c>
      <c r="E219" s="361">
        <v>1.62</v>
      </c>
      <c r="F219" s="69">
        <v>7</v>
      </c>
      <c r="G219" s="60">
        <f t="shared" si="19"/>
        <v>872669.7</v>
      </c>
      <c r="H219" s="4" t="s">
        <v>241</v>
      </c>
      <c r="I219" s="25"/>
      <c r="J219" s="25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s="1" customFormat="1" ht="20.100000000000001" customHeight="1" x14ac:dyDescent="0.25">
      <c r="A220" s="27"/>
      <c r="B220" s="46" t="s">
        <v>228</v>
      </c>
      <c r="C220" s="14" t="s">
        <v>23</v>
      </c>
      <c r="D220" s="33">
        <v>52375</v>
      </c>
      <c r="E220" s="361">
        <v>1.1499999999999999</v>
      </c>
      <c r="F220" s="69">
        <v>7</v>
      </c>
      <c r="G220" s="60">
        <f>ROUND((D220*E220*F220),2)</f>
        <v>421618.75</v>
      </c>
      <c r="H220" s="4" t="s">
        <v>242</v>
      </c>
      <c r="I220" s="25"/>
      <c r="J220" s="25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s="1" customFormat="1" ht="21.75" customHeight="1" x14ac:dyDescent="0.25">
      <c r="A221" s="27" t="s">
        <v>474</v>
      </c>
      <c r="B221" s="21" t="s">
        <v>429</v>
      </c>
      <c r="C221" s="28" t="s">
        <v>23</v>
      </c>
      <c r="D221" s="29">
        <f>D222</f>
        <v>101685</v>
      </c>
      <c r="E221" s="334"/>
      <c r="F221" s="30"/>
      <c r="G221" s="31">
        <f>G222</f>
        <v>599941.5</v>
      </c>
      <c r="H221" s="15"/>
      <c r="I221" s="25"/>
      <c r="J221" s="25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s="1" customFormat="1" ht="21" customHeight="1" x14ac:dyDescent="0.25">
      <c r="A222" s="27"/>
      <c r="B222" s="32" t="s">
        <v>29</v>
      </c>
      <c r="C222" s="14" t="s">
        <v>23</v>
      </c>
      <c r="D222" s="33">
        <v>101685</v>
      </c>
      <c r="E222" s="149">
        <v>5.9</v>
      </c>
      <c r="F222" s="30">
        <v>1</v>
      </c>
      <c r="G222" s="35">
        <f>ROUND((D222*E222*F222),2)</f>
        <v>599941.5</v>
      </c>
      <c r="H222" s="15">
        <v>54</v>
      </c>
      <c r="I222" s="25"/>
      <c r="J222" s="25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s="1" customFormat="1" ht="19.5" customHeight="1" x14ac:dyDescent="0.25">
      <c r="A223" s="349" t="s">
        <v>390</v>
      </c>
      <c r="B223" s="350" t="s">
        <v>475</v>
      </c>
      <c r="C223" s="357" t="s">
        <v>23</v>
      </c>
      <c r="D223" s="358">
        <f>D224+D229</f>
        <v>393856</v>
      </c>
      <c r="E223" s="401"/>
      <c r="F223" s="358"/>
      <c r="G223" s="359">
        <f>G224+G229+G232+G237+G238+G239</f>
        <v>25249363.119999997</v>
      </c>
      <c r="H223" s="356"/>
      <c r="I223" s="25">
        <f>G223/G6*I3</f>
        <v>403454.54093949718</v>
      </c>
      <c r="J223" s="25">
        <f>G223+I223</f>
        <v>25652817.660939496</v>
      </c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s="1" customFormat="1" ht="20.100000000000001" customHeight="1" x14ac:dyDescent="0.25">
      <c r="A224" s="27" t="s">
        <v>476</v>
      </c>
      <c r="B224" s="44" t="s">
        <v>218</v>
      </c>
      <c r="C224" s="45" t="s">
        <v>23</v>
      </c>
      <c r="D224" s="29">
        <f>D227+D228</f>
        <v>90969</v>
      </c>
      <c r="E224" s="334"/>
      <c r="F224" s="29"/>
      <c r="G224" s="56">
        <f>SUM(G225:G228)</f>
        <v>9254623.6400000006</v>
      </c>
      <c r="H224" s="15"/>
      <c r="I224" s="25"/>
      <c r="J224" s="25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s="1" customFormat="1" ht="20.100000000000001" customHeight="1" x14ac:dyDescent="0.25">
      <c r="A225" s="27"/>
      <c r="B225" s="46" t="s">
        <v>235</v>
      </c>
      <c r="C225" s="14" t="s">
        <v>23</v>
      </c>
      <c r="D225" s="33">
        <v>77324</v>
      </c>
      <c r="E225" s="361">
        <v>7.37</v>
      </c>
      <c r="F225" s="69">
        <v>5</v>
      </c>
      <c r="G225" s="60">
        <f>ROUND((D225*E225*F225),2)</f>
        <v>2849389.4</v>
      </c>
      <c r="H225" s="4">
        <v>103</v>
      </c>
      <c r="I225" s="25"/>
      <c r="J225" s="25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s="1" customFormat="1" ht="20.100000000000001" customHeight="1" x14ac:dyDescent="0.25">
      <c r="A226" s="27"/>
      <c r="B226" s="46" t="s">
        <v>236</v>
      </c>
      <c r="C226" s="14" t="s">
        <v>23</v>
      </c>
      <c r="D226" s="168">
        <v>13645</v>
      </c>
      <c r="E226" s="361">
        <v>59.08</v>
      </c>
      <c r="F226" s="69">
        <v>5</v>
      </c>
      <c r="G226" s="60">
        <f t="shared" ref="G226:G228" si="20">ROUND((D226*E226*F226),2)</f>
        <v>4030733</v>
      </c>
      <c r="H226" s="4" t="s">
        <v>221</v>
      </c>
      <c r="I226" s="25"/>
      <c r="J226" s="25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s="1" customFormat="1" ht="20.100000000000001" customHeight="1" x14ac:dyDescent="0.25">
      <c r="A227" s="27"/>
      <c r="B227" s="32" t="s">
        <v>477</v>
      </c>
      <c r="C227" s="63" t="s">
        <v>23</v>
      </c>
      <c r="D227" s="7">
        <v>68227</v>
      </c>
      <c r="E227" s="364">
        <v>4.51</v>
      </c>
      <c r="F227" s="69">
        <v>2</v>
      </c>
      <c r="G227" s="60">
        <f t="shared" si="20"/>
        <v>615407.54</v>
      </c>
      <c r="H227" s="4">
        <v>104</v>
      </c>
      <c r="I227" s="25"/>
      <c r="J227" s="25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s="1" customFormat="1" ht="20.100000000000001" customHeight="1" x14ac:dyDescent="0.25">
      <c r="A228" s="27"/>
      <c r="B228" s="32" t="s">
        <v>238</v>
      </c>
      <c r="C228" s="63" t="s">
        <v>23</v>
      </c>
      <c r="D228" s="173">
        <v>22742</v>
      </c>
      <c r="E228" s="364">
        <v>11.05</v>
      </c>
      <c r="F228" s="69">
        <v>7</v>
      </c>
      <c r="G228" s="60">
        <f t="shared" si="20"/>
        <v>1759093.7</v>
      </c>
      <c r="H228" s="4" t="s">
        <v>224</v>
      </c>
      <c r="I228" s="25"/>
      <c r="J228" s="25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s="1" customFormat="1" ht="20.100000000000001" customHeight="1" x14ac:dyDescent="0.25">
      <c r="A229" s="27" t="s">
        <v>478</v>
      </c>
      <c r="B229" s="103" t="s">
        <v>461</v>
      </c>
      <c r="C229" s="135" t="s">
        <v>23</v>
      </c>
      <c r="D229" s="138">
        <f>SUM(D230:D231)</f>
        <v>302887</v>
      </c>
      <c r="E229" s="82"/>
      <c r="F229" s="138"/>
      <c r="G229" s="56">
        <f>SUM(G230:G231)</f>
        <v>10913807.939999999</v>
      </c>
      <c r="H229" s="4"/>
      <c r="I229" s="25"/>
      <c r="J229" s="25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s="1" customFormat="1" ht="20.100000000000001" customHeight="1" x14ac:dyDescent="0.25">
      <c r="A230" s="27"/>
      <c r="B230" s="32" t="s">
        <v>228</v>
      </c>
      <c r="C230" s="63" t="s">
        <v>23</v>
      </c>
      <c r="D230" s="7">
        <v>154378</v>
      </c>
      <c r="E230" s="364">
        <v>6.54</v>
      </c>
      <c r="F230" s="69">
        <v>7</v>
      </c>
      <c r="G230" s="60">
        <f t="shared" ref="G230:G231" si="21">ROUND((D230*E230*F230),2)</f>
        <v>7067424.8399999999</v>
      </c>
      <c r="H230" s="4" t="s">
        <v>229</v>
      </c>
      <c r="I230" s="25"/>
      <c r="J230" s="25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s="1" customFormat="1" ht="20.100000000000001" customHeight="1" x14ac:dyDescent="0.25">
      <c r="A231" s="27"/>
      <c r="B231" s="46" t="s">
        <v>228</v>
      </c>
      <c r="C231" s="14" t="s">
        <v>23</v>
      </c>
      <c r="D231" s="33">
        <v>148509</v>
      </c>
      <c r="E231" s="361">
        <v>3.7</v>
      </c>
      <c r="F231" s="69">
        <v>7</v>
      </c>
      <c r="G231" s="60">
        <f t="shared" si="21"/>
        <v>3846383.1</v>
      </c>
      <c r="H231" s="4" t="s">
        <v>241</v>
      </c>
      <c r="I231" s="25"/>
      <c r="J231" s="25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s="1" customFormat="1" ht="21.75" customHeight="1" x14ac:dyDescent="0.25">
      <c r="A232" s="27" t="s">
        <v>479</v>
      </c>
      <c r="B232" s="21" t="s">
        <v>480</v>
      </c>
      <c r="C232" s="28" t="s">
        <v>23</v>
      </c>
      <c r="D232" s="29">
        <f>D233+D236</f>
        <v>302887</v>
      </c>
      <c r="E232" s="334"/>
      <c r="F232" s="30"/>
      <c r="G232" s="31">
        <f>SUM(G233:G236)</f>
        <v>3656313.29</v>
      </c>
      <c r="H232" s="15"/>
      <c r="I232" s="25"/>
      <c r="J232" s="25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s="1" customFormat="1" ht="22.5" customHeight="1" x14ac:dyDescent="0.25">
      <c r="A233" s="27"/>
      <c r="B233" s="32" t="s">
        <v>28</v>
      </c>
      <c r="C233" s="14" t="s">
        <v>23</v>
      </c>
      <c r="D233" s="33">
        <v>134599</v>
      </c>
      <c r="E233" s="82">
        <v>3.5</v>
      </c>
      <c r="F233" s="30">
        <v>2</v>
      </c>
      <c r="G233" s="35">
        <f>ROUND((D233*E233*F233),2)</f>
        <v>942193</v>
      </c>
      <c r="H233" s="15">
        <v>53</v>
      </c>
      <c r="I233" s="25"/>
      <c r="J233" s="25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s="1" customFormat="1" ht="21.75" customHeight="1" x14ac:dyDescent="0.25">
      <c r="A234" s="27"/>
      <c r="B234" s="32" t="s">
        <v>25</v>
      </c>
      <c r="C234" s="14" t="s">
        <v>23</v>
      </c>
      <c r="D234" s="33">
        <f>D233</f>
        <v>134599</v>
      </c>
      <c r="E234" s="82">
        <v>0.91</v>
      </c>
      <c r="F234" s="30">
        <v>1</v>
      </c>
      <c r="G234" s="35">
        <f t="shared" ref="G234" si="22">ROUND((D234*E234*F234),2)</f>
        <v>122485.09</v>
      </c>
      <c r="H234" s="15">
        <v>55</v>
      </c>
      <c r="I234" s="25"/>
      <c r="J234" s="25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s="1" customFormat="1" ht="21.75" customHeight="1" x14ac:dyDescent="0.25">
      <c r="A235" s="27"/>
      <c r="B235" s="32" t="s">
        <v>30</v>
      </c>
      <c r="C235" s="14" t="s">
        <v>23</v>
      </c>
      <c r="D235" s="33">
        <v>168288</v>
      </c>
      <c r="E235" s="149">
        <v>3.6</v>
      </c>
      <c r="F235" s="30">
        <v>1</v>
      </c>
      <c r="G235" s="35">
        <f>ROUND((D235*E235*F235),2)</f>
        <v>605836.80000000005</v>
      </c>
      <c r="H235" s="15" t="s">
        <v>31</v>
      </c>
      <c r="I235" s="25"/>
      <c r="J235" s="25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s="1" customFormat="1" ht="23.25" customHeight="1" x14ac:dyDescent="0.25">
      <c r="A236" s="27"/>
      <c r="B236" s="32" t="s">
        <v>32</v>
      </c>
      <c r="C236" s="14" t="s">
        <v>23</v>
      </c>
      <c r="D236" s="33">
        <f>D235</f>
        <v>168288</v>
      </c>
      <c r="E236" s="149">
        <v>5.9</v>
      </c>
      <c r="F236" s="30">
        <v>2</v>
      </c>
      <c r="G236" s="35">
        <f>ROUND((D236*E236*F236),2)</f>
        <v>1985798.4</v>
      </c>
      <c r="H236" s="15">
        <v>54</v>
      </c>
      <c r="I236" s="25"/>
      <c r="J236" s="25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s="114" customFormat="1" ht="19.149999999999999" customHeight="1" x14ac:dyDescent="0.25">
      <c r="A237" s="122" t="s">
        <v>201</v>
      </c>
      <c r="B237" s="107" t="s">
        <v>203</v>
      </c>
      <c r="C237" s="117" t="s">
        <v>164</v>
      </c>
      <c r="D237" s="125">
        <v>1</v>
      </c>
      <c r="E237" s="124"/>
      <c r="F237" s="109"/>
      <c r="G237" s="111">
        <v>588789.98</v>
      </c>
      <c r="H237" s="112"/>
      <c r="I237" s="368"/>
      <c r="J237" s="368"/>
      <c r="K237" s="113"/>
      <c r="L237" s="113"/>
      <c r="M237" s="113"/>
      <c r="N237" s="113"/>
      <c r="O237" s="113"/>
      <c r="P237" s="113"/>
      <c r="Q237" s="113"/>
      <c r="R237" s="113"/>
      <c r="S237" s="113"/>
      <c r="T237" s="113"/>
      <c r="U237" s="113"/>
      <c r="V237" s="113"/>
      <c r="W237" s="113"/>
      <c r="X237" s="113"/>
    </row>
    <row r="238" spans="1:24" s="114" customFormat="1" ht="20.100000000000001" customHeight="1" x14ac:dyDescent="0.25">
      <c r="A238" s="122" t="s">
        <v>468</v>
      </c>
      <c r="B238" s="107" t="s">
        <v>192</v>
      </c>
      <c r="C238" s="117" t="s">
        <v>213</v>
      </c>
      <c r="D238" s="109">
        <v>1</v>
      </c>
      <c r="E238" s="124"/>
      <c r="F238" s="109"/>
      <c r="G238" s="111">
        <v>122938.2</v>
      </c>
      <c r="H238" s="112"/>
      <c r="I238" s="368"/>
      <c r="J238" s="368"/>
      <c r="K238" s="113"/>
      <c r="L238" s="113"/>
      <c r="M238" s="113"/>
      <c r="N238" s="113"/>
      <c r="O238" s="113"/>
      <c r="P238" s="113"/>
      <c r="Q238" s="113"/>
      <c r="R238" s="113"/>
      <c r="S238" s="113"/>
      <c r="T238" s="113"/>
      <c r="U238" s="113"/>
      <c r="V238" s="113"/>
      <c r="W238" s="113"/>
      <c r="X238" s="113"/>
    </row>
    <row r="239" spans="1:24" s="114" customFormat="1" ht="20.100000000000001" customHeight="1" x14ac:dyDescent="0.25">
      <c r="A239" s="122" t="s">
        <v>469</v>
      </c>
      <c r="B239" s="107" t="s">
        <v>198</v>
      </c>
      <c r="C239" s="117"/>
      <c r="D239" s="109"/>
      <c r="E239" s="124"/>
      <c r="F239" s="109"/>
      <c r="G239" s="111">
        <v>712890.07</v>
      </c>
      <c r="H239" s="112"/>
      <c r="I239" s="368"/>
      <c r="J239" s="368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  <c r="V239" s="113"/>
      <c r="W239" s="113"/>
      <c r="X239" s="113"/>
    </row>
    <row r="240" spans="1:24" s="1" customFormat="1" ht="19.5" customHeight="1" x14ac:dyDescent="0.25">
      <c r="A240" s="349" t="s">
        <v>394</v>
      </c>
      <c r="B240" s="350" t="s">
        <v>275</v>
      </c>
      <c r="C240" s="357" t="s">
        <v>23</v>
      </c>
      <c r="D240" s="358">
        <f>D244</f>
        <v>67510</v>
      </c>
      <c r="E240" s="401"/>
      <c r="F240" s="358"/>
      <c r="G240" s="359">
        <f>G241+G242+G243+G244</f>
        <v>1633900.43</v>
      </c>
      <c r="H240" s="356"/>
      <c r="I240" s="25">
        <f>G240/G6*I3</f>
        <v>26107.769324460372</v>
      </c>
      <c r="J240" s="25">
        <f>G240+I240</f>
        <v>1660008.1993244602</v>
      </c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s="114" customFormat="1" ht="20.100000000000001" customHeight="1" x14ac:dyDescent="0.25">
      <c r="A241" s="122" t="s">
        <v>483</v>
      </c>
      <c r="B241" s="107" t="s">
        <v>194</v>
      </c>
      <c r="C241" s="117" t="s">
        <v>213</v>
      </c>
      <c r="D241" s="109">
        <v>1</v>
      </c>
      <c r="E241" s="124"/>
      <c r="F241" s="109"/>
      <c r="G241" s="111">
        <v>214675.03</v>
      </c>
      <c r="H241" s="112"/>
      <c r="I241" s="368"/>
      <c r="J241" s="368"/>
      <c r="K241" s="113"/>
      <c r="L241" s="113"/>
      <c r="M241" s="113"/>
      <c r="N241" s="113"/>
      <c r="O241" s="113"/>
      <c r="P241" s="113"/>
      <c r="Q241" s="113"/>
      <c r="R241" s="113"/>
      <c r="S241" s="113"/>
      <c r="T241" s="113"/>
      <c r="U241" s="113"/>
      <c r="V241" s="113"/>
      <c r="W241" s="113"/>
      <c r="X241" s="113"/>
    </row>
    <row r="242" spans="1:24" s="114" customFormat="1" ht="20.100000000000001" customHeight="1" x14ac:dyDescent="0.25">
      <c r="A242" s="122" t="s">
        <v>484</v>
      </c>
      <c r="B242" s="107" t="s">
        <v>196</v>
      </c>
      <c r="C242" s="117"/>
      <c r="D242" s="109"/>
      <c r="E242" s="124"/>
      <c r="F242" s="109"/>
      <c r="G242" s="111">
        <v>90478.11</v>
      </c>
      <c r="H242" s="112"/>
      <c r="I242" s="368"/>
      <c r="J242" s="368"/>
      <c r="K242" s="113"/>
      <c r="L242" s="113"/>
      <c r="M242" s="113"/>
      <c r="N242" s="113"/>
      <c r="O242" s="113"/>
      <c r="P242" s="113"/>
      <c r="Q242" s="113"/>
      <c r="R242" s="113"/>
      <c r="S242" s="113"/>
      <c r="T242" s="113"/>
      <c r="U242" s="113"/>
      <c r="V242" s="113"/>
      <c r="W242" s="113"/>
      <c r="X242" s="113"/>
    </row>
    <row r="243" spans="1:24" s="114" customFormat="1" ht="20.100000000000001" customHeight="1" x14ac:dyDescent="0.25">
      <c r="A243" s="122" t="s">
        <v>485</v>
      </c>
      <c r="B243" s="107" t="s">
        <v>205</v>
      </c>
      <c r="C243" s="117" t="s">
        <v>213</v>
      </c>
      <c r="D243" s="125">
        <v>1</v>
      </c>
      <c r="E243" s="124"/>
      <c r="F243" s="109"/>
      <c r="G243" s="111">
        <v>49416.29</v>
      </c>
      <c r="H243" s="112"/>
      <c r="I243" s="368"/>
      <c r="J243" s="368"/>
      <c r="K243" s="113"/>
      <c r="L243" s="113"/>
      <c r="M243" s="113"/>
      <c r="N243" s="113"/>
      <c r="O243" s="113"/>
      <c r="P243" s="113"/>
      <c r="Q243" s="113"/>
      <c r="R243" s="113"/>
      <c r="S243" s="113"/>
      <c r="T243" s="113"/>
      <c r="U243" s="113"/>
      <c r="V243" s="113"/>
      <c r="W243" s="113"/>
      <c r="X243" s="113"/>
    </row>
    <row r="244" spans="1:24" s="114" customFormat="1" ht="17.25" customHeight="1" x14ac:dyDescent="0.25">
      <c r="A244" s="27" t="s">
        <v>486</v>
      </c>
      <c r="B244" s="107" t="s">
        <v>275</v>
      </c>
      <c r="C244" s="108" t="s">
        <v>23</v>
      </c>
      <c r="D244" s="109">
        <v>67510</v>
      </c>
      <c r="E244" s="124"/>
      <c r="F244" s="109"/>
      <c r="G244" s="111">
        <f>G245+G246</f>
        <v>1279331</v>
      </c>
      <c r="H244" s="112"/>
      <c r="I244" s="368"/>
      <c r="J244" s="368"/>
      <c r="K244" s="113"/>
      <c r="L244" s="113"/>
      <c r="M244" s="113"/>
      <c r="N244" s="113"/>
      <c r="O244" s="113"/>
      <c r="P244" s="113"/>
      <c r="Q244" s="113"/>
      <c r="R244" s="113"/>
      <c r="S244" s="113"/>
      <c r="T244" s="113"/>
      <c r="U244" s="113"/>
      <c r="V244" s="113"/>
      <c r="W244" s="113"/>
      <c r="X244" s="113"/>
    </row>
    <row r="245" spans="1:24" s="114" customFormat="1" ht="17.25" customHeight="1" x14ac:dyDescent="0.25">
      <c r="A245" s="27"/>
      <c r="B245" s="116" t="s">
        <v>276</v>
      </c>
      <c r="C245" s="117" t="s">
        <v>23</v>
      </c>
      <c r="D245" s="118">
        <v>12500</v>
      </c>
      <c r="E245" s="406">
        <v>13.34</v>
      </c>
      <c r="F245" s="130">
        <v>5</v>
      </c>
      <c r="G245" s="120">
        <f>D245*E245*F245</f>
        <v>833750</v>
      </c>
      <c r="H245" s="121">
        <v>96</v>
      </c>
      <c r="I245" s="368"/>
      <c r="J245" s="368"/>
      <c r="K245" s="113"/>
      <c r="L245" s="113"/>
      <c r="M245" s="113"/>
      <c r="N245" s="113"/>
      <c r="O245" s="113"/>
      <c r="P245" s="113"/>
      <c r="Q245" s="113"/>
      <c r="R245" s="113"/>
      <c r="S245" s="113"/>
      <c r="T245" s="113"/>
      <c r="U245" s="113"/>
      <c r="V245" s="113"/>
      <c r="W245" s="113"/>
      <c r="X245" s="113"/>
    </row>
    <row r="246" spans="1:24" s="114" customFormat="1" ht="17.25" customHeight="1" x14ac:dyDescent="0.25">
      <c r="A246" s="27"/>
      <c r="B246" s="116" t="s">
        <v>277</v>
      </c>
      <c r="C246" s="117" t="s">
        <v>23</v>
      </c>
      <c r="D246" s="118">
        <f>D244-D245</f>
        <v>55010</v>
      </c>
      <c r="E246" s="406">
        <v>1.62</v>
      </c>
      <c r="F246" s="130">
        <v>5</v>
      </c>
      <c r="G246" s="120">
        <f>D246*E246*F246</f>
        <v>445581.00000000006</v>
      </c>
      <c r="H246" s="121" t="s">
        <v>241</v>
      </c>
      <c r="I246" s="368"/>
      <c r="J246" s="368"/>
      <c r="K246" s="113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  <c r="V246" s="113"/>
      <c r="W246" s="113"/>
      <c r="X246" s="113"/>
    </row>
    <row r="247" spans="1:24" s="1" customFormat="1" ht="36" customHeight="1" x14ac:dyDescent="0.25">
      <c r="A247" s="20">
        <v>4</v>
      </c>
      <c r="B247" s="21" t="s">
        <v>481</v>
      </c>
      <c r="C247" s="14"/>
      <c r="D247" s="22"/>
      <c r="E247" s="23"/>
      <c r="F247" s="22"/>
      <c r="G247" s="24">
        <f>G248+G251</f>
        <v>2253243.44</v>
      </c>
      <c r="H247" s="15"/>
      <c r="I247" s="25"/>
      <c r="J247" s="25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s="1" customFormat="1" ht="19.5" customHeight="1" x14ac:dyDescent="0.25">
      <c r="A248" s="349" t="s">
        <v>282</v>
      </c>
      <c r="B248" s="350" t="s">
        <v>482</v>
      </c>
      <c r="C248" s="357" t="s">
        <v>213</v>
      </c>
      <c r="D248" s="358">
        <v>2</v>
      </c>
      <c r="E248" s="401"/>
      <c r="F248" s="358"/>
      <c r="G248" s="359">
        <f>G249+G250</f>
        <v>356363.42000000004</v>
      </c>
      <c r="H248" s="356"/>
      <c r="I248" s="25">
        <f>G248/G6*I3</f>
        <v>5694.2600627357624</v>
      </c>
      <c r="J248" s="25">
        <f>G248+I248</f>
        <v>362057.6800627358</v>
      </c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s="114" customFormat="1" ht="20.100000000000001" customHeight="1" x14ac:dyDescent="0.25">
      <c r="A249" s="122" t="s">
        <v>487</v>
      </c>
      <c r="B249" s="107" t="s">
        <v>191</v>
      </c>
      <c r="C249" s="117" t="s">
        <v>213</v>
      </c>
      <c r="D249" s="109">
        <v>1</v>
      </c>
      <c r="E249" s="152"/>
      <c r="F249" s="109"/>
      <c r="G249" s="111">
        <v>197856.26</v>
      </c>
      <c r="H249" s="279"/>
      <c r="I249" s="336"/>
      <c r="J249" s="268"/>
      <c r="K249" s="303"/>
      <c r="L249" s="338"/>
      <c r="M249" s="269"/>
      <c r="N249" s="370"/>
      <c r="O249" s="113"/>
      <c r="P249" s="113"/>
      <c r="Q249" s="113"/>
      <c r="R249" s="113"/>
      <c r="S249" s="113"/>
      <c r="T249" s="113"/>
      <c r="U249" s="113"/>
      <c r="V249" s="113"/>
      <c r="W249" s="113"/>
      <c r="X249" s="113"/>
    </row>
    <row r="250" spans="1:24" s="114" customFormat="1" ht="19.149999999999999" customHeight="1" x14ac:dyDescent="0.25">
      <c r="A250" s="122" t="s">
        <v>488</v>
      </c>
      <c r="B250" s="107" t="s">
        <v>202</v>
      </c>
      <c r="C250" s="117" t="s">
        <v>164</v>
      </c>
      <c r="D250" s="125">
        <v>1</v>
      </c>
      <c r="E250" s="124"/>
      <c r="F250" s="109"/>
      <c r="G250" s="111">
        <v>158507.16</v>
      </c>
      <c r="H250" s="279"/>
      <c r="I250" s="336"/>
      <c r="J250" s="26"/>
      <c r="K250" s="250"/>
      <c r="L250" s="347"/>
      <c r="M250" s="133"/>
      <c r="N250" s="368"/>
      <c r="O250" s="113"/>
      <c r="P250" s="113"/>
      <c r="Q250" s="113"/>
      <c r="R250" s="113"/>
      <c r="S250" s="113"/>
      <c r="T250" s="113"/>
      <c r="U250" s="113"/>
      <c r="V250" s="113"/>
      <c r="W250" s="113"/>
      <c r="X250" s="113"/>
    </row>
    <row r="251" spans="1:24" s="1" customFormat="1" ht="19.5" customHeight="1" x14ac:dyDescent="0.25">
      <c r="A251" s="349" t="s">
        <v>393</v>
      </c>
      <c r="B251" s="350" t="s">
        <v>489</v>
      </c>
      <c r="C251" s="357"/>
      <c r="D251" s="358">
        <v>5</v>
      </c>
      <c r="E251" s="401"/>
      <c r="F251" s="358"/>
      <c r="G251" s="359">
        <f>G252+G253+G254+G255+G259</f>
        <v>1896880.0199999998</v>
      </c>
      <c r="H251" s="356"/>
      <c r="I251" s="25">
        <f>G251/G6*I3</f>
        <v>30309.867779603788</v>
      </c>
      <c r="J251" s="25">
        <f>G251+I251</f>
        <v>1927189.8877796035</v>
      </c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s="114" customFormat="1" ht="18" customHeight="1" x14ac:dyDescent="0.25">
      <c r="A252" s="122" t="s">
        <v>199</v>
      </c>
      <c r="B252" s="107" t="s">
        <v>200</v>
      </c>
      <c r="C252" s="117" t="s">
        <v>164</v>
      </c>
      <c r="D252" s="125">
        <v>4</v>
      </c>
      <c r="E252" s="124"/>
      <c r="F252" s="109"/>
      <c r="G252" s="111">
        <v>110807.97</v>
      </c>
      <c r="H252" s="279"/>
      <c r="I252" s="336"/>
      <c r="J252" s="26"/>
      <c r="K252" s="250"/>
      <c r="L252" s="347"/>
      <c r="M252" s="133"/>
      <c r="N252" s="368"/>
      <c r="O252" s="113"/>
      <c r="P252" s="113"/>
      <c r="Q252" s="113"/>
      <c r="R252" s="113"/>
      <c r="S252" s="113"/>
      <c r="T252" s="113"/>
      <c r="U252" s="113"/>
      <c r="V252" s="113"/>
      <c r="W252" s="113"/>
      <c r="X252" s="113"/>
    </row>
    <row r="253" spans="1:24" s="140" customFormat="1" ht="20.25" customHeight="1" x14ac:dyDescent="0.25">
      <c r="A253" s="27" t="s">
        <v>206</v>
      </c>
      <c r="B253" s="103" t="s">
        <v>207</v>
      </c>
      <c r="C253" s="135" t="s">
        <v>40</v>
      </c>
      <c r="D253" s="136">
        <v>1</v>
      </c>
      <c r="E253" s="365"/>
      <c r="F253" s="138"/>
      <c r="G253" s="56">
        <v>13260.21</v>
      </c>
      <c r="H253" s="139"/>
      <c r="I253" s="26"/>
      <c r="J253" s="26"/>
      <c r="K253" s="98"/>
      <c r="L253" s="98"/>
      <c r="M253" s="98"/>
      <c r="N253" s="98"/>
      <c r="O253" s="98"/>
      <c r="P253" s="98"/>
      <c r="Q253" s="98"/>
      <c r="R253" s="98"/>
      <c r="S253" s="98"/>
      <c r="T253" s="98"/>
      <c r="U253" s="98"/>
      <c r="V253" s="98"/>
      <c r="W253" s="98"/>
      <c r="X253" s="98"/>
    </row>
    <row r="254" spans="1:24" s="140" customFormat="1" ht="15.75" x14ac:dyDescent="0.25">
      <c r="A254" s="153" t="s">
        <v>178</v>
      </c>
      <c r="B254" s="154" t="s">
        <v>208</v>
      </c>
      <c r="C254" s="155" t="s">
        <v>40</v>
      </c>
      <c r="D254" s="156">
        <v>348</v>
      </c>
      <c r="E254" s="366"/>
      <c r="F254" s="158"/>
      <c r="G254" s="159">
        <v>800000</v>
      </c>
      <c r="H254" s="367"/>
      <c r="I254" s="26"/>
      <c r="J254" s="26"/>
      <c r="K254" s="98"/>
      <c r="L254" s="98"/>
      <c r="M254" s="98"/>
      <c r="N254" s="98"/>
      <c r="O254" s="98"/>
      <c r="P254" s="98"/>
      <c r="Q254" s="98"/>
      <c r="R254" s="98"/>
      <c r="S254" s="98"/>
      <c r="T254" s="98"/>
      <c r="U254" s="98"/>
      <c r="V254" s="98"/>
      <c r="W254" s="98"/>
      <c r="X254" s="98"/>
    </row>
    <row r="255" spans="1:24" s="140" customFormat="1" ht="20.25" customHeight="1" x14ac:dyDescent="0.25">
      <c r="A255" s="160" t="s">
        <v>209</v>
      </c>
      <c r="B255" s="161" t="s">
        <v>210</v>
      </c>
      <c r="C255" s="162" t="s">
        <v>40</v>
      </c>
      <c r="D255" s="163">
        <f>D256+D257+D258</f>
        <v>348</v>
      </c>
      <c r="E255" s="164"/>
      <c r="F255" s="165"/>
      <c r="G255" s="56">
        <f>G256+G257+G258</f>
        <v>190661.4</v>
      </c>
      <c r="H255" s="16"/>
      <c r="I255" s="26"/>
      <c r="J255" s="26"/>
      <c r="K255" s="98"/>
      <c r="L255" s="98"/>
      <c r="M255" s="98"/>
      <c r="N255" s="98"/>
      <c r="O255" s="98"/>
      <c r="P255" s="98"/>
      <c r="Q255" s="98"/>
      <c r="R255" s="98"/>
      <c r="S255" s="98"/>
      <c r="T255" s="98"/>
      <c r="U255" s="98"/>
      <c r="V255" s="98"/>
      <c r="W255" s="98"/>
      <c r="X255" s="98"/>
    </row>
    <row r="256" spans="1:24" s="140" customFormat="1" ht="20.25" customHeight="1" x14ac:dyDescent="0.25">
      <c r="A256" s="57"/>
      <c r="B256" s="46" t="s">
        <v>166</v>
      </c>
      <c r="C256" s="14" t="s">
        <v>40</v>
      </c>
      <c r="D256" s="33">
        <v>156</v>
      </c>
      <c r="E256" s="149">
        <v>549.92999999999995</v>
      </c>
      <c r="F256" s="30"/>
      <c r="G256" s="60">
        <f>ROUND((D256*E256),2)</f>
        <v>85789.08</v>
      </c>
      <c r="H256" s="15">
        <v>97</v>
      </c>
      <c r="I256" s="26"/>
      <c r="J256" s="26"/>
      <c r="K256" s="98"/>
      <c r="L256" s="98"/>
      <c r="M256" s="98"/>
      <c r="N256" s="98"/>
      <c r="O256" s="98"/>
      <c r="P256" s="98"/>
      <c r="Q256" s="98"/>
      <c r="R256" s="98"/>
      <c r="S256" s="98"/>
      <c r="T256" s="98"/>
      <c r="U256" s="98"/>
      <c r="V256" s="98"/>
      <c r="W256" s="98"/>
      <c r="X256" s="98"/>
    </row>
    <row r="257" spans="1:24" s="140" customFormat="1" ht="20.25" customHeight="1" x14ac:dyDescent="0.25">
      <c r="A257" s="57"/>
      <c r="B257" s="46" t="s">
        <v>168</v>
      </c>
      <c r="C257" s="14" t="s">
        <v>40</v>
      </c>
      <c r="D257" s="33">
        <v>108</v>
      </c>
      <c r="E257" s="149">
        <v>556.99</v>
      </c>
      <c r="F257" s="30"/>
      <c r="G257" s="60">
        <f>ROUND((D257*E257),2)</f>
        <v>60154.92</v>
      </c>
      <c r="H257" s="15">
        <v>98</v>
      </c>
      <c r="I257" s="26"/>
      <c r="J257" s="26"/>
      <c r="K257" s="98"/>
      <c r="L257" s="98"/>
      <c r="M257" s="98"/>
      <c r="N257" s="98"/>
      <c r="O257" s="98"/>
      <c r="P257" s="98"/>
      <c r="Q257" s="98"/>
      <c r="R257" s="98"/>
      <c r="S257" s="98"/>
      <c r="T257" s="98"/>
      <c r="U257" s="98"/>
      <c r="V257" s="98"/>
      <c r="W257" s="98"/>
      <c r="X257" s="98"/>
    </row>
    <row r="258" spans="1:24" s="140" customFormat="1" ht="20.25" customHeight="1" x14ac:dyDescent="0.25">
      <c r="A258" s="57"/>
      <c r="B258" s="46" t="s">
        <v>167</v>
      </c>
      <c r="C258" s="14" t="s">
        <v>40</v>
      </c>
      <c r="D258" s="33">
        <v>84</v>
      </c>
      <c r="E258" s="149">
        <v>532.35</v>
      </c>
      <c r="F258" s="30"/>
      <c r="G258" s="60">
        <f>ROUND((D258*E258),2)</f>
        <v>44717.4</v>
      </c>
      <c r="H258" s="15">
        <v>99</v>
      </c>
      <c r="I258" s="26"/>
      <c r="J258" s="26"/>
      <c r="K258" s="98"/>
      <c r="L258" s="98"/>
      <c r="M258" s="98"/>
      <c r="N258" s="98"/>
      <c r="O258" s="98"/>
      <c r="P258" s="98"/>
      <c r="Q258" s="98"/>
      <c r="R258" s="98"/>
      <c r="S258" s="98"/>
      <c r="T258" s="98"/>
      <c r="U258" s="98"/>
      <c r="V258" s="98"/>
      <c r="W258" s="98"/>
      <c r="X258" s="98"/>
    </row>
    <row r="259" spans="1:24" s="140" customFormat="1" ht="24" customHeight="1" x14ac:dyDescent="0.25">
      <c r="A259" s="27" t="s">
        <v>188</v>
      </c>
      <c r="B259" s="103" t="s">
        <v>189</v>
      </c>
      <c r="C259" s="135" t="s">
        <v>40</v>
      </c>
      <c r="D259" s="136">
        <v>562</v>
      </c>
      <c r="E259" s="137"/>
      <c r="F259" s="138"/>
      <c r="G259" s="56">
        <v>782150.44</v>
      </c>
      <c r="H259" s="281"/>
      <c r="I259" s="336"/>
      <c r="J259" s="268"/>
      <c r="K259" s="303"/>
      <c r="L259" s="338"/>
      <c r="M259" s="269"/>
      <c r="N259" s="268"/>
      <c r="O259" s="98"/>
      <c r="P259" s="98"/>
      <c r="Q259" s="98"/>
      <c r="R259" s="98"/>
      <c r="S259" s="98"/>
      <c r="T259" s="98"/>
      <c r="U259" s="98"/>
      <c r="V259" s="98"/>
      <c r="W259" s="98"/>
      <c r="X259" s="98"/>
    </row>
    <row r="260" spans="1:24" s="1" customFormat="1" ht="19.5" hidden="1" customHeight="1" x14ac:dyDescent="0.25">
      <c r="A260" s="27" t="s">
        <v>0</v>
      </c>
      <c r="B260" s="21" t="s">
        <v>4</v>
      </c>
      <c r="C260" s="45" t="s">
        <v>278</v>
      </c>
      <c r="D260" s="190">
        <f>D261</f>
        <v>40</v>
      </c>
      <c r="E260" s="334"/>
      <c r="F260" s="29"/>
      <c r="G260" s="56">
        <f>G261</f>
        <v>38604</v>
      </c>
      <c r="H260" s="15"/>
      <c r="I260" s="25"/>
      <c r="J260" s="25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s="3" customFormat="1" ht="19.5" hidden="1" customHeight="1" x14ac:dyDescent="0.25">
      <c r="A261" s="122" t="s">
        <v>279</v>
      </c>
      <c r="B261" s="32" t="s">
        <v>280</v>
      </c>
      <c r="C261" s="63" t="s">
        <v>278</v>
      </c>
      <c r="D261" s="173">
        <v>40</v>
      </c>
      <c r="E261" s="364">
        <v>965.1</v>
      </c>
      <c r="F261" s="69"/>
      <c r="G261" s="60">
        <f>ROUND((D261*E261),2)</f>
        <v>38604</v>
      </c>
      <c r="H261" s="4">
        <v>121</v>
      </c>
      <c r="I261" s="25"/>
      <c r="J261" s="25"/>
    </row>
    <row r="262" spans="1:24" s="3" customFormat="1" ht="19.5" hidden="1" customHeight="1" x14ac:dyDescent="0.25">
      <c r="A262" s="122" t="s">
        <v>281</v>
      </c>
      <c r="B262" s="191" t="s">
        <v>4</v>
      </c>
      <c r="C262" s="135" t="s">
        <v>278</v>
      </c>
      <c r="D262" s="192">
        <v>180</v>
      </c>
      <c r="E262" s="8"/>
      <c r="F262" s="138"/>
      <c r="G262" s="56">
        <f>SUM(G263:G265)</f>
        <v>123661.8</v>
      </c>
      <c r="H262" s="4"/>
      <c r="I262" s="25"/>
      <c r="J262" s="25"/>
    </row>
    <row r="263" spans="1:24" s="3" customFormat="1" ht="19.5" hidden="1" customHeight="1" x14ac:dyDescent="0.25">
      <c r="A263" s="122" t="s">
        <v>282</v>
      </c>
      <c r="B263" s="32" t="s">
        <v>283</v>
      </c>
      <c r="C263" s="63" t="s">
        <v>278</v>
      </c>
      <c r="D263" s="193">
        <v>77.221000000000004</v>
      </c>
      <c r="E263" s="364">
        <v>386.04</v>
      </c>
      <c r="F263" s="69">
        <v>1</v>
      </c>
      <c r="G263" s="60">
        <f>ROUND((D263*E263*F263),2)</f>
        <v>29810.39</v>
      </c>
      <c r="H263" s="4">
        <v>122</v>
      </c>
      <c r="I263" s="25"/>
      <c r="J263" s="25"/>
    </row>
    <row r="264" spans="1:24" s="3" customFormat="1" ht="19.5" hidden="1" customHeight="1" x14ac:dyDescent="0.25">
      <c r="A264" s="122"/>
      <c r="B264" s="32" t="s">
        <v>284</v>
      </c>
      <c r="C264" s="63" t="s">
        <v>278</v>
      </c>
      <c r="D264" s="193">
        <f>D262-D263</f>
        <v>102.779</v>
      </c>
      <c r="E264" s="364">
        <f>E263</f>
        <v>386.04</v>
      </c>
      <c r="F264" s="69">
        <v>2</v>
      </c>
      <c r="G264" s="60">
        <f>ROUND((D264*E264*F264),2)</f>
        <v>79353.61</v>
      </c>
      <c r="H264" s="4">
        <v>122</v>
      </c>
      <c r="I264" s="25"/>
      <c r="J264" s="25"/>
    </row>
    <row r="265" spans="1:24" s="3" customFormat="1" ht="19.5" hidden="1" customHeight="1" x14ac:dyDescent="0.25">
      <c r="A265" s="122" t="s">
        <v>285</v>
      </c>
      <c r="B265" s="32" t="s">
        <v>286</v>
      </c>
      <c r="C265" s="63" t="s">
        <v>72</v>
      </c>
      <c r="D265" s="168">
        <v>15</v>
      </c>
      <c r="E265" s="364">
        <v>966.52</v>
      </c>
      <c r="F265" s="69">
        <v>1</v>
      </c>
      <c r="G265" s="60">
        <f>ROUND((D265*E265*F265),2)</f>
        <v>14497.8</v>
      </c>
      <c r="H265" s="4">
        <v>123</v>
      </c>
      <c r="I265" s="25"/>
      <c r="J265" s="25"/>
    </row>
    <row r="266" spans="1:24" s="404" customFormat="1" ht="32.25" hidden="1" customHeight="1" x14ac:dyDescent="0.2">
      <c r="A266" s="122" t="s">
        <v>5</v>
      </c>
      <c r="B266" s="191" t="s">
        <v>287</v>
      </c>
      <c r="C266" s="104"/>
      <c r="D266" s="194">
        <f>D267</f>
        <v>1728</v>
      </c>
      <c r="E266" s="8"/>
      <c r="F266" s="63"/>
      <c r="G266" s="132">
        <f>G267</f>
        <v>1767640.32</v>
      </c>
      <c r="H266" s="4"/>
      <c r="I266" s="403"/>
      <c r="J266" s="403"/>
    </row>
    <row r="267" spans="1:24" s="404" customFormat="1" ht="21.75" hidden="1" customHeight="1" x14ac:dyDescent="0.2">
      <c r="A267" s="122" t="s">
        <v>288</v>
      </c>
      <c r="B267" s="32" t="s">
        <v>289</v>
      </c>
      <c r="C267" s="104" t="s">
        <v>290</v>
      </c>
      <c r="D267" s="7">
        <v>1728</v>
      </c>
      <c r="E267" s="35"/>
      <c r="F267" s="63"/>
      <c r="G267" s="60">
        <v>1767640.32</v>
      </c>
      <c r="H267" s="4" t="s">
        <v>182</v>
      </c>
      <c r="I267" s="403"/>
      <c r="J267" s="403"/>
    </row>
    <row r="268" spans="1:24" s="404" customFormat="1" ht="24.75" customHeight="1" x14ac:dyDescent="0.2">
      <c r="A268" s="198"/>
      <c r="B268" s="199"/>
      <c r="C268" s="200"/>
      <c r="D268" s="201"/>
      <c r="E268" s="202"/>
      <c r="F268" s="203"/>
      <c r="G268" s="204"/>
      <c r="H268" s="205"/>
      <c r="I268" s="403"/>
      <c r="J268" s="403"/>
    </row>
    <row r="269" spans="1:24" s="404" customFormat="1" ht="24.75" customHeight="1" x14ac:dyDescent="0.2">
      <c r="A269" s="198"/>
      <c r="B269" s="199"/>
      <c r="C269" s="200"/>
      <c r="D269" s="9"/>
      <c r="E269" s="202"/>
      <c r="F269" s="203"/>
      <c r="G269" s="204"/>
      <c r="H269" s="205"/>
      <c r="I269" s="403"/>
      <c r="J269" s="403"/>
    </row>
    <row r="270" spans="1:24" ht="21" customHeight="1" x14ac:dyDescent="0.25">
      <c r="B270" s="1"/>
      <c r="G270" s="1"/>
    </row>
    <row r="271" spans="1:24" ht="22.5" customHeight="1" x14ac:dyDescent="0.2"/>
    <row r="272" spans="1:24" x14ac:dyDescent="0.2">
      <c r="B272" s="408"/>
      <c r="C272" s="405" t="s">
        <v>291</v>
      </c>
      <c r="G272" s="407"/>
    </row>
    <row r="273" spans="2:10" x14ac:dyDescent="0.2">
      <c r="B273" s="409"/>
      <c r="C273" s="405" t="s">
        <v>292</v>
      </c>
      <c r="G273" s="407"/>
    </row>
    <row r="274" spans="2:10" ht="21.75" customHeight="1" x14ac:dyDescent="0.2">
      <c r="B274" s="410"/>
      <c r="C274" s="405" t="s">
        <v>293</v>
      </c>
      <c r="G274" s="407"/>
      <c r="I274" s="407" t="s">
        <v>299</v>
      </c>
    </row>
    <row r="275" spans="2:10" s="404" customFormat="1" x14ac:dyDescent="0.2">
      <c r="G275" s="403"/>
      <c r="I275" s="403"/>
      <c r="J275" s="403"/>
    </row>
    <row r="276" spans="2:10" x14ac:dyDescent="0.2">
      <c r="J276" s="407">
        <f>J277+24000</f>
        <v>133745998.142</v>
      </c>
    </row>
    <row r="277" spans="2:10" ht="15.75" x14ac:dyDescent="0.25">
      <c r="B277" s="405" t="s">
        <v>294</v>
      </c>
      <c r="D277" s="411"/>
      <c r="G277" s="412">
        <f>G6</f>
        <v>131618886.192</v>
      </c>
      <c r="I277" s="407">
        <v>2103111.9500000002</v>
      </c>
      <c r="J277" s="407">
        <f>G277+I277</f>
        <v>133721998.142</v>
      </c>
    </row>
    <row r="278" spans="2:10" ht="15.75" x14ac:dyDescent="0.25">
      <c r="B278" s="405" t="s">
        <v>295</v>
      </c>
      <c r="G278" s="412">
        <f>'Приложение 2020'!G157</f>
        <v>2093153.83</v>
      </c>
      <c r="I278" s="407">
        <f>J278-G278</f>
        <v>1846.1699999999255</v>
      </c>
      <c r="J278" s="407">
        <v>2095000</v>
      </c>
    </row>
    <row r="279" spans="2:10" ht="15.75" x14ac:dyDescent="0.25">
      <c r="B279" s="405" t="s">
        <v>296</v>
      </c>
      <c r="G279" s="412">
        <f>G260+G262</f>
        <v>162265.79999999999</v>
      </c>
      <c r="I279" s="407">
        <f>J279-G279</f>
        <v>3734.2000000000116</v>
      </c>
      <c r="J279" s="407">
        <v>166000</v>
      </c>
    </row>
    <row r="280" spans="2:10" ht="15.75" x14ac:dyDescent="0.25">
      <c r="B280" s="405" t="s">
        <v>297</v>
      </c>
      <c r="G280" s="412">
        <f>G266</f>
        <v>1767640.32</v>
      </c>
      <c r="I280" s="407">
        <f>J280-G280</f>
        <v>17359.679999999935</v>
      </c>
      <c r="J280" s="407">
        <v>1785000</v>
      </c>
    </row>
    <row r="281" spans="2:10" ht="15.75" x14ac:dyDescent="0.25">
      <c r="B281" s="405" t="s">
        <v>298</v>
      </c>
      <c r="G281" s="412">
        <f>SUM(G277:G280)</f>
        <v>135641946.14199999</v>
      </c>
      <c r="J281" s="407">
        <f>SUM(J277:J280)</f>
        <v>137767998.14200002</v>
      </c>
    </row>
    <row r="282" spans="2:10" ht="15.75" x14ac:dyDescent="0.25">
      <c r="B282" s="405" t="s">
        <v>299</v>
      </c>
      <c r="G282" s="412">
        <v>2126052</v>
      </c>
      <c r="I282" s="407">
        <f>I277+I278+I279+I280</f>
        <v>2126052</v>
      </c>
    </row>
    <row r="283" spans="2:10" ht="15.75" x14ac:dyDescent="0.25">
      <c r="G283" s="412"/>
    </row>
    <row r="284" spans="2:10" ht="15.75" x14ac:dyDescent="0.25">
      <c r="B284" s="405" t="s">
        <v>300</v>
      </c>
      <c r="G284" s="412">
        <f>G281+G282+G283</f>
        <v>137767998.14199999</v>
      </c>
      <c r="H284" s="407"/>
    </row>
    <row r="287" spans="2:10" x14ac:dyDescent="0.2">
      <c r="C287" s="413"/>
      <c r="D287" s="413"/>
      <c r="G287" s="407"/>
    </row>
    <row r="288" spans="2:10" x14ac:dyDescent="0.2">
      <c r="C288" s="413"/>
      <c r="D288" s="413"/>
      <c r="G288" s="407"/>
    </row>
    <row r="289" spans="3:7" x14ac:dyDescent="0.2">
      <c r="C289" s="413"/>
      <c r="D289" s="413"/>
      <c r="G289" s="407"/>
    </row>
    <row r="290" spans="3:7" x14ac:dyDescent="0.2">
      <c r="C290" s="413"/>
      <c r="D290" s="413"/>
      <c r="G290" s="407"/>
    </row>
    <row r="291" spans="3:7" x14ac:dyDescent="0.2">
      <c r="C291" s="413"/>
      <c r="D291" s="413"/>
      <c r="G291" s="407"/>
    </row>
    <row r="292" spans="3:7" x14ac:dyDescent="0.2">
      <c r="C292" s="413"/>
      <c r="D292" s="413"/>
    </row>
    <row r="293" spans="3:7" x14ac:dyDescent="0.2">
      <c r="D293" s="413"/>
      <c r="E293" s="407"/>
    </row>
    <row r="303" spans="3:7" x14ac:dyDescent="0.2">
      <c r="G303" s="407"/>
    </row>
    <row r="304" spans="3:7" x14ac:dyDescent="0.2">
      <c r="G304" s="407"/>
    </row>
    <row r="305" spans="7:7" x14ac:dyDescent="0.2">
      <c r="G305" s="407"/>
    </row>
  </sheetData>
  <mergeCells count="2">
    <mergeCell ref="A1:H1"/>
    <mergeCell ref="A2:G2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6"/>
  <sheetViews>
    <sheetView topLeftCell="A250" zoomScale="70" zoomScaleNormal="70" workbookViewId="0">
      <selection activeCell="F15" sqref="F15"/>
    </sheetView>
  </sheetViews>
  <sheetFormatPr defaultRowHeight="15.75" x14ac:dyDescent="0.25"/>
  <cols>
    <col min="1" max="1" width="10.85546875" customWidth="1"/>
    <col min="2" max="2" width="114.7109375" customWidth="1"/>
    <col min="3" max="3" width="13.42578125" customWidth="1"/>
    <col min="4" max="4" width="15" customWidth="1"/>
    <col min="5" max="5" width="13.5703125" customWidth="1"/>
    <col min="6" max="6" width="12.85546875" customWidth="1"/>
    <col min="7" max="7" width="19.5703125" customWidth="1"/>
    <col min="9" max="9" width="25.5703125" style="316" customWidth="1"/>
    <col min="10" max="10" width="18.28515625" style="207" customWidth="1"/>
    <col min="11" max="11" width="18.28515625" style="255" customWidth="1"/>
    <col min="12" max="12" width="17" style="267" customWidth="1"/>
    <col min="13" max="13" width="21.42578125" style="267" customWidth="1"/>
    <col min="14" max="14" width="29.7109375" style="208" customWidth="1"/>
    <col min="16" max="16" width="16.85546875" bestFit="1" customWidth="1"/>
    <col min="17" max="17" width="11" customWidth="1"/>
    <col min="18" max="18" width="10.5703125" customWidth="1"/>
    <col min="19" max="19" width="10.7109375" customWidth="1"/>
  </cols>
  <sheetData>
    <row r="1" spans="1:16" s="1" customFormat="1" ht="18.75" x14ac:dyDescent="0.3">
      <c r="A1" s="451" t="s">
        <v>7</v>
      </c>
      <c r="B1" s="451"/>
      <c r="C1" s="451"/>
      <c r="D1" s="451"/>
      <c r="E1" s="451"/>
      <c r="F1" s="451"/>
      <c r="G1" s="451"/>
      <c r="H1" s="451"/>
      <c r="I1" s="317"/>
      <c r="J1" s="11"/>
      <c r="K1" s="11"/>
      <c r="L1" s="10"/>
      <c r="M1" s="10"/>
      <c r="N1" s="10"/>
    </row>
    <row r="2" spans="1:16" s="1" customFormat="1" ht="18.75" x14ac:dyDescent="0.3">
      <c r="A2" s="451" t="s">
        <v>8</v>
      </c>
      <c r="B2" s="451"/>
      <c r="C2" s="451"/>
      <c r="D2" s="451"/>
      <c r="E2" s="451"/>
      <c r="F2" s="451"/>
      <c r="G2" s="451"/>
      <c r="H2" s="12"/>
      <c r="I2" s="317"/>
      <c r="J2" s="11"/>
      <c r="K2" s="11"/>
      <c r="L2" s="10"/>
      <c r="M2" s="10"/>
      <c r="N2" s="10"/>
    </row>
    <row r="3" spans="1:16" s="1" customFormat="1" x14ac:dyDescent="0.25">
      <c r="G3" s="13"/>
      <c r="H3" s="13"/>
      <c r="I3" s="317"/>
      <c r="J3" s="11"/>
      <c r="K3" s="11"/>
      <c r="L3" s="10"/>
      <c r="M3" s="10"/>
      <c r="N3" s="10"/>
    </row>
    <row r="4" spans="1:16" s="1" customFormat="1" ht="76.5" customHeight="1" x14ac:dyDescent="0.25">
      <c r="A4" s="2" t="s">
        <v>9</v>
      </c>
      <c r="B4" s="14" t="s">
        <v>10</v>
      </c>
      <c r="C4" s="14" t="s">
        <v>11</v>
      </c>
      <c r="D4" s="14" t="s">
        <v>12</v>
      </c>
      <c r="E4" s="14" t="s">
        <v>13</v>
      </c>
      <c r="F4" s="14" t="s">
        <v>14</v>
      </c>
      <c r="G4" s="14" t="s">
        <v>15</v>
      </c>
      <c r="H4" s="14" t="s">
        <v>16</v>
      </c>
      <c r="I4" s="317"/>
      <c r="J4" s="11" t="s">
        <v>17</v>
      </c>
      <c r="K4" s="11"/>
      <c r="L4" s="10"/>
      <c r="M4" s="10"/>
      <c r="N4" s="10"/>
    </row>
    <row r="5" spans="1:16" s="1" customForma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317"/>
      <c r="J5" s="268" t="s">
        <v>409</v>
      </c>
      <c r="K5" s="268" t="s">
        <v>410</v>
      </c>
      <c r="L5" s="269" t="s">
        <v>415</v>
      </c>
      <c r="M5" s="262" t="s">
        <v>408</v>
      </c>
      <c r="N5" s="262" t="s">
        <v>421</v>
      </c>
    </row>
    <row r="6" spans="1:16" s="1" customFormat="1" x14ac:dyDescent="0.25">
      <c r="A6" s="15"/>
      <c r="B6" s="16" t="s">
        <v>18</v>
      </c>
      <c r="C6" s="15"/>
      <c r="D6" s="15"/>
      <c r="E6" s="15"/>
      <c r="F6" s="15"/>
      <c r="G6" s="17">
        <f>G7+G179+G255+G257+G261</f>
        <v>135641946.14199999</v>
      </c>
      <c r="H6" s="15"/>
      <c r="I6" s="318"/>
      <c r="J6" s="319">
        <f>J10+J21+J132+J156+J158+J162+J163+J165+J182+J184+J227+J139+J196</f>
        <v>131618886.19200002</v>
      </c>
      <c r="K6" s="268">
        <v>2104</v>
      </c>
      <c r="L6" s="270">
        <v>1.5985529999999999</v>
      </c>
      <c r="M6" s="263">
        <f>M10+M21+M132+M139+M156+M158+M162+M163+M165+M182+M184+M227+M196</f>
        <v>133722883.84578882</v>
      </c>
      <c r="N6" s="263">
        <f>N10+N21+N132+N139+N156+N158+N162+N163+N165+N182+N184+N227+N196</f>
        <v>133722</v>
      </c>
    </row>
    <row r="7" spans="1:16" s="1" customFormat="1" ht="15.75" customHeight="1" x14ac:dyDescent="0.25">
      <c r="A7" s="20">
        <v>1</v>
      </c>
      <c r="B7" s="21" t="s">
        <v>2</v>
      </c>
      <c r="C7" s="14"/>
      <c r="D7" s="22"/>
      <c r="E7" s="23"/>
      <c r="F7" s="22"/>
      <c r="G7" s="24">
        <f>G8+G144+G155+G178</f>
        <v>55964884.321999997</v>
      </c>
      <c r="H7" s="15"/>
      <c r="I7" s="317"/>
      <c r="J7" s="26"/>
      <c r="K7" s="26"/>
      <c r="L7" s="25"/>
      <c r="M7" s="10"/>
      <c r="N7" s="10"/>
    </row>
    <row r="8" spans="1:16" s="1" customFormat="1" ht="15.75" customHeight="1" x14ac:dyDescent="0.25">
      <c r="A8" s="27" t="s">
        <v>19</v>
      </c>
      <c r="B8" s="21" t="s">
        <v>20</v>
      </c>
      <c r="C8" s="14"/>
      <c r="D8" s="22"/>
      <c r="E8" s="23"/>
      <c r="F8" s="22"/>
      <c r="G8" s="24">
        <f>G9+G21+G37+G39+G49+G76+G128+G132+G135+G139+G140</f>
        <v>45231841.159999996</v>
      </c>
      <c r="H8" s="15"/>
      <c r="I8" s="317"/>
      <c r="J8" s="299"/>
    </row>
    <row r="9" spans="1:16" s="1" customFormat="1" ht="15.75" customHeight="1" x14ac:dyDescent="0.25">
      <c r="A9" s="27" t="s">
        <v>21</v>
      </c>
      <c r="B9" s="21" t="s">
        <v>22</v>
      </c>
      <c r="C9" s="28" t="s">
        <v>23</v>
      </c>
      <c r="D9" s="29">
        <f>D10+D12+D14+D15+D17+D18+D19</f>
        <v>1815946</v>
      </c>
      <c r="E9" s="258"/>
      <c r="F9" s="30"/>
      <c r="G9" s="31">
        <f>SUM(G10:G20)</f>
        <v>14403711.030000001</v>
      </c>
      <c r="H9" s="15"/>
      <c r="J9" s="320"/>
      <c r="K9" s="299"/>
      <c r="P9" s="10"/>
    </row>
    <row r="10" spans="1:16" s="1" customFormat="1" ht="21.75" customHeight="1" x14ac:dyDescent="0.25">
      <c r="A10" s="27"/>
      <c r="B10" s="32" t="s">
        <v>24</v>
      </c>
      <c r="C10" s="14" t="s">
        <v>23</v>
      </c>
      <c r="D10" s="33">
        <v>217640</v>
      </c>
      <c r="E10" s="82">
        <v>3.5</v>
      </c>
      <c r="F10" s="30">
        <v>1</v>
      </c>
      <c r="G10" s="35">
        <f>ROUND((D10*E10*F10),2)</f>
        <v>761740</v>
      </c>
      <c r="H10" s="275">
        <v>53</v>
      </c>
      <c r="I10" s="454" t="s">
        <v>419</v>
      </c>
      <c r="J10" s="307">
        <f>G10+G11+G12+G13+G14+G15+G16+G17+G18+G19+G20+G112+G190+G222+G223+G225+G226</f>
        <v>34582823.870000005</v>
      </c>
      <c r="K10" s="298" t="s">
        <v>400</v>
      </c>
      <c r="L10" s="270">
        <v>1.5985529999999999</v>
      </c>
      <c r="M10" s="262">
        <f>J10+(J10*L10/100)</f>
        <v>35135648.63845861</v>
      </c>
      <c r="N10" s="262">
        <v>35135</v>
      </c>
    </row>
    <row r="11" spans="1:16" s="1" customFormat="1" ht="21.75" customHeight="1" x14ac:dyDescent="0.25">
      <c r="A11" s="27"/>
      <c r="B11" s="32" t="s">
        <v>25</v>
      </c>
      <c r="C11" s="14" t="s">
        <v>23</v>
      </c>
      <c r="D11" s="33">
        <v>357839</v>
      </c>
      <c r="E11" s="82">
        <v>0.91</v>
      </c>
      <c r="F11" s="30">
        <v>1</v>
      </c>
      <c r="G11" s="35">
        <f t="shared" ref="G11:G20" si="0">ROUND((D11*E11*F11),2)</f>
        <v>325633.49</v>
      </c>
      <c r="H11" s="275">
        <v>55</v>
      </c>
      <c r="I11" s="455"/>
      <c r="J11" s="311" t="s">
        <v>23</v>
      </c>
      <c r="K11" s="301">
        <f>D9+D112+D190+D222+D223+D225</f>
        <v>3306336.2800000003</v>
      </c>
      <c r="L11" s="299"/>
      <c r="M11" s="10"/>
      <c r="N11" s="10"/>
    </row>
    <row r="12" spans="1:16" s="1" customFormat="1" ht="36.75" customHeight="1" x14ac:dyDescent="0.25">
      <c r="A12" s="27"/>
      <c r="B12" s="36" t="s">
        <v>26</v>
      </c>
      <c r="C12" s="37" t="s">
        <v>23</v>
      </c>
      <c r="D12" s="38">
        <v>556124</v>
      </c>
      <c r="E12" s="296">
        <v>3.5</v>
      </c>
      <c r="F12" s="40">
        <v>1</v>
      </c>
      <c r="G12" s="41">
        <f t="shared" si="0"/>
        <v>1946434</v>
      </c>
      <c r="H12" s="276">
        <v>53</v>
      </c>
      <c r="I12" s="455"/>
      <c r="J12" s="312"/>
      <c r="K12" s="251"/>
      <c r="L12" s="299"/>
      <c r="M12" s="10"/>
      <c r="N12" s="10"/>
    </row>
    <row r="13" spans="1:16" s="1" customFormat="1" ht="33" customHeight="1" x14ac:dyDescent="0.25">
      <c r="A13" s="27"/>
      <c r="B13" s="36" t="s">
        <v>27</v>
      </c>
      <c r="C13" s="37" t="s">
        <v>23</v>
      </c>
      <c r="D13" s="38">
        <f>D12</f>
        <v>556124</v>
      </c>
      <c r="E13" s="296">
        <v>0.91</v>
      </c>
      <c r="F13" s="40">
        <v>1</v>
      </c>
      <c r="G13" s="41">
        <f t="shared" si="0"/>
        <v>506072.84</v>
      </c>
      <c r="H13" s="276">
        <v>55</v>
      </c>
      <c r="I13" s="455"/>
      <c r="J13" s="312">
        <f>G10+G11+G12+G13+G14+G15+G16+G17+G18+G19+G20</f>
        <v>14403711.030000001</v>
      </c>
      <c r="K13" s="251"/>
      <c r="L13" s="299"/>
      <c r="M13" s="10"/>
      <c r="N13" s="10"/>
    </row>
    <row r="14" spans="1:16" s="1" customFormat="1" ht="22.5" customHeight="1" x14ac:dyDescent="0.25">
      <c r="A14" s="27"/>
      <c r="B14" s="32" t="s">
        <v>28</v>
      </c>
      <c r="C14" s="14" t="s">
        <v>23</v>
      </c>
      <c r="D14" s="33">
        <v>140199</v>
      </c>
      <c r="E14" s="82">
        <f>E10</f>
        <v>3.5</v>
      </c>
      <c r="F14" s="30">
        <v>2</v>
      </c>
      <c r="G14" s="35">
        <f t="shared" si="0"/>
        <v>981393</v>
      </c>
      <c r="H14" s="275">
        <v>53</v>
      </c>
      <c r="I14" s="455"/>
      <c r="J14" s="312"/>
      <c r="K14" s="251"/>
      <c r="L14" s="299"/>
      <c r="M14" s="10"/>
      <c r="N14" s="10"/>
    </row>
    <row r="15" spans="1:16" s="1" customFormat="1" ht="21" customHeight="1" x14ac:dyDescent="0.25">
      <c r="A15" s="27"/>
      <c r="B15" s="32" t="s">
        <v>29</v>
      </c>
      <c r="C15" s="14" t="s">
        <v>23</v>
      </c>
      <c r="D15" s="33">
        <v>260163</v>
      </c>
      <c r="E15" s="149">
        <v>5.9</v>
      </c>
      <c r="F15" s="30">
        <v>1</v>
      </c>
      <c r="G15" s="35">
        <f t="shared" si="0"/>
        <v>1534961.7</v>
      </c>
      <c r="H15" s="275">
        <v>54</v>
      </c>
      <c r="I15" s="455"/>
      <c r="J15" s="312">
        <f>G10+G11+G14+G15+G16+G17+G18</f>
        <v>8398650.6899999995</v>
      </c>
      <c r="K15" s="251"/>
      <c r="L15" s="299"/>
      <c r="M15" s="10"/>
      <c r="N15" s="10"/>
    </row>
    <row r="16" spans="1:16" s="1" customFormat="1" ht="21.75" customHeight="1" x14ac:dyDescent="0.25">
      <c r="A16" s="27"/>
      <c r="B16" s="32" t="s">
        <v>30</v>
      </c>
      <c r="C16" s="14" t="s">
        <v>23</v>
      </c>
      <c r="D16" s="33">
        <v>419306</v>
      </c>
      <c r="E16" s="149">
        <v>3.6</v>
      </c>
      <c r="F16" s="30">
        <v>1</v>
      </c>
      <c r="G16" s="35">
        <f t="shared" si="0"/>
        <v>1509501.6</v>
      </c>
      <c r="H16" s="275" t="s">
        <v>31</v>
      </c>
      <c r="I16" s="455"/>
      <c r="J16" s="312">
        <f>G12+G13+G19+G20</f>
        <v>6005060.3399999999</v>
      </c>
      <c r="K16" s="251"/>
      <c r="L16" s="299"/>
      <c r="M16" s="10"/>
      <c r="N16" s="10"/>
    </row>
    <row r="17" spans="1:14" s="1" customFormat="1" ht="23.25" customHeight="1" x14ac:dyDescent="0.25">
      <c r="A17" s="27"/>
      <c r="B17" s="32" t="s">
        <v>32</v>
      </c>
      <c r="C17" s="14" t="s">
        <v>23</v>
      </c>
      <c r="D17" s="33">
        <v>260828</v>
      </c>
      <c r="E17" s="149">
        <f>E15</f>
        <v>5.9</v>
      </c>
      <c r="F17" s="30">
        <v>2</v>
      </c>
      <c r="G17" s="35">
        <f t="shared" si="0"/>
        <v>3077770.4</v>
      </c>
      <c r="H17" s="275">
        <v>54</v>
      </c>
      <c r="I17" s="455"/>
      <c r="J17" s="312">
        <f>SUM(J15:J16)</f>
        <v>14403711.029999999</v>
      </c>
      <c r="K17" s="251"/>
      <c r="L17" s="299"/>
      <c r="M17" s="10"/>
      <c r="N17" s="10"/>
    </row>
    <row r="18" spans="1:14" s="1" customFormat="1" ht="20.25" customHeight="1" x14ac:dyDescent="0.25">
      <c r="A18" s="27"/>
      <c r="B18" s="32" t="s">
        <v>33</v>
      </c>
      <c r="C18" s="14" t="s">
        <v>23</v>
      </c>
      <c r="D18" s="33">
        <v>7039</v>
      </c>
      <c r="E18" s="149">
        <f>E17</f>
        <v>5.9</v>
      </c>
      <c r="F18" s="30">
        <v>5</v>
      </c>
      <c r="G18" s="35">
        <f t="shared" si="0"/>
        <v>207650.5</v>
      </c>
      <c r="H18" s="275">
        <v>54</v>
      </c>
      <c r="I18" s="455"/>
      <c r="J18" s="312"/>
      <c r="K18" s="251"/>
      <c r="L18" s="299"/>
      <c r="M18" s="10"/>
      <c r="N18" s="10"/>
    </row>
    <row r="19" spans="1:14" s="1" customFormat="1" ht="34.5" customHeight="1" x14ac:dyDescent="0.25">
      <c r="A19" s="27"/>
      <c r="B19" s="36" t="s">
        <v>34</v>
      </c>
      <c r="C19" s="37" t="s">
        <v>23</v>
      </c>
      <c r="D19" s="38">
        <v>373953</v>
      </c>
      <c r="E19" s="296">
        <v>5.9</v>
      </c>
      <c r="F19" s="40">
        <v>1</v>
      </c>
      <c r="G19" s="41">
        <f t="shared" si="0"/>
        <v>2206322.7000000002</v>
      </c>
      <c r="H19" s="276">
        <v>54</v>
      </c>
      <c r="I19" s="455"/>
      <c r="J19" s="312"/>
      <c r="K19" s="251"/>
      <c r="L19" s="299"/>
      <c r="M19" s="10"/>
      <c r="N19" s="10"/>
    </row>
    <row r="20" spans="1:14" s="1" customFormat="1" ht="34.5" customHeight="1" x14ac:dyDescent="0.25">
      <c r="A20" s="27"/>
      <c r="B20" s="36" t="s">
        <v>35</v>
      </c>
      <c r="C20" s="37" t="s">
        <v>23</v>
      </c>
      <c r="D20" s="38">
        <f>D19</f>
        <v>373953</v>
      </c>
      <c r="E20" s="296">
        <v>3.6</v>
      </c>
      <c r="F20" s="40">
        <v>1</v>
      </c>
      <c r="G20" s="41">
        <f t="shared" si="0"/>
        <v>1346230.8</v>
      </c>
      <c r="H20" s="276" t="s">
        <v>31</v>
      </c>
      <c r="I20" s="456"/>
      <c r="J20" s="312"/>
      <c r="K20" s="251"/>
      <c r="L20" s="299"/>
      <c r="M20" s="10"/>
      <c r="N20" s="10"/>
    </row>
    <row r="21" spans="1:14" s="1" customFormat="1" ht="18" customHeight="1" x14ac:dyDescent="0.25">
      <c r="A21" s="27" t="s">
        <v>36</v>
      </c>
      <c r="B21" s="21" t="s">
        <v>37</v>
      </c>
      <c r="C21" s="14"/>
      <c r="D21" s="14"/>
      <c r="E21" s="258"/>
      <c r="F21" s="14"/>
      <c r="G21" s="31">
        <f>G22+G26+G34</f>
        <v>1522048.08</v>
      </c>
      <c r="H21" s="275"/>
      <c r="I21" s="453" t="s">
        <v>420</v>
      </c>
      <c r="J21" s="311">
        <f>G21+G37+G39+G49+G77+G91+G99+G121+G140+G144+G124+G128</f>
        <v>19478876.940000001</v>
      </c>
      <c r="K21" s="298" t="s">
        <v>399</v>
      </c>
      <c r="L21" s="302">
        <v>1.5985529999999999</v>
      </c>
      <c r="M21" s="262">
        <f t="shared" ref="M21" si="1">J21+(J21*L21/100)</f>
        <v>19790257.111690678</v>
      </c>
      <c r="N21" s="262">
        <v>19790</v>
      </c>
    </row>
    <row r="22" spans="1:14" s="1" customFormat="1" ht="18" customHeight="1" x14ac:dyDescent="0.25">
      <c r="A22" s="27" t="s">
        <v>38</v>
      </c>
      <c r="B22" s="44" t="s">
        <v>39</v>
      </c>
      <c r="C22" s="45" t="s">
        <v>40</v>
      </c>
      <c r="D22" s="29">
        <f>D23</f>
        <v>1062</v>
      </c>
      <c r="E22" s="258"/>
      <c r="F22" s="29"/>
      <c r="G22" s="31">
        <f>SUM(G23:G25)</f>
        <v>988374.6</v>
      </c>
      <c r="H22" s="275"/>
      <c r="I22" s="453"/>
      <c r="J22" s="311" t="s">
        <v>104</v>
      </c>
      <c r="K22" s="268">
        <f>D22+D26+D37+D77+D91</f>
        <v>4836</v>
      </c>
      <c r="L22" s="299"/>
      <c r="M22" s="300"/>
      <c r="N22" s="10"/>
    </row>
    <row r="23" spans="1:14" s="1" customFormat="1" ht="18" customHeight="1" x14ac:dyDescent="0.25">
      <c r="A23" s="27"/>
      <c r="B23" s="46" t="s">
        <v>41</v>
      </c>
      <c r="C23" s="14" t="s">
        <v>40</v>
      </c>
      <c r="D23" s="33">
        <v>1062</v>
      </c>
      <c r="E23" s="149">
        <v>47.06</v>
      </c>
      <c r="F23" s="14">
        <v>1</v>
      </c>
      <c r="G23" s="47">
        <f>ROUND((D23*E23*F23),2)</f>
        <v>49977.72</v>
      </c>
      <c r="H23" s="275">
        <v>56</v>
      </c>
      <c r="I23" s="453"/>
      <c r="J23" s="311" t="s">
        <v>23</v>
      </c>
      <c r="K23" s="268">
        <f>D121+D124+D128+D140</f>
        <v>7307</v>
      </c>
      <c r="L23" s="299"/>
      <c r="M23" s="300"/>
      <c r="N23" s="10"/>
    </row>
    <row r="24" spans="1:14" s="1" customFormat="1" ht="18" customHeight="1" x14ac:dyDescent="0.25">
      <c r="A24" s="27"/>
      <c r="B24" s="46" t="s">
        <v>42</v>
      </c>
      <c r="C24" s="14" t="s">
        <v>40</v>
      </c>
      <c r="D24" s="33">
        <v>918</v>
      </c>
      <c r="E24" s="149">
        <v>135.06</v>
      </c>
      <c r="F24" s="30">
        <v>6</v>
      </c>
      <c r="G24" s="47">
        <f>ROUND((D24*E24*F24),2)</f>
        <v>743910.48</v>
      </c>
      <c r="H24" s="275">
        <v>59</v>
      </c>
      <c r="I24" s="453"/>
      <c r="J24" s="311" t="s">
        <v>54</v>
      </c>
      <c r="K24" s="268">
        <f>D34+D39+D99</f>
        <v>33155</v>
      </c>
      <c r="L24" s="299"/>
      <c r="M24" s="300"/>
      <c r="N24" s="10"/>
    </row>
    <row r="25" spans="1:14" s="1" customFormat="1" ht="18" customHeight="1" x14ac:dyDescent="0.25">
      <c r="A25" s="27"/>
      <c r="B25" s="46" t="s">
        <v>43</v>
      </c>
      <c r="C25" s="14" t="s">
        <v>40</v>
      </c>
      <c r="D25" s="33">
        <v>144</v>
      </c>
      <c r="E25" s="149">
        <f>E24</f>
        <v>135.06</v>
      </c>
      <c r="F25" s="30">
        <v>10</v>
      </c>
      <c r="G25" s="47">
        <f>ROUND((D25*E25*F25),2)</f>
        <v>194486.39999999999</v>
      </c>
      <c r="H25" s="275">
        <v>59</v>
      </c>
      <c r="I25" s="453"/>
      <c r="J25" s="311" t="s">
        <v>72</v>
      </c>
      <c r="K25" s="268">
        <f>D49</f>
        <v>1580</v>
      </c>
      <c r="L25" s="299"/>
      <c r="M25" s="300"/>
      <c r="N25" s="10"/>
    </row>
    <row r="26" spans="1:14" s="1" customFormat="1" ht="18" customHeight="1" x14ac:dyDescent="0.25">
      <c r="A26" s="27" t="s">
        <v>44</v>
      </c>
      <c r="B26" s="44" t="s">
        <v>45</v>
      </c>
      <c r="C26" s="45" t="s">
        <v>40</v>
      </c>
      <c r="D26" s="29">
        <f>D27+D28</f>
        <v>1371</v>
      </c>
      <c r="E26" s="258"/>
      <c r="F26" s="29"/>
      <c r="G26" s="31">
        <f>SUM(G27:G33)</f>
        <v>505031.88</v>
      </c>
      <c r="H26" s="275"/>
      <c r="I26" s="453"/>
      <c r="J26" s="26"/>
      <c r="K26" s="250"/>
      <c r="L26" s="299"/>
      <c r="M26" s="300"/>
      <c r="N26" s="10"/>
    </row>
    <row r="27" spans="1:14" s="1" customFormat="1" ht="18" customHeight="1" x14ac:dyDescent="0.25">
      <c r="A27" s="27"/>
      <c r="B27" s="46" t="s">
        <v>46</v>
      </c>
      <c r="C27" s="14" t="s">
        <v>40</v>
      </c>
      <c r="D27" s="33">
        <v>318</v>
      </c>
      <c r="E27" s="258">
        <v>8.14</v>
      </c>
      <c r="F27" s="14">
        <v>1</v>
      </c>
      <c r="G27" s="47">
        <f t="shared" ref="G27:G33" si="2">ROUND((D27*E27*F27),2)</f>
        <v>2588.52</v>
      </c>
      <c r="H27" s="275">
        <v>57</v>
      </c>
      <c r="I27" s="453"/>
      <c r="J27" s="26"/>
      <c r="K27" s="250"/>
      <c r="L27" s="299"/>
      <c r="M27" s="300"/>
      <c r="N27" s="10"/>
    </row>
    <row r="28" spans="1:14" s="1" customFormat="1" ht="18" customHeight="1" x14ac:dyDescent="0.25">
      <c r="A28" s="27"/>
      <c r="B28" s="49" t="s">
        <v>46</v>
      </c>
      <c r="C28" s="50" t="s">
        <v>40</v>
      </c>
      <c r="D28" s="51">
        <v>1053</v>
      </c>
      <c r="E28" s="52">
        <v>8.14</v>
      </c>
      <c r="F28" s="50">
        <v>1</v>
      </c>
      <c r="G28" s="53">
        <f t="shared" si="2"/>
        <v>8571.42</v>
      </c>
      <c r="H28" s="278">
        <v>57</v>
      </c>
      <c r="I28" s="453"/>
      <c r="J28" s="25"/>
      <c r="K28" s="253"/>
      <c r="L28" s="299"/>
      <c r="M28" s="300"/>
      <c r="N28" s="10"/>
    </row>
    <row r="29" spans="1:14" s="1" customFormat="1" ht="18" customHeight="1" x14ac:dyDescent="0.25">
      <c r="A29" s="27"/>
      <c r="B29" s="46" t="s">
        <v>47</v>
      </c>
      <c r="C29" s="14" t="s">
        <v>40</v>
      </c>
      <c r="D29" s="33">
        <v>300</v>
      </c>
      <c r="E29" s="258">
        <v>21.61</v>
      </c>
      <c r="F29" s="30">
        <v>6</v>
      </c>
      <c r="G29" s="47">
        <f t="shared" si="2"/>
        <v>38898</v>
      </c>
      <c r="H29" s="275">
        <v>60</v>
      </c>
      <c r="I29" s="453"/>
      <c r="J29" s="26"/>
      <c r="K29" s="250"/>
      <c r="L29" s="299"/>
      <c r="M29" s="300"/>
      <c r="N29" s="10"/>
    </row>
    <row r="30" spans="1:14" s="1" customFormat="1" ht="18" customHeight="1" x14ac:dyDescent="0.25">
      <c r="A30" s="27"/>
      <c r="B30" s="46" t="s">
        <v>364</v>
      </c>
      <c r="C30" s="14" t="s">
        <v>40</v>
      </c>
      <c r="D30" s="33">
        <v>18</v>
      </c>
      <c r="E30" s="258">
        <f>E29</f>
        <v>21.61</v>
      </c>
      <c r="F30" s="30">
        <v>10</v>
      </c>
      <c r="G30" s="47">
        <f t="shared" si="2"/>
        <v>3889.8</v>
      </c>
      <c r="H30" s="275">
        <v>60</v>
      </c>
      <c r="I30" s="453"/>
      <c r="J30" s="26"/>
      <c r="K30" s="250"/>
      <c r="L30" s="299"/>
      <c r="M30" s="300"/>
      <c r="N30" s="10"/>
    </row>
    <row r="31" spans="1:14" s="1" customFormat="1" ht="18" customHeight="1" x14ac:dyDescent="0.25">
      <c r="A31" s="27"/>
      <c r="B31" s="49" t="s">
        <v>48</v>
      </c>
      <c r="C31" s="50" t="s">
        <v>40</v>
      </c>
      <c r="D31" s="51">
        <f>D28</f>
        <v>1053</v>
      </c>
      <c r="E31" s="52">
        <v>21.61</v>
      </c>
      <c r="F31" s="55">
        <v>16</v>
      </c>
      <c r="G31" s="53">
        <f t="shared" si="2"/>
        <v>364085.28</v>
      </c>
      <c r="H31" s="278">
        <v>60</v>
      </c>
      <c r="I31" s="453"/>
      <c r="J31" s="25"/>
      <c r="K31" s="253"/>
      <c r="L31" s="299"/>
      <c r="M31" s="300"/>
      <c r="N31" s="10"/>
    </row>
    <row r="32" spans="1:14" s="1" customFormat="1" ht="18" customHeight="1" x14ac:dyDescent="0.25">
      <c r="A32" s="27"/>
      <c r="B32" s="49" t="s">
        <v>49</v>
      </c>
      <c r="C32" s="50" t="s">
        <v>40</v>
      </c>
      <c r="D32" s="51">
        <v>1053</v>
      </c>
      <c r="E32" s="52">
        <v>6.62</v>
      </c>
      <c r="F32" s="55">
        <v>4</v>
      </c>
      <c r="G32" s="53">
        <f t="shared" si="2"/>
        <v>27883.439999999999</v>
      </c>
      <c r="H32" s="278">
        <v>63</v>
      </c>
      <c r="I32" s="453"/>
      <c r="J32" s="25"/>
      <c r="K32" s="253"/>
      <c r="L32" s="299"/>
      <c r="M32" s="300"/>
      <c r="N32" s="10"/>
    </row>
    <row r="33" spans="1:14" s="1" customFormat="1" ht="18" customHeight="1" x14ac:dyDescent="0.25">
      <c r="A33" s="27"/>
      <c r="B33" s="49" t="s">
        <v>50</v>
      </c>
      <c r="C33" s="50" t="s">
        <v>40</v>
      </c>
      <c r="D33" s="51">
        <f>D32</f>
        <v>1053</v>
      </c>
      <c r="E33" s="52">
        <v>28.07</v>
      </c>
      <c r="F33" s="55">
        <v>2</v>
      </c>
      <c r="G33" s="53">
        <f t="shared" si="2"/>
        <v>59115.42</v>
      </c>
      <c r="H33" s="278">
        <v>69</v>
      </c>
      <c r="I33" s="453"/>
      <c r="J33" s="25"/>
      <c r="K33" s="253"/>
      <c r="L33" s="299"/>
      <c r="M33" s="300"/>
      <c r="N33" s="10"/>
    </row>
    <row r="34" spans="1:14" s="1" customFormat="1" ht="18" customHeight="1" x14ac:dyDescent="0.25">
      <c r="A34" s="27" t="s">
        <v>51</v>
      </c>
      <c r="B34" s="44" t="s">
        <v>52</v>
      </c>
      <c r="C34" s="28"/>
      <c r="D34" s="29">
        <f>D35</f>
        <v>135</v>
      </c>
      <c r="E34" s="258"/>
      <c r="F34" s="45"/>
      <c r="G34" s="31">
        <f>SUM(G35:G36)</f>
        <v>28641.600000000002</v>
      </c>
      <c r="H34" s="275"/>
      <c r="I34" s="453"/>
      <c r="J34" s="26"/>
      <c r="K34" s="250"/>
      <c r="L34" s="299"/>
      <c r="M34" s="300"/>
      <c r="N34" s="10"/>
    </row>
    <row r="35" spans="1:14" s="1" customFormat="1" ht="22.5" customHeight="1" x14ac:dyDescent="0.25">
      <c r="A35" s="27"/>
      <c r="B35" s="46" t="s">
        <v>53</v>
      </c>
      <c r="C35" s="14" t="s">
        <v>54</v>
      </c>
      <c r="D35" s="33">
        <v>135</v>
      </c>
      <c r="E35" s="149">
        <v>17.64</v>
      </c>
      <c r="F35" s="14">
        <v>1</v>
      </c>
      <c r="G35" s="47">
        <f>ROUND((D35*E35*F35),2)</f>
        <v>2381.4</v>
      </c>
      <c r="H35" s="275">
        <v>58</v>
      </c>
      <c r="I35" s="453"/>
      <c r="J35" s="26"/>
      <c r="K35" s="250"/>
      <c r="L35" s="299"/>
      <c r="M35" s="300"/>
      <c r="N35" s="10"/>
    </row>
    <row r="36" spans="1:14" s="1" customFormat="1" ht="22.5" customHeight="1" x14ac:dyDescent="0.25">
      <c r="A36" s="27"/>
      <c r="B36" s="46" t="s">
        <v>55</v>
      </c>
      <c r="C36" s="14" t="s">
        <v>54</v>
      </c>
      <c r="D36" s="33">
        <f>D35</f>
        <v>135</v>
      </c>
      <c r="E36" s="258">
        <v>32.42</v>
      </c>
      <c r="F36" s="30">
        <v>6</v>
      </c>
      <c r="G36" s="47">
        <f>ROUND((D36*E36*F36),2)</f>
        <v>26260.2</v>
      </c>
      <c r="H36" s="275">
        <v>61</v>
      </c>
      <c r="I36" s="453"/>
      <c r="J36" s="26"/>
      <c r="K36" s="250"/>
      <c r="L36" s="299"/>
      <c r="M36" s="300"/>
      <c r="N36" s="10"/>
    </row>
    <row r="37" spans="1:14" s="1" customFormat="1" ht="18" customHeight="1" x14ac:dyDescent="0.25">
      <c r="A37" s="27" t="s">
        <v>56</v>
      </c>
      <c r="B37" s="21" t="s">
        <v>57</v>
      </c>
      <c r="C37" s="14"/>
      <c r="D37" s="29">
        <f>D38</f>
        <v>140</v>
      </c>
      <c r="E37" s="258"/>
      <c r="F37" s="14"/>
      <c r="G37" s="56">
        <f>G38</f>
        <v>26882.799999999999</v>
      </c>
      <c r="H37" s="275"/>
      <c r="I37" s="453"/>
      <c r="J37" s="26"/>
      <c r="K37" s="250"/>
      <c r="L37" s="299"/>
      <c r="M37" s="300"/>
      <c r="N37" s="10"/>
    </row>
    <row r="38" spans="1:14" s="1" customFormat="1" ht="20.25" customHeight="1" x14ac:dyDescent="0.25">
      <c r="A38" s="57"/>
      <c r="B38" s="46" t="s">
        <v>58</v>
      </c>
      <c r="C38" s="14" t="s">
        <v>40</v>
      </c>
      <c r="D38" s="58">
        <v>140</v>
      </c>
      <c r="E38" s="62">
        <v>96.01</v>
      </c>
      <c r="F38" s="30">
        <v>2</v>
      </c>
      <c r="G38" s="47">
        <f>ROUND((D38*E38*F38),2)</f>
        <v>26882.799999999999</v>
      </c>
      <c r="H38" s="275">
        <v>40</v>
      </c>
      <c r="I38" s="453"/>
      <c r="J38" s="26"/>
      <c r="K38" s="250"/>
      <c r="L38" s="299"/>
      <c r="M38" s="300"/>
      <c r="N38" s="10"/>
    </row>
    <row r="39" spans="1:14" s="1" customFormat="1" ht="18" customHeight="1" x14ac:dyDescent="0.25">
      <c r="A39" s="27" t="s">
        <v>59</v>
      </c>
      <c r="B39" s="21" t="s">
        <v>60</v>
      </c>
      <c r="C39" s="14"/>
      <c r="D39" s="29">
        <f>D40+D41+D42+D43+D44+D45+D46+D47+D48</f>
        <v>31849</v>
      </c>
      <c r="E39" s="258"/>
      <c r="F39" s="14"/>
      <c r="G39" s="56">
        <f>SUM(G40:G48)</f>
        <v>5563460.7999999998</v>
      </c>
      <c r="H39" s="275"/>
      <c r="I39" s="453"/>
      <c r="J39" s="26"/>
      <c r="K39" s="250"/>
      <c r="L39" s="299"/>
      <c r="M39" s="300"/>
      <c r="N39" s="10"/>
    </row>
    <row r="40" spans="1:14" s="1" customFormat="1" ht="31.5" customHeight="1" x14ac:dyDescent="0.25">
      <c r="A40" s="57"/>
      <c r="B40" s="46" t="s">
        <v>61</v>
      </c>
      <c r="C40" s="14" t="s">
        <v>54</v>
      </c>
      <c r="D40" s="33">
        <f>220+594</f>
        <v>814</v>
      </c>
      <c r="E40" s="62">
        <v>26.41</v>
      </c>
      <c r="F40" s="30">
        <v>2</v>
      </c>
      <c r="G40" s="60">
        <f>ROUND((D40*E40*F40),2)</f>
        <v>42995.48</v>
      </c>
      <c r="H40" s="275">
        <v>41</v>
      </c>
      <c r="I40" s="453"/>
      <c r="J40" s="26"/>
      <c r="K40" s="250"/>
      <c r="L40" s="299"/>
      <c r="M40" s="300"/>
      <c r="N40" s="10"/>
    </row>
    <row r="41" spans="1:14" s="1" customFormat="1" ht="34.5" customHeight="1" x14ac:dyDescent="0.25">
      <c r="A41" s="57"/>
      <c r="B41" s="46" t="s">
        <v>62</v>
      </c>
      <c r="C41" s="14" t="s">
        <v>54</v>
      </c>
      <c r="D41" s="33">
        <v>2500</v>
      </c>
      <c r="E41" s="258">
        <v>55.03</v>
      </c>
      <c r="F41" s="30">
        <v>1</v>
      </c>
      <c r="G41" s="60">
        <f t="shared" ref="G41:G48" si="3">ROUND((D41*E41*F41),2)</f>
        <v>137575</v>
      </c>
      <c r="H41" s="275">
        <v>42</v>
      </c>
      <c r="I41" s="453"/>
      <c r="J41" s="26"/>
      <c r="K41" s="250"/>
      <c r="L41" s="299"/>
      <c r="M41" s="300"/>
      <c r="N41" s="10"/>
    </row>
    <row r="42" spans="1:14" s="1" customFormat="1" ht="32.25" customHeight="1" x14ac:dyDescent="0.25">
      <c r="A42" s="57"/>
      <c r="B42" s="46" t="s">
        <v>63</v>
      </c>
      <c r="C42" s="14" t="s">
        <v>54</v>
      </c>
      <c r="D42" s="33">
        <v>2230</v>
      </c>
      <c r="E42" s="258">
        <f>E41</f>
        <v>55.03</v>
      </c>
      <c r="F42" s="30">
        <v>2</v>
      </c>
      <c r="G42" s="60">
        <f t="shared" si="3"/>
        <v>245433.8</v>
      </c>
      <c r="H42" s="275">
        <v>42</v>
      </c>
      <c r="I42" s="453"/>
      <c r="J42" s="26"/>
      <c r="K42" s="250"/>
      <c r="L42" s="299"/>
      <c r="M42" s="300"/>
      <c r="N42" s="10"/>
    </row>
    <row r="43" spans="1:14" s="1" customFormat="1" ht="33" customHeight="1" x14ac:dyDescent="0.25">
      <c r="A43" s="57"/>
      <c r="B43" s="46" t="s">
        <v>64</v>
      </c>
      <c r="C43" s="14" t="s">
        <v>54</v>
      </c>
      <c r="D43" s="33">
        <v>250</v>
      </c>
      <c r="E43" s="258">
        <f>E42</f>
        <v>55.03</v>
      </c>
      <c r="F43" s="30">
        <v>3</v>
      </c>
      <c r="G43" s="60">
        <f t="shared" si="3"/>
        <v>41272.5</v>
      </c>
      <c r="H43" s="275">
        <v>42</v>
      </c>
      <c r="I43" s="453"/>
      <c r="J43" s="26"/>
      <c r="K43" s="250"/>
      <c r="L43" s="299"/>
      <c r="M43" s="300"/>
      <c r="N43" s="10"/>
    </row>
    <row r="44" spans="1:14" s="1" customFormat="1" ht="30.75" customHeight="1" x14ac:dyDescent="0.25">
      <c r="A44" s="57"/>
      <c r="B44" s="46" t="s">
        <v>65</v>
      </c>
      <c r="C44" s="14" t="s">
        <v>54</v>
      </c>
      <c r="D44" s="33">
        <v>13297</v>
      </c>
      <c r="E44" s="149">
        <v>91.52</v>
      </c>
      <c r="F44" s="30">
        <v>2</v>
      </c>
      <c r="G44" s="60">
        <f t="shared" si="3"/>
        <v>2433882.88</v>
      </c>
      <c r="H44" s="275">
        <v>43</v>
      </c>
      <c r="I44" s="453"/>
      <c r="J44" s="26"/>
      <c r="K44" s="250"/>
      <c r="L44" s="299"/>
      <c r="M44" s="300"/>
      <c r="N44" s="10"/>
    </row>
    <row r="45" spans="1:14" s="1" customFormat="1" ht="32.25" customHeight="1" x14ac:dyDescent="0.25">
      <c r="A45" s="57"/>
      <c r="B45" s="46" t="s">
        <v>66</v>
      </c>
      <c r="C45" s="14" t="s">
        <v>54</v>
      </c>
      <c r="D45" s="33">
        <v>1510</v>
      </c>
      <c r="E45" s="149">
        <f>E44</f>
        <v>91.52</v>
      </c>
      <c r="F45" s="30">
        <v>3</v>
      </c>
      <c r="G45" s="60">
        <f t="shared" si="3"/>
        <v>414585.59999999998</v>
      </c>
      <c r="H45" s="275">
        <v>43</v>
      </c>
      <c r="I45" s="453"/>
      <c r="J45" s="26"/>
      <c r="K45" s="250"/>
      <c r="L45" s="299"/>
      <c r="M45" s="300"/>
      <c r="N45" s="10"/>
    </row>
    <row r="46" spans="1:14" s="1" customFormat="1" ht="30.75" customHeight="1" x14ac:dyDescent="0.25">
      <c r="A46" s="57"/>
      <c r="B46" s="46" t="s">
        <v>67</v>
      </c>
      <c r="C46" s="14" t="s">
        <v>54</v>
      </c>
      <c r="D46" s="33">
        <v>737</v>
      </c>
      <c r="E46" s="149">
        <f>E45</f>
        <v>91.52</v>
      </c>
      <c r="F46" s="30">
        <v>4</v>
      </c>
      <c r="G46" s="60">
        <f t="shared" si="3"/>
        <v>269800.96000000002</v>
      </c>
      <c r="H46" s="275">
        <v>43</v>
      </c>
      <c r="I46" s="453"/>
      <c r="J46" s="26"/>
      <c r="K46" s="250"/>
      <c r="L46" s="299"/>
      <c r="M46" s="300"/>
      <c r="N46" s="10"/>
    </row>
    <row r="47" spans="1:14" s="1" customFormat="1" ht="35.25" customHeight="1" x14ac:dyDescent="0.25">
      <c r="A47" s="57"/>
      <c r="B47" s="46" t="s">
        <v>68</v>
      </c>
      <c r="C47" s="14" t="s">
        <v>54</v>
      </c>
      <c r="D47" s="33">
        <v>354</v>
      </c>
      <c r="E47" s="258">
        <v>57.3</v>
      </c>
      <c r="F47" s="30">
        <v>2</v>
      </c>
      <c r="G47" s="60">
        <f t="shared" si="3"/>
        <v>40568.400000000001</v>
      </c>
      <c r="H47" s="275">
        <v>45</v>
      </c>
      <c r="I47" s="453"/>
      <c r="J47" s="26"/>
      <c r="K47" s="250"/>
      <c r="L47" s="299"/>
      <c r="M47" s="300"/>
      <c r="N47" s="10"/>
    </row>
    <row r="48" spans="1:14" s="1" customFormat="1" ht="33" customHeight="1" x14ac:dyDescent="0.25">
      <c r="A48" s="57"/>
      <c r="B48" s="46" t="s">
        <v>69</v>
      </c>
      <c r="C48" s="14" t="s">
        <v>54</v>
      </c>
      <c r="D48" s="33">
        <v>10157</v>
      </c>
      <c r="E48" s="258">
        <v>95.37</v>
      </c>
      <c r="F48" s="30">
        <v>2</v>
      </c>
      <c r="G48" s="60">
        <f t="shared" si="3"/>
        <v>1937346.18</v>
      </c>
      <c r="H48" s="275">
        <v>46</v>
      </c>
      <c r="I48" s="453"/>
      <c r="J48" s="26"/>
      <c r="K48" s="250"/>
      <c r="L48" s="299"/>
      <c r="M48" s="300"/>
      <c r="N48" s="10"/>
    </row>
    <row r="49" spans="1:14" s="1" customFormat="1" ht="22.5" customHeight="1" x14ac:dyDescent="0.25">
      <c r="A49" s="27" t="s">
        <v>70</v>
      </c>
      <c r="B49" s="21" t="s">
        <v>71</v>
      </c>
      <c r="C49" s="45" t="s">
        <v>72</v>
      </c>
      <c r="D49" s="29">
        <v>1580</v>
      </c>
      <c r="E49" s="258"/>
      <c r="F49" s="14"/>
      <c r="G49" s="31">
        <f>SUM(G50:G75)</f>
        <v>3566262.2700000005</v>
      </c>
      <c r="H49" s="275"/>
      <c r="I49" s="453"/>
      <c r="J49" s="26"/>
      <c r="K49" s="250"/>
      <c r="L49" s="299"/>
      <c r="M49" s="300"/>
      <c r="N49" s="10"/>
    </row>
    <row r="50" spans="1:14" s="1" customFormat="1" ht="33" customHeight="1" x14ac:dyDescent="0.25">
      <c r="A50" s="57"/>
      <c r="B50" s="61" t="s">
        <v>73</v>
      </c>
      <c r="C50" s="14" t="s">
        <v>72</v>
      </c>
      <c r="D50" s="7">
        <v>24</v>
      </c>
      <c r="E50" s="62">
        <v>861.3</v>
      </c>
      <c r="F50" s="14"/>
      <c r="G50" s="62">
        <f>ROUND((D50*E50*1),2)</f>
        <v>20671.2</v>
      </c>
      <c r="H50" s="275">
        <v>20</v>
      </c>
      <c r="I50" s="453"/>
      <c r="J50" s="26"/>
      <c r="K50" s="250"/>
      <c r="L50" s="299"/>
      <c r="M50" s="300"/>
      <c r="N50" s="10"/>
    </row>
    <row r="51" spans="1:14" s="1" customFormat="1" ht="33" customHeight="1" x14ac:dyDescent="0.25">
      <c r="A51" s="57"/>
      <c r="B51" s="61" t="s">
        <v>74</v>
      </c>
      <c r="C51" s="14" t="s">
        <v>72</v>
      </c>
      <c r="D51" s="7">
        <v>25</v>
      </c>
      <c r="E51" s="62">
        <v>1297.8800000000001</v>
      </c>
      <c r="F51" s="14"/>
      <c r="G51" s="62">
        <f>ROUND((D51*E51*1),2)</f>
        <v>32447</v>
      </c>
      <c r="H51" s="275">
        <v>21</v>
      </c>
      <c r="I51" s="453"/>
      <c r="J51" s="26"/>
      <c r="K51" s="250"/>
      <c r="L51" s="299"/>
      <c r="M51" s="300"/>
      <c r="N51" s="10"/>
    </row>
    <row r="52" spans="1:14" s="1" customFormat="1" ht="35.25" customHeight="1" x14ac:dyDescent="0.25">
      <c r="A52" s="57"/>
      <c r="B52" s="61" t="s">
        <v>75</v>
      </c>
      <c r="C52" s="14" t="s">
        <v>72</v>
      </c>
      <c r="D52" s="7">
        <v>15</v>
      </c>
      <c r="E52" s="62">
        <v>986.36</v>
      </c>
      <c r="F52" s="14"/>
      <c r="G52" s="62">
        <f t="shared" ref="G52:G75" si="4">ROUND((D52*E52*1),2)</f>
        <v>14795.4</v>
      </c>
      <c r="H52" s="275">
        <v>22</v>
      </c>
      <c r="I52" s="453"/>
      <c r="J52" s="26"/>
      <c r="K52" s="250"/>
      <c r="L52" s="299"/>
      <c r="M52" s="300"/>
      <c r="N52" s="10"/>
    </row>
    <row r="53" spans="1:14" s="1" customFormat="1" ht="29.25" customHeight="1" x14ac:dyDescent="0.25">
      <c r="A53" s="57"/>
      <c r="B53" s="61" t="s">
        <v>76</v>
      </c>
      <c r="C53" s="14" t="s">
        <v>72</v>
      </c>
      <c r="D53" s="7">
        <v>54</v>
      </c>
      <c r="E53" s="62">
        <v>1702.43</v>
      </c>
      <c r="F53" s="14"/>
      <c r="G53" s="62">
        <f t="shared" si="4"/>
        <v>91931.22</v>
      </c>
      <c r="H53" s="275">
        <v>23</v>
      </c>
      <c r="I53" s="453"/>
      <c r="J53" s="26"/>
      <c r="K53" s="250"/>
      <c r="L53" s="299"/>
      <c r="M53" s="300"/>
      <c r="N53" s="10"/>
    </row>
    <row r="54" spans="1:14" s="1" customFormat="1" ht="27.75" customHeight="1" x14ac:dyDescent="0.25">
      <c r="A54" s="57"/>
      <c r="B54" s="61" t="s">
        <v>77</v>
      </c>
      <c r="C54" s="14" t="s">
        <v>72</v>
      </c>
      <c r="D54" s="7">
        <v>34</v>
      </c>
      <c r="E54" s="62">
        <v>1178.6099999999999</v>
      </c>
      <c r="F54" s="14"/>
      <c r="G54" s="62">
        <f t="shared" si="4"/>
        <v>40072.74</v>
      </c>
      <c r="H54" s="275">
        <v>24</v>
      </c>
      <c r="I54" s="453"/>
      <c r="J54" s="26"/>
      <c r="K54" s="250"/>
      <c r="L54" s="299"/>
      <c r="M54" s="300"/>
      <c r="N54" s="10"/>
    </row>
    <row r="55" spans="1:14" s="1" customFormat="1" ht="27.75" customHeight="1" x14ac:dyDescent="0.25">
      <c r="A55" s="57"/>
      <c r="B55" s="61" t="s">
        <v>78</v>
      </c>
      <c r="C55" s="14" t="s">
        <v>72</v>
      </c>
      <c r="D55" s="7">
        <v>60</v>
      </c>
      <c r="E55" s="62">
        <v>1986.96</v>
      </c>
      <c r="F55" s="14"/>
      <c r="G55" s="62">
        <f t="shared" si="4"/>
        <v>119217.60000000001</v>
      </c>
      <c r="H55" s="275">
        <v>25</v>
      </c>
      <c r="I55" s="453"/>
      <c r="J55" s="26"/>
      <c r="K55" s="250"/>
      <c r="L55" s="299"/>
      <c r="M55" s="300"/>
      <c r="N55" s="10"/>
    </row>
    <row r="56" spans="1:14" s="1" customFormat="1" ht="32.25" customHeight="1" x14ac:dyDescent="0.25">
      <c r="A56" s="57"/>
      <c r="B56" s="61" t="s">
        <v>79</v>
      </c>
      <c r="C56" s="14" t="s">
        <v>72</v>
      </c>
      <c r="D56" s="7">
        <v>91</v>
      </c>
      <c r="E56" s="62">
        <v>4242.6899999999996</v>
      </c>
      <c r="F56" s="14"/>
      <c r="G56" s="62">
        <f t="shared" si="4"/>
        <v>386084.79</v>
      </c>
      <c r="H56" s="275">
        <v>26</v>
      </c>
      <c r="I56" s="453"/>
      <c r="J56" s="26"/>
      <c r="K56" s="250"/>
      <c r="L56" s="299"/>
      <c r="M56" s="300"/>
      <c r="N56" s="10"/>
    </row>
    <row r="57" spans="1:14" s="1" customFormat="1" ht="33" customHeight="1" x14ac:dyDescent="0.25">
      <c r="A57" s="57"/>
      <c r="B57" s="61" t="s">
        <v>80</v>
      </c>
      <c r="C57" s="14" t="s">
        <v>72</v>
      </c>
      <c r="D57" s="7">
        <v>141</v>
      </c>
      <c r="E57" s="62">
        <v>3437.4</v>
      </c>
      <c r="F57" s="14"/>
      <c r="G57" s="62">
        <f t="shared" si="4"/>
        <v>484673.4</v>
      </c>
      <c r="H57" s="275">
        <v>27</v>
      </c>
      <c r="I57" s="453"/>
      <c r="J57" s="26"/>
      <c r="K57" s="250"/>
      <c r="L57" s="299"/>
      <c r="M57" s="300"/>
      <c r="N57" s="10"/>
    </row>
    <row r="58" spans="1:14" s="1" customFormat="1" ht="29.25" customHeight="1" x14ac:dyDescent="0.25">
      <c r="A58" s="57"/>
      <c r="B58" s="61" t="s">
        <v>81</v>
      </c>
      <c r="C58" s="14" t="s">
        <v>72</v>
      </c>
      <c r="D58" s="7">
        <v>160</v>
      </c>
      <c r="E58" s="62">
        <v>1680.69</v>
      </c>
      <c r="F58" s="14"/>
      <c r="G58" s="62">
        <f t="shared" si="4"/>
        <v>268910.40000000002</v>
      </c>
      <c r="H58" s="275">
        <v>28</v>
      </c>
      <c r="I58" s="453"/>
      <c r="J58" s="26"/>
      <c r="K58" s="250"/>
      <c r="L58" s="299"/>
      <c r="M58" s="300"/>
      <c r="N58" s="10"/>
    </row>
    <row r="59" spans="1:14" s="1" customFormat="1" ht="29.25" customHeight="1" x14ac:dyDescent="0.25">
      <c r="A59" s="57"/>
      <c r="B59" s="61" t="s">
        <v>82</v>
      </c>
      <c r="C59" s="14" t="s">
        <v>72</v>
      </c>
      <c r="D59" s="7">
        <v>180</v>
      </c>
      <c r="E59" s="62">
        <v>1419.57</v>
      </c>
      <c r="F59" s="14"/>
      <c r="G59" s="62">
        <f t="shared" si="4"/>
        <v>255522.6</v>
      </c>
      <c r="H59" s="275">
        <v>29</v>
      </c>
      <c r="I59" s="453"/>
      <c r="J59" s="26"/>
      <c r="K59" s="250"/>
      <c r="L59" s="299"/>
      <c r="M59" s="300"/>
      <c r="N59" s="10"/>
    </row>
    <row r="60" spans="1:14" s="1" customFormat="1" ht="29.25" customHeight="1" x14ac:dyDescent="0.25">
      <c r="A60" s="57"/>
      <c r="B60" s="61" t="s">
        <v>83</v>
      </c>
      <c r="C60" s="14" t="s">
        <v>72</v>
      </c>
      <c r="D60" s="7">
        <v>84</v>
      </c>
      <c r="E60" s="62">
        <v>1249.47</v>
      </c>
      <c r="F60" s="14"/>
      <c r="G60" s="62">
        <f t="shared" si="4"/>
        <v>104955.48</v>
      </c>
      <c r="H60" s="275">
        <v>30</v>
      </c>
      <c r="I60" s="453"/>
      <c r="J60" s="26"/>
      <c r="K60" s="250"/>
      <c r="L60" s="299"/>
      <c r="M60" s="300"/>
      <c r="N60" s="10"/>
    </row>
    <row r="61" spans="1:14" s="1" customFormat="1" ht="34.5" customHeight="1" x14ac:dyDescent="0.25">
      <c r="A61" s="57"/>
      <c r="B61" s="46" t="s">
        <v>85</v>
      </c>
      <c r="C61" s="14" t="s">
        <v>40</v>
      </c>
      <c r="D61" s="33">
        <v>10</v>
      </c>
      <c r="E61" s="62">
        <v>275.57</v>
      </c>
      <c r="F61" s="14"/>
      <c r="G61" s="62">
        <f t="shared" si="4"/>
        <v>2755.7</v>
      </c>
      <c r="H61" s="275">
        <v>1</v>
      </c>
      <c r="I61" s="453"/>
      <c r="J61" s="26"/>
      <c r="K61" s="250"/>
      <c r="L61" s="299"/>
      <c r="M61" s="300"/>
      <c r="N61" s="10"/>
    </row>
    <row r="62" spans="1:14" s="1" customFormat="1" ht="36" customHeight="1" x14ac:dyDescent="0.25">
      <c r="A62" s="57"/>
      <c r="B62" s="32" t="s">
        <v>86</v>
      </c>
      <c r="C62" s="63" t="s">
        <v>40</v>
      </c>
      <c r="D62" s="33">
        <v>20</v>
      </c>
      <c r="E62" s="35">
        <v>443.54</v>
      </c>
      <c r="F62" s="63"/>
      <c r="G62" s="35">
        <f t="shared" si="4"/>
        <v>8870.7999999999993</v>
      </c>
      <c r="H62" s="277">
        <v>2</v>
      </c>
      <c r="I62" s="453"/>
      <c r="J62" s="26"/>
      <c r="K62" s="250"/>
      <c r="L62" s="299"/>
      <c r="M62" s="300"/>
      <c r="N62" s="10"/>
    </row>
    <row r="63" spans="1:14" s="1" customFormat="1" ht="31.5" customHeight="1" x14ac:dyDescent="0.25">
      <c r="A63" s="57"/>
      <c r="B63" s="46" t="s">
        <v>87</v>
      </c>
      <c r="C63" s="14" t="s">
        <v>40</v>
      </c>
      <c r="D63" s="33">
        <f>10+29</f>
        <v>39</v>
      </c>
      <c r="E63" s="62">
        <v>981.98</v>
      </c>
      <c r="F63" s="14"/>
      <c r="G63" s="62">
        <f t="shared" si="4"/>
        <v>38297.22</v>
      </c>
      <c r="H63" s="275">
        <v>3</v>
      </c>
      <c r="I63" s="453"/>
      <c r="J63" s="26"/>
      <c r="K63" s="250"/>
      <c r="L63" s="299"/>
      <c r="M63" s="300"/>
      <c r="N63" s="10"/>
    </row>
    <row r="64" spans="1:14" s="1" customFormat="1" ht="31.5" customHeight="1" x14ac:dyDescent="0.25">
      <c r="A64" s="57"/>
      <c r="B64" s="32" t="s">
        <v>88</v>
      </c>
      <c r="C64" s="63" t="s">
        <v>40</v>
      </c>
      <c r="D64" s="33">
        <f>20+27</f>
        <v>47</v>
      </c>
      <c r="E64" s="35">
        <v>1649.32</v>
      </c>
      <c r="F64" s="63"/>
      <c r="G64" s="35">
        <f t="shared" si="4"/>
        <v>77518.039999999994</v>
      </c>
      <c r="H64" s="277">
        <v>4</v>
      </c>
      <c r="I64" s="453"/>
      <c r="J64" s="26"/>
      <c r="K64" s="250"/>
      <c r="L64" s="299"/>
      <c r="M64" s="300"/>
      <c r="N64" s="10"/>
    </row>
    <row r="65" spans="1:14" s="1" customFormat="1" ht="31.5" customHeight="1" x14ac:dyDescent="0.25">
      <c r="A65" s="57"/>
      <c r="B65" s="32" t="s">
        <v>89</v>
      </c>
      <c r="C65" s="63" t="s">
        <v>40</v>
      </c>
      <c r="D65" s="33">
        <v>25</v>
      </c>
      <c r="E65" s="35">
        <v>2314.6799999999998</v>
      </c>
      <c r="F65" s="63"/>
      <c r="G65" s="35">
        <f t="shared" si="4"/>
        <v>57867</v>
      </c>
      <c r="H65" s="277">
        <v>5</v>
      </c>
      <c r="I65" s="453"/>
      <c r="J65" s="26"/>
      <c r="K65" s="250"/>
      <c r="L65" s="299"/>
      <c r="M65" s="300"/>
      <c r="N65" s="10"/>
    </row>
    <row r="66" spans="1:14" s="1" customFormat="1" ht="36.75" customHeight="1" x14ac:dyDescent="0.25">
      <c r="A66" s="57"/>
      <c r="B66" s="46" t="s">
        <v>90</v>
      </c>
      <c r="C66" s="14" t="s">
        <v>40</v>
      </c>
      <c r="D66" s="33">
        <v>92</v>
      </c>
      <c r="E66" s="62">
        <v>2970.21</v>
      </c>
      <c r="F66" s="14"/>
      <c r="G66" s="62">
        <f t="shared" si="4"/>
        <v>273259.32</v>
      </c>
      <c r="H66" s="275">
        <v>6</v>
      </c>
      <c r="I66" s="453"/>
      <c r="J66" s="26"/>
      <c r="K66" s="250"/>
      <c r="L66" s="299"/>
      <c r="M66" s="300"/>
      <c r="N66" s="10"/>
    </row>
    <row r="67" spans="1:14" s="1" customFormat="1" ht="35.25" customHeight="1" x14ac:dyDescent="0.25">
      <c r="A67" s="57"/>
      <c r="B67" s="46" t="s">
        <v>91</v>
      </c>
      <c r="C67" s="14" t="s">
        <v>40</v>
      </c>
      <c r="D67" s="33">
        <f>40-1</f>
        <v>39</v>
      </c>
      <c r="E67" s="62">
        <v>3768.91</v>
      </c>
      <c r="F67" s="14"/>
      <c r="G67" s="62">
        <f t="shared" si="4"/>
        <v>146987.49</v>
      </c>
      <c r="H67" s="275">
        <v>7</v>
      </c>
      <c r="I67" s="453"/>
      <c r="J67" s="26"/>
      <c r="K67" s="250"/>
      <c r="L67" s="299"/>
      <c r="M67" s="300"/>
      <c r="N67" s="10"/>
    </row>
    <row r="68" spans="1:14" s="1" customFormat="1" ht="35.25" customHeight="1" x14ac:dyDescent="0.25">
      <c r="A68" s="57"/>
      <c r="B68" s="61" t="s">
        <v>92</v>
      </c>
      <c r="C68" s="14" t="s">
        <v>40</v>
      </c>
      <c r="D68" s="33">
        <v>15</v>
      </c>
      <c r="E68" s="62">
        <v>4104.51</v>
      </c>
      <c r="F68" s="14"/>
      <c r="G68" s="62">
        <f t="shared" si="4"/>
        <v>61567.65</v>
      </c>
      <c r="H68" s="275">
        <v>8</v>
      </c>
      <c r="I68" s="453"/>
      <c r="J68" s="26"/>
      <c r="K68" s="250"/>
      <c r="L68" s="299"/>
      <c r="M68" s="300"/>
      <c r="N68" s="10"/>
    </row>
    <row r="69" spans="1:14" s="1" customFormat="1" ht="34.5" customHeight="1" x14ac:dyDescent="0.25">
      <c r="A69" s="57"/>
      <c r="B69" s="61" t="s">
        <v>93</v>
      </c>
      <c r="C69" s="14" t="s">
        <v>40</v>
      </c>
      <c r="D69" s="33">
        <v>16</v>
      </c>
      <c r="E69" s="62">
        <v>9895.92</v>
      </c>
      <c r="F69" s="14"/>
      <c r="G69" s="62">
        <f t="shared" si="4"/>
        <v>158334.72</v>
      </c>
      <c r="H69" s="275">
        <v>10</v>
      </c>
      <c r="I69" s="453"/>
      <c r="J69" s="26"/>
      <c r="K69" s="250"/>
      <c r="L69" s="299"/>
      <c r="M69" s="300"/>
      <c r="N69" s="10"/>
    </row>
    <row r="70" spans="1:14" s="1" customFormat="1" ht="30.75" customHeight="1" x14ac:dyDescent="0.25">
      <c r="A70" s="57"/>
      <c r="B70" s="61" t="s">
        <v>94</v>
      </c>
      <c r="C70" s="14" t="s">
        <v>40</v>
      </c>
      <c r="D70" s="33">
        <v>15</v>
      </c>
      <c r="E70" s="62">
        <v>13881.75</v>
      </c>
      <c r="F70" s="14"/>
      <c r="G70" s="62">
        <f t="shared" si="4"/>
        <v>208226.25</v>
      </c>
      <c r="H70" s="275">
        <v>12</v>
      </c>
      <c r="I70" s="453"/>
      <c r="J70" s="26"/>
      <c r="K70" s="250"/>
      <c r="L70" s="299"/>
      <c r="M70" s="300"/>
      <c r="N70" s="10"/>
    </row>
    <row r="71" spans="1:14" s="1" customFormat="1" ht="31.5" customHeight="1" x14ac:dyDescent="0.25">
      <c r="A71" s="57"/>
      <c r="B71" s="61" t="s">
        <v>95</v>
      </c>
      <c r="C71" s="14" t="s">
        <v>40</v>
      </c>
      <c r="D71" s="33">
        <v>10</v>
      </c>
      <c r="E71" s="62">
        <v>5243.29</v>
      </c>
      <c r="F71" s="14"/>
      <c r="G71" s="62">
        <f t="shared" si="4"/>
        <v>52432.9</v>
      </c>
      <c r="H71" s="275">
        <v>14</v>
      </c>
      <c r="I71" s="453"/>
      <c r="J71" s="26"/>
      <c r="K71" s="250"/>
      <c r="L71" s="299"/>
      <c r="M71" s="300"/>
      <c r="N71" s="10"/>
    </row>
    <row r="72" spans="1:14" s="1" customFormat="1" ht="31.5" customHeight="1" x14ac:dyDescent="0.25">
      <c r="A72" s="57"/>
      <c r="B72" s="61" t="s">
        <v>96</v>
      </c>
      <c r="C72" s="14" t="s">
        <v>40</v>
      </c>
      <c r="D72" s="33">
        <v>10</v>
      </c>
      <c r="E72" s="62">
        <v>13108.28</v>
      </c>
      <c r="F72" s="14"/>
      <c r="G72" s="62">
        <f t="shared" si="4"/>
        <v>131082.79999999999</v>
      </c>
      <c r="H72" s="275">
        <v>16</v>
      </c>
      <c r="I72" s="453"/>
      <c r="J72" s="26"/>
      <c r="K72" s="250"/>
      <c r="L72" s="299"/>
      <c r="M72" s="300"/>
      <c r="N72" s="10"/>
    </row>
    <row r="73" spans="1:14" s="1" customFormat="1" ht="31.5" customHeight="1" x14ac:dyDescent="0.25">
      <c r="A73" s="57"/>
      <c r="B73" s="61" t="s">
        <v>97</v>
      </c>
      <c r="C73" s="14" t="s">
        <v>40</v>
      </c>
      <c r="D73" s="33">
        <v>5</v>
      </c>
      <c r="E73" s="62">
        <v>22814.39</v>
      </c>
      <c r="F73" s="14"/>
      <c r="G73" s="62">
        <f t="shared" si="4"/>
        <v>114071.95</v>
      </c>
      <c r="H73" s="275">
        <v>18</v>
      </c>
      <c r="I73" s="453"/>
      <c r="J73" s="26"/>
      <c r="K73" s="250"/>
      <c r="L73" s="299"/>
      <c r="M73" s="300"/>
      <c r="N73" s="10"/>
    </row>
    <row r="74" spans="1:14" s="1" customFormat="1" ht="16.5" customHeight="1" x14ac:dyDescent="0.25">
      <c r="A74" s="57"/>
      <c r="B74" s="46" t="s">
        <v>98</v>
      </c>
      <c r="C74" s="14" t="s">
        <v>72</v>
      </c>
      <c r="D74" s="33">
        <v>50</v>
      </c>
      <c r="E74" s="62">
        <v>1032.9000000000001</v>
      </c>
      <c r="F74" s="14"/>
      <c r="G74" s="62">
        <f t="shared" si="4"/>
        <v>51645</v>
      </c>
      <c r="H74" s="275">
        <v>36</v>
      </c>
      <c r="I74" s="453"/>
      <c r="J74" s="26"/>
      <c r="K74" s="250"/>
      <c r="L74" s="299"/>
      <c r="M74" s="300"/>
      <c r="N74" s="10"/>
    </row>
    <row r="75" spans="1:14" s="1" customFormat="1" ht="16.5" customHeight="1" x14ac:dyDescent="0.25">
      <c r="A75" s="57"/>
      <c r="B75" s="46" t="s">
        <v>99</v>
      </c>
      <c r="C75" s="14" t="s">
        <v>72</v>
      </c>
      <c r="D75" s="33">
        <v>1580</v>
      </c>
      <c r="E75" s="62">
        <v>230.42</v>
      </c>
      <c r="F75" s="14"/>
      <c r="G75" s="62">
        <f t="shared" si="4"/>
        <v>364063.6</v>
      </c>
      <c r="H75" s="275">
        <v>83</v>
      </c>
      <c r="I75" s="453"/>
      <c r="J75" s="26"/>
      <c r="K75" s="250"/>
      <c r="L75" s="299"/>
      <c r="M75" s="300"/>
      <c r="N75" s="10"/>
    </row>
    <row r="76" spans="1:14" s="1" customFormat="1" ht="16.5" customHeight="1" x14ac:dyDescent="0.25">
      <c r="A76" s="27" t="s">
        <v>100</v>
      </c>
      <c r="B76" s="21" t="s">
        <v>101</v>
      </c>
      <c r="C76" s="65"/>
      <c r="D76" s="14"/>
      <c r="E76" s="258"/>
      <c r="F76" s="14"/>
      <c r="G76" s="24">
        <f>G77+G91+G99+G112+G121+G124</f>
        <v>9256762.7400000002</v>
      </c>
      <c r="H76" s="275"/>
      <c r="I76" s="313"/>
      <c r="J76" s="26"/>
      <c r="K76" s="250"/>
      <c r="L76" s="299"/>
      <c r="M76" s="300"/>
      <c r="N76" s="10"/>
    </row>
    <row r="77" spans="1:14" s="1" customFormat="1" ht="17.25" customHeight="1" x14ac:dyDescent="0.25">
      <c r="A77" s="27" t="s">
        <v>102</v>
      </c>
      <c r="B77" s="44" t="s">
        <v>103</v>
      </c>
      <c r="C77" s="45" t="s">
        <v>104</v>
      </c>
      <c r="D77" s="29">
        <f>D79+D80+D81+D82+D83</f>
        <v>886</v>
      </c>
      <c r="E77" s="258"/>
      <c r="F77" s="45"/>
      <c r="G77" s="31">
        <f>SUM(G78:G90)</f>
        <v>1426876.6099999999</v>
      </c>
      <c r="H77" s="275"/>
      <c r="I77" s="313"/>
      <c r="J77" s="26"/>
      <c r="K77" s="250"/>
      <c r="L77" s="299"/>
      <c r="M77" s="300"/>
      <c r="N77" s="10"/>
    </row>
    <row r="78" spans="1:14" s="1" customFormat="1" ht="18" customHeight="1" x14ac:dyDescent="0.25">
      <c r="A78" s="27"/>
      <c r="B78" s="49" t="s">
        <v>41</v>
      </c>
      <c r="C78" s="50" t="s">
        <v>40</v>
      </c>
      <c r="D78" s="51">
        <v>154</v>
      </c>
      <c r="E78" s="66">
        <v>47.06</v>
      </c>
      <c r="F78" s="50">
        <v>1</v>
      </c>
      <c r="G78" s="53">
        <f>ROUND((D78*E78*F78),2)</f>
        <v>7247.24</v>
      </c>
      <c r="H78" s="278">
        <v>56</v>
      </c>
      <c r="I78" s="452" t="s">
        <v>211</v>
      </c>
      <c r="J78" s="25"/>
      <c r="K78" s="253"/>
      <c r="L78" s="299"/>
      <c r="M78" s="300"/>
      <c r="N78" s="10"/>
    </row>
    <row r="79" spans="1:14" s="1" customFormat="1" ht="23.25" customHeight="1" x14ac:dyDescent="0.25">
      <c r="A79" s="27"/>
      <c r="B79" s="46" t="s">
        <v>105</v>
      </c>
      <c r="C79" s="14" t="s">
        <v>40</v>
      </c>
      <c r="D79" s="58">
        <f>161+31</f>
        <v>192</v>
      </c>
      <c r="E79" s="149">
        <v>135.06</v>
      </c>
      <c r="F79" s="14">
        <v>6</v>
      </c>
      <c r="G79" s="62">
        <f t="shared" ref="G79:G90" si="5">ROUND((D79*E79*F79),2)</f>
        <v>155589.12</v>
      </c>
      <c r="H79" s="275">
        <v>59</v>
      </c>
      <c r="I79" s="452"/>
      <c r="J79" s="26"/>
      <c r="K79" s="250"/>
      <c r="L79" s="299"/>
      <c r="M79" s="300"/>
      <c r="N79" s="10"/>
    </row>
    <row r="80" spans="1:14" s="1" customFormat="1" ht="27" customHeight="1" x14ac:dyDescent="0.25">
      <c r="A80" s="27"/>
      <c r="B80" s="32" t="s">
        <v>106</v>
      </c>
      <c r="C80" s="63" t="s">
        <v>40</v>
      </c>
      <c r="D80" s="260">
        <f>257+14</f>
        <v>271</v>
      </c>
      <c r="E80" s="82">
        <f>E79</f>
        <v>135.06</v>
      </c>
      <c r="F80" s="63">
        <v>12</v>
      </c>
      <c r="G80" s="35">
        <f t="shared" si="5"/>
        <v>439215.12</v>
      </c>
      <c r="H80" s="277">
        <v>59</v>
      </c>
      <c r="I80" s="452"/>
      <c r="J80" s="26"/>
      <c r="K80" s="250"/>
      <c r="L80" s="299"/>
      <c r="M80" s="300"/>
      <c r="N80" s="10"/>
    </row>
    <row r="81" spans="1:14" s="1" customFormat="1" ht="25.5" customHeight="1" x14ac:dyDescent="0.25">
      <c r="A81" s="27"/>
      <c r="B81" s="32" t="s">
        <v>107</v>
      </c>
      <c r="C81" s="63" t="s">
        <v>40</v>
      </c>
      <c r="D81" s="260">
        <v>129</v>
      </c>
      <c r="E81" s="82">
        <v>32.42</v>
      </c>
      <c r="F81" s="63">
        <v>12</v>
      </c>
      <c r="G81" s="35">
        <f t="shared" si="5"/>
        <v>50186.16</v>
      </c>
      <c r="H81" s="277" t="s">
        <v>108</v>
      </c>
      <c r="I81" s="452"/>
      <c r="J81" s="26"/>
      <c r="K81" s="250"/>
      <c r="L81" s="299"/>
      <c r="M81" s="300"/>
      <c r="N81" s="10"/>
    </row>
    <row r="82" spans="1:14" s="1" customFormat="1" ht="21.75" customHeight="1" x14ac:dyDescent="0.25">
      <c r="A82" s="27"/>
      <c r="B82" s="49" t="s">
        <v>106</v>
      </c>
      <c r="C82" s="50" t="s">
        <v>40</v>
      </c>
      <c r="D82" s="67">
        <v>154</v>
      </c>
      <c r="E82" s="66">
        <v>135.06</v>
      </c>
      <c r="F82" s="50">
        <v>12</v>
      </c>
      <c r="G82" s="68">
        <f>ROUND((D82*E82*F82),2)</f>
        <v>249590.88</v>
      </c>
      <c r="H82" s="278">
        <v>59</v>
      </c>
      <c r="I82" s="452"/>
      <c r="J82" s="25"/>
      <c r="K82" s="253"/>
      <c r="L82" s="299"/>
      <c r="M82" s="300"/>
      <c r="N82" s="10"/>
    </row>
    <row r="83" spans="1:14" s="1" customFormat="1" ht="21.75" customHeight="1" x14ac:dyDescent="0.25">
      <c r="A83" s="27"/>
      <c r="B83" s="49" t="s">
        <v>109</v>
      </c>
      <c r="C83" s="50" t="s">
        <v>40</v>
      </c>
      <c r="D83" s="67">
        <v>140</v>
      </c>
      <c r="E83" s="66">
        <v>135.06</v>
      </c>
      <c r="F83" s="50">
        <v>16</v>
      </c>
      <c r="G83" s="68">
        <f>ROUND((D83*E83*F83),2)</f>
        <v>302534.40000000002</v>
      </c>
      <c r="H83" s="278">
        <v>59</v>
      </c>
      <c r="I83" s="452"/>
      <c r="J83" s="25"/>
      <c r="K83" s="253"/>
      <c r="L83" s="299"/>
      <c r="M83" s="300"/>
      <c r="N83" s="10"/>
    </row>
    <row r="84" spans="1:14" s="1" customFormat="1" ht="21" customHeight="1" x14ac:dyDescent="0.25">
      <c r="A84" s="27"/>
      <c r="B84" s="32" t="s">
        <v>110</v>
      </c>
      <c r="C84" s="63" t="s">
        <v>40</v>
      </c>
      <c r="D84" s="260">
        <v>192</v>
      </c>
      <c r="E84" s="35">
        <v>37.82</v>
      </c>
      <c r="F84" s="69">
        <v>1</v>
      </c>
      <c r="G84" s="35">
        <f t="shared" si="5"/>
        <v>7261.44</v>
      </c>
      <c r="H84" s="277">
        <v>62</v>
      </c>
      <c r="I84" s="452"/>
      <c r="J84" s="26"/>
      <c r="K84" s="250"/>
      <c r="L84" s="299"/>
      <c r="M84" s="300"/>
      <c r="N84" s="10"/>
    </row>
    <row r="85" spans="1:14" s="1" customFormat="1" ht="28.5" customHeight="1" x14ac:dyDescent="0.25">
      <c r="A85" s="27"/>
      <c r="B85" s="32" t="s">
        <v>111</v>
      </c>
      <c r="C85" s="63" t="s">
        <v>40</v>
      </c>
      <c r="D85" s="260">
        <f>257+14</f>
        <v>271</v>
      </c>
      <c r="E85" s="35">
        <f>E84</f>
        <v>37.82</v>
      </c>
      <c r="F85" s="69">
        <v>2</v>
      </c>
      <c r="G85" s="35">
        <f t="shared" si="5"/>
        <v>20498.439999999999</v>
      </c>
      <c r="H85" s="277">
        <v>62</v>
      </c>
      <c r="I85" s="452"/>
      <c r="J85" s="26"/>
      <c r="K85" s="250"/>
      <c r="L85" s="299"/>
      <c r="M85" s="300"/>
      <c r="N85" s="10"/>
    </row>
    <row r="86" spans="1:14" s="1" customFormat="1" ht="21" customHeight="1" x14ac:dyDescent="0.25">
      <c r="A86" s="27"/>
      <c r="B86" s="32" t="s">
        <v>112</v>
      </c>
      <c r="C86" s="63" t="s">
        <v>40</v>
      </c>
      <c r="D86" s="260">
        <v>129</v>
      </c>
      <c r="E86" s="35">
        <v>10.33</v>
      </c>
      <c r="F86" s="69">
        <v>2</v>
      </c>
      <c r="G86" s="35">
        <f t="shared" si="5"/>
        <v>2665.14</v>
      </c>
      <c r="H86" s="277" t="s">
        <v>113</v>
      </c>
      <c r="I86" s="452"/>
      <c r="J86" s="26"/>
      <c r="K86" s="250"/>
      <c r="L86" s="299"/>
      <c r="M86" s="300"/>
      <c r="N86" s="10"/>
    </row>
    <row r="87" spans="1:14" s="1" customFormat="1" ht="21" customHeight="1" x14ac:dyDescent="0.25">
      <c r="A87" s="27"/>
      <c r="B87" s="49" t="s">
        <v>114</v>
      </c>
      <c r="C87" s="50" t="s">
        <v>40</v>
      </c>
      <c r="D87" s="51">
        <f>D82+D83</f>
        <v>294</v>
      </c>
      <c r="E87" s="68">
        <v>37.82</v>
      </c>
      <c r="F87" s="55">
        <v>4</v>
      </c>
      <c r="G87" s="68">
        <f t="shared" si="5"/>
        <v>44476.32</v>
      </c>
      <c r="H87" s="278">
        <v>62</v>
      </c>
      <c r="I87" s="452"/>
      <c r="J87" s="25"/>
      <c r="K87" s="250"/>
      <c r="L87" s="299"/>
      <c r="M87" s="300"/>
      <c r="N87" s="10"/>
    </row>
    <row r="88" spans="1:14" s="1" customFormat="1" ht="32.25" customHeight="1" x14ac:dyDescent="0.25">
      <c r="A88" s="27"/>
      <c r="B88" s="32" t="s">
        <v>115</v>
      </c>
      <c r="C88" s="63" t="s">
        <v>40</v>
      </c>
      <c r="D88" s="260">
        <f>D80</f>
        <v>271</v>
      </c>
      <c r="E88" s="35">
        <v>162.74</v>
      </c>
      <c r="F88" s="69">
        <v>1</v>
      </c>
      <c r="G88" s="35">
        <f t="shared" si="5"/>
        <v>44102.54</v>
      </c>
      <c r="H88" s="277">
        <v>68</v>
      </c>
      <c r="I88" s="452"/>
      <c r="J88" s="70"/>
      <c r="K88" s="250"/>
      <c r="L88" s="299"/>
      <c r="M88" s="300"/>
      <c r="N88" s="10"/>
    </row>
    <row r="89" spans="1:14" s="1" customFormat="1" ht="23.25" customHeight="1" x14ac:dyDescent="0.25">
      <c r="A89" s="27"/>
      <c r="B89" s="32" t="s">
        <v>116</v>
      </c>
      <c r="C89" s="63" t="s">
        <v>40</v>
      </c>
      <c r="D89" s="260">
        <f>D81</f>
        <v>129</v>
      </c>
      <c r="E89" s="35">
        <v>60.61</v>
      </c>
      <c r="F89" s="69">
        <v>1</v>
      </c>
      <c r="G89" s="35">
        <f t="shared" si="5"/>
        <v>7818.69</v>
      </c>
      <c r="H89" s="277" t="s">
        <v>117</v>
      </c>
      <c r="I89" s="452"/>
      <c r="J89" s="70"/>
      <c r="K89" s="250"/>
      <c r="L89" s="299"/>
      <c r="M89" s="300"/>
      <c r="N89" s="10"/>
    </row>
    <row r="90" spans="1:14" s="1" customFormat="1" ht="22.5" customHeight="1" x14ac:dyDescent="0.25">
      <c r="A90" s="27"/>
      <c r="B90" s="49" t="s">
        <v>118</v>
      </c>
      <c r="C90" s="50" t="s">
        <v>40</v>
      </c>
      <c r="D90" s="51">
        <f>D87</f>
        <v>294</v>
      </c>
      <c r="E90" s="68">
        <v>162.74</v>
      </c>
      <c r="F90" s="55">
        <v>2</v>
      </c>
      <c r="G90" s="68">
        <f t="shared" si="5"/>
        <v>95691.12</v>
      </c>
      <c r="H90" s="278">
        <v>68</v>
      </c>
      <c r="I90" s="452"/>
      <c r="J90" s="25"/>
      <c r="K90" s="250"/>
      <c r="L90" s="299"/>
      <c r="M90" s="300"/>
      <c r="N90" s="10"/>
    </row>
    <row r="91" spans="1:14" s="1" customFormat="1" ht="21" customHeight="1" x14ac:dyDescent="0.25">
      <c r="A91" s="27" t="s">
        <v>119</v>
      </c>
      <c r="B91" s="44" t="s">
        <v>45</v>
      </c>
      <c r="C91" s="45" t="s">
        <v>40</v>
      </c>
      <c r="D91" s="29">
        <f>D93+D94+D95</f>
        <v>1377</v>
      </c>
      <c r="E91" s="258"/>
      <c r="F91" s="45"/>
      <c r="G91" s="31">
        <f>SUM(G92:G98)</f>
        <v>527480.84</v>
      </c>
      <c r="H91" s="275"/>
      <c r="I91" s="452"/>
      <c r="J91" s="26"/>
      <c r="K91" s="250"/>
      <c r="L91" s="299"/>
      <c r="M91" s="300"/>
      <c r="N91" s="10"/>
    </row>
    <row r="92" spans="1:14" s="1" customFormat="1" ht="18" customHeight="1" x14ac:dyDescent="0.25">
      <c r="A92" s="27"/>
      <c r="B92" s="49" t="s">
        <v>46</v>
      </c>
      <c r="C92" s="50" t="s">
        <v>40</v>
      </c>
      <c r="D92" s="51">
        <v>1247</v>
      </c>
      <c r="E92" s="52">
        <v>8.14</v>
      </c>
      <c r="F92" s="50">
        <v>1</v>
      </c>
      <c r="G92" s="53">
        <f t="shared" ref="G92:G98" si="6">ROUND((D92*E92*F92),2)</f>
        <v>10150.58</v>
      </c>
      <c r="H92" s="278">
        <v>57</v>
      </c>
      <c r="I92" s="452"/>
      <c r="J92" s="25"/>
      <c r="K92" s="253"/>
      <c r="L92" s="299"/>
      <c r="M92" s="300"/>
      <c r="N92" s="10"/>
    </row>
    <row r="93" spans="1:14" s="1" customFormat="1" ht="21" customHeight="1" x14ac:dyDescent="0.25">
      <c r="A93" s="27"/>
      <c r="B93" s="46" t="s">
        <v>47</v>
      </c>
      <c r="C93" s="14" t="s">
        <v>40</v>
      </c>
      <c r="D93" s="58">
        <v>130</v>
      </c>
      <c r="E93" s="62">
        <v>21.61</v>
      </c>
      <c r="F93" s="14">
        <v>6</v>
      </c>
      <c r="G93" s="62">
        <f t="shared" si="6"/>
        <v>16855.8</v>
      </c>
      <c r="H93" s="275">
        <v>60</v>
      </c>
      <c r="I93" s="452"/>
      <c r="J93" s="26"/>
      <c r="K93" s="250"/>
      <c r="L93" s="299"/>
      <c r="M93" s="300"/>
      <c r="N93" s="10"/>
    </row>
    <row r="94" spans="1:14" s="1" customFormat="1" ht="21" customHeight="1" x14ac:dyDescent="0.25">
      <c r="A94" s="27"/>
      <c r="B94" s="49" t="s">
        <v>120</v>
      </c>
      <c r="C94" s="50" t="s">
        <v>40</v>
      </c>
      <c r="D94" s="51">
        <v>400</v>
      </c>
      <c r="E94" s="68">
        <v>21.61</v>
      </c>
      <c r="F94" s="50">
        <v>12</v>
      </c>
      <c r="G94" s="68">
        <f t="shared" si="6"/>
        <v>103728</v>
      </c>
      <c r="H94" s="278">
        <v>60</v>
      </c>
      <c r="I94" s="452"/>
      <c r="J94" s="25"/>
      <c r="K94" s="253"/>
      <c r="L94" s="299"/>
      <c r="M94" s="300"/>
      <c r="N94" s="10"/>
    </row>
    <row r="95" spans="1:14" s="1" customFormat="1" ht="21" customHeight="1" x14ac:dyDescent="0.25">
      <c r="A95" s="27"/>
      <c r="B95" s="49" t="s">
        <v>121</v>
      </c>
      <c r="C95" s="50" t="s">
        <v>40</v>
      </c>
      <c r="D95" s="51">
        <v>847</v>
      </c>
      <c r="E95" s="68">
        <v>21.61</v>
      </c>
      <c r="F95" s="50">
        <v>16</v>
      </c>
      <c r="G95" s="68">
        <f t="shared" si="6"/>
        <v>292858.71999999997</v>
      </c>
      <c r="H95" s="278">
        <v>60</v>
      </c>
      <c r="I95" s="452"/>
      <c r="J95" s="25"/>
      <c r="K95" s="253"/>
      <c r="L95" s="299"/>
      <c r="M95" s="300"/>
      <c r="N95" s="10"/>
    </row>
    <row r="96" spans="1:14" s="1" customFormat="1" ht="21" customHeight="1" x14ac:dyDescent="0.25">
      <c r="A96" s="27"/>
      <c r="B96" s="46" t="s">
        <v>122</v>
      </c>
      <c r="C96" s="14" t="s">
        <v>40</v>
      </c>
      <c r="D96" s="58">
        <v>130</v>
      </c>
      <c r="E96" s="62">
        <v>6.62</v>
      </c>
      <c r="F96" s="30">
        <v>1</v>
      </c>
      <c r="G96" s="62">
        <f t="shared" si="6"/>
        <v>860.6</v>
      </c>
      <c r="H96" s="275">
        <v>63</v>
      </c>
      <c r="I96" s="452"/>
      <c r="J96" s="26"/>
      <c r="K96" s="250"/>
      <c r="L96" s="299"/>
      <c r="M96" s="300"/>
      <c r="N96" s="10"/>
    </row>
    <row r="97" spans="1:14" s="1" customFormat="1" ht="21" customHeight="1" x14ac:dyDescent="0.25">
      <c r="A97" s="27"/>
      <c r="B97" s="49" t="s">
        <v>123</v>
      </c>
      <c r="C97" s="50" t="s">
        <v>40</v>
      </c>
      <c r="D97" s="51">
        <f>D92</f>
        <v>1247</v>
      </c>
      <c r="E97" s="68">
        <v>6.62</v>
      </c>
      <c r="F97" s="55">
        <v>4</v>
      </c>
      <c r="G97" s="68">
        <f t="shared" si="6"/>
        <v>33020.559999999998</v>
      </c>
      <c r="H97" s="278">
        <v>63</v>
      </c>
      <c r="I97" s="452"/>
      <c r="J97" s="25"/>
      <c r="K97" s="250"/>
      <c r="L97" s="299"/>
      <c r="M97" s="300"/>
      <c r="N97" s="10"/>
    </row>
    <row r="98" spans="1:14" s="1" customFormat="1" ht="21" customHeight="1" x14ac:dyDescent="0.25">
      <c r="A98" s="27"/>
      <c r="B98" s="49" t="s">
        <v>124</v>
      </c>
      <c r="C98" s="50" t="s">
        <v>40</v>
      </c>
      <c r="D98" s="51">
        <f>D97</f>
        <v>1247</v>
      </c>
      <c r="E98" s="68">
        <v>28.07</v>
      </c>
      <c r="F98" s="55">
        <v>2</v>
      </c>
      <c r="G98" s="68">
        <f t="shared" si="6"/>
        <v>70006.58</v>
      </c>
      <c r="H98" s="278">
        <v>69</v>
      </c>
      <c r="I98" s="452"/>
      <c r="J98" s="25"/>
      <c r="K98" s="250"/>
      <c r="L98" s="299"/>
      <c r="M98" s="300"/>
      <c r="N98" s="10"/>
    </row>
    <row r="99" spans="1:14" s="1" customFormat="1" ht="21" customHeight="1" x14ac:dyDescent="0.25">
      <c r="A99" s="27" t="s">
        <v>125</v>
      </c>
      <c r="B99" s="44" t="s">
        <v>126</v>
      </c>
      <c r="C99" s="14" t="s">
        <v>54</v>
      </c>
      <c r="D99" s="29">
        <f>D102+D103+D104</f>
        <v>1171</v>
      </c>
      <c r="E99" s="258"/>
      <c r="F99" s="45"/>
      <c r="G99" s="31">
        <f>SUM(G100:G111)</f>
        <v>637805.14</v>
      </c>
      <c r="H99" s="275"/>
      <c r="I99" s="452"/>
      <c r="J99" s="26"/>
      <c r="K99" s="250"/>
      <c r="L99" s="299"/>
      <c r="M99" s="300"/>
      <c r="N99" s="10"/>
    </row>
    <row r="100" spans="1:14" s="1" customFormat="1" ht="18" customHeight="1" x14ac:dyDescent="0.25">
      <c r="A100" s="27"/>
      <c r="B100" s="32" t="s">
        <v>53</v>
      </c>
      <c r="C100" s="63" t="s">
        <v>54</v>
      </c>
      <c r="D100" s="7">
        <v>766</v>
      </c>
      <c r="E100" s="82">
        <v>17.64</v>
      </c>
      <c r="F100" s="63">
        <v>1</v>
      </c>
      <c r="G100" s="60">
        <f t="shared" ref="G100:G111" si="7">ROUND((D100*E100*F100),2)</f>
        <v>13512.24</v>
      </c>
      <c r="H100" s="277">
        <v>58</v>
      </c>
      <c r="I100" s="452"/>
      <c r="J100" s="26"/>
      <c r="K100" s="250"/>
      <c r="L100" s="299"/>
      <c r="M100" s="300"/>
      <c r="N100" s="10"/>
    </row>
    <row r="101" spans="1:14" s="1" customFormat="1" ht="18" customHeight="1" x14ac:dyDescent="0.25">
      <c r="A101" s="27"/>
      <c r="B101" s="49" t="s">
        <v>53</v>
      </c>
      <c r="C101" s="50" t="s">
        <v>54</v>
      </c>
      <c r="D101" s="51">
        <v>355</v>
      </c>
      <c r="E101" s="66">
        <v>17.64</v>
      </c>
      <c r="F101" s="50">
        <v>1</v>
      </c>
      <c r="G101" s="53">
        <f>ROUND((D101*E101*F101),2)</f>
        <v>6262.2</v>
      </c>
      <c r="H101" s="278">
        <v>58</v>
      </c>
      <c r="I101" s="452"/>
      <c r="J101" s="25"/>
      <c r="K101" s="253"/>
      <c r="L101" s="299"/>
      <c r="M101" s="300"/>
      <c r="N101" s="10"/>
    </row>
    <row r="102" spans="1:14" s="1" customFormat="1" ht="20.25" customHeight="1" x14ac:dyDescent="0.25">
      <c r="A102" s="27"/>
      <c r="B102" s="32" t="s">
        <v>55</v>
      </c>
      <c r="C102" s="63" t="s">
        <v>54</v>
      </c>
      <c r="D102" s="260">
        <v>50</v>
      </c>
      <c r="E102" s="35">
        <v>32.42</v>
      </c>
      <c r="F102" s="63">
        <v>6</v>
      </c>
      <c r="G102" s="35">
        <f t="shared" si="7"/>
        <v>9726</v>
      </c>
      <c r="H102" s="277">
        <v>61</v>
      </c>
      <c r="I102" s="452"/>
      <c r="J102" s="26"/>
      <c r="K102" s="250"/>
      <c r="L102" s="299"/>
      <c r="M102" s="300"/>
      <c r="N102" s="10"/>
    </row>
    <row r="103" spans="1:14" s="1" customFormat="1" ht="20.25" customHeight="1" x14ac:dyDescent="0.25">
      <c r="A103" s="27"/>
      <c r="B103" s="32" t="s">
        <v>127</v>
      </c>
      <c r="C103" s="63" t="s">
        <v>54</v>
      </c>
      <c r="D103" s="260">
        <v>766</v>
      </c>
      <c r="E103" s="35">
        <f>E102</f>
        <v>32.42</v>
      </c>
      <c r="F103" s="63">
        <v>12</v>
      </c>
      <c r="G103" s="35">
        <f t="shared" si="7"/>
        <v>298004.64</v>
      </c>
      <c r="H103" s="277">
        <v>61</v>
      </c>
      <c r="I103" s="452"/>
      <c r="J103" s="26"/>
      <c r="K103" s="250"/>
      <c r="L103" s="299"/>
      <c r="M103" s="300"/>
      <c r="N103" s="10"/>
    </row>
    <row r="104" spans="1:14" s="1" customFormat="1" ht="20.25" customHeight="1" x14ac:dyDescent="0.25">
      <c r="A104" s="27"/>
      <c r="B104" s="49" t="s">
        <v>128</v>
      </c>
      <c r="C104" s="50" t="s">
        <v>54</v>
      </c>
      <c r="D104" s="51">
        <f>D101</f>
        <v>355</v>
      </c>
      <c r="E104" s="68">
        <v>32.42</v>
      </c>
      <c r="F104" s="50">
        <v>12</v>
      </c>
      <c r="G104" s="68">
        <f>ROUND((D104*E104*F104),2)</f>
        <v>138109.20000000001</v>
      </c>
      <c r="H104" s="278">
        <v>61</v>
      </c>
      <c r="I104" s="452"/>
      <c r="J104" s="25"/>
      <c r="K104" s="253"/>
      <c r="L104" s="299"/>
      <c r="M104" s="300"/>
      <c r="N104" s="10"/>
    </row>
    <row r="105" spans="1:14" s="1" customFormat="1" ht="18" customHeight="1" x14ac:dyDescent="0.25">
      <c r="A105" s="27"/>
      <c r="B105" s="32" t="s">
        <v>129</v>
      </c>
      <c r="C105" s="63" t="s">
        <v>54</v>
      </c>
      <c r="D105" s="7">
        <v>50</v>
      </c>
      <c r="E105" s="35">
        <v>18.28</v>
      </c>
      <c r="F105" s="69">
        <v>1</v>
      </c>
      <c r="G105" s="35">
        <f t="shared" si="7"/>
        <v>914</v>
      </c>
      <c r="H105" s="277">
        <v>64</v>
      </c>
      <c r="I105" s="452"/>
      <c r="J105" s="26"/>
      <c r="K105" s="250"/>
      <c r="L105" s="299"/>
      <c r="M105" s="300"/>
      <c r="N105" s="10"/>
    </row>
    <row r="106" spans="1:14" s="1" customFormat="1" ht="18.75" customHeight="1" x14ac:dyDescent="0.25">
      <c r="A106" s="27"/>
      <c r="B106" s="32" t="s">
        <v>130</v>
      </c>
      <c r="C106" s="63" t="s">
        <v>54</v>
      </c>
      <c r="D106" s="7">
        <v>766</v>
      </c>
      <c r="E106" s="35">
        <f>E105</f>
        <v>18.28</v>
      </c>
      <c r="F106" s="69">
        <v>2</v>
      </c>
      <c r="G106" s="35">
        <f t="shared" si="7"/>
        <v>28004.959999999999</v>
      </c>
      <c r="H106" s="277">
        <v>64</v>
      </c>
      <c r="I106" s="452"/>
      <c r="J106" s="26"/>
      <c r="K106" s="250"/>
      <c r="L106" s="299"/>
      <c r="M106" s="300"/>
      <c r="N106" s="10"/>
    </row>
    <row r="107" spans="1:14" s="1" customFormat="1" ht="18" customHeight="1" x14ac:dyDescent="0.25">
      <c r="A107" s="27"/>
      <c r="B107" s="49" t="s">
        <v>131</v>
      </c>
      <c r="C107" s="50" t="s">
        <v>54</v>
      </c>
      <c r="D107" s="51">
        <f>D104</f>
        <v>355</v>
      </c>
      <c r="E107" s="68">
        <v>18.28</v>
      </c>
      <c r="F107" s="55">
        <v>4</v>
      </c>
      <c r="G107" s="68">
        <f t="shared" si="7"/>
        <v>25957.599999999999</v>
      </c>
      <c r="H107" s="278">
        <v>64</v>
      </c>
      <c r="I107" s="452"/>
      <c r="J107" s="25"/>
      <c r="K107" s="250"/>
      <c r="L107" s="299"/>
      <c r="M107" s="300"/>
      <c r="N107" s="10"/>
    </row>
    <row r="108" spans="1:14" s="1" customFormat="1" ht="21" customHeight="1" x14ac:dyDescent="0.25">
      <c r="A108" s="27"/>
      <c r="B108" s="32" t="s">
        <v>132</v>
      </c>
      <c r="C108" s="63" t="s">
        <v>40</v>
      </c>
      <c r="D108" s="7">
        <f>D100</f>
        <v>766</v>
      </c>
      <c r="E108" s="35">
        <v>66.760000000000005</v>
      </c>
      <c r="F108" s="69">
        <v>1</v>
      </c>
      <c r="G108" s="35">
        <f t="shared" si="7"/>
        <v>51138.16</v>
      </c>
      <c r="H108" s="277">
        <v>70</v>
      </c>
      <c r="I108" s="452"/>
      <c r="J108" s="70"/>
      <c r="K108" s="250"/>
      <c r="L108" s="299"/>
      <c r="M108" s="300"/>
      <c r="N108" s="10"/>
    </row>
    <row r="109" spans="1:14" s="1" customFormat="1" ht="21" customHeight="1" x14ac:dyDescent="0.25">
      <c r="A109" s="27"/>
      <c r="B109" s="49" t="s">
        <v>133</v>
      </c>
      <c r="C109" s="50" t="s">
        <v>54</v>
      </c>
      <c r="D109" s="51">
        <f>D107</f>
        <v>355</v>
      </c>
      <c r="E109" s="68">
        <v>66.760000000000005</v>
      </c>
      <c r="F109" s="55">
        <v>2</v>
      </c>
      <c r="G109" s="68">
        <f t="shared" si="7"/>
        <v>47399.6</v>
      </c>
      <c r="H109" s="278">
        <v>70</v>
      </c>
      <c r="I109" s="452"/>
      <c r="J109" s="25"/>
      <c r="K109" s="250"/>
      <c r="L109" s="299"/>
      <c r="M109" s="300"/>
      <c r="N109" s="10"/>
    </row>
    <row r="110" spans="1:14" s="1" customFormat="1" ht="21" customHeight="1" x14ac:dyDescent="0.25">
      <c r="A110" s="71"/>
      <c r="B110" s="72" t="s">
        <v>61</v>
      </c>
      <c r="C110" s="50" t="s">
        <v>54</v>
      </c>
      <c r="D110" s="73">
        <v>343</v>
      </c>
      <c r="E110" s="74">
        <v>26.41</v>
      </c>
      <c r="F110" s="75">
        <v>2</v>
      </c>
      <c r="G110" s="68">
        <f t="shared" si="7"/>
        <v>18117.259999999998</v>
      </c>
      <c r="H110" s="278">
        <v>41</v>
      </c>
      <c r="I110" s="452"/>
      <c r="J110" s="25"/>
      <c r="K110" s="250"/>
      <c r="L110" s="299"/>
      <c r="M110" s="300"/>
      <c r="N110" s="10"/>
    </row>
    <row r="111" spans="1:14" s="1" customFormat="1" ht="28.5" customHeight="1" x14ac:dyDescent="0.25">
      <c r="A111" s="71"/>
      <c r="B111" s="72" t="s">
        <v>134</v>
      </c>
      <c r="C111" s="50" t="s">
        <v>54</v>
      </c>
      <c r="D111" s="73">
        <v>12</v>
      </c>
      <c r="E111" s="74">
        <v>27.47</v>
      </c>
      <c r="F111" s="75">
        <v>2</v>
      </c>
      <c r="G111" s="68">
        <f t="shared" si="7"/>
        <v>659.28</v>
      </c>
      <c r="H111" s="278">
        <v>44</v>
      </c>
      <c r="I111" s="452"/>
      <c r="J111" s="25"/>
      <c r="K111" s="250"/>
      <c r="L111" s="299"/>
      <c r="M111" s="300"/>
      <c r="N111" s="10"/>
    </row>
    <row r="112" spans="1:14" s="1" customFormat="1" x14ac:dyDescent="0.25">
      <c r="A112" s="71" t="s">
        <v>135</v>
      </c>
      <c r="B112" s="76" t="s">
        <v>136</v>
      </c>
      <c r="C112" s="77" t="s">
        <v>23</v>
      </c>
      <c r="D112" s="78">
        <f>D113+D115+D116+D117+D118+D120</f>
        <v>88593</v>
      </c>
      <c r="E112" s="79"/>
      <c r="F112" s="78"/>
      <c r="G112" s="80">
        <f>SUM(G113:G120)</f>
        <v>4911727.9000000004</v>
      </c>
      <c r="H112" s="275"/>
      <c r="I112" s="452" t="s">
        <v>169</v>
      </c>
      <c r="J112" s="26"/>
      <c r="K112" s="250"/>
      <c r="L112" s="299"/>
      <c r="M112" s="300"/>
      <c r="N112" s="10"/>
    </row>
    <row r="113" spans="1:14" s="1" customFormat="1" ht="21" customHeight="1" x14ac:dyDescent="0.25">
      <c r="A113" s="27"/>
      <c r="B113" s="46" t="s">
        <v>137</v>
      </c>
      <c r="C113" s="14" t="s">
        <v>23</v>
      </c>
      <c r="D113" s="33">
        <f>40422</f>
        <v>40422</v>
      </c>
      <c r="E113" s="149">
        <v>5.9</v>
      </c>
      <c r="F113" s="14">
        <v>2</v>
      </c>
      <c r="G113" s="62">
        <f t="shared" ref="G113:G120" si="8">ROUND((D113*E113*F113),2)</f>
        <v>476979.6</v>
      </c>
      <c r="H113" s="275">
        <v>54</v>
      </c>
      <c r="I113" s="452"/>
      <c r="J113" s="26"/>
      <c r="K113" s="250"/>
      <c r="L113" s="299"/>
      <c r="M113" s="300"/>
      <c r="N113" s="10"/>
    </row>
    <row r="114" spans="1:14" s="1" customFormat="1" ht="21" customHeight="1" x14ac:dyDescent="0.25">
      <c r="A114" s="27"/>
      <c r="B114" s="32" t="s">
        <v>30</v>
      </c>
      <c r="C114" s="14" t="s">
        <v>23</v>
      </c>
      <c r="D114" s="33">
        <f>D113</f>
        <v>40422</v>
      </c>
      <c r="E114" s="149">
        <v>3.6</v>
      </c>
      <c r="F114" s="30">
        <v>1</v>
      </c>
      <c r="G114" s="35">
        <f t="shared" si="8"/>
        <v>145519.20000000001</v>
      </c>
      <c r="H114" s="275" t="s">
        <v>31</v>
      </c>
      <c r="I114" s="452"/>
      <c r="J114" s="26">
        <f>D114+D119</f>
        <v>70022</v>
      </c>
      <c r="K114" s="250"/>
      <c r="L114" s="299"/>
      <c r="M114" s="300"/>
      <c r="N114" s="10"/>
    </row>
    <row r="115" spans="1:14" s="1" customFormat="1" ht="21" customHeight="1" x14ac:dyDescent="0.25">
      <c r="A115" s="27"/>
      <c r="B115" s="46" t="s">
        <v>137</v>
      </c>
      <c r="C115" s="14" t="s">
        <v>23</v>
      </c>
      <c r="D115" s="33">
        <v>80</v>
      </c>
      <c r="E115" s="149">
        <v>5.9</v>
      </c>
      <c r="F115" s="14">
        <v>3</v>
      </c>
      <c r="G115" s="62">
        <f>ROUND((D115*E115*F115),2)</f>
        <v>1416</v>
      </c>
      <c r="H115" s="275">
        <v>54</v>
      </c>
      <c r="I115" s="452"/>
      <c r="J115" s="26"/>
      <c r="K115" s="250"/>
      <c r="L115" s="299"/>
      <c r="M115" s="300"/>
      <c r="N115" s="10"/>
    </row>
    <row r="116" spans="1:14" s="1" customFormat="1" ht="20.25" customHeight="1" x14ac:dyDescent="0.25">
      <c r="A116" s="27"/>
      <c r="B116" s="46" t="s">
        <v>138</v>
      </c>
      <c r="C116" s="14" t="s">
        <v>23</v>
      </c>
      <c r="D116" s="33">
        <v>2500</v>
      </c>
      <c r="E116" s="149">
        <f>E113</f>
        <v>5.9</v>
      </c>
      <c r="F116" s="14">
        <v>5</v>
      </c>
      <c r="G116" s="62">
        <f t="shared" si="8"/>
        <v>73750</v>
      </c>
      <c r="H116" s="275">
        <v>54</v>
      </c>
      <c r="I116" s="452"/>
      <c r="J116" s="26"/>
      <c r="K116" s="250"/>
      <c r="L116" s="299"/>
      <c r="M116" s="300"/>
      <c r="N116" s="10"/>
    </row>
    <row r="117" spans="1:14" s="1" customFormat="1" ht="20.25" customHeight="1" x14ac:dyDescent="0.25">
      <c r="A117" s="27"/>
      <c r="B117" s="32" t="s">
        <v>139</v>
      </c>
      <c r="C117" s="63" t="s">
        <v>23</v>
      </c>
      <c r="D117" s="7">
        <v>4662</v>
      </c>
      <c r="E117" s="82">
        <v>37.35</v>
      </c>
      <c r="F117" s="63">
        <v>6</v>
      </c>
      <c r="G117" s="35">
        <f t="shared" si="8"/>
        <v>1044754.2</v>
      </c>
      <c r="H117" s="277">
        <v>129</v>
      </c>
      <c r="I117" s="452"/>
      <c r="J117" s="70"/>
      <c r="K117" s="250"/>
      <c r="L117" s="299"/>
      <c r="M117" s="300"/>
      <c r="N117" s="10"/>
    </row>
    <row r="118" spans="1:14" s="1" customFormat="1" ht="20.25" customHeight="1" x14ac:dyDescent="0.25">
      <c r="A118" s="27"/>
      <c r="B118" s="49" t="s">
        <v>140</v>
      </c>
      <c r="C118" s="50" t="s">
        <v>23</v>
      </c>
      <c r="D118" s="51">
        <v>29600</v>
      </c>
      <c r="E118" s="66">
        <f>E116</f>
        <v>5.9</v>
      </c>
      <c r="F118" s="50">
        <v>3</v>
      </c>
      <c r="G118" s="68">
        <f t="shared" si="8"/>
        <v>523920</v>
      </c>
      <c r="H118" s="278">
        <v>54</v>
      </c>
      <c r="I118" s="452"/>
      <c r="J118" s="26"/>
      <c r="K118" s="250"/>
      <c r="L118" s="299"/>
      <c r="M118" s="300"/>
      <c r="N118" s="10"/>
    </row>
    <row r="119" spans="1:14" s="1" customFormat="1" ht="21" customHeight="1" x14ac:dyDescent="0.25">
      <c r="A119" s="27"/>
      <c r="B119" s="49" t="s">
        <v>30</v>
      </c>
      <c r="C119" s="50" t="s">
        <v>23</v>
      </c>
      <c r="D119" s="51">
        <f>D118</f>
        <v>29600</v>
      </c>
      <c r="E119" s="66">
        <v>3.6</v>
      </c>
      <c r="F119" s="55">
        <v>1</v>
      </c>
      <c r="G119" s="68">
        <f t="shared" si="8"/>
        <v>106560</v>
      </c>
      <c r="H119" s="278" t="s">
        <v>31</v>
      </c>
      <c r="I119" s="452"/>
      <c r="J119" s="26"/>
      <c r="K119" s="250"/>
      <c r="L119" s="299"/>
      <c r="M119" s="300"/>
      <c r="N119" s="10"/>
    </row>
    <row r="120" spans="1:14" s="1" customFormat="1" ht="20.25" customHeight="1" x14ac:dyDescent="0.25">
      <c r="A120" s="27"/>
      <c r="B120" s="49" t="s">
        <v>139</v>
      </c>
      <c r="C120" s="50" t="s">
        <v>23</v>
      </c>
      <c r="D120" s="51">
        <v>11329</v>
      </c>
      <c r="E120" s="66">
        <v>37.35</v>
      </c>
      <c r="F120" s="50">
        <v>6</v>
      </c>
      <c r="G120" s="68">
        <f t="shared" si="8"/>
        <v>2538828.9</v>
      </c>
      <c r="H120" s="278">
        <v>129</v>
      </c>
      <c r="I120" s="452"/>
      <c r="J120" s="25"/>
      <c r="K120" s="253"/>
      <c r="L120" s="299"/>
      <c r="M120" s="300"/>
      <c r="N120" s="10"/>
    </row>
    <row r="121" spans="1:14" s="1" customFormat="1" x14ac:dyDescent="0.25">
      <c r="A121" s="71" t="s">
        <v>141</v>
      </c>
      <c r="B121" s="76" t="s">
        <v>142</v>
      </c>
      <c r="C121" s="77" t="s">
        <v>23</v>
      </c>
      <c r="D121" s="78">
        <f>D122+D123</f>
        <v>2919</v>
      </c>
      <c r="E121" s="79"/>
      <c r="F121" s="78"/>
      <c r="G121" s="80">
        <f>SUM(G122:G123)</f>
        <v>1692290.25</v>
      </c>
      <c r="H121" s="275"/>
      <c r="I121" s="314"/>
      <c r="J121" s="26"/>
      <c r="K121" s="250"/>
      <c r="L121" s="299"/>
      <c r="M121" s="300"/>
      <c r="N121" s="10"/>
    </row>
    <row r="122" spans="1:14" s="1" customFormat="1" ht="20.25" customHeight="1" x14ac:dyDescent="0.25">
      <c r="A122" s="27"/>
      <c r="B122" s="32" t="s">
        <v>143</v>
      </c>
      <c r="C122" s="63" t="s">
        <v>23</v>
      </c>
      <c r="D122" s="7">
        <v>223</v>
      </c>
      <c r="E122" s="82">
        <v>115.95</v>
      </c>
      <c r="F122" s="63">
        <v>5</v>
      </c>
      <c r="G122" s="35">
        <f>ROUND((D122*E122*F122),2)</f>
        <v>129284.25</v>
      </c>
      <c r="H122" s="277">
        <v>66</v>
      </c>
      <c r="I122" s="452" t="s">
        <v>211</v>
      </c>
      <c r="J122" s="70"/>
      <c r="K122" s="250"/>
      <c r="L122" s="299"/>
      <c r="M122" s="300"/>
      <c r="N122" s="10"/>
    </row>
    <row r="123" spans="1:14" s="1" customFormat="1" ht="20.25" customHeight="1" x14ac:dyDescent="0.25">
      <c r="A123" s="27"/>
      <c r="B123" s="49" t="s">
        <v>143</v>
      </c>
      <c r="C123" s="50" t="s">
        <v>23</v>
      </c>
      <c r="D123" s="51">
        <v>2696</v>
      </c>
      <c r="E123" s="66">
        <v>115.95</v>
      </c>
      <c r="F123" s="50">
        <v>5</v>
      </c>
      <c r="G123" s="68">
        <f>ROUND((D123*E123*F123),2)</f>
        <v>1563006</v>
      </c>
      <c r="H123" s="278">
        <v>66</v>
      </c>
      <c r="I123" s="452"/>
      <c r="J123" s="25"/>
      <c r="K123" s="253"/>
      <c r="L123" s="299"/>
      <c r="M123" s="300"/>
      <c r="N123" s="10"/>
    </row>
    <row r="124" spans="1:14" s="1" customFormat="1" ht="21" customHeight="1" x14ac:dyDescent="0.25">
      <c r="A124" s="71" t="s">
        <v>144</v>
      </c>
      <c r="B124" s="76" t="s">
        <v>145</v>
      </c>
      <c r="C124" s="77" t="s">
        <v>23</v>
      </c>
      <c r="D124" s="78">
        <f>D125</f>
        <v>40</v>
      </c>
      <c r="E124" s="79"/>
      <c r="F124" s="78"/>
      <c r="G124" s="80">
        <f>SUM(G125:G127)</f>
        <v>60582</v>
      </c>
      <c r="H124" s="275"/>
      <c r="I124" s="452"/>
      <c r="J124" s="26"/>
      <c r="K124" s="250"/>
      <c r="L124" s="299"/>
      <c r="M124" s="300"/>
      <c r="N124" s="10"/>
    </row>
    <row r="125" spans="1:14" s="1" customFormat="1" ht="21" customHeight="1" x14ac:dyDescent="0.25">
      <c r="A125" s="27"/>
      <c r="B125" s="32" t="s">
        <v>146</v>
      </c>
      <c r="C125" s="63" t="s">
        <v>23</v>
      </c>
      <c r="D125" s="7">
        <v>40</v>
      </c>
      <c r="E125" s="82">
        <v>94.8</v>
      </c>
      <c r="F125" s="63">
        <v>1</v>
      </c>
      <c r="G125" s="35">
        <f>ROUND((D125*E125*F125),2)</f>
        <v>3792</v>
      </c>
      <c r="H125" s="277">
        <v>125</v>
      </c>
      <c r="I125" s="452"/>
      <c r="J125" s="26"/>
      <c r="K125" s="250"/>
      <c r="L125" s="299"/>
      <c r="M125" s="300"/>
      <c r="N125" s="10"/>
    </row>
    <row r="126" spans="1:14" s="1" customFormat="1" ht="20.25" customHeight="1" x14ac:dyDescent="0.25">
      <c r="A126" s="27"/>
      <c r="B126" s="32" t="s">
        <v>147</v>
      </c>
      <c r="C126" s="63" t="s">
        <v>40</v>
      </c>
      <c r="D126" s="7">
        <v>960</v>
      </c>
      <c r="E126" s="82">
        <v>35</v>
      </c>
      <c r="F126" s="69">
        <v>1</v>
      </c>
      <c r="G126" s="35">
        <f>ROUND((D126*E126*F126),2)</f>
        <v>33600</v>
      </c>
      <c r="H126" s="277">
        <v>126</v>
      </c>
      <c r="I126" s="452"/>
      <c r="J126" s="26"/>
      <c r="K126" s="250"/>
      <c r="L126" s="299"/>
      <c r="M126" s="300"/>
      <c r="N126" s="10"/>
    </row>
    <row r="127" spans="1:14" s="1" customFormat="1" ht="20.25" customHeight="1" x14ac:dyDescent="0.25">
      <c r="A127" s="27"/>
      <c r="B127" s="32" t="s">
        <v>148</v>
      </c>
      <c r="C127" s="63" t="s">
        <v>23</v>
      </c>
      <c r="D127" s="7">
        <v>40</v>
      </c>
      <c r="E127" s="82">
        <f>E122</f>
        <v>115.95</v>
      </c>
      <c r="F127" s="63">
        <v>5</v>
      </c>
      <c r="G127" s="35">
        <f>ROUND((D127*E127*F127),2)</f>
        <v>23190</v>
      </c>
      <c r="H127" s="277">
        <v>66</v>
      </c>
      <c r="I127" s="452"/>
      <c r="J127" s="70"/>
      <c r="K127" s="250"/>
      <c r="L127" s="299"/>
      <c r="M127" s="300"/>
      <c r="N127" s="10"/>
    </row>
    <row r="128" spans="1:14" s="1" customFormat="1" x14ac:dyDescent="0.25">
      <c r="A128" s="83" t="s">
        <v>149</v>
      </c>
      <c r="B128" s="84" t="s">
        <v>150</v>
      </c>
      <c r="C128" s="85" t="s">
        <v>23</v>
      </c>
      <c r="D128" s="86">
        <f>D129+D130</f>
        <v>2281</v>
      </c>
      <c r="E128" s="87"/>
      <c r="F128" s="86"/>
      <c r="G128" s="88">
        <f>SUM(G129:G131)</f>
        <v>1124613.3</v>
      </c>
      <c r="H128" s="275"/>
      <c r="I128" s="452"/>
      <c r="J128" s="26"/>
      <c r="K128" s="250"/>
      <c r="L128" s="299"/>
      <c r="M128" s="300"/>
      <c r="N128" s="10"/>
    </row>
    <row r="129" spans="1:14" s="1" customFormat="1" ht="15.75" customHeight="1" x14ac:dyDescent="0.25">
      <c r="A129" s="57"/>
      <c r="B129" s="46" t="s">
        <v>151</v>
      </c>
      <c r="C129" s="14" t="s">
        <v>23</v>
      </c>
      <c r="D129" s="33">
        <f>1771+160</f>
        <v>1931</v>
      </c>
      <c r="E129" s="149">
        <f>E127</f>
        <v>115.95</v>
      </c>
      <c r="F129" s="30">
        <v>4</v>
      </c>
      <c r="G129" s="62">
        <f>ROUND((D129*E129*F129),2)</f>
        <v>895597.8</v>
      </c>
      <c r="H129" s="275">
        <v>66</v>
      </c>
      <c r="I129" s="452"/>
      <c r="J129" s="26"/>
      <c r="K129" s="250"/>
      <c r="L129" s="299"/>
      <c r="M129" s="300"/>
      <c r="N129" s="10"/>
    </row>
    <row r="130" spans="1:14" s="1" customFormat="1" ht="15.75" customHeight="1" x14ac:dyDescent="0.25">
      <c r="A130" s="57"/>
      <c r="B130" s="46" t="s">
        <v>143</v>
      </c>
      <c r="C130" s="14" t="s">
        <v>23</v>
      </c>
      <c r="D130" s="33">
        <v>350</v>
      </c>
      <c r="E130" s="149">
        <f>E129</f>
        <v>115.95</v>
      </c>
      <c r="F130" s="30">
        <v>5</v>
      </c>
      <c r="G130" s="62">
        <f>ROUND((D130*E130*F130),2)</f>
        <v>202912.5</v>
      </c>
      <c r="H130" s="275">
        <v>66</v>
      </c>
      <c r="I130" s="452"/>
      <c r="J130" s="26"/>
      <c r="K130" s="250"/>
      <c r="L130" s="299"/>
      <c r="M130" s="300"/>
      <c r="N130" s="10"/>
    </row>
    <row r="131" spans="1:14" s="1" customFormat="1" x14ac:dyDescent="0.25">
      <c r="A131" s="89"/>
      <c r="B131" s="90" t="s">
        <v>152</v>
      </c>
      <c r="C131" s="91" t="s">
        <v>23</v>
      </c>
      <c r="D131" s="92">
        <v>350</v>
      </c>
      <c r="E131" s="297">
        <v>74.58</v>
      </c>
      <c r="F131" s="94"/>
      <c r="G131" s="62">
        <f>ROUND((D131*E131*1),2)</f>
        <v>26103</v>
      </c>
      <c r="H131" s="275">
        <v>67</v>
      </c>
      <c r="I131" s="452"/>
      <c r="J131" s="26"/>
      <c r="K131" s="250"/>
      <c r="L131" s="299"/>
      <c r="M131" s="300"/>
      <c r="N131" s="10"/>
    </row>
    <row r="132" spans="1:14" s="1" customFormat="1" ht="19.5" customHeight="1" x14ac:dyDescent="0.25">
      <c r="A132" s="27" t="s">
        <v>153</v>
      </c>
      <c r="B132" s="44" t="s">
        <v>154</v>
      </c>
      <c r="C132" s="45" t="s">
        <v>23</v>
      </c>
      <c r="D132" s="29">
        <f>D133</f>
        <v>201947</v>
      </c>
      <c r="E132" s="48"/>
      <c r="F132" s="29"/>
      <c r="G132" s="56">
        <f>G133+G134</f>
        <v>7461941.6500000004</v>
      </c>
      <c r="H132" s="275"/>
      <c r="I132" s="452" t="s">
        <v>176</v>
      </c>
      <c r="J132" s="309">
        <f>G132+G135</f>
        <v>8313506.8900000006</v>
      </c>
      <c r="K132" s="310" t="s">
        <v>398</v>
      </c>
      <c r="L132" s="270">
        <v>1.5985529999999999</v>
      </c>
      <c r="M132" s="262">
        <f t="shared" ref="M132" si="9">J132+(J132*L132/100)</f>
        <v>8446402.7037953027</v>
      </c>
      <c r="N132" s="262">
        <v>8447</v>
      </c>
    </row>
    <row r="133" spans="1:14" s="1" customFormat="1" ht="19.5" customHeight="1" x14ac:dyDescent="0.25">
      <c r="A133" s="27"/>
      <c r="B133" s="36" t="s">
        <v>155</v>
      </c>
      <c r="C133" s="37" t="s">
        <v>23</v>
      </c>
      <c r="D133" s="95">
        <v>201947</v>
      </c>
      <c r="E133" s="96">
        <v>6.35</v>
      </c>
      <c r="F133" s="40">
        <v>5</v>
      </c>
      <c r="G133" s="97">
        <f>ROUND((D133*E133*F133),2)</f>
        <v>6411817.25</v>
      </c>
      <c r="H133" s="276">
        <v>101</v>
      </c>
      <c r="I133" s="452"/>
      <c r="J133" s="308"/>
      <c r="K133" s="250"/>
      <c r="L133" s="299"/>
      <c r="M133" s="300"/>
      <c r="N133" s="10"/>
    </row>
    <row r="134" spans="1:14" s="1" customFormat="1" ht="23.25" customHeight="1" x14ac:dyDescent="0.25">
      <c r="A134" s="27"/>
      <c r="B134" s="36" t="s">
        <v>156</v>
      </c>
      <c r="C134" s="37" t="s">
        <v>23</v>
      </c>
      <c r="D134" s="95">
        <f>D133</f>
        <v>201947</v>
      </c>
      <c r="E134" s="96">
        <v>2.6</v>
      </c>
      <c r="F134" s="40">
        <v>2</v>
      </c>
      <c r="G134" s="97">
        <f>ROUND((D134*E134*F134),2)</f>
        <v>1050124.3999999999</v>
      </c>
      <c r="H134" s="276">
        <v>102</v>
      </c>
      <c r="I134" s="452"/>
      <c r="J134" s="308"/>
      <c r="K134" s="250"/>
      <c r="L134" s="299"/>
      <c r="M134" s="300"/>
      <c r="N134" s="10"/>
    </row>
    <row r="135" spans="1:14" s="1" customFormat="1" ht="19.5" customHeight="1" x14ac:dyDescent="0.25">
      <c r="A135" s="27" t="s">
        <v>157</v>
      </c>
      <c r="B135" s="44" t="s">
        <v>158</v>
      </c>
      <c r="C135" s="45" t="s">
        <v>54</v>
      </c>
      <c r="D135" s="29">
        <f>D137</f>
        <v>1130</v>
      </c>
      <c r="E135" s="2"/>
      <c r="F135" s="29"/>
      <c r="G135" s="56">
        <f>G136+G137+G138</f>
        <v>851565.24</v>
      </c>
      <c r="H135" s="275"/>
      <c r="I135" s="452"/>
      <c r="J135" s="308"/>
      <c r="K135" s="250"/>
      <c r="L135" s="299"/>
      <c r="M135" s="300"/>
      <c r="N135" s="10"/>
    </row>
    <row r="136" spans="1:14" s="1" customFormat="1" ht="19.5" customHeight="1" x14ac:dyDescent="0.25">
      <c r="A136" s="27"/>
      <c r="B136" s="36" t="s">
        <v>159</v>
      </c>
      <c r="C136" s="37" t="s">
        <v>40</v>
      </c>
      <c r="D136" s="99">
        <v>140</v>
      </c>
      <c r="E136" s="100">
        <v>3539.76</v>
      </c>
      <c r="F136" s="40">
        <v>1</v>
      </c>
      <c r="G136" s="97">
        <f>ROUND((D136*E136*F136),2)</f>
        <v>495566.4</v>
      </c>
      <c r="H136" s="276">
        <v>117</v>
      </c>
      <c r="I136" s="452"/>
      <c r="J136" s="308"/>
      <c r="K136" s="250"/>
      <c r="L136" s="299"/>
      <c r="M136" s="300"/>
      <c r="N136" s="10"/>
    </row>
    <row r="137" spans="1:14" s="1" customFormat="1" ht="19.5" customHeight="1" x14ac:dyDescent="0.25">
      <c r="A137" s="27"/>
      <c r="B137" s="36" t="s">
        <v>160</v>
      </c>
      <c r="C137" s="37" t="s">
        <v>54</v>
      </c>
      <c r="D137" s="99">
        <v>1130</v>
      </c>
      <c r="E137" s="100">
        <v>285.36</v>
      </c>
      <c r="F137" s="40">
        <v>1</v>
      </c>
      <c r="G137" s="97">
        <f>ROUND((D137*E137*F137),2)</f>
        <v>322456.8</v>
      </c>
      <c r="H137" s="276">
        <v>116</v>
      </c>
      <c r="I137" s="452"/>
      <c r="J137" s="308"/>
      <c r="K137" s="250"/>
      <c r="L137" s="299"/>
      <c r="M137" s="300"/>
      <c r="N137" s="10"/>
    </row>
    <row r="138" spans="1:14" s="1" customFormat="1" ht="19.5" customHeight="1" x14ac:dyDescent="0.25">
      <c r="A138" s="27"/>
      <c r="B138" s="36" t="s">
        <v>161</v>
      </c>
      <c r="C138" s="37" t="s">
        <v>40</v>
      </c>
      <c r="D138" s="101">
        <v>4</v>
      </c>
      <c r="E138" s="102">
        <v>8385.51</v>
      </c>
      <c r="F138" s="40">
        <v>1</v>
      </c>
      <c r="G138" s="97">
        <f>ROUND((D138*E138*F138),2)</f>
        <v>33542.04</v>
      </c>
      <c r="H138" s="276">
        <v>119</v>
      </c>
      <c r="I138" s="452"/>
      <c r="J138" s="308"/>
      <c r="K138" s="250"/>
      <c r="L138" s="299"/>
      <c r="M138" s="300"/>
      <c r="N138" s="10"/>
    </row>
    <row r="139" spans="1:14" s="3" customFormat="1" x14ac:dyDescent="0.25">
      <c r="A139" s="122" t="s">
        <v>162</v>
      </c>
      <c r="B139" s="103" t="s">
        <v>163</v>
      </c>
      <c r="C139" s="104" t="s">
        <v>164</v>
      </c>
      <c r="D139" s="105">
        <v>20</v>
      </c>
      <c r="E139" s="106"/>
      <c r="F139" s="69"/>
      <c r="G139" s="56">
        <f>250000*1.025</f>
        <v>256249.99999999997</v>
      </c>
      <c r="H139" s="277"/>
      <c r="I139" s="336" t="s">
        <v>388</v>
      </c>
      <c r="J139" s="268">
        <f>G139</f>
        <v>256249.99999999997</v>
      </c>
      <c r="K139" s="337" t="s">
        <v>388</v>
      </c>
      <c r="L139" s="338">
        <v>1.5985529999999999</v>
      </c>
      <c r="M139" s="269">
        <f t="shared" ref="M139:M196" si="10">J139+(J139*L139/100)</f>
        <v>260346.29206249997</v>
      </c>
      <c r="N139" s="269">
        <v>260</v>
      </c>
    </row>
    <row r="140" spans="1:14" s="114" customFormat="1" ht="20.100000000000001" customHeight="1" x14ac:dyDescent="0.25">
      <c r="A140" s="27" t="s">
        <v>165</v>
      </c>
      <c r="B140" s="107" t="s">
        <v>148</v>
      </c>
      <c r="C140" s="108" t="s">
        <v>23</v>
      </c>
      <c r="D140" s="109">
        <f>D141+D142+D143</f>
        <v>2067</v>
      </c>
      <c r="E140" s="110"/>
      <c r="F140" s="109"/>
      <c r="G140" s="111">
        <f>SUM(G141:G143)</f>
        <v>1198343.25</v>
      </c>
      <c r="H140" s="279"/>
      <c r="I140" s="452" t="s">
        <v>387</v>
      </c>
      <c r="J140" s="26"/>
      <c r="K140" s="250"/>
      <c r="L140" s="299"/>
      <c r="M140" s="300"/>
      <c r="N140" s="261"/>
    </row>
    <row r="141" spans="1:14" s="1" customFormat="1" ht="20.100000000000001" customHeight="1" x14ac:dyDescent="0.25">
      <c r="A141" s="115"/>
      <c r="B141" s="116" t="s">
        <v>166</v>
      </c>
      <c r="C141" s="117" t="s">
        <v>23</v>
      </c>
      <c r="D141" s="118">
        <v>223</v>
      </c>
      <c r="E141" s="119">
        <f>E129</f>
        <v>115.95</v>
      </c>
      <c r="F141" s="118">
        <v>5</v>
      </c>
      <c r="G141" s="120">
        <f>ROUND((D141*E141*F141),2)</f>
        <v>129284.25</v>
      </c>
      <c r="H141" s="280">
        <v>66</v>
      </c>
      <c r="I141" s="452"/>
      <c r="J141" s="26"/>
      <c r="K141" s="250"/>
      <c r="L141" s="299"/>
      <c r="M141" s="300"/>
      <c r="N141" s="10"/>
    </row>
    <row r="142" spans="1:14" s="1" customFormat="1" ht="20.100000000000001" customHeight="1" x14ac:dyDescent="0.25">
      <c r="A142" s="115"/>
      <c r="B142" s="116" t="s">
        <v>167</v>
      </c>
      <c r="C142" s="117" t="s">
        <v>23</v>
      </c>
      <c r="D142" s="118">
        <v>1627</v>
      </c>
      <c r="E142" s="119">
        <f>E141</f>
        <v>115.95</v>
      </c>
      <c r="F142" s="118">
        <v>5</v>
      </c>
      <c r="G142" s="120">
        <f>ROUND((D142*E142*F142),2)</f>
        <v>943253.25</v>
      </c>
      <c r="H142" s="280">
        <v>66</v>
      </c>
      <c r="I142" s="452"/>
      <c r="J142" s="26"/>
      <c r="K142" s="250"/>
      <c r="L142" s="299"/>
      <c r="M142" s="300"/>
      <c r="N142" s="10"/>
    </row>
    <row r="143" spans="1:14" s="1" customFormat="1" ht="20.100000000000001" customHeight="1" x14ac:dyDescent="0.25">
      <c r="A143" s="115"/>
      <c r="B143" s="116" t="s">
        <v>168</v>
      </c>
      <c r="C143" s="117" t="s">
        <v>23</v>
      </c>
      <c r="D143" s="118">
        <v>217</v>
      </c>
      <c r="E143" s="119">
        <f>E142</f>
        <v>115.95</v>
      </c>
      <c r="F143" s="118">
        <v>5</v>
      </c>
      <c r="G143" s="120">
        <f>ROUND((D143*E143*F143),2)</f>
        <v>125805.75</v>
      </c>
      <c r="H143" s="280">
        <v>66</v>
      </c>
      <c r="I143" s="452"/>
      <c r="J143" s="26"/>
      <c r="K143" s="250"/>
      <c r="L143" s="299"/>
      <c r="M143" s="300"/>
      <c r="N143" s="10"/>
    </row>
    <row r="144" spans="1:14" s="114" customFormat="1" ht="20.100000000000001" customHeight="1" x14ac:dyDescent="0.25">
      <c r="A144" s="122" t="s">
        <v>169</v>
      </c>
      <c r="B144" s="123" t="s">
        <v>170</v>
      </c>
      <c r="C144" s="124" t="s">
        <v>23</v>
      </c>
      <c r="D144" s="125">
        <f>D145</f>
        <v>2067</v>
      </c>
      <c r="E144" s="124"/>
      <c r="F144" s="124"/>
      <c r="G144" s="126">
        <f>G145+G149+G153</f>
        <v>2132231.6</v>
      </c>
      <c r="H144" s="279"/>
      <c r="I144" s="452"/>
      <c r="J144" s="127"/>
      <c r="K144" s="252"/>
      <c r="L144" s="299"/>
      <c r="M144" s="300"/>
      <c r="N144" s="261"/>
    </row>
    <row r="145" spans="1:16" s="114" customFormat="1" ht="20.100000000000001" customHeight="1" x14ac:dyDescent="0.25">
      <c r="A145" s="122" t="s">
        <v>171</v>
      </c>
      <c r="B145" s="107" t="s">
        <v>172</v>
      </c>
      <c r="C145" s="108" t="s">
        <v>23</v>
      </c>
      <c r="D145" s="109">
        <f>D146+D147+D148</f>
        <v>2067</v>
      </c>
      <c r="E145" s="124"/>
      <c r="F145" s="109"/>
      <c r="G145" s="111">
        <f>G146+G147+G148</f>
        <v>195951.6</v>
      </c>
      <c r="H145" s="279"/>
      <c r="I145" s="452"/>
      <c r="J145" s="26"/>
      <c r="K145" s="250"/>
      <c r="L145" s="299"/>
      <c r="M145" s="300"/>
      <c r="N145" s="261"/>
    </row>
    <row r="146" spans="1:16" s="1" customFormat="1" ht="20.100000000000001" customHeight="1" x14ac:dyDescent="0.25">
      <c r="A146" s="128"/>
      <c r="B146" s="116" t="s">
        <v>166</v>
      </c>
      <c r="C146" s="117" t="s">
        <v>23</v>
      </c>
      <c r="D146" s="118">
        <v>223</v>
      </c>
      <c r="E146" s="129">
        <f>E125</f>
        <v>94.8</v>
      </c>
      <c r="F146" s="130">
        <v>1</v>
      </c>
      <c r="G146" s="120">
        <f>ROUND((D146*E146*F146),2)</f>
        <v>21140.400000000001</v>
      </c>
      <c r="H146" s="280">
        <v>124</v>
      </c>
      <c r="I146" s="452"/>
      <c r="J146" s="26"/>
      <c r="K146" s="250"/>
      <c r="L146" s="299"/>
      <c r="M146" s="300"/>
      <c r="N146" s="10"/>
    </row>
    <row r="147" spans="1:16" s="1" customFormat="1" ht="20.100000000000001" customHeight="1" x14ac:dyDescent="0.25">
      <c r="A147" s="128"/>
      <c r="B147" s="116" t="s">
        <v>167</v>
      </c>
      <c r="C147" s="117" t="s">
        <v>23</v>
      </c>
      <c r="D147" s="118">
        <v>1627</v>
      </c>
      <c r="E147" s="129">
        <f>E146</f>
        <v>94.8</v>
      </c>
      <c r="F147" s="130">
        <v>1</v>
      </c>
      <c r="G147" s="120">
        <f>ROUND((D147*E147*F147),2)</f>
        <v>154239.6</v>
      </c>
      <c r="H147" s="280">
        <v>124</v>
      </c>
      <c r="I147" s="452"/>
      <c r="J147" s="26"/>
      <c r="K147" s="250"/>
      <c r="L147" s="299"/>
      <c r="M147" s="300"/>
      <c r="N147" s="10"/>
    </row>
    <row r="148" spans="1:16" s="1" customFormat="1" ht="20.100000000000001" customHeight="1" x14ac:dyDescent="0.25">
      <c r="A148" s="128"/>
      <c r="B148" s="116" t="s">
        <v>168</v>
      </c>
      <c r="C148" s="117" t="s">
        <v>23</v>
      </c>
      <c r="D148" s="118">
        <v>217</v>
      </c>
      <c r="E148" s="129">
        <f>E147</f>
        <v>94.8</v>
      </c>
      <c r="F148" s="130">
        <v>1</v>
      </c>
      <c r="G148" s="120">
        <f>ROUND((D148*E148*F148),2)</f>
        <v>20571.599999999999</v>
      </c>
      <c r="H148" s="280">
        <v>124</v>
      </c>
      <c r="I148" s="452"/>
      <c r="J148" s="26"/>
      <c r="K148" s="250"/>
      <c r="L148" s="299"/>
      <c r="M148" s="300"/>
      <c r="N148" s="10"/>
    </row>
    <row r="149" spans="1:16" s="114" customFormat="1" ht="20.100000000000001" customHeight="1" x14ac:dyDescent="0.25">
      <c r="A149" s="122" t="s">
        <v>173</v>
      </c>
      <c r="B149" s="107" t="s">
        <v>174</v>
      </c>
      <c r="C149" s="108" t="s">
        <v>40</v>
      </c>
      <c r="D149" s="109">
        <f>D150+D151+D152</f>
        <v>49608</v>
      </c>
      <c r="E149" s="110"/>
      <c r="F149" s="109"/>
      <c r="G149" s="111">
        <f>G150+G151+G152</f>
        <v>1736280</v>
      </c>
      <c r="H149" s="279"/>
      <c r="I149" s="452"/>
      <c r="J149" s="26"/>
      <c r="K149" s="250"/>
      <c r="L149" s="299"/>
      <c r="M149" s="300"/>
      <c r="N149" s="261"/>
    </row>
    <row r="150" spans="1:16" s="1" customFormat="1" ht="20.100000000000001" customHeight="1" x14ac:dyDescent="0.25">
      <c r="A150" s="128"/>
      <c r="B150" s="116" t="s">
        <v>166</v>
      </c>
      <c r="C150" s="117" t="s">
        <v>40</v>
      </c>
      <c r="D150" s="118">
        <f>D146*24</f>
        <v>5352</v>
      </c>
      <c r="E150" s="131">
        <v>35</v>
      </c>
      <c r="F150" s="130"/>
      <c r="G150" s="120">
        <f>ROUND((D150*E150),2)</f>
        <v>187320</v>
      </c>
      <c r="H150" s="280" t="s">
        <v>175</v>
      </c>
      <c r="I150" s="452"/>
      <c r="J150" s="26"/>
      <c r="K150" s="250"/>
      <c r="L150" s="299"/>
      <c r="M150" s="300"/>
      <c r="N150" s="10"/>
    </row>
    <row r="151" spans="1:16" s="1" customFormat="1" ht="20.100000000000001" customHeight="1" x14ac:dyDescent="0.25">
      <c r="A151" s="128"/>
      <c r="B151" s="116" t="s">
        <v>167</v>
      </c>
      <c r="C151" s="117" t="s">
        <v>40</v>
      </c>
      <c r="D151" s="118">
        <f>D147*24</f>
        <v>39048</v>
      </c>
      <c r="E151" s="131">
        <v>35</v>
      </c>
      <c r="F151" s="130"/>
      <c r="G151" s="120">
        <f>ROUND((D151*E151),2)</f>
        <v>1366680</v>
      </c>
      <c r="H151" s="280" t="s">
        <v>175</v>
      </c>
      <c r="I151" s="452"/>
      <c r="J151" s="26"/>
      <c r="K151" s="250"/>
      <c r="L151" s="299"/>
      <c r="M151" s="300"/>
      <c r="N151" s="10"/>
    </row>
    <row r="152" spans="1:16" s="1" customFormat="1" ht="20.100000000000001" customHeight="1" x14ac:dyDescent="0.25">
      <c r="A152" s="128"/>
      <c r="B152" s="116" t="s">
        <v>168</v>
      </c>
      <c r="C152" s="117" t="s">
        <v>40</v>
      </c>
      <c r="D152" s="118">
        <f>D148*24</f>
        <v>5208</v>
      </c>
      <c r="E152" s="131">
        <v>35</v>
      </c>
      <c r="F152" s="130"/>
      <c r="G152" s="120">
        <f>ROUND((D152*E152),2)</f>
        <v>182280</v>
      </c>
      <c r="H152" s="280" t="s">
        <v>175</v>
      </c>
      <c r="I152" s="452"/>
      <c r="J152" s="26"/>
      <c r="K152" s="250"/>
      <c r="L152" s="299"/>
      <c r="M152" s="300"/>
      <c r="N152" s="10"/>
    </row>
    <row r="153" spans="1:16" ht="24.75" customHeight="1" x14ac:dyDescent="0.2">
      <c r="A153" s="27" t="s">
        <v>452</v>
      </c>
      <c r="B153" s="191" t="s">
        <v>453</v>
      </c>
      <c r="C153" s="104"/>
      <c r="D153" s="69"/>
      <c r="E153" s="8"/>
      <c r="F153" s="63"/>
      <c r="G153" s="132">
        <f>G154</f>
        <v>200000</v>
      </c>
      <c r="H153" s="4"/>
      <c r="I153" s="195"/>
      <c r="J153" s="197"/>
      <c r="K153" s="197"/>
      <c r="L153"/>
      <c r="M153"/>
      <c r="N153"/>
    </row>
    <row r="154" spans="1:16" ht="24.75" customHeight="1" x14ac:dyDescent="0.2">
      <c r="A154" s="27"/>
      <c r="B154" s="339" t="s">
        <v>454</v>
      </c>
      <c r="C154" s="340" t="s">
        <v>164</v>
      </c>
      <c r="D154" s="341">
        <v>4</v>
      </c>
      <c r="E154" s="342"/>
      <c r="F154" s="343"/>
      <c r="G154" s="344">
        <v>200000</v>
      </c>
      <c r="H154" s="345" t="s">
        <v>455</v>
      </c>
      <c r="I154" s="346">
        <f>D154</f>
        <v>4</v>
      </c>
      <c r="J154" s="197"/>
      <c r="K154" s="197"/>
      <c r="L154"/>
      <c r="M154"/>
      <c r="N154"/>
    </row>
    <row r="155" spans="1:16" s="1" customFormat="1" ht="15.75" customHeight="1" x14ac:dyDescent="0.25">
      <c r="A155" s="27" t="s">
        <v>176</v>
      </c>
      <c r="B155" s="21" t="s">
        <v>177</v>
      </c>
      <c r="C155" s="14"/>
      <c r="D155" s="22"/>
      <c r="E155" s="22"/>
      <c r="F155" s="22"/>
      <c r="G155" s="132">
        <f>G156+G157+G158+G162+G163+G164+G165+G166+G167+G168+G169+G170+G171+G172+G173+G174</f>
        <v>6989225.7100000009</v>
      </c>
      <c r="H155" s="275"/>
      <c r="I155" s="314"/>
      <c r="J155" s="134"/>
      <c r="K155" s="238"/>
      <c r="L155" s="299"/>
      <c r="M155" s="300"/>
      <c r="N155" s="10"/>
    </row>
    <row r="156" spans="1:16" s="140" customFormat="1" x14ac:dyDescent="0.25">
      <c r="A156" s="27" t="s">
        <v>178</v>
      </c>
      <c r="B156" s="103" t="s">
        <v>179</v>
      </c>
      <c r="C156" s="135" t="s">
        <v>40</v>
      </c>
      <c r="D156" s="136">
        <v>113</v>
      </c>
      <c r="E156" s="137"/>
      <c r="F156" s="138"/>
      <c r="G156" s="56">
        <v>538317.16</v>
      </c>
      <c r="H156" s="281"/>
      <c r="I156" s="272" t="s">
        <v>389</v>
      </c>
      <c r="J156" s="268">
        <f>G156+G164+G167+G170+G178</f>
        <v>3574521.2619999996</v>
      </c>
      <c r="K156" s="303" t="s">
        <v>397</v>
      </c>
      <c r="L156" s="270">
        <v>1.5985529999999999</v>
      </c>
      <c r="M156" s="262">
        <f t="shared" si="10"/>
        <v>3631661.8788693384</v>
      </c>
      <c r="N156" s="263">
        <v>3632</v>
      </c>
      <c r="P156" s="11"/>
    </row>
    <row r="157" spans="1:16" s="1" customFormat="1" ht="20.25" customHeight="1" x14ac:dyDescent="0.25">
      <c r="A157" s="27" t="s">
        <v>6</v>
      </c>
      <c r="B157" s="141" t="s">
        <v>180</v>
      </c>
      <c r="C157" s="142" t="s">
        <v>181</v>
      </c>
      <c r="D157" s="143">
        <v>8</v>
      </c>
      <c r="E157" s="144"/>
      <c r="F157" s="145"/>
      <c r="G157" s="146">
        <v>2093153.83</v>
      </c>
      <c r="H157" s="282" t="s">
        <v>182</v>
      </c>
      <c r="I157" s="315"/>
      <c r="J157" s="134"/>
      <c r="K157" s="238"/>
      <c r="L157" s="299"/>
      <c r="M157" s="300"/>
      <c r="N157" s="10"/>
    </row>
    <row r="158" spans="1:16" s="1" customFormat="1" ht="20.25" customHeight="1" x14ac:dyDescent="0.25">
      <c r="A158" s="27" t="s">
        <v>183</v>
      </c>
      <c r="B158" s="21" t="s">
        <v>184</v>
      </c>
      <c r="C158" s="28" t="s">
        <v>23</v>
      </c>
      <c r="D158" s="148">
        <f>D159+D160</f>
        <v>260</v>
      </c>
      <c r="E158" s="149"/>
      <c r="F158" s="150"/>
      <c r="G158" s="132">
        <f>G159+G160+G161</f>
        <v>325323.59999999998</v>
      </c>
      <c r="H158" s="275"/>
      <c r="I158" s="452" t="s">
        <v>392</v>
      </c>
      <c r="J158" s="268">
        <f>G158+G214+G218</f>
        <v>2039889.63</v>
      </c>
      <c r="K158" s="303" t="s">
        <v>396</v>
      </c>
      <c r="L158" s="270">
        <v>1.5985529999999999</v>
      </c>
      <c r="M158" s="262">
        <f t="shared" si="10"/>
        <v>2072498.3468770538</v>
      </c>
      <c r="N158" s="262">
        <v>2072</v>
      </c>
    </row>
    <row r="159" spans="1:16" s="1" customFormat="1" ht="24" customHeight="1" x14ac:dyDescent="0.25">
      <c r="A159" s="27"/>
      <c r="B159" s="36" t="s">
        <v>185</v>
      </c>
      <c r="C159" s="37" t="s">
        <v>23</v>
      </c>
      <c r="D159" s="101">
        <v>200</v>
      </c>
      <c r="E159" s="96">
        <v>503.22</v>
      </c>
      <c r="F159" s="40">
        <v>1</v>
      </c>
      <c r="G159" s="97">
        <f>ROUND((D159*E159*F159),2)</f>
        <v>100644</v>
      </c>
      <c r="H159" s="276">
        <v>113</v>
      </c>
      <c r="I159" s="452"/>
      <c r="J159" s="151"/>
      <c r="K159" s="238"/>
      <c r="L159" s="299"/>
      <c r="M159" s="300"/>
      <c r="N159" s="10"/>
    </row>
    <row r="160" spans="1:16" s="1" customFormat="1" ht="21" customHeight="1" x14ac:dyDescent="0.25">
      <c r="A160" s="27"/>
      <c r="B160" s="36" t="s">
        <v>186</v>
      </c>
      <c r="C160" s="37" t="s">
        <v>23</v>
      </c>
      <c r="D160" s="101">
        <v>60</v>
      </c>
      <c r="E160" s="100">
        <v>1387.46</v>
      </c>
      <c r="F160" s="40">
        <v>1</v>
      </c>
      <c r="G160" s="97">
        <f>ROUND((D160*E160*F160),2)</f>
        <v>83247.600000000006</v>
      </c>
      <c r="H160" s="276">
        <v>115</v>
      </c>
      <c r="I160" s="452"/>
      <c r="J160" s="134"/>
      <c r="K160" s="238"/>
      <c r="L160" s="299"/>
      <c r="M160" s="300"/>
      <c r="N160" s="10"/>
    </row>
    <row r="161" spans="1:14" s="1" customFormat="1" ht="21" customHeight="1" x14ac:dyDescent="0.25">
      <c r="A161" s="27"/>
      <c r="B161" s="36" t="s">
        <v>187</v>
      </c>
      <c r="C161" s="37" t="s">
        <v>23</v>
      </c>
      <c r="D161" s="99">
        <v>2400</v>
      </c>
      <c r="E161" s="96">
        <v>58.93</v>
      </c>
      <c r="F161" s="40">
        <v>1</v>
      </c>
      <c r="G161" s="97">
        <f>ROUND((D161*E161*F161),2)</f>
        <v>141432</v>
      </c>
      <c r="H161" s="276">
        <v>114</v>
      </c>
      <c r="I161" s="452"/>
      <c r="J161" s="134"/>
      <c r="K161" s="238"/>
      <c r="L161" s="299"/>
      <c r="M161" s="300"/>
      <c r="N161" s="10"/>
    </row>
    <row r="162" spans="1:14" s="140" customFormat="1" ht="20.25" customHeight="1" x14ac:dyDescent="0.25">
      <c r="A162" s="27" t="s">
        <v>188</v>
      </c>
      <c r="B162" s="103" t="s">
        <v>189</v>
      </c>
      <c r="C162" s="135" t="s">
        <v>40</v>
      </c>
      <c r="D162" s="136">
        <v>562</v>
      </c>
      <c r="E162" s="137"/>
      <c r="F162" s="138"/>
      <c r="G162" s="56">
        <v>782150.44</v>
      </c>
      <c r="H162" s="281"/>
      <c r="I162" s="272" t="s">
        <v>393</v>
      </c>
      <c r="J162" s="268">
        <f>G162+G168+G172+G173+G174</f>
        <v>1896880.0199999998</v>
      </c>
      <c r="K162" s="303" t="s">
        <v>401</v>
      </c>
      <c r="L162" s="270">
        <v>1.5985529999999999</v>
      </c>
      <c r="M162" s="262">
        <f t="shared" si="10"/>
        <v>1927202.6524661104</v>
      </c>
      <c r="N162" s="263">
        <v>1927</v>
      </c>
    </row>
    <row r="163" spans="1:14" s="114" customFormat="1" ht="20.100000000000001" customHeight="1" x14ac:dyDescent="0.25">
      <c r="A163" s="122" t="s">
        <v>190</v>
      </c>
      <c r="B163" s="107" t="s">
        <v>191</v>
      </c>
      <c r="C163" s="117" t="s">
        <v>164</v>
      </c>
      <c r="D163" s="109">
        <v>1</v>
      </c>
      <c r="E163" s="152"/>
      <c r="F163" s="109"/>
      <c r="G163" s="111">
        <v>197856.26</v>
      </c>
      <c r="H163" s="279"/>
      <c r="I163" s="272" t="s">
        <v>282</v>
      </c>
      <c r="J163" s="268">
        <f>G163+G169</f>
        <v>356363.42000000004</v>
      </c>
      <c r="K163" s="303" t="s">
        <v>402</v>
      </c>
      <c r="L163" s="270">
        <v>1.5985529999999999</v>
      </c>
      <c r="M163" s="262">
        <f t="shared" si="10"/>
        <v>362060.07814131264</v>
      </c>
      <c r="N163" s="304">
        <v>362</v>
      </c>
    </row>
    <row r="164" spans="1:14" s="114" customFormat="1" ht="20.100000000000001" customHeight="1" x14ac:dyDescent="0.25">
      <c r="A164" s="122" t="s">
        <v>190</v>
      </c>
      <c r="B164" s="107" t="s">
        <v>192</v>
      </c>
      <c r="C164" s="117" t="s">
        <v>164</v>
      </c>
      <c r="D164" s="109">
        <v>1</v>
      </c>
      <c r="E164" s="152"/>
      <c r="F164" s="109"/>
      <c r="G164" s="111">
        <v>122938.2</v>
      </c>
      <c r="H164" s="279"/>
      <c r="I164" s="272" t="s">
        <v>389</v>
      </c>
      <c r="J164" s="26"/>
      <c r="K164" s="250"/>
      <c r="L164" s="299"/>
      <c r="M164" s="300"/>
      <c r="N164" s="261"/>
    </row>
    <row r="165" spans="1:14" s="114" customFormat="1" ht="20.100000000000001" customHeight="1" x14ac:dyDescent="0.25">
      <c r="A165" s="122" t="s">
        <v>193</v>
      </c>
      <c r="B165" s="107" t="s">
        <v>194</v>
      </c>
      <c r="C165" s="117" t="s">
        <v>164</v>
      </c>
      <c r="D165" s="109">
        <v>1</v>
      </c>
      <c r="E165" s="124"/>
      <c r="F165" s="109"/>
      <c r="G165" s="111">
        <v>214675.03</v>
      </c>
      <c r="H165" s="279"/>
      <c r="I165" s="452" t="s">
        <v>394</v>
      </c>
      <c r="J165" s="268">
        <f>G165+G166+G171+G252</f>
        <v>1633900.43</v>
      </c>
      <c r="K165" s="303" t="s">
        <v>403</v>
      </c>
      <c r="L165" s="270">
        <v>1.5985529999999999</v>
      </c>
      <c r="M165" s="262">
        <f t="shared" si="10"/>
        <v>1660019.1943407778</v>
      </c>
      <c r="N165" s="304">
        <v>1660</v>
      </c>
    </row>
    <row r="166" spans="1:14" s="114" customFormat="1" ht="20.100000000000001" customHeight="1" x14ac:dyDescent="0.25">
      <c r="A166" s="122" t="s">
        <v>195</v>
      </c>
      <c r="B166" s="107" t="s">
        <v>196</v>
      </c>
      <c r="C166" s="117" t="s">
        <v>40</v>
      </c>
      <c r="D166" s="109"/>
      <c r="E166" s="124"/>
      <c r="F166" s="109"/>
      <c r="G166" s="111">
        <v>90478.11</v>
      </c>
      <c r="H166" s="279"/>
      <c r="I166" s="452"/>
      <c r="J166" s="26"/>
      <c r="K166" s="250"/>
      <c r="L166" s="299"/>
      <c r="M166" s="300"/>
      <c r="N166" s="261"/>
    </row>
    <row r="167" spans="1:14" s="114" customFormat="1" ht="20.100000000000001" customHeight="1" x14ac:dyDescent="0.25">
      <c r="A167" s="122" t="s">
        <v>197</v>
      </c>
      <c r="B167" s="107" t="s">
        <v>198</v>
      </c>
      <c r="C167" s="117" t="s">
        <v>40</v>
      </c>
      <c r="D167" s="109"/>
      <c r="E167" s="124"/>
      <c r="F167" s="109"/>
      <c r="G167" s="111">
        <v>712890.07</v>
      </c>
      <c r="H167" s="279"/>
      <c r="I167" s="272" t="s">
        <v>389</v>
      </c>
      <c r="J167" s="26"/>
      <c r="K167" s="250"/>
      <c r="L167" s="299"/>
      <c r="M167" s="300"/>
      <c r="N167" s="261"/>
    </row>
    <row r="168" spans="1:14" s="114" customFormat="1" ht="18" customHeight="1" x14ac:dyDescent="0.25">
      <c r="A168" s="122" t="s">
        <v>199</v>
      </c>
      <c r="B168" s="107" t="s">
        <v>200</v>
      </c>
      <c r="C168" s="117" t="s">
        <v>164</v>
      </c>
      <c r="D168" s="125">
        <v>4</v>
      </c>
      <c r="E168" s="124"/>
      <c r="F168" s="109"/>
      <c r="G168" s="111">
        <v>110807.97</v>
      </c>
      <c r="H168" s="279"/>
      <c r="I168" s="272" t="s">
        <v>393</v>
      </c>
      <c r="J168" s="26"/>
      <c r="K168" s="250"/>
      <c r="L168" s="299"/>
      <c r="M168" s="300"/>
      <c r="N168" s="261"/>
    </row>
    <row r="169" spans="1:14" s="114" customFormat="1" ht="19.149999999999999" customHeight="1" x14ac:dyDescent="0.25">
      <c r="A169" s="122" t="s">
        <v>201</v>
      </c>
      <c r="B169" s="107" t="s">
        <v>202</v>
      </c>
      <c r="C169" s="117" t="s">
        <v>164</v>
      </c>
      <c r="D169" s="125">
        <v>1</v>
      </c>
      <c r="E169" s="124"/>
      <c r="F169" s="109"/>
      <c r="G169" s="111">
        <v>158507.16</v>
      </c>
      <c r="H169" s="279"/>
      <c r="I169" s="272" t="s">
        <v>282</v>
      </c>
      <c r="J169" s="26"/>
      <c r="K169" s="250"/>
      <c r="L169" s="299"/>
      <c r="M169" s="300"/>
      <c r="N169" s="261"/>
    </row>
    <row r="170" spans="1:14" s="114" customFormat="1" ht="19.149999999999999" customHeight="1" x14ac:dyDescent="0.25">
      <c r="A170" s="122" t="s">
        <v>201</v>
      </c>
      <c r="B170" s="107" t="s">
        <v>203</v>
      </c>
      <c r="C170" s="117" t="s">
        <v>164</v>
      </c>
      <c r="D170" s="125">
        <v>1</v>
      </c>
      <c r="E170" s="124"/>
      <c r="F170" s="109"/>
      <c r="G170" s="111">
        <v>588789.98</v>
      </c>
      <c r="H170" s="279"/>
      <c r="I170" s="272" t="s">
        <v>389</v>
      </c>
      <c r="J170" s="26"/>
      <c r="K170" s="250"/>
      <c r="L170" s="299"/>
      <c r="M170" s="300"/>
      <c r="N170" s="261"/>
    </row>
    <row r="171" spans="1:14" s="114" customFormat="1" ht="20.100000000000001" customHeight="1" x14ac:dyDescent="0.25">
      <c r="A171" s="122" t="s">
        <v>204</v>
      </c>
      <c r="B171" s="107" t="s">
        <v>205</v>
      </c>
      <c r="C171" s="117" t="s">
        <v>164</v>
      </c>
      <c r="D171" s="125">
        <v>1</v>
      </c>
      <c r="E171" s="124"/>
      <c r="F171" s="109"/>
      <c r="G171" s="111">
        <v>49416.29</v>
      </c>
      <c r="H171" s="279"/>
      <c r="I171" s="272" t="s">
        <v>394</v>
      </c>
      <c r="J171" s="26"/>
      <c r="K171" s="250"/>
      <c r="L171" s="299"/>
      <c r="M171" s="300"/>
      <c r="N171" s="261"/>
    </row>
    <row r="172" spans="1:14" s="140" customFormat="1" ht="20.25" customHeight="1" x14ac:dyDescent="0.25">
      <c r="A172" s="27" t="s">
        <v>206</v>
      </c>
      <c r="B172" s="103" t="s">
        <v>207</v>
      </c>
      <c r="C172" s="135" t="s">
        <v>40</v>
      </c>
      <c r="D172" s="136">
        <v>1</v>
      </c>
      <c r="E172" s="137"/>
      <c r="F172" s="138"/>
      <c r="G172" s="56">
        <v>13260.21</v>
      </c>
      <c r="H172" s="281"/>
      <c r="I172" s="272" t="s">
        <v>393</v>
      </c>
      <c r="J172" s="134"/>
      <c r="K172" s="238"/>
      <c r="L172" s="299"/>
      <c r="M172" s="300"/>
      <c r="N172" s="11"/>
    </row>
    <row r="173" spans="1:14" s="140" customFormat="1" x14ac:dyDescent="0.25">
      <c r="A173" s="153" t="s">
        <v>178</v>
      </c>
      <c r="B173" s="154" t="s">
        <v>208</v>
      </c>
      <c r="C173" s="155" t="s">
        <v>40</v>
      </c>
      <c r="D173" s="156">
        <v>348</v>
      </c>
      <c r="E173" s="157"/>
      <c r="F173" s="158"/>
      <c r="G173" s="159">
        <v>800000</v>
      </c>
      <c r="H173" s="306"/>
      <c r="I173" s="452" t="s">
        <v>393</v>
      </c>
      <c r="J173" s="133"/>
      <c r="K173" s="250"/>
      <c r="L173" s="299"/>
      <c r="M173" s="300"/>
      <c r="N173" s="11"/>
    </row>
    <row r="174" spans="1:14" s="140" customFormat="1" ht="20.25" customHeight="1" x14ac:dyDescent="0.25">
      <c r="A174" s="160" t="s">
        <v>209</v>
      </c>
      <c r="B174" s="161" t="s">
        <v>210</v>
      </c>
      <c r="C174" s="162" t="s">
        <v>40</v>
      </c>
      <c r="D174" s="163">
        <f>D175+D176+D177</f>
        <v>348</v>
      </c>
      <c r="E174" s="164"/>
      <c r="F174" s="165"/>
      <c r="G174" s="56">
        <f>G175+G176+G177</f>
        <v>190661.4</v>
      </c>
      <c r="H174" s="283"/>
      <c r="I174" s="452"/>
      <c r="J174" s="134"/>
      <c r="K174" s="238"/>
      <c r="L174" s="299"/>
      <c r="M174" s="300"/>
      <c r="N174" s="11"/>
    </row>
    <row r="175" spans="1:14" s="140" customFormat="1" ht="20.25" customHeight="1" x14ac:dyDescent="0.25">
      <c r="A175" s="57"/>
      <c r="B175" s="46" t="s">
        <v>166</v>
      </c>
      <c r="C175" s="14" t="s">
        <v>40</v>
      </c>
      <c r="D175" s="33">
        <v>156</v>
      </c>
      <c r="E175" s="43">
        <v>549.92999999999995</v>
      </c>
      <c r="F175" s="30"/>
      <c r="G175" s="60">
        <f>ROUND((D175*E175),2)</f>
        <v>85789.08</v>
      </c>
      <c r="H175" s="275">
        <v>97</v>
      </c>
      <c r="I175" s="452"/>
      <c r="J175" s="134"/>
      <c r="K175" s="238"/>
      <c r="L175" s="299"/>
      <c r="M175" s="300"/>
      <c r="N175" s="11"/>
    </row>
    <row r="176" spans="1:14" s="140" customFormat="1" ht="20.25" customHeight="1" x14ac:dyDescent="0.25">
      <c r="A176" s="57"/>
      <c r="B176" s="46" t="s">
        <v>168</v>
      </c>
      <c r="C176" s="14" t="s">
        <v>40</v>
      </c>
      <c r="D176" s="33">
        <v>108</v>
      </c>
      <c r="E176" s="43">
        <v>556.99</v>
      </c>
      <c r="F176" s="30"/>
      <c r="G176" s="60">
        <f>ROUND((D176*E176),2)</f>
        <v>60154.92</v>
      </c>
      <c r="H176" s="275">
        <v>98</v>
      </c>
      <c r="I176" s="452"/>
      <c r="J176" s="134"/>
      <c r="K176" s="238"/>
      <c r="L176" s="299"/>
      <c r="M176" s="300"/>
      <c r="N176" s="11"/>
    </row>
    <row r="177" spans="1:14" s="140" customFormat="1" ht="20.25" customHeight="1" x14ac:dyDescent="0.25">
      <c r="A177" s="89"/>
      <c r="B177" s="90" t="s">
        <v>167</v>
      </c>
      <c r="C177" s="91" t="s">
        <v>40</v>
      </c>
      <c r="D177" s="92">
        <v>84</v>
      </c>
      <c r="E177" s="93">
        <v>532.35</v>
      </c>
      <c r="F177" s="94"/>
      <c r="G177" s="60">
        <f>ROUND((D177*E177),2)</f>
        <v>44717.4</v>
      </c>
      <c r="H177" s="275">
        <v>99</v>
      </c>
      <c r="I177" s="452"/>
      <c r="J177" s="134"/>
      <c r="K177" s="238"/>
      <c r="L177" s="299"/>
      <c r="M177" s="300"/>
      <c r="N177" s="11"/>
    </row>
    <row r="178" spans="1:14" s="114" customFormat="1" ht="20.100000000000001" customHeight="1" x14ac:dyDescent="0.25">
      <c r="A178" s="27" t="s">
        <v>211</v>
      </c>
      <c r="B178" s="123" t="s">
        <v>212</v>
      </c>
      <c r="C178" s="124" t="s">
        <v>213</v>
      </c>
      <c r="D178" s="125">
        <v>6</v>
      </c>
      <c r="E178" s="124"/>
      <c r="F178" s="124"/>
      <c r="G178" s="126">
        <f>1572278.88*1.025</f>
        <v>1611585.8519999997</v>
      </c>
      <c r="H178" s="279"/>
      <c r="I178" s="247" t="s">
        <v>389</v>
      </c>
      <c r="J178" s="166"/>
      <c r="K178" s="252"/>
      <c r="L178" s="299"/>
      <c r="M178" s="300"/>
      <c r="N178" s="261"/>
    </row>
    <row r="179" spans="1:14" s="1" customFormat="1" ht="19.5" customHeight="1" x14ac:dyDescent="0.25">
      <c r="A179" s="27" t="s">
        <v>1</v>
      </c>
      <c r="B179" s="21" t="s">
        <v>214</v>
      </c>
      <c r="C179" s="28" t="s">
        <v>23</v>
      </c>
      <c r="D179" s="150">
        <f>D180+D194+D208+D227+D252</f>
        <v>2202469</v>
      </c>
      <c r="E179" s="2"/>
      <c r="F179" s="14"/>
      <c r="G179" s="132">
        <f>G180+G194+G208+G227+G252</f>
        <v>77747155.699999988</v>
      </c>
      <c r="H179" s="275"/>
      <c r="I179" s="247"/>
      <c r="J179" s="166"/>
      <c r="K179" s="252"/>
      <c r="L179" s="299"/>
      <c r="M179" s="300"/>
      <c r="N179" s="10"/>
    </row>
    <row r="180" spans="1:14" s="1" customFormat="1" ht="19.5" customHeight="1" x14ac:dyDescent="0.25">
      <c r="A180" s="27" t="s">
        <v>215</v>
      </c>
      <c r="B180" s="21" t="s">
        <v>216</v>
      </c>
      <c r="C180" s="28"/>
      <c r="D180" s="150">
        <f>D181+D190</f>
        <v>271597</v>
      </c>
      <c r="E180" s="2"/>
      <c r="F180" s="14"/>
      <c r="G180" s="132">
        <f>G181+G190</f>
        <v>16060330.089999996</v>
      </c>
      <c r="H180" s="275"/>
      <c r="I180" s="247"/>
      <c r="J180" s="166"/>
      <c r="K180" s="252"/>
      <c r="L180" s="299"/>
      <c r="M180" s="300"/>
      <c r="N180" s="10"/>
    </row>
    <row r="181" spans="1:14" s="1" customFormat="1" ht="15.75" customHeight="1" x14ac:dyDescent="0.25">
      <c r="A181" s="27" t="s">
        <v>217</v>
      </c>
      <c r="B181" s="44" t="s">
        <v>218</v>
      </c>
      <c r="C181" s="45" t="s">
        <v>23</v>
      </c>
      <c r="D181" s="150">
        <f>SUM(D185:D189)</f>
        <v>103940</v>
      </c>
      <c r="E181" s="2"/>
      <c r="F181" s="29"/>
      <c r="G181" s="132">
        <f>SUM(G182:G189)</f>
        <v>9916298.6999999974</v>
      </c>
      <c r="H181" s="275"/>
      <c r="I181" s="244"/>
      <c r="J181" s="26"/>
      <c r="K181" s="250"/>
      <c r="L181" s="299"/>
      <c r="M181" s="300"/>
      <c r="N181" s="10"/>
    </row>
    <row r="182" spans="1:14" s="1" customFormat="1" ht="15.75" customHeight="1" x14ac:dyDescent="0.25">
      <c r="A182" s="27"/>
      <c r="B182" s="46" t="s">
        <v>219</v>
      </c>
      <c r="C182" s="14" t="s">
        <v>23</v>
      </c>
      <c r="D182" s="168">
        <v>87556</v>
      </c>
      <c r="E182" s="169">
        <v>7.37</v>
      </c>
      <c r="F182" s="30">
        <v>5</v>
      </c>
      <c r="G182" s="60">
        <f>ROUND((D182*E182*F182),2)</f>
        <v>3226438.6</v>
      </c>
      <c r="H182" s="275">
        <v>103</v>
      </c>
      <c r="I182" s="452" t="s">
        <v>416</v>
      </c>
      <c r="J182" s="307">
        <f>G182+G183+G185+G186+G188+G189+G210+G211+G215+G216+G217</f>
        <v>27618154.749999996</v>
      </c>
      <c r="K182" s="303" t="s">
        <v>404</v>
      </c>
      <c r="L182" s="270">
        <v>1.5985529999999999</v>
      </c>
      <c r="M182" s="262">
        <f t="shared" si="10"/>
        <v>28059645.591300763</v>
      </c>
      <c r="N182" s="262">
        <v>28060</v>
      </c>
    </row>
    <row r="183" spans="1:14" s="1" customFormat="1" x14ac:dyDescent="0.25">
      <c r="A183" s="27"/>
      <c r="B183" s="46" t="s">
        <v>220</v>
      </c>
      <c r="C183" s="14" t="s">
        <v>23</v>
      </c>
      <c r="D183" s="168">
        <f>11908+3157</f>
        <v>15065</v>
      </c>
      <c r="E183" s="169">
        <v>59.08</v>
      </c>
      <c r="F183" s="30">
        <v>5</v>
      </c>
      <c r="G183" s="60">
        <f t="shared" ref="G183:G189" si="11">ROUND((D183*E183*F183),2)</f>
        <v>4450201</v>
      </c>
      <c r="H183" s="275" t="s">
        <v>221</v>
      </c>
      <c r="I183" s="452"/>
      <c r="J183" s="307">
        <f>D185+D186+D188+D189+D215+D216+D217</f>
        <v>396145</v>
      </c>
      <c r="K183" s="303" t="s">
        <v>23</v>
      </c>
      <c r="L183" s="299"/>
      <c r="M183" s="300"/>
      <c r="N183" s="10"/>
    </row>
    <row r="184" spans="1:14" s="1" customFormat="1" x14ac:dyDescent="0.25">
      <c r="A184" s="27"/>
      <c r="B184" s="49" t="s">
        <v>220</v>
      </c>
      <c r="C184" s="50" t="s">
        <v>23</v>
      </c>
      <c r="D184" s="170">
        <v>654</v>
      </c>
      <c r="E184" s="171">
        <f>E183</f>
        <v>59.08</v>
      </c>
      <c r="F184" s="55">
        <v>5</v>
      </c>
      <c r="G184" s="53">
        <f t="shared" si="11"/>
        <v>193191.6</v>
      </c>
      <c r="H184" s="278" t="s">
        <v>221</v>
      </c>
      <c r="I184" s="272" t="s">
        <v>417</v>
      </c>
      <c r="J184" s="307">
        <f>G184+G187+G212+G213+G219+G220+G224+G198+G201+G205</f>
        <v>5686756.6099999994</v>
      </c>
      <c r="K184" s="303" t="s">
        <v>405</v>
      </c>
      <c r="L184" s="270">
        <v>1.5985529999999999</v>
      </c>
      <c r="M184" s="262">
        <f t="shared" si="10"/>
        <v>5777662.4283918524</v>
      </c>
      <c r="N184" s="262">
        <v>5778</v>
      </c>
    </row>
    <row r="185" spans="1:14" s="1" customFormat="1" x14ac:dyDescent="0.25">
      <c r="A185" s="27"/>
      <c r="B185" s="46" t="s">
        <v>222</v>
      </c>
      <c r="C185" s="14" t="s">
        <v>23</v>
      </c>
      <c r="D185" s="168">
        <v>88263</v>
      </c>
      <c r="E185" s="169">
        <v>4.51</v>
      </c>
      <c r="F185" s="30">
        <v>2</v>
      </c>
      <c r="G185" s="60">
        <f t="shared" si="11"/>
        <v>796132.26</v>
      </c>
      <c r="H185" s="275">
        <v>104</v>
      </c>
      <c r="I185" s="452" t="s">
        <v>19</v>
      </c>
      <c r="J185" s="307">
        <f>D184+D198+D205+D212+D213+D224</f>
        <v>76396</v>
      </c>
      <c r="K185" s="303" t="s">
        <v>23</v>
      </c>
      <c r="L185" s="299"/>
      <c r="M185" s="300"/>
      <c r="N185" s="10"/>
    </row>
    <row r="186" spans="1:14" s="1" customFormat="1" x14ac:dyDescent="0.25">
      <c r="A186" s="27"/>
      <c r="B186" s="46" t="s">
        <v>223</v>
      </c>
      <c r="C186" s="14" t="s">
        <v>23</v>
      </c>
      <c r="D186" s="168">
        <f>10611+3157</f>
        <v>13768</v>
      </c>
      <c r="E186" s="169">
        <v>12.02</v>
      </c>
      <c r="F186" s="30">
        <v>7</v>
      </c>
      <c r="G186" s="60">
        <f t="shared" si="11"/>
        <v>1158439.52</v>
      </c>
      <c r="H186" s="275" t="s">
        <v>224</v>
      </c>
      <c r="I186" s="452"/>
      <c r="J186" s="26"/>
      <c r="K186" s="250"/>
      <c r="L186" s="299"/>
      <c r="M186" s="300"/>
      <c r="N186" s="10"/>
    </row>
    <row r="187" spans="1:14" s="1" customFormat="1" x14ac:dyDescent="0.25">
      <c r="A187" s="27"/>
      <c r="B187" s="49" t="s">
        <v>223</v>
      </c>
      <c r="C187" s="50" t="s">
        <v>23</v>
      </c>
      <c r="D187" s="170">
        <v>654</v>
      </c>
      <c r="E187" s="171">
        <v>12.02</v>
      </c>
      <c r="F187" s="55">
        <v>7</v>
      </c>
      <c r="G187" s="53">
        <f t="shared" si="11"/>
        <v>55027.56</v>
      </c>
      <c r="H187" s="278" t="s">
        <v>224</v>
      </c>
      <c r="I187" s="272" t="s">
        <v>395</v>
      </c>
      <c r="J187" s="70"/>
      <c r="K187" s="250"/>
      <c r="L187" s="299"/>
      <c r="M187" s="300"/>
      <c r="N187" s="10"/>
    </row>
    <row r="188" spans="1:14" s="1" customFormat="1" x14ac:dyDescent="0.25">
      <c r="A188" s="27"/>
      <c r="B188" s="46" t="s">
        <v>223</v>
      </c>
      <c r="C188" s="14" t="s">
        <v>23</v>
      </c>
      <c r="D188" s="168">
        <v>158</v>
      </c>
      <c r="E188" s="169">
        <v>7.09</v>
      </c>
      <c r="F188" s="30">
        <v>7</v>
      </c>
      <c r="G188" s="60">
        <f t="shared" si="11"/>
        <v>7841.54</v>
      </c>
      <c r="H188" s="275" t="s">
        <v>225</v>
      </c>
      <c r="I188" s="452" t="s">
        <v>19</v>
      </c>
      <c r="J188" s="26"/>
      <c r="K188" s="250"/>
      <c r="L188" s="299"/>
      <c r="M188" s="300"/>
      <c r="N188" s="10"/>
    </row>
    <row r="189" spans="1:14" s="1" customFormat="1" x14ac:dyDescent="0.25">
      <c r="A189" s="27"/>
      <c r="B189" s="46" t="s">
        <v>223</v>
      </c>
      <c r="C189" s="14" t="s">
        <v>23</v>
      </c>
      <c r="D189" s="168">
        <v>1097</v>
      </c>
      <c r="E189" s="169">
        <v>3.78</v>
      </c>
      <c r="F189" s="30">
        <v>7</v>
      </c>
      <c r="G189" s="60">
        <f t="shared" si="11"/>
        <v>29026.62</v>
      </c>
      <c r="H189" s="275" t="s">
        <v>226</v>
      </c>
      <c r="I189" s="452"/>
      <c r="J189" s="26"/>
      <c r="K189" s="250"/>
      <c r="L189" s="299"/>
      <c r="M189" s="300"/>
      <c r="N189" s="10"/>
    </row>
    <row r="190" spans="1:14" s="1" customFormat="1" x14ac:dyDescent="0.25">
      <c r="A190" s="27" t="s">
        <v>227</v>
      </c>
      <c r="B190" s="44" t="s">
        <v>136</v>
      </c>
      <c r="C190" s="45" t="s">
        <v>23</v>
      </c>
      <c r="D190" s="29">
        <f>D191+D192+D193</f>
        <v>167657</v>
      </c>
      <c r="E190" s="149"/>
      <c r="F190" s="29"/>
      <c r="G190" s="56">
        <f>SUM(G191:G193)</f>
        <v>6144031.3899999997</v>
      </c>
      <c r="H190" s="275"/>
      <c r="I190" s="305"/>
      <c r="J190" s="26"/>
      <c r="K190" s="250"/>
      <c r="L190" s="299"/>
      <c r="M190" s="300"/>
      <c r="N190" s="10"/>
    </row>
    <row r="191" spans="1:14" s="1" customFormat="1" ht="17.25" customHeight="1" x14ac:dyDescent="0.25">
      <c r="A191" s="27"/>
      <c r="B191" s="46" t="s">
        <v>228</v>
      </c>
      <c r="C191" s="14" t="s">
        <v>23</v>
      </c>
      <c r="D191" s="33">
        <v>111910</v>
      </c>
      <c r="E191" s="169">
        <v>6.54</v>
      </c>
      <c r="F191" s="30">
        <v>7</v>
      </c>
      <c r="G191" s="60">
        <f>ROUND((D191*E191*F191),2)</f>
        <v>5123239.8</v>
      </c>
      <c r="H191" s="275" t="s">
        <v>229</v>
      </c>
      <c r="I191" s="452" t="s">
        <v>169</v>
      </c>
      <c r="J191" s="26"/>
      <c r="K191" s="250"/>
      <c r="L191" s="299"/>
      <c r="M191" s="300"/>
      <c r="N191" s="10"/>
    </row>
    <row r="192" spans="1:14" s="1" customFormat="1" ht="19.5" customHeight="1" x14ac:dyDescent="0.25">
      <c r="A192" s="27"/>
      <c r="B192" s="46" t="s">
        <v>228</v>
      </c>
      <c r="C192" s="14" t="s">
        <v>23</v>
      </c>
      <c r="D192" s="33">
        <v>23770</v>
      </c>
      <c r="E192" s="169">
        <v>3.7</v>
      </c>
      <c r="F192" s="30">
        <v>7</v>
      </c>
      <c r="G192" s="60">
        <f>ROUND((D192*E192*F192),2)</f>
        <v>615643</v>
      </c>
      <c r="H192" s="275" t="s">
        <v>230</v>
      </c>
      <c r="I192" s="452"/>
      <c r="J192" s="26"/>
      <c r="K192" s="250"/>
      <c r="L192" s="299"/>
      <c r="M192" s="300"/>
      <c r="N192" s="10"/>
    </row>
    <row r="193" spans="1:14" s="1" customFormat="1" ht="18" customHeight="1" x14ac:dyDescent="0.25">
      <c r="A193" s="27"/>
      <c r="B193" s="46" t="s">
        <v>228</v>
      </c>
      <c r="C193" s="14" t="s">
        <v>23</v>
      </c>
      <c r="D193" s="33">
        <v>31977</v>
      </c>
      <c r="E193" s="169">
        <v>1.81</v>
      </c>
      <c r="F193" s="30">
        <v>7</v>
      </c>
      <c r="G193" s="60">
        <f>ROUND((D193*E193*F193),2)</f>
        <v>405148.59</v>
      </c>
      <c r="H193" s="275" t="s">
        <v>231</v>
      </c>
      <c r="I193" s="452"/>
      <c r="J193" s="26"/>
      <c r="K193" s="250"/>
      <c r="L193" s="299"/>
      <c r="M193" s="300"/>
      <c r="N193" s="10"/>
    </row>
    <row r="194" spans="1:14" s="1" customFormat="1" ht="18" customHeight="1" x14ac:dyDescent="0.25">
      <c r="A194" s="27" t="s">
        <v>232</v>
      </c>
      <c r="B194" s="44" t="s">
        <v>233</v>
      </c>
      <c r="C194" s="14"/>
      <c r="D194" s="150">
        <f>D195+D203</f>
        <v>212981</v>
      </c>
      <c r="E194" s="172"/>
      <c r="F194" s="30"/>
      <c r="G194" s="132">
        <f>G195+G203</f>
        <v>6717903.709999999</v>
      </c>
      <c r="H194" s="275"/>
      <c r="I194" s="315"/>
      <c r="J194" s="26"/>
      <c r="K194" s="250"/>
      <c r="L194" s="299"/>
      <c r="M194" s="300"/>
      <c r="N194" s="10"/>
    </row>
    <row r="195" spans="1:14" s="1" customFormat="1" ht="15.75" customHeight="1" x14ac:dyDescent="0.25">
      <c r="A195" s="27" t="s">
        <v>234</v>
      </c>
      <c r="B195" s="44" t="s">
        <v>218</v>
      </c>
      <c r="C195" s="45" t="s">
        <v>23</v>
      </c>
      <c r="D195" s="29">
        <f>SUM(D199:D202)</f>
        <v>42192</v>
      </c>
      <c r="E195" s="2"/>
      <c r="F195" s="29"/>
      <c r="G195" s="56">
        <f>SUM(G196:G202)</f>
        <v>3525622.2399999998</v>
      </c>
      <c r="H195" s="275"/>
      <c r="I195" s="315"/>
      <c r="J195" s="26"/>
      <c r="K195" s="250"/>
      <c r="L195" s="299"/>
      <c r="M195" s="300"/>
      <c r="N195" s="10"/>
    </row>
    <row r="196" spans="1:14" s="1" customFormat="1" ht="15.75" customHeight="1" x14ac:dyDescent="0.25">
      <c r="A196" s="27"/>
      <c r="B196" s="46" t="s">
        <v>235</v>
      </c>
      <c r="C196" s="14" t="s">
        <v>23</v>
      </c>
      <c r="D196" s="33">
        <v>15100</v>
      </c>
      <c r="E196" s="169">
        <f t="shared" ref="E196:E201" si="12">E182</f>
        <v>7.37</v>
      </c>
      <c r="F196" s="69">
        <v>4</v>
      </c>
      <c r="G196" s="60">
        <f>ROUND((D196*E196*F196),2)</f>
        <v>445148</v>
      </c>
      <c r="H196" s="277">
        <v>103</v>
      </c>
      <c r="I196" s="452" t="s">
        <v>418</v>
      </c>
      <c r="J196" s="307">
        <f>G196+G197+G199+G200+G202+G204+G206+G207</f>
        <v>6012530.79</v>
      </c>
      <c r="K196" s="303" t="s">
        <v>407</v>
      </c>
      <c r="L196" s="270">
        <v>1.5985529999999999</v>
      </c>
      <c r="M196" s="262">
        <f t="shared" si="10"/>
        <v>6108644.2813194683</v>
      </c>
      <c r="N196" s="262">
        <v>6109</v>
      </c>
    </row>
    <row r="197" spans="1:14" s="1" customFormat="1" ht="14.25" customHeight="1" x14ac:dyDescent="0.25">
      <c r="A197" s="27"/>
      <c r="B197" s="46" t="s">
        <v>236</v>
      </c>
      <c r="C197" s="14" t="s">
        <v>23</v>
      </c>
      <c r="D197" s="168">
        <v>5060</v>
      </c>
      <c r="E197" s="169">
        <f t="shared" si="12"/>
        <v>59.08</v>
      </c>
      <c r="F197" s="69">
        <v>5</v>
      </c>
      <c r="G197" s="60">
        <f t="shared" ref="G197:G206" si="13">ROUND((D197*E197*F197),2)</f>
        <v>1494724</v>
      </c>
      <c r="H197" s="277" t="s">
        <v>221</v>
      </c>
      <c r="I197" s="452"/>
      <c r="J197" s="307">
        <f>D199+D200+D202+D204+D206+D207</f>
        <v>209967</v>
      </c>
      <c r="K197" s="303" t="s">
        <v>23</v>
      </c>
      <c r="L197" s="270"/>
      <c r="M197" s="262"/>
      <c r="N197" s="262"/>
    </row>
    <row r="198" spans="1:14" s="1" customFormat="1" ht="14.25" customHeight="1" x14ac:dyDescent="0.25">
      <c r="A198" s="27"/>
      <c r="B198" s="32" t="s">
        <v>236</v>
      </c>
      <c r="C198" s="63" t="s">
        <v>23</v>
      </c>
      <c r="D198" s="173">
        <v>1700</v>
      </c>
      <c r="E198" s="174">
        <f t="shared" si="12"/>
        <v>59.08</v>
      </c>
      <c r="F198" s="69">
        <v>5</v>
      </c>
      <c r="G198" s="60">
        <f>ROUND((D198*E198*F198),2)</f>
        <v>502180</v>
      </c>
      <c r="H198" s="277" t="s">
        <v>221</v>
      </c>
      <c r="I198" s="272" t="s">
        <v>395</v>
      </c>
      <c r="J198" s="26"/>
      <c r="K198" s="250"/>
      <c r="L198" s="299"/>
      <c r="M198" s="300"/>
      <c r="N198" s="10"/>
    </row>
    <row r="199" spans="1:14" s="1" customFormat="1" ht="18" customHeight="1" x14ac:dyDescent="0.25">
      <c r="A199" s="27"/>
      <c r="B199" s="32" t="s">
        <v>237</v>
      </c>
      <c r="C199" s="63" t="s">
        <v>23</v>
      </c>
      <c r="D199" s="7">
        <v>15100</v>
      </c>
      <c r="E199" s="174">
        <f t="shared" si="12"/>
        <v>4.51</v>
      </c>
      <c r="F199" s="69">
        <v>2</v>
      </c>
      <c r="G199" s="60">
        <f t="shared" si="13"/>
        <v>136202</v>
      </c>
      <c r="H199" s="277">
        <v>104</v>
      </c>
      <c r="I199" s="452" t="s">
        <v>391</v>
      </c>
      <c r="J199" s="26"/>
      <c r="K199" s="250"/>
      <c r="L199" s="299"/>
      <c r="M199" s="300"/>
      <c r="N199" s="10"/>
    </row>
    <row r="200" spans="1:14" s="1" customFormat="1" ht="16.5" customHeight="1" x14ac:dyDescent="0.25">
      <c r="A200" s="27"/>
      <c r="B200" s="32" t="s">
        <v>238</v>
      </c>
      <c r="C200" s="63" t="s">
        <v>23</v>
      </c>
      <c r="D200" s="173">
        <f>D197</f>
        <v>5060</v>
      </c>
      <c r="E200" s="174">
        <f t="shared" si="12"/>
        <v>12.02</v>
      </c>
      <c r="F200" s="69">
        <v>7</v>
      </c>
      <c r="G200" s="60">
        <f t="shared" si="13"/>
        <v>425748.4</v>
      </c>
      <c r="H200" s="277" t="s">
        <v>224</v>
      </c>
      <c r="I200" s="452"/>
      <c r="J200" s="26"/>
      <c r="K200" s="250"/>
      <c r="L200" s="299"/>
      <c r="M200" s="300"/>
      <c r="N200" s="10"/>
    </row>
    <row r="201" spans="1:14" s="1" customFormat="1" ht="16.5" customHeight="1" x14ac:dyDescent="0.25">
      <c r="A201" s="27"/>
      <c r="B201" s="32" t="s">
        <v>238</v>
      </c>
      <c r="C201" s="63" t="s">
        <v>23</v>
      </c>
      <c r="D201" s="173">
        <f>D198</f>
        <v>1700</v>
      </c>
      <c r="E201" s="174">
        <f t="shared" si="12"/>
        <v>12.02</v>
      </c>
      <c r="F201" s="69">
        <v>7</v>
      </c>
      <c r="G201" s="60">
        <f>ROUND((D201*E201*F201),2)</f>
        <v>143038</v>
      </c>
      <c r="H201" s="277" t="s">
        <v>224</v>
      </c>
      <c r="I201" s="272" t="s">
        <v>395</v>
      </c>
      <c r="J201" s="26"/>
      <c r="K201" s="250"/>
      <c r="L201" s="299"/>
      <c r="M201" s="300"/>
      <c r="N201" s="10"/>
    </row>
    <row r="202" spans="1:14" s="1" customFormat="1" x14ac:dyDescent="0.25">
      <c r="A202" s="27"/>
      <c r="B202" s="32" t="s">
        <v>238</v>
      </c>
      <c r="C202" s="63" t="s">
        <v>23</v>
      </c>
      <c r="D202" s="173">
        <v>20332</v>
      </c>
      <c r="E202" s="174">
        <v>2.66</v>
      </c>
      <c r="F202" s="69">
        <v>7</v>
      </c>
      <c r="G202" s="60">
        <f t="shared" si="13"/>
        <v>378581.84</v>
      </c>
      <c r="H202" s="277" t="s">
        <v>239</v>
      </c>
      <c r="I202" s="272" t="s">
        <v>391</v>
      </c>
      <c r="J202" s="26"/>
      <c r="K202" s="250"/>
      <c r="L202" s="299"/>
      <c r="M202" s="300"/>
      <c r="N202" s="10"/>
    </row>
    <row r="203" spans="1:14" s="1" customFormat="1" x14ac:dyDescent="0.25">
      <c r="A203" s="27" t="s">
        <v>240</v>
      </c>
      <c r="B203" s="103" t="s">
        <v>136</v>
      </c>
      <c r="C203" s="135" t="s">
        <v>23</v>
      </c>
      <c r="D203" s="138">
        <f>SUM(D204:D207)</f>
        <v>170789</v>
      </c>
      <c r="E203" s="82"/>
      <c r="F203" s="138"/>
      <c r="G203" s="56">
        <f>SUM(G204:G207)</f>
        <v>3192281.4699999997</v>
      </c>
      <c r="H203" s="277"/>
      <c r="I203" s="272"/>
      <c r="J203" s="26"/>
      <c r="K203" s="250"/>
      <c r="L203" s="299"/>
      <c r="M203" s="300"/>
      <c r="N203" s="10"/>
    </row>
    <row r="204" spans="1:14" s="1" customFormat="1" ht="17.25" customHeight="1" x14ac:dyDescent="0.25">
      <c r="A204" s="27"/>
      <c r="B204" s="32" t="s">
        <v>228</v>
      </c>
      <c r="C204" s="63" t="s">
        <v>23</v>
      </c>
      <c r="D204" s="7">
        <v>40145</v>
      </c>
      <c r="E204" s="174">
        <f>E191</f>
        <v>6.54</v>
      </c>
      <c r="F204" s="69">
        <v>7</v>
      </c>
      <c r="G204" s="60">
        <f t="shared" si="13"/>
        <v>1837838.1</v>
      </c>
      <c r="H204" s="277" t="s">
        <v>229</v>
      </c>
      <c r="I204" s="272" t="s">
        <v>391</v>
      </c>
      <c r="J204" s="26"/>
      <c r="K204" s="250"/>
      <c r="L204" s="299"/>
      <c r="M204" s="300"/>
      <c r="N204" s="10"/>
    </row>
    <row r="205" spans="1:14" s="1" customFormat="1" ht="17.25" customHeight="1" x14ac:dyDescent="0.25">
      <c r="A205" s="27"/>
      <c r="B205" s="32" t="s">
        <v>228</v>
      </c>
      <c r="C205" s="63" t="s">
        <v>23</v>
      </c>
      <c r="D205" s="7">
        <v>1314</v>
      </c>
      <c r="E205" s="174">
        <f>E204</f>
        <v>6.54</v>
      </c>
      <c r="F205" s="69">
        <v>7</v>
      </c>
      <c r="G205" s="60">
        <f>ROUND((D205*E205*F205),2)</f>
        <v>60154.92</v>
      </c>
      <c r="H205" s="277" t="s">
        <v>229</v>
      </c>
      <c r="I205" s="272" t="s">
        <v>395</v>
      </c>
      <c r="J205" s="26"/>
      <c r="K205" s="250"/>
      <c r="L205" s="299"/>
      <c r="M205" s="300"/>
      <c r="N205" s="10"/>
    </row>
    <row r="206" spans="1:14" s="1" customFormat="1" ht="16.5" customHeight="1" x14ac:dyDescent="0.25">
      <c r="A206" s="27"/>
      <c r="B206" s="46" t="s">
        <v>228</v>
      </c>
      <c r="C206" s="14" t="s">
        <v>23</v>
      </c>
      <c r="D206" s="33">
        <v>76955</v>
      </c>
      <c r="E206" s="169">
        <v>1.62</v>
      </c>
      <c r="F206" s="69">
        <v>7</v>
      </c>
      <c r="G206" s="60">
        <f t="shared" si="13"/>
        <v>872669.7</v>
      </c>
      <c r="H206" s="277" t="s">
        <v>241</v>
      </c>
      <c r="I206" s="452" t="s">
        <v>391</v>
      </c>
      <c r="J206" s="26"/>
      <c r="K206" s="250"/>
      <c r="L206" s="299"/>
      <c r="M206" s="300"/>
      <c r="N206" s="10"/>
    </row>
    <row r="207" spans="1:14" s="1" customFormat="1" ht="12.75" customHeight="1" x14ac:dyDescent="0.25">
      <c r="A207" s="27"/>
      <c r="B207" s="46" t="s">
        <v>228</v>
      </c>
      <c r="C207" s="14" t="s">
        <v>23</v>
      </c>
      <c r="D207" s="33">
        <v>52375</v>
      </c>
      <c r="E207" s="169">
        <v>1.1499999999999999</v>
      </c>
      <c r="F207" s="69">
        <v>7</v>
      </c>
      <c r="G207" s="60">
        <f>ROUND((D207*E207*F207),2)</f>
        <v>421618.75</v>
      </c>
      <c r="H207" s="277" t="s">
        <v>242</v>
      </c>
      <c r="I207" s="452"/>
      <c r="J207" s="26"/>
      <c r="K207" s="250"/>
      <c r="L207" s="299"/>
      <c r="M207" s="300"/>
      <c r="N207" s="10"/>
    </row>
    <row r="208" spans="1:14" s="1" customFormat="1" ht="16.5" customHeight="1" x14ac:dyDescent="0.25">
      <c r="A208" s="27" t="s">
        <v>243</v>
      </c>
      <c r="B208" s="44" t="s">
        <v>244</v>
      </c>
      <c r="C208" s="14"/>
      <c r="D208" s="150">
        <f>D209+D221</f>
        <v>1256525</v>
      </c>
      <c r="E208" s="172"/>
      <c r="F208" s="69"/>
      <c r="G208" s="132">
        <f>G209+G221</f>
        <v>33521159.319999993</v>
      </c>
      <c r="H208" s="277"/>
      <c r="I208" s="315"/>
      <c r="J208" s="26"/>
      <c r="K208" s="250"/>
      <c r="L208" s="299"/>
      <c r="M208" s="300"/>
      <c r="N208" s="10"/>
    </row>
    <row r="209" spans="1:14" s="1" customFormat="1" ht="20.25" customHeight="1" x14ac:dyDescent="0.25">
      <c r="A209" s="27" t="s">
        <v>245</v>
      </c>
      <c r="B209" s="44" t="s">
        <v>246</v>
      </c>
      <c r="C209" s="14"/>
      <c r="D209" s="29">
        <f>D215+D216+D217+D218+D219+D220</f>
        <v>326448</v>
      </c>
      <c r="E209" s="175"/>
      <c r="F209" s="176"/>
      <c r="G209" s="56">
        <f>G210+G211+G212+G213+G214+G215+G216+G217+G218+G219+G220</f>
        <v>22961521.269999996</v>
      </c>
      <c r="H209" s="275"/>
      <c r="I209" s="315"/>
      <c r="J209" s="26"/>
      <c r="K209" s="250"/>
      <c r="L209" s="299"/>
      <c r="M209" s="300"/>
      <c r="N209" s="10"/>
    </row>
    <row r="210" spans="1:14" s="1" customFormat="1" ht="24" customHeight="1" x14ac:dyDescent="0.25">
      <c r="A210" s="27"/>
      <c r="B210" s="36" t="s">
        <v>219</v>
      </c>
      <c r="C210" s="37" t="s">
        <v>23</v>
      </c>
      <c r="D210" s="101">
        <v>263573</v>
      </c>
      <c r="E210" s="96">
        <f>E182</f>
        <v>7.37</v>
      </c>
      <c r="F210" s="40">
        <v>5</v>
      </c>
      <c r="G210" s="97">
        <f>ROUND((D210*E210*F210),2)</f>
        <v>9712665.0500000007</v>
      </c>
      <c r="H210" s="276">
        <v>103</v>
      </c>
      <c r="I210" s="452" t="s">
        <v>19</v>
      </c>
      <c r="J210" s="26"/>
      <c r="K210" s="250"/>
      <c r="L210" s="299"/>
      <c r="M210" s="300"/>
      <c r="N210" s="10"/>
    </row>
    <row r="211" spans="1:14" s="1" customFormat="1" ht="20.25" customHeight="1" x14ac:dyDescent="0.25">
      <c r="A211" s="27"/>
      <c r="B211" s="36" t="s">
        <v>220</v>
      </c>
      <c r="C211" s="37" t="s">
        <v>23</v>
      </c>
      <c r="D211" s="101">
        <v>29286</v>
      </c>
      <c r="E211" s="96">
        <v>44.5</v>
      </c>
      <c r="F211" s="40">
        <v>4</v>
      </c>
      <c r="G211" s="97">
        <f t="shared" ref="G211:G220" si="14">ROUND((D211*E211*F211),2)</f>
        <v>5212908</v>
      </c>
      <c r="H211" s="276">
        <v>106</v>
      </c>
      <c r="I211" s="452"/>
      <c r="J211" s="26"/>
      <c r="K211" s="250"/>
      <c r="L211" s="299"/>
      <c r="M211" s="300"/>
      <c r="N211" s="10"/>
    </row>
    <row r="212" spans="1:14" s="1" customFormat="1" ht="22.5" customHeight="1" x14ac:dyDescent="0.25">
      <c r="A212" s="27"/>
      <c r="B212" s="36" t="s">
        <v>219</v>
      </c>
      <c r="C212" s="37" t="s">
        <v>23</v>
      </c>
      <c r="D212" s="101">
        <v>8901</v>
      </c>
      <c r="E212" s="96">
        <f>E182</f>
        <v>7.37</v>
      </c>
      <c r="F212" s="40">
        <v>5</v>
      </c>
      <c r="G212" s="97">
        <f t="shared" si="14"/>
        <v>328001.84999999998</v>
      </c>
      <c r="H212" s="276">
        <v>103</v>
      </c>
      <c r="I212" s="452" t="s">
        <v>395</v>
      </c>
      <c r="J212" s="26"/>
      <c r="K212" s="250"/>
      <c r="L212" s="299"/>
      <c r="M212" s="300"/>
      <c r="N212" s="10"/>
    </row>
    <row r="213" spans="1:14" s="1" customFormat="1" ht="20.25" customHeight="1" x14ac:dyDescent="0.25">
      <c r="A213" s="27"/>
      <c r="B213" s="36" t="s">
        <v>220</v>
      </c>
      <c r="C213" s="37" t="s">
        <v>23</v>
      </c>
      <c r="D213" s="101">
        <v>8372</v>
      </c>
      <c r="E213" s="96">
        <f>E183</f>
        <v>59.08</v>
      </c>
      <c r="F213" s="40">
        <v>5</v>
      </c>
      <c r="G213" s="97">
        <f t="shared" si="14"/>
        <v>2473088.7999999998</v>
      </c>
      <c r="H213" s="276" t="s">
        <v>221</v>
      </c>
      <c r="I213" s="452"/>
      <c r="J213" s="26"/>
      <c r="K213" s="250"/>
      <c r="L213" s="299"/>
      <c r="M213" s="300"/>
      <c r="N213" s="10"/>
    </row>
    <row r="214" spans="1:14" s="1" customFormat="1" ht="21" customHeight="1" x14ac:dyDescent="0.25">
      <c r="A214" s="27"/>
      <c r="B214" s="36" t="s">
        <v>247</v>
      </c>
      <c r="C214" s="37" t="s">
        <v>23</v>
      </c>
      <c r="D214" s="101">
        <v>7383</v>
      </c>
      <c r="E214" s="96">
        <v>67.510000000000005</v>
      </c>
      <c r="F214" s="40">
        <v>3</v>
      </c>
      <c r="G214" s="97">
        <f t="shared" si="14"/>
        <v>1495278.99</v>
      </c>
      <c r="H214" s="276">
        <v>112</v>
      </c>
      <c r="I214" s="272" t="s">
        <v>392</v>
      </c>
      <c r="J214" s="26"/>
      <c r="K214" s="250"/>
      <c r="L214" s="299"/>
      <c r="M214" s="300"/>
      <c r="N214" s="10"/>
    </row>
    <row r="215" spans="1:14" s="1" customFormat="1" ht="21" customHeight="1" x14ac:dyDescent="0.25">
      <c r="A215" s="27"/>
      <c r="B215" s="36" t="s">
        <v>222</v>
      </c>
      <c r="C215" s="37" t="s">
        <v>23</v>
      </c>
      <c r="D215" s="101">
        <v>243994</v>
      </c>
      <c r="E215" s="96">
        <f>E185</f>
        <v>4.51</v>
      </c>
      <c r="F215" s="40">
        <v>2</v>
      </c>
      <c r="G215" s="97">
        <f t="shared" si="14"/>
        <v>2200825.88</v>
      </c>
      <c r="H215" s="276">
        <v>104</v>
      </c>
      <c r="I215" s="452" t="s">
        <v>19</v>
      </c>
      <c r="J215" s="26"/>
      <c r="K215" s="250"/>
      <c r="L215" s="299"/>
      <c r="M215" s="300"/>
      <c r="N215" s="10"/>
    </row>
    <row r="216" spans="1:14" s="1" customFormat="1" ht="21" customHeight="1" x14ac:dyDescent="0.25">
      <c r="A216" s="27"/>
      <c r="B216" s="36" t="s">
        <v>223</v>
      </c>
      <c r="C216" s="37" t="s">
        <v>23</v>
      </c>
      <c r="D216" s="101">
        <v>32226</v>
      </c>
      <c r="E216" s="96">
        <v>2.66</v>
      </c>
      <c r="F216" s="40">
        <v>7</v>
      </c>
      <c r="G216" s="97">
        <f t="shared" si="14"/>
        <v>600048.12</v>
      </c>
      <c r="H216" s="276" t="s">
        <v>239</v>
      </c>
      <c r="I216" s="452"/>
      <c r="J216" s="26"/>
      <c r="K216" s="250"/>
      <c r="L216" s="299"/>
      <c r="M216" s="300"/>
      <c r="N216" s="10"/>
    </row>
    <row r="217" spans="1:14" s="1" customFormat="1" ht="18.75" customHeight="1" x14ac:dyDescent="0.25">
      <c r="A217" s="27"/>
      <c r="B217" s="36" t="s">
        <v>223</v>
      </c>
      <c r="C217" s="37" t="s">
        <v>23</v>
      </c>
      <c r="D217" s="101">
        <v>16639</v>
      </c>
      <c r="E217" s="96">
        <v>1.92</v>
      </c>
      <c r="F217" s="40">
        <v>7</v>
      </c>
      <c r="G217" s="97">
        <f t="shared" si="14"/>
        <v>223628.16</v>
      </c>
      <c r="H217" s="276" t="s">
        <v>248</v>
      </c>
      <c r="I217" s="452"/>
      <c r="J217" s="26"/>
      <c r="K217" s="250"/>
      <c r="L217" s="299"/>
      <c r="M217" s="300"/>
      <c r="N217" s="10"/>
    </row>
    <row r="218" spans="1:14" s="1" customFormat="1" ht="22.5" customHeight="1" x14ac:dyDescent="0.25">
      <c r="A218" s="27"/>
      <c r="B218" s="36" t="s">
        <v>223</v>
      </c>
      <c r="C218" s="37" t="s">
        <v>23</v>
      </c>
      <c r="D218" s="101">
        <v>16316</v>
      </c>
      <c r="E218" s="96">
        <f>E217</f>
        <v>1.92</v>
      </c>
      <c r="F218" s="40">
        <v>7</v>
      </c>
      <c r="G218" s="97">
        <f t="shared" si="14"/>
        <v>219287.04000000001</v>
      </c>
      <c r="H218" s="276" t="s">
        <v>248</v>
      </c>
      <c r="I218" s="272" t="s">
        <v>392</v>
      </c>
      <c r="J218" s="26"/>
      <c r="K218" s="250"/>
      <c r="L218" s="299"/>
      <c r="M218" s="300"/>
      <c r="N218" s="10"/>
    </row>
    <row r="219" spans="1:14" s="1" customFormat="1" ht="24" customHeight="1" x14ac:dyDescent="0.25">
      <c r="A219" s="27"/>
      <c r="B219" s="36" t="s">
        <v>222</v>
      </c>
      <c r="C219" s="37" t="s">
        <v>23</v>
      </c>
      <c r="D219" s="101">
        <f>D212</f>
        <v>8901</v>
      </c>
      <c r="E219" s="96">
        <f>E185</f>
        <v>4.51</v>
      </c>
      <c r="F219" s="40">
        <v>2</v>
      </c>
      <c r="G219" s="97">
        <f t="shared" si="14"/>
        <v>80287.02</v>
      </c>
      <c r="H219" s="276">
        <v>104</v>
      </c>
      <c r="I219" s="452" t="s">
        <v>395</v>
      </c>
      <c r="J219" s="26"/>
      <c r="K219" s="250"/>
      <c r="L219" s="299"/>
      <c r="M219" s="300"/>
      <c r="N219" s="10"/>
    </row>
    <row r="220" spans="1:14" s="1" customFormat="1" ht="21" customHeight="1" x14ac:dyDescent="0.25">
      <c r="A220" s="27"/>
      <c r="B220" s="36" t="s">
        <v>223</v>
      </c>
      <c r="C220" s="37" t="s">
        <v>23</v>
      </c>
      <c r="D220" s="101">
        <f>D213</f>
        <v>8372</v>
      </c>
      <c r="E220" s="96">
        <f>E188</f>
        <v>7.09</v>
      </c>
      <c r="F220" s="40">
        <v>7</v>
      </c>
      <c r="G220" s="97">
        <f t="shared" si="14"/>
        <v>415502.36</v>
      </c>
      <c r="H220" s="276" t="s">
        <v>225</v>
      </c>
      <c r="I220" s="452"/>
      <c r="J220" s="26"/>
      <c r="K220" s="250"/>
      <c r="L220" s="299"/>
      <c r="M220" s="300"/>
      <c r="N220" s="10"/>
    </row>
    <row r="221" spans="1:14" s="1" customFormat="1" x14ac:dyDescent="0.25">
      <c r="A221" s="27" t="s">
        <v>249</v>
      </c>
      <c r="B221" s="44" t="s">
        <v>250</v>
      </c>
      <c r="C221" s="28" t="s">
        <v>23</v>
      </c>
      <c r="D221" s="179">
        <f>D222+D223+D224</f>
        <v>930077</v>
      </c>
      <c r="E221" s="172"/>
      <c r="F221" s="30"/>
      <c r="G221" s="56">
        <f>SUM(G222:G226)</f>
        <v>10559638.049999999</v>
      </c>
      <c r="H221" s="275"/>
      <c r="I221" s="315"/>
      <c r="J221" s="26"/>
      <c r="K221" s="250"/>
      <c r="L221" s="299"/>
      <c r="M221" s="300"/>
      <c r="N221" s="10"/>
    </row>
    <row r="222" spans="1:14" s="1" customFormat="1" ht="23.25" customHeight="1" x14ac:dyDescent="0.25">
      <c r="A222" s="27"/>
      <c r="B222" s="36" t="s">
        <v>228</v>
      </c>
      <c r="C222" s="37" t="s">
        <v>23</v>
      </c>
      <c r="D222" s="101">
        <v>527873</v>
      </c>
      <c r="E222" s="96">
        <v>1.62</v>
      </c>
      <c r="F222" s="40">
        <v>7</v>
      </c>
      <c r="G222" s="97">
        <f>ROUND((D222*E222*F222),2)</f>
        <v>5986079.8200000003</v>
      </c>
      <c r="H222" s="276" t="s">
        <v>241</v>
      </c>
      <c r="I222" s="452" t="s">
        <v>169</v>
      </c>
      <c r="J222" s="26"/>
      <c r="K222" s="250"/>
      <c r="L222" s="299"/>
      <c r="M222" s="300"/>
      <c r="N222" s="10"/>
    </row>
    <row r="223" spans="1:14" s="1" customFormat="1" ht="21.75" customHeight="1" x14ac:dyDescent="0.25">
      <c r="A223" s="27"/>
      <c r="B223" s="36" t="s">
        <v>228</v>
      </c>
      <c r="C223" s="37" t="s">
        <v>23</v>
      </c>
      <c r="D223" s="101">
        <v>346749</v>
      </c>
      <c r="E223" s="96">
        <v>1.1499999999999999</v>
      </c>
      <c r="F223" s="40">
        <v>7</v>
      </c>
      <c r="G223" s="97">
        <f>ROUND((D223*E223*F223),2)</f>
        <v>2791329.45</v>
      </c>
      <c r="H223" s="276" t="s">
        <v>242</v>
      </c>
      <c r="I223" s="452"/>
      <c r="J223" s="26"/>
      <c r="K223" s="250"/>
      <c r="L223" s="299"/>
      <c r="M223" s="300"/>
      <c r="N223" s="10"/>
    </row>
    <row r="224" spans="1:14" s="1" customFormat="1" ht="21.75" customHeight="1" x14ac:dyDescent="0.25">
      <c r="A224" s="27"/>
      <c r="B224" s="36" t="s">
        <v>228</v>
      </c>
      <c r="C224" s="37" t="s">
        <v>23</v>
      </c>
      <c r="D224" s="101">
        <v>55455</v>
      </c>
      <c r="E224" s="96">
        <v>3.7</v>
      </c>
      <c r="F224" s="40">
        <v>7</v>
      </c>
      <c r="G224" s="97">
        <f>ROUND((D224*E224*F224),2)</f>
        <v>1436284.5</v>
      </c>
      <c r="H224" s="276" t="s">
        <v>230</v>
      </c>
      <c r="I224" s="272" t="s">
        <v>395</v>
      </c>
      <c r="J224" s="26"/>
      <c r="K224" s="250"/>
      <c r="L224" s="299"/>
      <c r="M224" s="300"/>
      <c r="N224" s="10"/>
    </row>
    <row r="225" spans="1:14" s="1" customFormat="1" ht="33.75" customHeight="1" x14ac:dyDescent="0.25">
      <c r="A225" s="57"/>
      <c r="B225" s="180" t="s">
        <v>251</v>
      </c>
      <c r="C225" s="37" t="s">
        <v>23</v>
      </c>
      <c r="D225" s="181">
        <v>359518.28</v>
      </c>
      <c r="E225" s="182">
        <v>0.77</v>
      </c>
      <c r="F225" s="37"/>
      <c r="G225" s="97">
        <f>ROUND((D225*E225*1),2)</f>
        <v>276829.08</v>
      </c>
      <c r="H225" s="276">
        <v>78</v>
      </c>
      <c r="I225" s="452" t="s">
        <v>169</v>
      </c>
      <c r="J225" s="26"/>
      <c r="K225" s="250"/>
      <c r="L225" s="299"/>
      <c r="M225" s="300"/>
      <c r="N225" s="10"/>
    </row>
    <row r="226" spans="1:14" s="1" customFormat="1" ht="24" customHeight="1" x14ac:dyDescent="0.25">
      <c r="A226" s="57"/>
      <c r="B226" s="180" t="s">
        <v>252</v>
      </c>
      <c r="C226" s="37" t="s">
        <v>72</v>
      </c>
      <c r="D226" s="38">
        <v>160</v>
      </c>
      <c r="E226" s="182">
        <v>431.97</v>
      </c>
      <c r="F226" s="37"/>
      <c r="G226" s="97">
        <f>ROUND((D226*E226*1),2)</f>
        <v>69115.199999999997</v>
      </c>
      <c r="H226" s="276">
        <v>81</v>
      </c>
      <c r="I226" s="452"/>
      <c r="J226" s="26"/>
      <c r="K226" s="250"/>
      <c r="L226" s="299"/>
      <c r="M226" s="300"/>
      <c r="N226" s="10"/>
    </row>
    <row r="227" spans="1:14" s="114" customFormat="1" ht="20.100000000000001" customHeight="1" x14ac:dyDescent="0.25">
      <c r="A227" s="27" t="s">
        <v>253</v>
      </c>
      <c r="B227" s="107" t="s">
        <v>254</v>
      </c>
      <c r="C227" s="108" t="s">
        <v>23</v>
      </c>
      <c r="D227" s="109">
        <f>D228+D233+D236+D241+D244+D249</f>
        <v>393856</v>
      </c>
      <c r="E227" s="152"/>
      <c r="F227" s="109"/>
      <c r="G227" s="111">
        <f>G228+G233+G236+G241+G244+G249</f>
        <v>20168431.580000002</v>
      </c>
      <c r="H227" s="279"/>
      <c r="I227" s="452" t="s">
        <v>390</v>
      </c>
      <c r="J227" s="307">
        <f>G227</f>
        <v>20168431.580000002</v>
      </c>
      <c r="K227" s="303" t="s">
        <v>406</v>
      </c>
      <c r="L227" s="270">
        <v>1.5985529999999999</v>
      </c>
      <c r="M227" s="262">
        <f>J227+(J227*L227/100)</f>
        <v>20490834.64807504</v>
      </c>
      <c r="N227" s="304">
        <v>20490</v>
      </c>
    </row>
    <row r="228" spans="1:14" s="114" customFormat="1" ht="19.5" customHeight="1" x14ac:dyDescent="0.25">
      <c r="A228" s="27" t="s">
        <v>255</v>
      </c>
      <c r="B228" s="107" t="s">
        <v>256</v>
      </c>
      <c r="C228" s="108" t="s">
        <v>23</v>
      </c>
      <c r="D228" s="109">
        <v>54766</v>
      </c>
      <c r="E228" s="183"/>
      <c r="F228" s="109"/>
      <c r="G228" s="111">
        <f>G229+G230+G231+G232</f>
        <v>5571610.6999999993</v>
      </c>
      <c r="H228" s="279"/>
      <c r="I228" s="452"/>
      <c r="J228" s="307">
        <f>D227</f>
        <v>393856</v>
      </c>
      <c r="K228" s="303" t="s">
        <v>23</v>
      </c>
      <c r="L228" s="184"/>
      <c r="M228" s="261"/>
      <c r="N228" s="261"/>
    </row>
    <row r="229" spans="1:14" s="1" customFormat="1" ht="20.100000000000001" customHeight="1" x14ac:dyDescent="0.25">
      <c r="A229" s="115"/>
      <c r="B229" s="116" t="s">
        <v>257</v>
      </c>
      <c r="C229" s="117" t="s">
        <v>23</v>
      </c>
      <c r="D229" s="185">
        <f>ROUND((D228*85%),0)</f>
        <v>46551</v>
      </c>
      <c r="E229" s="186">
        <v>7.37</v>
      </c>
      <c r="F229" s="118">
        <v>5</v>
      </c>
      <c r="G229" s="120">
        <f>ROUND((D229*E229*F229),2)</f>
        <v>1715404.35</v>
      </c>
      <c r="H229" s="280">
        <v>103</v>
      </c>
      <c r="I229" s="452"/>
      <c r="J229" s="26">
        <f>D229+D237+D245</f>
        <v>77324</v>
      </c>
      <c r="K229" s="250"/>
      <c r="L229" s="25"/>
      <c r="M229" s="10"/>
      <c r="N229" s="10"/>
    </row>
    <row r="230" spans="1:14" s="1" customFormat="1" ht="18" customHeight="1" x14ac:dyDescent="0.25">
      <c r="A230" s="115"/>
      <c r="B230" s="116" t="s">
        <v>258</v>
      </c>
      <c r="C230" s="117" t="s">
        <v>23</v>
      </c>
      <c r="D230" s="185">
        <f>D228-D229</f>
        <v>8215</v>
      </c>
      <c r="E230" s="186">
        <f>E213</f>
        <v>59.08</v>
      </c>
      <c r="F230" s="118">
        <v>5</v>
      </c>
      <c r="G230" s="120">
        <f>ROUND((D230*E230*F230),2)</f>
        <v>2426711</v>
      </c>
      <c r="H230" s="280" t="s">
        <v>221</v>
      </c>
      <c r="I230" s="452"/>
      <c r="J230" s="26">
        <f>D230+D238+D246</f>
        <v>13645</v>
      </c>
      <c r="K230" s="250"/>
      <c r="L230" s="187"/>
      <c r="M230" s="10"/>
      <c r="N230" s="10"/>
    </row>
    <row r="231" spans="1:14" s="1" customFormat="1" ht="20.100000000000001" customHeight="1" x14ac:dyDescent="0.25">
      <c r="A231" s="115"/>
      <c r="B231" s="116" t="s">
        <v>259</v>
      </c>
      <c r="C231" s="117" t="s">
        <v>23</v>
      </c>
      <c r="D231" s="185">
        <f>ROUND((D228*75%),0)</f>
        <v>41075</v>
      </c>
      <c r="E231" s="186">
        <f>E215</f>
        <v>4.51</v>
      </c>
      <c r="F231" s="118">
        <v>2</v>
      </c>
      <c r="G231" s="120">
        <f>ROUND((D231*E231*F231),2)</f>
        <v>370496.5</v>
      </c>
      <c r="H231" s="280">
        <v>104</v>
      </c>
      <c r="I231" s="452"/>
      <c r="J231" s="26">
        <f>D231+D239+D247</f>
        <v>68227</v>
      </c>
      <c r="K231" s="250"/>
      <c r="L231" s="178"/>
      <c r="M231" s="10"/>
      <c r="N231" s="10"/>
    </row>
    <row r="232" spans="1:14" s="1" customFormat="1" ht="20.100000000000001" customHeight="1" x14ac:dyDescent="0.25">
      <c r="A232" s="115"/>
      <c r="B232" s="116" t="s">
        <v>260</v>
      </c>
      <c r="C232" s="117" t="s">
        <v>23</v>
      </c>
      <c r="D232" s="185">
        <f>D228-D231</f>
        <v>13691</v>
      </c>
      <c r="E232" s="186">
        <v>11.05</v>
      </c>
      <c r="F232" s="118">
        <v>7</v>
      </c>
      <c r="G232" s="120">
        <f>ROUND((D232*E232*F232),2)</f>
        <v>1058998.8500000001</v>
      </c>
      <c r="H232" s="280" t="s">
        <v>261</v>
      </c>
      <c r="I232" s="452"/>
      <c r="J232" s="26">
        <f>D232+D240+D248</f>
        <v>22742</v>
      </c>
      <c r="K232" s="250"/>
      <c r="L232" s="188"/>
      <c r="M232" s="10"/>
      <c r="N232" s="10"/>
    </row>
    <row r="233" spans="1:14" s="114" customFormat="1" ht="20.100000000000001" customHeight="1" x14ac:dyDescent="0.25">
      <c r="A233" s="27" t="s">
        <v>262</v>
      </c>
      <c r="B233" s="107" t="s">
        <v>263</v>
      </c>
      <c r="C233" s="108" t="s">
        <v>23</v>
      </c>
      <c r="D233" s="109">
        <v>149695</v>
      </c>
      <c r="E233" s="110"/>
      <c r="F233" s="109"/>
      <c r="G233" s="111">
        <f>SUM(G234:G235)</f>
        <v>5365118.5</v>
      </c>
      <c r="H233" s="279"/>
      <c r="I233" s="452"/>
      <c r="J233" s="26"/>
      <c r="K233" s="250"/>
      <c r="L233" s="113"/>
      <c r="M233" s="261"/>
      <c r="N233" s="261"/>
    </row>
    <row r="234" spans="1:14" s="1" customFormat="1" ht="20.25" customHeight="1" x14ac:dyDescent="0.25">
      <c r="A234" s="115"/>
      <c r="B234" s="116" t="s">
        <v>264</v>
      </c>
      <c r="C234" s="117" t="s">
        <v>23</v>
      </c>
      <c r="D234" s="118">
        <v>74850</v>
      </c>
      <c r="E234" s="186">
        <f>E191</f>
        <v>6.54</v>
      </c>
      <c r="F234" s="118">
        <v>7</v>
      </c>
      <c r="G234" s="120">
        <f>ROUND((D234*E234*F234),2)</f>
        <v>3426633</v>
      </c>
      <c r="H234" s="280" t="s">
        <v>229</v>
      </c>
      <c r="I234" s="452"/>
      <c r="J234" s="26">
        <f>D234+D242+D250</f>
        <v>154378</v>
      </c>
      <c r="K234" s="250"/>
      <c r="L234" s="3"/>
      <c r="M234" s="10"/>
      <c r="N234" s="10"/>
    </row>
    <row r="235" spans="1:14" s="1" customFormat="1" ht="19.5" customHeight="1" x14ac:dyDescent="0.25">
      <c r="A235" s="57"/>
      <c r="B235" s="116" t="s">
        <v>265</v>
      </c>
      <c r="C235" s="117" t="s">
        <v>23</v>
      </c>
      <c r="D235" s="118">
        <f>D233-D234</f>
        <v>74845</v>
      </c>
      <c r="E235" s="186">
        <f>E192</f>
        <v>3.7</v>
      </c>
      <c r="F235" s="118">
        <v>7</v>
      </c>
      <c r="G235" s="120">
        <f>ROUND((D235*E235*F235),2)</f>
        <v>1938485.5</v>
      </c>
      <c r="H235" s="280" t="s">
        <v>230</v>
      </c>
      <c r="I235" s="452"/>
      <c r="J235" s="26">
        <f>D235+D243+D251</f>
        <v>148509</v>
      </c>
      <c r="K235" s="250"/>
      <c r="L235" s="25"/>
      <c r="M235" s="25"/>
      <c r="N235" s="10"/>
    </row>
    <row r="236" spans="1:14" s="114" customFormat="1" ht="20.100000000000001" customHeight="1" x14ac:dyDescent="0.25">
      <c r="A236" s="27" t="s">
        <v>266</v>
      </c>
      <c r="B236" s="107" t="s">
        <v>267</v>
      </c>
      <c r="C236" s="108" t="s">
        <v>23</v>
      </c>
      <c r="D236" s="109">
        <v>29523</v>
      </c>
      <c r="E236" s="124"/>
      <c r="F236" s="109"/>
      <c r="G236" s="111">
        <f>SUM(G237:G240)</f>
        <v>3003423.14</v>
      </c>
      <c r="H236" s="279"/>
      <c r="I236" s="452"/>
      <c r="J236" s="26"/>
      <c r="K236" s="250"/>
      <c r="L236" s="113"/>
      <c r="M236" s="261"/>
      <c r="N236" s="261"/>
    </row>
    <row r="237" spans="1:14" s="1" customFormat="1" ht="19.149999999999999" customHeight="1" x14ac:dyDescent="0.25">
      <c r="A237" s="115"/>
      <c r="B237" s="116" t="s">
        <v>257</v>
      </c>
      <c r="C237" s="117" t="s">
        <v>23</v>
      </c>
      <c r="D237" s="185">
        <f>ROUND((D236*85%),0)</f>
        <v>25095</v>
      </c>
      <c r="E237" s="186">
        <f>E229</f>
        <v>7.37</v>
      </c>
      <c r="F237" s="118">
        <v>5</v>
      </c>
      <c r="G237" s="120">
        <f>ROUND((D237*E237*F237),2)</f>
        <v>924750.75</v>
      </c>
      <c r="H237" s="280">
        <v>103</v>
      </c>
      <c r="I237" s="452"/>
      <c r="J237" s="26"/>
      <c r="K237" s="250"/>
      <c r="L237" s="188"/>
      <c r="M237" s="10"/>
      <c r="N237" s="10"/>
    </row>
    <row r="238" spans="1:14" s="1" customFormat="1" ht="20.100000000000001" customHeight="1" x14ac:dyDescent="0.25">
      <c r="A238" s="115"/>
      <c r="B238" s="116" t="s">
        <v>258</v>
      </c>
      <c r="C238" s="117" t="s">
        <v>23</v>
      </c>
      <c r="D238" s="185">
        <f>D236-D237</f>
        <v>4428</v>
      </c>
      <c r="E238" s="186">
        <f>E230</f>
        <v>59.08</v>
      </c>
      <c r="F238" s="118">
        <v>5</v>
      </c>
      <c r="G238" s="120">
        <f>ROUND((D238*E238*F238),2)</f>
        <v>1308031.2</v>
      </c>
      <c r="H238" s="280" t="s">
        <v>221</v>
      </c>
      <c r="I238" s="452"/>
      <c r="J238" s="26"/>
      <c r="K238" s="250"/>
      <c r="L238" s="178"/>
      <c r="M238" s="10"/>
      <c r="N238" s="10"/>
    </row>
    <row r="239" spans="1:14" s="1" customFormat="1" ht="19.149999999999999" customHeight="1" x14ac:dyDescent="0.25">
      <c r="A239" s="115"/>
      <c r="B239" s="116" t="s">
        <v>259</v>
      </c>
      <c r="C239" s="117" t="s">
        <v>23</v>
      </c>
      <c r="D239" s="185">
        <f>ROUND((D236*75%),0)</f>
        <v>22142</v>
      </c>
      <c r="E239" s="186">
        <f>E231</f>
        <v>4.51</v>
      </c>
      <c r="F239" s="118">
        <v>2</v>
      </c>
      <c r="G239" s="120">
        <f>ROUND((D239*E239*F239),2)</f>
        <v>199720.84</v>
      </c>
      <c r="H239" s="280">
        <v>104</v>
      </c>
      <c r="I239" s="452"/>
      <c r="J239" s="26"/>
      <c r="K239" s="250"/>
      <c r="L239" s="178"/>
      <c r="M239" s="10"/>
      <c r="N239" s="10"/>
    </row>
    <row r="240" spans="1:14" s="1" customFormat="1" ht="20.100000000000001" customHeight="1" x14ac:dyDescent="0.25">
      <c r="A240" s="115"/>
      <c r="B240" s="116" t="s">
        <v>260</v>
      </c>
      <c r="C240" s="117" t="s">
        <v>23</v>
      </c>
      <c r="D240" s="185">
        <f>D236-D239</f>
        <v>7381</v>
      </c>
      <c r="E240" s="186">
        <f>E232</f>
        <v>11.05</v>
      </c>
      <c r="F240" s="118">
        <v>7</v>
      </c>
      <c r="G240" s="120">
        <f>ROUND((D240*E240*F240),2)</f>
        <v>570920.35</v>
      </c>
      <c r="H240" s="280" t="s">
        <v>261</v>
      </c>
      <c r="I240" s="452"/>
      <c r="J240" s="26"/>
      <c r="K240" s="250"/>
      <c r="L240" s="178"/>
      <c r="M240" s="10"/>
      <c r="N240" s="10"/>
    </row>
    <row r="241" spans="1:14" s="114" customFormat="1" ht="20.100000000000001" customHeight="1" x14ac:dyDescent="0.25">
      <c r="A241" s="27" t="s">
        <v>268</v>
      </c>
      <c r="B241" s="107" t="s">
        <v>269</v>
      </c>
      <c r="C241" s="108" t="s">
        <v>23</v>
      </c>
      <c r="D241" s="109">
        <v>93242</v>
      </c>
      <c r="E241" s="110"/>
      <c r="F241" s="109"/>
      <c r="G241" s="111">
        <f>SUM(G242:G243)</f>
        <v>3400081.44</v>
      </c>
      <c r="H241" s="279"/>
      <c r="I241" s="452"/>
      <c r="J241" s="26"/>
      <c r="K241" s="250"/>
      <c r="L241" s="113"/>
      <c r="M241" s="261"/>
      <c r="N241" s="261"/>
    </row>
    <row r="242" spans="1:14" s="1" customFormat="1" ht="21.75" customHeight="1" x14ac:dyDescent="0.25">
      <c r="A242" s="115"/>
      <c r="B242" s="116" t="s">
        <v>264</v>
      </c>
      <c r="C242" s="117" t="s">
        <v>23</v>
      </c>
      <c r="D242" s="118">
        <v>49553</v>
      </c>
      <c r="E242" s="186">
        <f>E234</f>
        <v>6.54</v>
      </c>
      <c r="F242" s="118">
        <v>7</v>
      </c>
      <c r="G242" s="120">
        <f>ROUND((D242*E242*F242),2)</f>
        <v>2268536.34</v>
      </c>
      <c r="H242" s="280" t="s">
        <v>229</v>
      </c>
      <c r="I242" s="452"/>
      <c r="J242" s="26"/>
      <c r="K242" s="250"/>
      <c r="L242" s="3"/>
      <c r="M242" s="10"/>
      <c r="N242" s="10"/>
    </row>
    <row r="243" spans="1:14" s="1" customFormat="1" ht="19.5" customHeight="1" x14ac:dyDescent="0.25">
      <c r="A243" s="57"/>
      <c r="B243" s="116" t="s">
        <v>265</v>
      </c>
      <c r="C243" s="117" t="s">
        <v>23</v>
      </c>
      <c r="D243" s="118">
        <f>D241-D242</f>
        <v>43689</v>
      </c>
      <c r="E243" s="186">
        <f>E235</f>
        <v>3.7</v>
      </c>
      <c r="F243" s="118">
        <v>7</v>
      </c>
      <c r="G243" s="120">
        <f>ROUND((D243*E243*F243),2)</f>
        <v>1131545.1000000001</v>
      </c>
      <c r="H243" s="280" t="s">
        <v>230</v>
      </c>
      <c r="I243" s="452"/>
      <c r="J243" s="26"/>
      <c r="K243" s="250"/>
      <c r="L243" s="25"/>
      <c r="M243" s="25"/>
      <c r="N243" s="10"/>
    </row>
    <row r="244" spans="1:14" s="114" customFormat="1" ht="20.100000000000001" customHeight="1" x14ac:dyDescent="0.25">
      <c r="A244" s="27" t="s">
        <v>270</v>
      </c>
      <c r="B244" s="107" t="s">
        <v>271</v>
      </c>
      <c r="C244" s="108" t="s">
        <v>23</v>
      </c>
      <c r="D244" s="109">
        <v>6680</v>
      </c>
      <c r="E244" s="124"/>
      <c r="F244" s="109"/>
      <c r="G244" s="111">
        <f>SUM(G245:G248)</f>
        <v>679589.79999999993</v>
      </c>
      <c r="H244" s="279"/>
      <c r="I244" s="452"/>
      <c r="J244" s="26"/>
      <c r="K244" s="250"/>
      <c r="L244" s="113"/>
      <c r="M244" s="261"/>
      <c r="N244" s="261"/>
    </row>
    <row r="245" spans="1:14" s="1" customFormat="1" ht="20.100000000000001" customHeight="1" x14ac:dyDescent="0.25">
      <c r="A245" s="115"/>
      <c r="B245" s="116" t="s">
        <v>257</v>
      </c>
      <c r="C245" s="117" t="s">
        <v>23</v>
      </c>
      <c r="D245" s="185">
        <f>ROUND((D244*85%),0)</f>
        <v>5678</v>
      </c>
      <c r="E245" s="186">
        <f>E237</f>
        <v>7.37</v>
      </c>
      <c r="F245" s="118">
        <v>5</v>
      </c>
      <c r="G245" s="120">
        <f>ROUND((D245*E245*F245),2)</f>
        <v>209234.3</v>
      </c>
      <c r="H245" s="280">
        <v>103</v>
      </c>
      <c r="I245" s="452"/>
      <c r="J245" s="26"/>
      <c r="K245" s="250"/>
      <c r="L245" s="188"/>
      <c r="M245" s="10"/>
      <c r="N245" s="10"/>
    </row>
    <row r="246" spans="1:14" s="1" customFormat="1" ht="20.100000000000001" customHeight="1" x14ac:dyDescent="0.25">
      <c r="A246" s="115"/>
      <c r="B246" s="116" t="s">
        <v>258</v>
      </c>
      <c r="C246" s="117" t="s">
        <v>23</v>
      </c>
      <c r="D246" s="185">
        <f>D244-D245</f>
        <v>1002</v>
      </c>
      <c r="E246" s="186">
        <f>E238</f>
        <v>59.08</v>
      </c>
      <c r="F246" s="118">
        <v>5</v>
      </c>
      <c r="G246" s="120">
        <f>ROUND((D246*E246*F246),2)</f>
        <v>295990.8</v>
      </c>
      <c r="H246" s="280" t="s">
        <v>221</v>
      </c>
      <c r="I246" s="452"/>
      <c r="J246" s="26"/>
      <c r="K246" s="250"/>
      <c r="L246" s="178"/>
      <c r="M246" s="10"/>
      <c r="N246" s="10"/>
    </row>
    <row r="247" spans="1:14" s="1" customFormat="1" ht="20.100000000000001" customHeight="1" x14ac:dyDescent="0.25">
      <c r="A247" s="115"/>
      <c r="B247" s="116" t="s">
        <v>259</v>
      </c>
      <c r="C247" s="117" t="s">
        <v>23</v>
      </c>
      <c r="D247" s="185">
        <f>ROUND((D244*75%),0)</f>
        <v>5010</v>
      </c>
      <c r="E247" s="186">
        <f>E239</f>
        <v>4.51</v>
      </c>
      <c r="F247" s="118">
        <v>2</v>
      </c>
      <c r="G247" s="120">
        <f>ROUND((D247*E247*F247),2)</f>
        <v>45190.2</v>
      </c>
      <c r="H247" s="280">
        <v>104</v>
      </c>
      <c r="I247" s="452"/>
      <c r="J247" s="26"/>
      <c r="K247" s="250"/>
      <c r="L247" s="178"/>
      <c r="M247" s="10"/>
      <c r="N247" s="10"/>
    </row>
    <row r="248" spans="1:14" s="1" customFormat="1" ht="20.100000000000001" customHeight="1" x14ac:dyDescent="0.25">
      <c r="A248" s="115"/>
      <c r="B248" s="116" t="s">
        <v>260</v>
      </c>
      <c r="C248" s="117" t="s">
        <v>23</v>
      </c>
      <c r="D248" s="185">
        <f>D244-D247</f>
        <v>1670</v>
      </c>
      <c r="E248" s="186">
        <f>E240</f>
        <v>11.05</v>
      </c>
      <c r="F248" s="118">
        <v>7</v>
      </c>
      <c r="G248" s="120">
        <f>ROUND((D248*E248*F248),2)</f>
        <v>129174.5</v>
      </c>
      <c r="H248" s="280" t="s">
        <v>261</v>
      </c>
      <c r="I248" s="452"/>
      <c r="J248" s="26"/>
      <c r="K248" s="250"/>
      <c r="L248" s="178"/>
      <c r="M248" s="10"/>
      <c r="N248" s="10"/>
    </row>
    <row r="249" spans="1:14" s="114" customFormat="1" ht="20.100000000000001" customHeight="1" x14ac:dyDescent="0.25">
      <c r="A249" s="27" t="s">
        <v>272</v>
      </c>
      <c r="B249" s="107" t="s">
        <v>273</v>
      </c>
      <c r="C249" s="108" t="s">
        <v>23</v>
      </c>
      <c r="D249" s="109">
        <v>59950</v>
      </c>
      <c r="E249" s="110"/>
      <c r="F249" s="109"/>
      <c r="G249" s="111">
        <f>SUM(G250:G251)</f>
        <v>2148608</v>
      </c>
      <c r="H249" s="279"/>
      <c r="I249" s="452"/>
      <c r="J249" s="26"/>
      <c r="K249" s="250"/>
      <c r="L249" s="113"/>
      <c r="M249" s="261"/>
      <c r="N249" s="261"/>
    </row>
    <row r="250" spans="1:14" s="1" customFormat="1" ht="21" customHeight="1" x14ac:dyDescent="0.25">
      <c r="A250" s="115"/>
      <c r="B250" s="116" t="s">
        <v>264</v>
      </c>
      <c r="C250" s="117" t="s">
        <v>23</v>
      </c>
      <c r="D250" s="118">
        <f>D249*50%</f>
        <v>29975</v>
      </c>
      <c r="E250" s="186">
        <f>E242</f>
        <v>6.54</v>
      </c>
      <c r="F250" s="118">
        <v>7</v>
      </c>
      <c r="G250" s="120">
        <f>ROUND((D250*E250*F250),2)</f>
        <v>1372255.5</v>
      </c>
      <c r="H250" s="280" t="s">
        <v>229</v>
      </c>
      <c r="I250" s="452"/>
      <c r="J250" s="26"/>
      <c r="K250" s="250"/>
      <c r="L250" s="3"/>
      <c r="M250" s="10"/>
      <c r="N250" s="10"/>
    </row>
    <row r="251" spans="1:14" s="1" customFormat="1" ht="19.5" customHeight="1" x14ac:dyDescent="0.25">
      <c r="A251" s="57"/>
      <c r="B251" s="116" t="s">
        <v>265</v>
      </c>
      <c r="C251" s="117" t="s">
        <v>23</v>
      </c>
      <c r="D251" s="118">
        <f>D249-D250</f>
        <v>29975</v>
      </c>
      <c r="E251" s="186">
        <f>E243</f>
        <v>3.7</v>
      </c>
      <c r="F251" s="118">
        <v>7</v>
      </c>
      <c r="G251" s="120">
        <f>ROUND((D251*E251*F251),2)</f>
        <v>776352.5</v>
      </c>
      <c r="H251" s="280" t="s">
        <v>230</v>
      </c>
      <c r="I251" s="452"/>
      <c r="J251" s="26"/>
      <c r="K251" s="250"/>
      <c r="L251" s="25"/>
      <c r="M251" s="25"/>
      <c r="N251" s="10"/>
    </row>
    <row r="252" spans="1:14" s="114" customFormat="1" ht="17.25" customHeight="1" x14ac:dyDescent="0.25">
      <c r="A252" s="27" t="s">
        <v>274</v>
      </c>
      <c r="B252" s="107" t="s">
        <v>275</v>
      </c>
      <c r="C252" s="108" t="s">
        <v>23</v>
      </c>
      <c r="D252" s="109">
        <v>67510</v>
      </c>
      <c r="E252" s="152"/>
      <c r="F252" s="109"/>
      <c r="G252" s="111">
        <f>G253+G254</f>
        <v>1279331</v>
      </c>
      <c r="H252" s="279"/>
      <c r="I252" s="452" t="s">
        <v>394</v>
      </c>
      <c r="J252" s="26"/>
      <c r="K252" s="250"/>
      <c r="L252" s="113"/>
      <c r="M252" s="261"/>
      <c r="N252" s="261"/>
    </row>
    <row r="253" spans="1:14" s="114" customFormat="1" ht="17.25" customHeight="1" x14ac:dyDescent="0.25">
      <c r="A253" s="27"/>
      <c r="B253" s="116" t="s">
        <v>276</v>
      </c>
      <c r="C253" s="117" t="s">
        <v>23</v>
      </c>
      <c r="D253" s="118">
        <v>12500</v>
      </c>
      <c r="E253" s="189">
        <v>13.34</v>
      </c>
      <c r="F253" s="130">
        <v>5</v>
      </c>
      <c r="G253" s="120">
        <f>D253*E253*F253</f>
        <v>833750</v>
      </c>
      <c r="H253" s="280">
        <v>96</v>
      </c>
      <c r="I253" s="452"/>
      <c r="J253" s="26"/>
      <c r="K253" s="250"/>
      <c r="L253" s="113"/>
      <c r="M253" s="261"/>
      <c r="N253" s="261"/>
    </row>
    <row r="254" spans="1:14" s="114" customFormat="1" ht="17.25" customHeight="1" x14ac:dyDescent="0.25">
      <c r="A254" s="27"/>
      <c r="B254" s="116" t="s">
        <v>277</v>
      </c>
      <c r="C254" s="117" t="s">
        <v>23</v>
      </c>
      <c r="D254" s="118">
        <f>D252-D253</f>
        <v>55010</v>
      </c>
      <c r="E254" s="189">
        <v>1.62</v>
      </c>
      <c r="F254" s="130">
        <v>5</v>
      </c>
      <c r="G254" s="120">
        <f>D254*E254*F254</f>
        <v>445581.00000000006</v>
      </c>
      <c r="H254" s="280" t="s">
        <v>241</v>
      </c>
      <c r="I254" s="452"/>
      <c r="J254" s="26"/>
      <c r="K254" s="250"/>
      <c r="L254" s="113"/>
      <c r="M254" s="261"/>
      <c r="N254" s="261"/>
    </row>
    <row r="255" spans="1:14" s="1" customFormat="1" ht="19.5" customHeight="1" x14ac:dyDescent="0.25">
      <c r="A255" s="27" t="s">
        <v>0</v>
      </c>
      <c r="B255" s="21" t="s">
        <v>4</v>
      </c>
      <c r="C255" s="45" t="s">
        <v>278</v>
      </c>
      <c r="D255" s="190">
        <f>D256</f>
        <v>40</v>
      </c>
      <c r="E255" s="2"/>
      <c r="F255" s="29"/>
      <c r="G255" s="56">
        <f>G256</f>
        <v>38604</v>
      </c>
      <c r="H255" s="275"/>
      <c r="I255" s="315"/>
      <c r="J255" s="26"/>
      <c r="K255" s="26"/>
      <c r="L255" s="25"/>
      <c r="M255" s="25"/>
      <c r="N255" s="10"/>
    </row>
    <row r="256" spans="1:14" s="3" customFormat="1" ht="19.5" customHeight="1" x14ac:dyDescent="0.25">
      <c r="A256" s="122" t="s">
        <v>279</v>
      </c>
      <c r="B256" s="32" t="s">
        <v>280</v>
      </c>
      <c r="C256" s="63" t="s">
        <v>278</v>
      </c>
      <c r="D256" s="173">
        <v>40</v>
      </c>
      <c r="E256" s="106">
        <v>965.1</v>
      </c>
      <c r="F256" s="69"/>
      <c r="G256" s="60">
        <f>ROUND((D256*E256),2)</f>
        <v>38604</v>
      </c>
      <c r="H256" s="277">
        <v>121</v>
      </c>
      <c r="I256" s="315"/>
      <c r="J256" s="26"/>
      <c r="K256" s="26"/>
      <c r="L256" s="25"/>
      <c r="M256" s="25"/>
      <c r="N256" s="25"/>
    </row>
    <row r="257" spans="1:14" s="3" customFormat="1" ht="19.5" customHeight="1" x14ac:dyDescent="0.25">
      <c r="A257" s="122" t="s">
        <v>281</v>
      </c>
      <c r="B257" s="191" t="s">
        <v>4</v>
      </c>
      <c r="C257" s="135" t="s">
        <v>278</v>
      </c>
      <c r="D257" s="192">
        <v>180</v>
      </c>
      <c r="E257" s="8"/>
      <c r="F257" s="138"/>
      <c r="G257" s="56">
        <f>SUM(G258:G260)</f>
        <v>123661.8</v>
      </c>
      <c r="H257" s="277"/>
      <c r="I257" s="315"/>
      <c r="J257" s="26"/>
      <c r="K257" s="26"/>
      <c r="L257" s="25"/>
      <c r="M257" s="25"/>
      <c r="N257" s="25"/>
    </row>
    <row r="258" spans="1:14" s="3" customFormat="1" ht="19.5" customHeight="1" x14ac:dyDescent="0.25">
      <c r="A258" s="122" t="s">
        <v>282</v>
      </c>
      <c r="B258" s="32" t="s">
        <v>283</v>
      </c>
      <c r="C258" s="63" t="s">
        <v>278</v>
      </c>
      <c r="D258" s="193">
        <v>77.221000000000004</v>
      </c>
      <c r="E258" s="106">
        <v>386.04</v>
      </c>
      <c r="F258" s="69">
        <v>1</v>
      </c>
      <c r="G258" s="60">
        <f>ROUND((D258*E258*F258),2)</f>
        <v>29810.39</v>
      </c>
      <c r="H258" s="277">
        <v>122</v>
      </c>
      <c r="I258" s="315"/>
      <c r="J258" s="26">
        <f>[1]Прейскурант!$E$159</f>
        <v>386.03999999999996</v>
      </c>
      <c r="K258" s="26"/>
      <c r="L258" s="25"/>
      <c r="M258" s="25"/>
      <c r="N258" s="25"/>
    </row>
    <row r="259" spans="1:14" s="3" customFormat="1" ht="19.5" customHeight="1" x14ac:dyDescent="0.25">
      <c r="A259" s="122"/>
      <c r="B259" s="32" t="s">
        <v>284</v>
      </c>
      <c r="C259" s="63" t="s">
        <v>278</v>
      </c>
      <c r="D259" s="193">
        <f>D257-D258</f>
        <v>102.779</v>
      </c>
      <c r="E259" s="106">
        <f>E258</f>
        <v>386.04</v>
      </c>
      <c r="F259" s="69">
        <v>2</v>
      </c>
      <c r="G259" s="60">
        <f>ROUND((D259*E259*F259),2)</f>
        <v>79353.61</v>
      </c>
      <c r="H259" s="277">
        <v>122</v>
      </c>
      <c r="I259" s="315"/>
      <c r="J259" s="26"/>
      <c r="K259" s="26"/>
      <c r="L259" s="25"/>
      <c r="M259" s="25"/>
      <c r="N259" s="25"/>
    </row>
    <row r="260" spans="1:14" s="3" customFormat="1" ht="19.5" customHeight="1" x14ac:dyDescent="0.25">
      <c r="A260" s="122" t="s">
        <v>285</v>
      </c>
      <c r="B260" s="32" t="s">
        <v>286</v>
      </c>
      <c r="C260" s="63" t="s">
        <v>72</v>
      </c>
      <c r="D260" s="168">
        <v>15</v>
      </c>
      <c r="E260" s="106">
        <v>966.52</v>
      </c>
      <c r="F260" s="69">
        <v>1</v>
      </c>
      <c r="G260" s="60">
        <f>ROUND((D260*E260*F260),2)</f>
        <v>14497.8</v>
      </c>
      <c r="H260" s="277">
        <v>123</v>
      </c>
      <c r="I260" s="315"/>
      <c r="J260" s="26">
        <f>[1]Прейскурант!$E$160</f>
        <v>966.51886000000002</v>
      </c>
      <c r="K260" s="26"/>
      <c r="L260" s="25"/>
      <c r="M260" s="25"/>
      <c r="N260" s="25"/>
    </row>
    <row r="261" spans="1:14" s="197" customFormat="1" ht="32.25" customHeight="1" x14ac:dyDescent="0.25">
      <c r="A261" s="122" t="s">
        <v>5</v>
      </c>
      <c r="B261" s="191" t="s">
        <v>287</v>
      </c>
      <c r="C261" s="104"/>
      <c r="D261" s="194">
        <f>D262</f>
        <v>1728</v>
      </c>
      <c r="E261" s="8"/>
      <c r="F261" s="63"/>
      <c r="G261" s="132">
        <f>G262</f>
        <v>1767640.32</v>
      </c>
      <c r="H261" s="277"/>
      <c r="I261" s="325"/>
      <c r="J261" s="196"/>
      <c r="K261" s="254"/>
      <c r="L261" s="264"/>
      <c r="M261" s="264"/>
      <c r="N261" s="195"/>
    </row>
    <row r="262" spans="1:14" s="197" customFormat="1" ht="21.75" customHeight="1" x14ac:dyDescent="0.25">
      <c r="A262" s="122" t="s">
        <v>288</v>
      </c>
      <c r="B262" s="32" t="s">
        <v>289</v>
      </c>
      <c r="C262" s="104" t="s">
        <v>290</v>
      </c>
      <c r="D262" s="7">
        <v>1728</v>
      </c>
      <c r="E262" s="35"/>
      <c r="F262" s="63"/>
      <c r="G262" s="60">
        <v>1767640.32</v>
      </c>
      <c r="H262" s="4" t="s">
        <v>182</v>
      </c>
      <c r="I262" s="322"/>
      <c r="J262" s="196"/>
      <c r="K262" s="254"/>
      <c r="L262" s="265"/>
      <c r="M262" s="264"/>
      <c r="N262" s="195"/>
    </row>
    <row r="263" spans="1:14" s="197" customFormat="1" ht="24.75" customHeight="1" x14ac:dyDescent="0.25">
      <c r="A263" s="198"/>
      <c r="B263" s="199"/>
      <c r="C263" s="200"/>
      <c r="D263" s="201"/>
      <c r="E263" s="202"/>
      <c r="F263" s="203"/>
      <c r="G263" s="204"/>
      <c r="H263" s="205"/>
      <c r="I263" s="322"/>
      <c r="J263" s="196"/>
      <c r="K263" s="254"/>
      <c r="L263" s="265"/>
      <c r="M263" s="264"/>
      <c r="N263" s="195"/>
    </row>
    <row r="264" spans="1:14" s="197" customFormat="1" ht="24.75" customHeight="1" x14ac:dyDescent="0.25">
      <c r="A264" s="198"/>
      <c r="B264" s="199"/>
      <c r="C264" s="200"/>
      <c r="D264" s="9"/>
      <c r="E264" s="202"/>
      <c r="F264" s="203"/>
      <c r="G264" s="204"/>
      <c r="H264" s="205"/>
      <c r="I264" s="322"/>
      <c r="J264" s="196"/>
      <c r="K264" s="254"/>
      <c r="L264" s="265"/>
      <c r="M264" s="264"/>
      <c r="N264" s="195"/>
    </row>
    <row r="265" spans="1:14" ht="21" customHeight="1" x14ac:dyDescent="0.25">
      <c r="B265" s="206"/>
      <c r="G265" s="206"/>
      <c r="I265" s="322"/>
      <c r="J265" s="196"/>
      <c r="K265" s="254"/>
      <c r="L265" s="265"/>
    </row>
    <row r="266" spans="1:14" ht="22.5" customHeight="1" x14ac:dyDescent="0.25">
      <c r="I266" s="322"/>
      <c r="L266" s="266"/>
    </row>
    <row r="267" spans="1:14" x14ac:dyDescent="0.25">
      <c r="B267" s="209"/>
      <c r="C267" t="s">
        <v>291</v>
      </c>
      <c r="G267" s="208"/>
      <c r="I267" s="322"/>
      <c r="L267" s="266"/>
    </row>
    <row r="268" spans="1:14" x14ac:dyDescent="0.25">
      <c r="B268" s="210"/>
      <c r="C268" t="s">
        <v>292</v>
      </c>
      <c r="G268" s="208"/>
      <c r="I268" s="322"/>
      <c r="L268" s="266"/>
    </row>
    <row r="269" spans="1:14" ht="21.75" customHeight="1" x14ac:dyDescent="0.25">
      <c r="B269" s="211"/>
      <c r="C269" t="s">
        <v>293</v>
      </c>
      <c r="G269" s="208"/>
      <c r="I269" s="322"/>
      <c r="L269" s="266"/>
    </row>
    <row r="270" spans="1:14" s="197" customFormat="1" x14ac:dyDescent="0.25">
      <c r="G270" s="195"/>
      <c r="I270" s="322"/>
      <c r="J270" s="196"/>
      <c r="K270" s="254"/>
      <c r="L270" s="265"/>
      <c r="M270" s="264"/>
      <c r="N270" s="195"/>
    </row>
    <row r="271" spans="1:14" x14ac:dyDescent="0.25">
      <c r="I271" s="322"/>
    </row>
    <row r="272" spans="1:14" ht="18.75" x14ac:dyDescent="0.3">
      <c r="B272" t="s">
        <v>294</v>
      </c>
      <c r="D272" s="212"/>
      <c r="G272" s="213">
        <f>G8+G144+G155-G157+G178+G179</f>
        <v>131618886.19199999</v>
      </c>
      <c r="I272" s="323"/>
      <c r="J272" s="214"/>
      <c r="K272" s="256"/>
      <c r="L272" s="264"/>
    </row>
    <row r="273" spans="2:12" x14ac:dyDescent="0.25">
      <c r="B273" t="s">
        <v>295</v>
      </c>
      <c r="G273" s="213">
        <f>G157</f>
        <v>2093153.83</v>
      </c>
      <c r="I273" s="324"/>
      <c r="J273" s="216"/>
      <c r="K273" s="257"/>
      <c r="L273" s="264"/>
    </row>
    <row r="274" spans="2:12" x14ac:dyDescent="0.25">
      <c r="B274" t="s">
        <v>296</v>
      </c>
      <c r="G274" s="213">
        <f>G255+G257</f>
        <v>162265.79999999999</v>
      </c>
      <c r="I274" s="324"/>
      <c r="J274" s="216"/>
      <c r="K274" s="257"/>
      <c r="L274" s="264"/>
    </row>
    <row r="275" spans="2:12" x14ac:dyDescent="0.25">
      <c r="B275" t="s">
        <v>297</v>
      </c>
      <c r="G275" s="213">
        <f>G261</f>
        <v>1767640.32</v>
      </c>
      <c r="I275" s="324"/>
      <c r="J275" s="216"/>
      <c r="K275" s="257"/>
      <c r="L275" s="264"/>
    </row>
    <row r="276" spans="2:12" x14ac:dyDescent="0.25">
      <c r="B276" t="s">
        <v>298</v>
      </c>
      <c r="G276" s="213">
        <f>SUM(G272:G275)</f>
        <v>135641946.14199999</v>
      </c>
      <c r="I276" s="324"/>
      <c r="J276" s="216"/>
      <c r="K276" s="257"/>
      <c r="L276" s="264"/>
    </row>
    <row r="277" spans="2:12" x14ac:dyDescent="0.25">
      <c r="B277" t="s">
        <v>299</v>
      </c>
      <c r="G277" s="213">
        <v>2126052</v>
      </c>
      <c r="I277" s="324"/>
      <c r="J277" s="216"/>
      <c r="K277" s="257"/>
      <c r="L277" s="264"/>
    </row>
    <row r="278" spans="2:12" x14ac:dyDescent="0.25">
      <c r="G278" s="213"/>
      <c r="I278" s="322"/>
      <c r="J278" s="196"/>
      <c r="K278" s="257"/>
      <c r="L278" s="264"/>
    </row>
    <row r="279" spans="2:12" x14ac:dyDescent="0.25">
      <c r="B279" t="s">
        <v>300</v>
      </c>
      <c r="G279" s="213">
        <f>G276+G277+G278</f>
        <v>137767998.14199999</v>
      </c>
      <c r="H279" s="208"/>
      <c r="I279" s="322"/>
      <c r="J279" s="196"/>
      <c r="K279" s="257"/>
      <c r="L279" s="264"/>
    </row>
    <row r="280" spans="2:12" x14ac:dyDescent="0.25">
      <c r="I280" s="322"/>
    </row>
    <row r="281" spans="2:12" x14ac:dyDescent="0.25">
      <c r="I281" s="322"/>
    </row>
    <row r="282" spans="2:12" x14ac:dyDescent="0.25">
      <c r="C282" s="217">
        <f>[2]Смета!$G$69</f>
        <v>63645.59</v>
      </c>
      <c r="D282" s="217">
        <f>[3]Смета!$G$78</f>
        <v>35078.21</v>
      </c>
      <c r="G282" s="208"/>
      <c r="I282" s="322"/>
    </row>
    <row r="283" spans="2:12" x14ac:dyDescent="0.25">
      <c r="C283" s="217">
        <f>[4]Смета!$G$54</f>
        <v>9409.92</v>
      </c>
      <c r="D283" s="217">
        <f>[5]Смета!$G$59</f>
        <v>146419.63</v>
      </c>
      <c r="G283" s="208"/>
      <c r="I283" s="322"/>
    </row>
    <row r="284" spans="2:12" x14ac:dyDescent="0.25">
      <c r="C284" s="217">
        <f>[6]Смета!$G$71</f>
        <v>9827.7000000000007</v>
      </c>
      <c r="D284" s="217">
        <f>[7]Смета!$G$81</f>
        <v>18431.689999999999</v>
      </c>
      <c r="G284" s="208"/>
      <c r="I284" s="322"/>
    </row>
    <row r="285" spans="2:12" x14ac:dyDescent="0.25">
      <c r="C285" s="217">
        <f>[8]Смета!$G$50</f>
        <v>3876.7</v>
      </c>
      <c r="D285" s="217">
        <f>[9]Смета!$G$58</f>
        <v>65421.919999999998</v>
      </c>
      <c r="G285" s="208"/>
      <c r="I285" s="322"/>
    </row>
    <row r="286" spans="2:12" x14ac:dyDescent="0.25">
      <c r="C286" s="217">
        <f>[10]Смета!$G$41</f>
        <v>3718.2</v>
      </c>
      <c r="D286" s="217">
        <f>[11]Лист1!$G$54</f>
        <v>320098.09000000003</v>
      </c>
      <c r="G286" s="208"/>
      <c r="I286" s="322"/>
    </row>
    <row r="287" spans="2:12" x14ac:dyDescent="0.25">
      <c r="C287" s="217">
        <f>SUM(C282:C286)</f>
        <v>90478.109999999986</v>
      </c>
      <c r="D287" s="217">
        <f>[12]Смета!$G$80</f>
        <v>127440.74</v>
      </c>
      <c r="I287" s="322"/>
    </row>
    <row r="288" spans="2:12" x14ac:dyDescent="0.25">
      <c r="D288" s="217">
        <f>SUM(D282:D287)</f>
        <v>712890.28</v>
      </c>
      <c r="E288" s="208"/>
      <c r="I288" s="322"/>
    </row>
    <row r="289" spans="7:9" x14ac:dyDescent="0.25">
      <c r="I289" s="322"/>
    </row>
    <row r="290" spans="7:9" x14ac:dyDescent="0.25">
      <c r="I290" s="322"/>
    </row>
    <row r="291" spans="7:9" x14ac:dyDescent="0.25">
      <c r="I291" s="322"/>
    </row>
    <row r="292" spans="7:9" x14ac:dyDescent="0.25">
      <c r="I292" s="322"/>
    </row>
    <row r="293" spans="7:9" x14ac:dyDescent="0.25">
      <c r="I293" s="322"/>
    </row>
    <row r="294" spans="7:9" x14ac:dyDescent="0.25">
      <c r="I294" s="322"/>
    </row>
    <row r="295" spans="7:9" x14ac:dyDescent="0.25">
      <c r="I295" s="322"/>
    </row>
    <row r="296" spans="7:9" x14ac:dyDescent="0.25">
      <c r="I296" s="322"/>
    </row>
    <row r="297" spans="7:9" x14ac:dyDescent="0.25">
      <c r="I297" s="322"/>
    </row>
    <row r="298" spans="7:9" x14ac:dyDescent="0.25">
      <c r="G298" s="208"/>
      <c r="I298" s="322"/>
    </row>
    <row r="299" spans="7:9" x14ac:dyDescent="0.25">
      <c r="G299" s="208"/>
      <c r="I299" s="322"/>
    </row>
    <row r="300" spans="7:9" x14ac:dyDescent="0.25">
      <c r="G300" s="208"/>
      <c r="I300" s="322"/>
    </row>
    <row r="301" spans="7:9" x14ac:dyDescent="0.25">
      <c r="I301" s="322"/>
    </row>
    <row r="302" spans="7:9" x14ac:dyDescent="0.25">
      <c r="I302" s="322"/>
    </row>
    <row r="303" spans="7:9" x14ac:dyDescent="0.25">
      <c r="I303" s="322"/>
    </row>
    <row r="304" spans="7:9" x14ac:dyDescent="0.25">
      <c r="I304" s="322"/>
    </row>
    <row r="305" spans="9:9" x14ac:dyDescent="0.25">
      <c r="I305" s="322"/>
    </row>
    <row r="306" spans="9:9" x14ac:dyDescent="0.25">
      <c r="I306" s="322"/>
    </row>
    <row r="307" spans="9:9" x14ac:dyDescent="0.25">
      <c r="I307" s="322"/>
    </row>
    <row r="308" spans="9:9" x14ac:dyDescent="0.25">
      <c r="I308" s="322"/>
    </row>
    <row r="309" spans="9:9" x14ac:dyDescent="0.25">
      <c r="I309" s="322"/>
    </row>
    <row r="310" spans="9:9" x14ac:dyDescent="0.25">
      <c r="I310" s="322"/>
    </row>
    <row r="311" spans="9:9" x14ac:dyDescent="0.25">
      <c r="I311" s="322"/>
    </row>
    <row r="312" spans="9:9" x14ac:dyDescent="0.25">
      <c r="I312" s="322"/>
    </row>
    <row r="313" spans="9:9" x14ac:dyDescent="0.25">
      <c r="I313" s="322"/>
    </row>
    <row r="314" spans="9:9" x14ac:dyDescent="0.25">
      <c r="I314" s="322"/>
    </row>
    <row r="315" spans="9:9" x14ac:dyDescent="0.25">
      <c r="I315" s="322"/>
    </row>
    <row r="316" spans="9:9" x14ac:dyDescent="0.25">
      <c r="I316" s="322"/>
    </row>
    <row r="317" spans="9:9" x14ac:dyDescent="0.25">
      <c r="I317" s="322"/>
    </row>
    <row r="318" spans="9:9" x14ac:dyDescent="0.25">
      <c r="I318" s="322"/>
    </row>
    <row r="319" spans="9:9" x14ac:dyDescent="0.25">
      <c r="I319" s="322"/>
    </row>
    <row r="320" spans="9:9" x14ac:dyDescent="0.25">
      <c r="I320" s="322"/>
    </row>
    <row r="321" spans="9:9" x14ac:dyDescent="0.25">
      <c r="I321" s="322"/>
    </row>
    <row r="322" spans="9:9" x14ac:dyDescent="0.25">
      <c r="I322" s="322"/>
    </row>
    <row r="323" spans="9:9" x14ac:dyDescent="0.25">
      <c r="I323" s="322"/>
    </row>
    <row r="324" spans="9:9" x14ac:dyDescent="0.25">
      <c r="I324" s="322"/>
    </row>
    <row r="325" spans="9:9" x14ac:dyDescent="0.25">
      <c r="I325" s="322"/>
    </row>
    <row r="326" spans="9:9" x14ac:dyDescent="0.25">
      <c r="I326" s="322"/>
    </row>
    <row r="327" spans="9:9" x14ac:dyDescent="0.25">
      <c r="I327" s="322"/>
    </row>
    <row r="328" spans="9:9" x14ac:dyDescent="0.25">
      <c r="I328" s="322"/>
    </row>
    <row r="329" spans="9:9" x14ac:dyDescent="0.25">
      <c r="I329" s="322"/>
    </row>
    <row r="330" spans="9:9" x14ac:dyDescent="0.25">
      <c r="I330" s="322"/>
    </row>
    <row r="331" spans="9:9" x14ac:dyDescent="0.25">
      <c r="I331" s="322"/>
    </row>
    <row r="332" spans="9:9" x14ac:dyDescent="0.25">
      <c r="I332" s="322"/>
    </row>
    <row r="333" spans="9:9" x14ac:dyDescent="0.25">
      <c r="I333" s="322"/>
    </row>
    <row r="334" spans="9:9" x14ac:dyDescent="0.25">
      <c r="I334" s="322"/>
    </row>
    <row r="335" spans="9:9" x14ac:dyDescent="0.25">
      <c r="I335" s="322"/>
    </row>
    <row r="336" spans="9:9" x14ac:dyDescent="0.25">
      <c r="I336" s="322"/>
    </row>
    <row r="337" spans="9:9" x14ac:dyDescent="0.25">
      <c r="I337" s="322"/>
    </row>
    <row r="338" spans="9:9" x14ac:dyDescent="0.25">
      <c r="I338" s="322"/>
    </row>
    <row r="339" spans="9:9" x14ac:dyDescent="0.25">
      <c r="I339" s="322"/>
    </row>
    <row r="340" spans="9:9" x14ac:dyDescent="0.25">
      <c r="I340" s="322"/>
    </row>
    <row r="341" spans="9:9" x14ac:dyDescent="0.25">
      <c r="I341" s="322"/>
    </row>
    <row r="342" spans="9:9" x14ac:dyDescent="0.25">
      <c r="I342" s="322"/>
    </row>
    <row r="343" spans="9:9" x14ac:dyDescent="0.25">
      <c r="I343" s="322"/>
    </row>
    <row r="344" spans="9:9" x14ac:dyDescent="0.25">
      <c r="I344" s="322"/>
    </row>
    <row r="345" spans="9:9" x14ac:dyDescent="0.25">
      <c r="I345" s="322"/>
    </row>
    <row r="346" spans="9:9" x14ac:dyDescent="0.25">
      <c r="I346" s="322"/>
    </row>
    <row r="347" spans="9:9" x14ac:dyDescent="0.25">
      <c r="I347" s="322"/>
    </row>
    <row r="348" spans="9:9" x14ac:dyDescent="0.25">
      <c r="I348" s="322"/>
    </row>
    <row r="349" spans="9:9" x14ac:dyDescent="0.25">
      <c r="I349" s="322"/>
    </row>
    <row r="350" spans="9:9" x14ac:dyDescent="0.25">
      <c r="I350" s="322"/>
    </row>
    <row r="351" spans="9:9" x14ac:dyDescent="0.25">
      <c r="I351" s="322"/>
    </row>
    <row r="352" spans="9:9" x14ac:dyDescent="0.25">
      <c r="I352" s="322"/>
    </row>
    <row r="353" spans="9:9" x14ac:dyDescent="0.25">
      <c r="I353" s="322"/>
    </row>
    <row r="354" spans="9:9" x14ac:dyDescent="0.25">
      <c r="I354" s="322"/>
    </row>
    <row r="355" spans="9:9" x14ac:dyDescent="0.25">
      <c r="I355" s="322"/>
    </row>
    <row r="356" spans="9:9" x14ac:dyDescent="0.25">
      <c r="I356" s="322"/>
    </row>
    <row r="357" spans="9:9" x14ac:dyDescent="0.25">
      <c r="I357" s="322"/>
    </row>
    <row r="358" spans="9:9" x14ac:dyDescent="0.25">
      <c r="I358" s="322"/>
    </row>
    <row r="359" spans="9:9" x14ac:dyDescent="0.25">
      <c r="I359" s="322"/>
    </row>
    <row r="360" spans="9:9" x14ac:dyDescent="0.25">
      <c r="I360" s="322"/>
    </row>
    <row r="361" spans="9:9" x14ac:dyDescent="0.25">
      <c r="I361" s="322"/>
    </row>
    <row r="362" spans="9:9" x14ac:dyDescent="0.25">
      <c r="I362" s="322"/>
    </row>
    <row r="363" spans="9:9" x14ac:dyDescent="0.25">
      <c r="I363" s="322"/>
    </row>
    <row r="364" spans="9:9" x14ac:dyDescent="0.25">
      <c r="I364" s="322"/>
    </row>
    <row r="365" spans="9:9" x14ac:dyDescent="0.25">
      <c r="I365" s="322"/>
    </row>
    <row r="366" spans="9:9" x14ac:dyDescent="0.25">
      <c r="I366" s="321"/>
    </row>
  </sheetData>
  <mergeCells count="27">
    <mergeCell ref="A1:H1"/>
    <mergeCell ref="A2:G2"/>
    <mergeCell ref="I78:I111"/>
    <mergeCell ref="I21:I75"/>
    <mergeCell ref="I10:I20"/>
    <mergeCell ref="I225:I226"/>
    <mergeCell ref="I112:I120"/>
    <mergeCell ref="I122:I131"/>
    <mergeCell ref="I132:I138"/>
    <mergeCell ref="I140:I152"/>
    <mergeCell ref="I158:I161"/>
    <mergeCell ref="I227:I251"/>
    <mergeCell ref="I252:I254"/>
    <mergeCell ref="I173:I177"/>
    <mergeCell ref="I165:I166"/>
    <mergeCell ref="I219:I220"/>
    <mergeCell ref="I212:I213"/>
    <mergeCell ref="I215:I217"/>
    <mergeCell ref="I210:I211"/>
    <mergeCell ref="I222:I223"/>
    <mergeCell ref="I191:I193"/>
    <mergeCell ref="I188:I189"/>
    <mergeCell ref="I185:I186"/>
    <mergeCell ref="I182:I183"/>
    <mergeCell ref="I196:I197"/>
    <mergeCell ref="I199:I200"/>
    <mergeCell ref="I206:I20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0"/>
  <sheetViews>
    <sheetView zoomScale="80" zoomScaleNormal="80" workbookViewId="0">
      <selection activeCell="D12" sqref="D12"/>
    </sheetView>
  </sheetViews>
  <sheetFormatPr defaultRowHeight="15" x14ac:dyDescent="0.25"/>
  <cols>
    <col min="1" max="1" width="10.85546875" customWidth="1"/>
    <col min="2" max="2" width="114.7109375" customWidth="1"/>
    <col min="3" max="3" width="13.42578125" customWidth="1"/>
    <col min="4" max="4" width="15" customWidth="1"/>
    <col min="5" max="5" width="13.5703125" style="442" customWidth="1"/>
    <col min="6" max="6" width="12.85546875" customWidth="1"/>
    <col min="7" max="7" width="19.5703125" customWidth="1"/>
    <col min="9" max="9" width="19.85546875" style="208" customWidth="1"/>
    <col min="10" max="10" width="18.28515625" style="207" customWidth="1"/>
    <col min="11" max="11" width="18.28515625" style="208" customWidth="1"/>
    <col min="12" max="12" width="17" style="208" customWidth="1"/>
    <col min="13" max="13" width="11" customWidth="1"/>
    <col min="14" max="14" width="12.42578125" customWidth="1"/>
    <col min="16" max="16" width="10.7109375" bestFit="1" customWidth="1"/>
    <col min="17" max="17" width="11" customWidth="1"/>
    <col min="18" max="18" width="10.5703125" customWidth="1"/>
    <col min="19" max="19" width="10.7109375" customWidth="1"/>
  </cols>
  <sheetData>
    <row r="1" spans="1:12" s="1" customFormat="1" ht="18.75" x14ac:dyDescent="0.3">
      <c r="A1" s="451" t="s">
        <v>7</v>
      </c>
      <c r="B1" s="451"/>
      <c r="C1" s="451"/>
      <c r="D1" s="451"/>
      <c r="E1" s="451"/>
      <c r="F1" s="451"/>
      <c r="G1" s="451"/>
      <c r="H1" s="451"/>
      <c r="I1" s="10"/>
      <c r="J1" s="11"/>
      <c r="K1" s="10"/>
      <c r="L1" s="10"/>
    </row>
    <row r="2" spans="1:12" s="1" customFormat="1" ht="18.75" x14ac:dyDescent="0.3">
      <c r="A2" s="451" t="s">
        <v>8</v>
      </c>
      <c r="B2" s="451"/>
      <c r="C2" s="451"/>
      <c r="D2" s="451"/>
      <c r="E2" s="451"/>
      <c r="F2" s="451"/>
      <c r="G2" s="451"/>
      <c r="H2" s="12"/>
      <c r="I2" s="10"/>
      <c r="J2" s="11"/>
      <c r="K2" s="10"/>
      <c r="L2" s="10"/>
    </row>
    <row r="3" spans="1:12" s="1" customFormat="1" ht="15.75" x14ac:dyDescent="0.25">
      <c r="E3" s="414"/>
      <c r="G3" s="13"/>
      <c r="H3" s="13"/>
      <c r="I3" s="10"/>
      <c r="J3" s="11"/>
      <c r="K3" s="10"/>
      <c r="L3" s="10"/>
    </row>
    <row r="4" spans="1:12" s="1" customFormat="1" ht="47.25" x14ac:dyDescent="0.25">
      <c r="A4" s="334" t="s">
        <v>9</v>
      </c>
      <c r="B4" s="14" t="s">
        <v>10</v>
      </c>
      <c r="C4" s="14" t="s">
        <v>11</v>
      </c>
      <c r="D4" s="14" t="s">
        <v>12</v>
      </c>
      <c r="E4" s="334" t="s">
        <v>13</v>
      </c>
      <c r="F4" s="14" t="s">
        <v>14</v>
      </c>
      <c r="G4" s="14" t="s">
        <v>15</v>
      </c>
      <c r="H4" s="14" t="s">
        <v>16</v>
      </c>
      <c r="I4" s="10"/>
      <c r="J4" s="11" t="s">
        <v>17</v>
      </c>
      <c r="K4" s="10"/>
      <c r="L4" s="10"/>
    </row>
    <row r="5" spans="1:12" s="1" customFormat="1" ht="15.75" x14ac:dyDescent="0.25">
      <c r="A5" s="15">
        <v>1</v>
      </c>
      <c r="B5" s="15">
        <v>2</v>
      </c>
      <c r="C5" s="15">
        <v>3</v>
      </c>
      <c r="D5" s="15">
        <v>4</v>
      </c>
      <c r="E5" s="415">
        <v>5</v>
      </c>
      <c r="F5" s="15">
        <v>6</v>
      </c>
      <c r="G5" s="15">
        <v>7</v>
      </c>
      <c r="H5" s="15">
        <v>8</v>
      </c>
      <c r="I5" s="10">
        <v>137768000</v>
      </c>
      <c r="J5" s="11"/>
      <c r="K5" s="10"/>
      <c r="L5" s="10"/>
    </row>
    <row r="6" spans="1:12" s="1" customFormat="1" ht="15.75" x14ac:dyDescent="0.25">
      <c r="A6" s="15"/>
      <c r="B6" s="16" t="s">
        <v>18</v>
      </c>
      <c r="C6" s="15"/>
      <c r="D6" s="15"/>
      <c r="E6" s="415"/>
      <c r="F6" s="15"/>
      <c r="G6" s="17">
        <f>G7+G179+G255+G257+G261</f>
        <v>135641946.13999999</v>
      </c>
      <c r="H6" s="15"/>
      <c r="I6" s="18">
        <f>G6+G277+G278</f>
        <v>137767998.13999999</v>
      </c>
      <c r="J6" s="19"/>
      <c r="K6" s="18"/>
      <c r="L6" s="10"/>
    </row>
    <row r="7" spans="1:12" s="1" customFormat="1" ht="15.75" x14ac:dyDescent="0.25">
      <c r="A7" s="20">
        <v>1</v>
      </c>
      <c r="B7" s="21" t="s">
        <v>2</v>
      </c>
      <c r="C7" s="14"/>
      <c r="D7" s="22"/>
      <c r="E7" s="416"/>
      <c r="F7" s="22"/>
      <c r="G7" s="24">
        <f>G8+G144+G155+G178</f>
        <v>55964884.32</v>
      </c>
      <c r="H7" s="15"/>
      <c r="I7" s="25"/>
      <c r="J7" s="26"/>
      <c r="K7" s="26"/>
      <c r="L7" s="25"/>
    </row>
    <row r="8" spans="1:12" s="1" customFormat="1" ht="15.75" x14ac:dyDescent="0.25">
      <c r="A8" s="27" t="s">
        <v>19</v>
      </c>
      <c r="B8" s="21" t="s">
        <v>20</v>
      </c>
      <c r="C8" s="14"/>
      <c r="D8" s="22"/>
      <c r="E8" s="416"/>
      <c r="F8" s="22"/>
      <c r="G8" s="24">
        <f>G9+G21+G37+G39+G49+G76+G128+G132+G135+G139+G140</f>
        <v>45231841.159999996</v>
      </c>
      <c r="H8" s="15"/>
      <c r="I8" s="25"/>
      <c r="J8" s="26"/>
      <c r="K8" s="26"/>
      <c r="L8" s="25"/>
    </row>
    <row r="9" spans="1:12" s="1" customFormat="1" ht="15.75" x14ac:dyDescent="0.25">
      <c r="A9" s="27" t="s">
        <v>21</v>
      </c>
      <c r="B9" s="21" t="s">
        <v>22</v>
      </c>
      <c r="C9" s="28" t="s">
        <v>23</v>
      </c>
      <c r="D9" s="29">
        <f>D10+D12+D14+D15+D17+D18+D19</f>
        <v>1815946</v>
      </c>
      <c r="E9" s="334"/>
      <c r="F9" s="30"/>
      <c r="G9" s="31">
        <f>SUM(G10:G20)</f>
        <v>14403711.030000001</v>
      </c>
      <c r="H9" s="15"/>
      <c r="I9" s="25"/>
      <c r="J9" s="26">
        <f>D9+D112+D121+D124+D128+D132+D144</f>
        <v>2113793</v>
      </c>
      <c r="K9" s="25"/>
      <c r="L9" s="25"/>
    </row>
    <row r="10" spans="1:12" s="1" customFormat="1" ht="15.75" x14ac:dyDescent="0.25">
      <c r="A10" s="27"/>
      <c r="B10" s="32" t="s">
        <v>24</v>
      </c>
      <c r="C10" s="14" t="s">
        <v>23</v>
      </c>
      <c r="D10" s="33">
        <v>217640</v>
      </c>
      <c r="E10" s="82">
        <v>3.5</v>
      </c>
      <c r="F10" s="30">
        <v>1</v>
      </c>
      <c r="G10" s="35">
        <f>ROUND((D10*E10*F10),2)</f>
        <v>761740</v>
      </c>
      <c r="H10" s="15">
        <v>53</v>
      </c>
      <c r="I10" s="25"/>
      <c r="J10" s="26"/>
      <c r="K10" s="26"/>
      <c r="L10" s="25"/>
    </row>
    <row r="11" spans="1:12" s="1" customFormat="1" ht="15.75" x14ac:dyDescent="0.25">
      <c r="A11" s="27"/>
      <c r="B11" s="32" t="s">
        <v>25</v>
      </c>
      <c r="C11" s="14" t="s">
        <v>23</v>
      </c>
      <c r="D11" s="33">
        <v>357839</v>
      </c>
      <c r="E11" s="82">
        <v>0.91</v>
      </c>
      <c r="F11" s="30">
        <v>1</v>
      </c>
      <c r="G11" s="35">
        <f t="shared" ref="G11:G20" si="0">ROUND((D11*E11*F11),2)</f>
        <v>325633.49</v>
      </c>
      <c r="H11" s="15">
        <v>55</v>
      </c>
      <c r="I11" s="25"/>
      <c r="J11" s="26"/>
      <c r="K11" s="25"/>
      <c r="L11" s="25"/>
    </row>
    <row r="12" spans="1:12" s="1" customFormat="1" ht="31.5" x14ac:dyDescent="0.25">
      <c r="A12" s="27"/>
      <c r="B12" s="36" t="s">
        <v>26</v>
      </c>
      <c r="C12" s="37" t="s">
        <v>23</v>
      </c>
      <c r="D12" s="38">
        <v>556124</v>
      </c>
      <c r="E12" s="296">
        <v>3.5</v>
      </c>
      <c r="F12" s="40">
        <v>1</v>
      </c>
      <c r="G12" s="41">
        <f t="shared" si="0"/>
        <v>1946434</v>
      </c>
      <c r="H12" s="42">
        <v>53</v>
      </c>
      <c r="I12" s="25"/>
      <c r="J12" s="26"/>
      <c r="K12" s="25"/>
      <c r="L12" s="25"/>
    </row>
    <row r="13" spans="1:12" s="1" customFormat="1" ht="31.5" x14ac:dyDescent="0.25">
      <c r="A13" s="27"/>
      <c r="B13" s="36" t="s">
        <v>27</v>
      </c>
      <c r="C13" s="37" t="s">
        <v>23</v>
      </c>
      <c r="D13" s="38">
        <f>D12</f>
        <v>556124</v>
      </c>
      <c r="E13" s="296">
        <v>0.91</v>
      </c>
      <c r="F13" s="40">
        <v>1</v>
      </c>
      <c r="G13" s="41">
        <f t="shared" si="0"/>
        <v>506072.84</v>
      </c>
      <c r="H13" s="42">
        <v>55</v>
      </c>
      <c r="I13" s="25"/>
      <c r="J13" s="26"/>
      <c r="K13" s="25"/>
      <c r="L13" s="25"/>
    </row>
    <row r="14" spans="1:12" s="1" customFormat="1" ht="15.75" x14ac:dyDescent="0.25">
      <c r="A14" s="27"/>
      <c r="B14" s="32" t="s">
        <v>28</v>
      </c>
      <c r="C14" s="14" t="s">
        <v>23</v>
      </c>
      <c r="D14" s="33">
        <v>140199</v>
      </c>
      <c r="E14" s="82">
        <f>E10</f>
        <v>3.5</v>
      </c>
      <c r="F14" s="30">
        <v>2</v>
      </c>
      <c r="G14" s="35">
        <f t="shared" si="0"/>
        <v>981393</v>
      </c>
      <c r="H14" s="15">
        <v>53</v>
      </c>
      <c r="I14" s="25"/>
      <c r="J14" s="26"/>
      <c r="K14" s="25"/>
      <c r="L14" s="25"/>
    </row>
    <row r="15" spans="1:12" s="1" customFormat="1" ht="15.75" x14ac:dyDescent="0.25">
      <c r="A15" s="27"/>
      <c r="B15" s="32" t="s">
        <v>29</v>
      </c>
      <c r="C15" s="14" t="s">
        <v>23</v>
      </c>
      <c r="D15" s="33">
        <v>260163</v>
      </c>
      <c r="E15" s="149">
        <v>5.9</v>
      </c>
      <c r="F15" s="30">
        <v>1</v>
      </c>
      <c r="G15" s="35">
        <f t="shared" si="0"/>
        <v>1534961.7</v>
      </c>
      <c r="H15" s="15">
        <v>54</v>
      </c>
      <c r="I15" s="25"/>
      <c r="J15" s="26"/>
      <c r="K15" s="25"/>
      <c r="L15" s="25"/>
    </row>
    <row r="16" spans="1:12" s="1" customFormat="1" ht="15.75" x14ac:dyDescent="0.25">
      <c r="A16" s="27"/>
      <c r="B16" s="32" t="s">
        <v>30</v>
      </c>
      <c r="C16" s="14" t="s">
        <v>23</v>
      </c>
      <c r="D16" s="33">
        <v>419306</v>
      </c>
      <c r="E16" s="149">
        <v>3.6</v>
      </c>
      <c r="F16" s="30">
        <v>1</v>
      </c>
      <c r="G16" s="35">
        <f t="shared" si="0"/>
        <v>1509501.6</v>
      </c>
      <c r="H16" s="15" t="s">
        <v>31</v>
      </c>
      <c r="I16" s="25"/>
      <c r="J16" s="26"/>
      <c r="K16" s="25"/>
      <c r="L16" s="25"/>
    </row>
    <row r="17" spans="1:12" s="1" customFormat="1" ht="15.75" x14ac:dyDescent="0.25">
      <c r="A17" s="27"/>
      <c r="B17" s="32" t="s">
        <v>32</v>
      </c>
      <c r="C17" s="14" t="s">
        <v>23</v>
      </c>
      <c r="D17" s="33">
        <v>260828</v>
      </c>
      <c r="E17" s="149">
        <f>E15</f>
        <v>5.9</v>
      </c>
      <c r="F17" s="30">
        <v>2</v>
      </c>
      <c r="G17" s="35">
        <f t="shared" si="0"/>
        <v>3077770.4</v>
      </c>
      <c r="H17" s="15">
        <v>54</v>
      </c>
      <c r="I17" s="25"/>
      <c r="J17" s="26"/>
      <c r="K17" s="25"/>
      <c r="L17" s="25"/>
    </row>
    <row r="18" spans="1:12" s="1" customFormat="1" ht="15.75" x14ac:dyDescent="0.25">
      <c r="A18" s="27"/>
      <c r="B18" s="32" t="s">
        <v>33</v>
      </c>
      <c r="C18" s="14" t="s">
        <v>23</v>
      </c>
      <c r="D18" s="33">
        <v>7039</v>
      </c>
      <c r="E18" s="149">
        <f>E17</f>
        <v>5.9</v>
      </c>
      <c r="F18" s="30">
        <v>5</v>
      </c>
      <c r="G18" s="35">
        <f t="shared" si="0"/>
        <v>207650.5</v>
      </c>
      <c r="H18" s="15">
        <v>54</v>
      </c>
      <c r="I18" s="25"/>
      <c r="J18" s="26"/>
      <c r="K18" s="25"/>
      <c r="L18" s="25"/>
    </row>
    <row r="19" spans="1:12" s="1" customFormat="1" ht="31.5" x14ac:dyDescent="0.25">
      <c r="A19" s="27"/>
      <c r="B19" s="36" t="s">
        <v>34</v>
      </c>
      <c r="C19" s="37" t="s">
        <v>23</v>
      </c>
      <c r="D19" s="38">
        <v>373953</v>
      </c>
      <c r="E19" s="296">
        <v>5.9</v>
      </c>
      <c r="F19" s="40">
        <v>1</v>
      </c>
      <c r="G19" s="41">
        <f t="shared" si="0"/>
        <v>2206322.7000000002</v>
      </c>
      <c r="H19" s="42">
        <v>54</v>
      </c>
      <c r="I19" s="25"/>
      <c r="J19" s="26"/>
      <c r="K19" s="25"/>
      <c r="L19" s="25"/>
    </row>
    <row r="20" spans="1:12" s="1" customFormat="1" ht="31.5" x14ac:dyDescent="0.25">
      <c r="A20" s="27"/>
      <c r="B20" s="36" t="s">
        <v>35</v>
      </c>
      <c r="C20" s="37" t="s">
        <v>23</v>
      </c>
      <c r="D20" s="38">
        <f>D19</f>
        <v>373953</v>
      </c>
      <c r="E20" s="296">
        <v>3.6</v>
      </c>
      <c r="F20" s="40">
        <v>1</v>
      </c>
      <c r="G20" s="41">
        <f t="shared" si="0"/>
        <v>1346230.8</v>
      </c>
      <c r="H20" s="42" t="s">
        <v>31</v>
      </c>
      <c r="I20" s="25"/>
      <c r="J20" s="26"/>
      <c r="K20" s="25"/>
      <c r="L20" s="25"/>
    </row>
    <row r="21" spans="1:12" s="1" customFormat="1" ht="15.75" x14ac:dyDescent="0.25">
      <c r="A21" s="27" t="s">
        <v>36</v>
      </c>
      <c r="B21" s="21" t="s">
        <v>37</v>
      </c>
      <c r="C21" s="14"/>
      <c r="D21" s="14"/>
      <c r="E21" s="334"/>
      <c r="F21" s="14"/>
      <c r="G21" s="31">
        <f>G22+G26+G34</f>
        <v>1522048.08</v>
      </c>
      <c r="H21" s="15"/>
      <c r="I21" s="25"/>
      <c r="J21" s="26"/>
      <c r="K21" s="25"/>
      <c r="L21" s="25"/>
    </row>
    <row r="22" spans="1:12" s="1" customFormat="1" ht="15.75" x14ac:dyDescent="0.25">
      <c r="A22" s="27" t="s">
        <v>38</v>
      </c>
      <c r="B22" s="44" t="s">
        <v>39</v>
      </c>
      <c r="C22" s="45" t="s">
        <v>40</v>
      </c>
      <c r="D22" s="29">
        <f>D23</f>
        <v>1062</v>
      </c>
      <c r="E22" s="334"/>
      <c r="F22" s="29"/>
      <c r="G22" s="31">
        <f>SUM(G23:G25)</f>
        <v>988374.6</v>
      </c>
      <c r="H22" s="15"/>
      <c r="I22" s="25"/>
      <c r="J22" s="26"/>
      <c r="K22" s="25"/>
      <c r="L22" s="25"/>
    </row>
    <row r="23" spans="1:12" s="1" customFormat="1" ht="15.75" x14ac:dyDescent="0.25">
      <c r="A23" s="27"/>
      <c r="B23" s="46" t="s">
        <v>41</v>
      </c>
      <c r="C23" s="14" t="s">
        <v>40</v>
      </c>
      <c r="D23" s="33">
        <v>1062</v>
      </c>
      <c r="E23" s="149">
        <v>47.06</v>
      </c>
      <c r="F23" s="14">
        <v>1</v>
      </c>
      <c r="G23" s="47">
        <f>ROUND((D23*E23*F23),2)</f>
        <v>49977.72</v>
      </c>
      <c r="H23" s="15">
        <v>56</v>
      </c>
      <c r="I23" s="25"/>
      <c r="J23" s="26"/>
      <c r="K23" s="25"/>
      <c r="L23" s="25"/>
    </row>
    <row r="24" spans="1:12" s="1" customFormat="1" ht="15.75" x14ac:dyDescent="0.25">
      <c r="A24" s="27"/>
      <c r="B24" s="46" t="s">
        <v>42</v>
      </c>
      <c r="C24" s="14" t="s">
        <v>40</v>
      </c>
      <c r="D24" s="33">
        <v>918</v>
      </c>
      <c r="E24" s="149">
        <v>135.06</v>
      </c>
      <c r="F24" s="30">
        <v>6</v>
      </c>
      <c r="G24" s="47">
        <f>ROUND((D24*E24*F24),2)</f>
        <v>743910.48</v>
      </c>
      <c r="H24" s="15">
        <v>59</v>
      </c>
      <c r="I24" s="25"/>
      <c r="J24" s="26"/>
      <c r="K24" s="25"/>
      <c r="L24" s="25"/>
    </row>
    <row r="25" spans="1:12" s="1" customFormat="1" ht="15.75" x14ac:dyDescent="0.25">
      <c r="A25" s="27"/>
      <c r="B25" s="46" t="s">
        <v>43</v>
      </c>
      <c r="C25" s="14" t="s">
        <v>40</v>
      </c>
      <c r="D25" s="33">
        <v>144</v>
      </c>
      <c r="E25" s="149">
        <f>E24</f>
        <v>135.06</v>
      </c>
      <c r="F25" s="30">
        <v>10</v>
      </c>
      <c r="G25" s="47">
        <f>ROUND((D25*E25*F25),2)</f>
        <v>194486.39999999999</v>
      </c>
      <c r="H25" s="15">
        <v>59</v>
      </c>
      <c r="I25" s="25"/>
      <c r="J25" s="26"/>
      <c r="K25" s="25"/>
      <c r="L25" s="25"/>
    </row>
    <row r="26" spans="1:12" s="1" customFormat="1" ht="15.75" x14ac:dyDescent="0.25">
      <c r="A26" s="27" t="s">
        <v>44</v>
      </c>
      <c r="B26" s="44" t="s">
        <v>45</v>
      </c>
      <c r="C26" s="45" t="s">
        <v>40</v>
      </c>
      <c r="D26" s="29">
        <f>D27+D28</f>
        <v>1371</v>
      </c>
      <c r="E26" s="334"/>
      <c r="F26" s="29"/>
      <c r="G26" s="31">
        <f>SUM(G27:G33)</f>
        <v>505031.88</v>
      </c>
      <c r="H26" s="15"/>
      <c r="I26" s="25"/>
      <c r="J26" s="26"/>
      <c r="K26" s="25"/>
      <c r="L26" s="25"/>
    </row>
    <row r="27" spans="1:12" s="1" customFormat="1" ht="15.75" x14ac:dyDescent="0.25">
      <c r="A27" s="27"/>
      <c r="B27" s="46" t="s">
        <v>46</v>
      </c>
      <c r="C27" s="14" t="s">
        <v>40</v>
      </c>
      <c r="D27" s="33">
        <v>318</v>
      </c>
      <c r="E27" s="334">
        <v>8.14</v>
      </c>
      <c r="F27" s="14">
        <v>1</v>
      </c>
      <c r="G27" s="47">
        <f t="shared" ref="G27:G33" si="1">ROUND((D27*E27*F27),2)</f>
        <v>2588.52</v>
      </c>
      <c r="H27" s="15">
        <v>57</v>
      </c>
      <c r="I27" s="25"/>
      <c r="J27" s="26"/>
      <c r="K27" s="25"/>
      <c r="L27" s="25"/>
    </row>
    <row r="28" spans="1:12" s="1" customFormat="1" ht="15.75" x14ac:dyDescent="0.25">
      <c r="A28" s="27"/>
      <c r="B28" s="49" t="s">
        <v>46</v>
      </c>
      <c r="C28" s="50" t="s">
        <v>40</v>
      </c>
      <c r="D28" s="51">
        <v>1053</v>
      </c>
      <c r="E28" s="52">
        <v>8.14</v>
      </c>
      <c r="F28" s="50">
        <v>1</v>
      </c>
      <c r="G28" s="53">
        <f t="shared" si="1"/>
        <v>8571.42</v>
      </c>
      <c r="H28" s="54">
        <v>57</v>
      </c>
      <c r="I28" s="417">
        <f>G28+G31+G32+G33</f>
        <v>459655.56</v>
      </c>
      <c r="J28" s="25"/>
    </row>
    <row r="29" spans="1:12" s="1" customFormat="1" ht="15.75" x14ac:dyDescent="0.25">
      <c r="A29" s="27"/>
      <c r="B29" s="46" t="s">
        <v>47</v>
      </c>
      <c r="C29" s="14" t="s">
        <v>40</v>
      </c>
      <c r="D29" s="33">
        <v>300</v>
      </c>
      <c r="E29" s="334">
        <v>21.61</v>
      </c>
      <c r="F29" s="30">
        <v>6</v>
      </c>
      <c r="G29" s="47">
        <f t="shared" si="1"/>
        <v>38898</v>
      </c>
      <c r="H29" s="15">
        <v>60</v>
      </c>
      <c r="I29" s="25"/>
      <c r="J29" s="26"/>
      <c r="K29" s="25"/>
      <c r="L29" s="25"/>
    </row>
    <row r="30" spans="1:12" s="1" customFormat="1" ht="15.75" x14ac:dyDescent="0.25">
      <c r="A30" s="27"/>
      <c r="B30" s="46" t="s">
        <v>364</v>
      </c>
      <c r="C30" s="14" t="s">
        <v>40</v>
      </c>
      <c r="D30" s="33">
        <v>18</v>
      </c>
      <c r="E30" s="334">
        <f>E29</f>
        <v>21.61</v>
      </c>
      <c r="F30" s="30">
        <v>10</v>
      </c>
      <c r="G30" s="47">
        <f t="shared" si="1"/>
        <v>3889.8</v>
      </c>
      <c r="H30" s="15">
        <v>60</v>
      </c>
      <c r="I30" s="25"/>
      <c r="J30" s="26"/>
      <c r="K30" s="25"/>
      <c r="L30" s="25"/>
    </row>
    <row r="31" spans="1:12" s="1" customFormat="1" ht="15.75" x14ac:dyDescent="0.25">
      <c r="A31" s="27"/>
      <c r="B31" s="49" t="s">
        <v>48</v>
      </c>
      <c r="C31" s="50" t="s">
        <v>40</v>
      </c>
      <c r="D31" s="51">
        <f>D28</f>
        <v>1053</v>
      </c>
      <c r="E31" s="52">
        <v>21.61</v>
      </c>
      <c r="F31" s="55">
        <v>16</v>
      </c>
      <c r="G31" s="53">
        <f t="shared" si="1"/>
        <v>364085.28</v>
      </c>
      <c r="H31" s="54">
        <v>60</v>
      </c>
      <c r="I31" s="25"/>
      <c r="J31" s="25"/>
    </row>
    <row r="32" spans="1:12" s="1" customFormat="1" ht="15.75" x14ac:dyDescent="0.25">
      <c r="A32" s="27"/>
      <c r="B32" s="49" t="s">
        <v>49</v>
      </c>
      <c r="C32" s="50" t="s">
        <v>40</v>
      </c>
      <c r="D32" s="51">
        <v>1053</v>
      </c>
      <c r="E32" s="52">
        <v>6.62</v>
      </c>
      <c r="F32" s="55">
        <v>4</v>
      </c>
      <c r="G32" s="53">
        <f t="shared" si="1"/>
        <v>27883.439999999999</v>
      </c>
      <c r="H32" s="54">
        <v>63</v>
      </c>
      <c r="I32" s="25"/>
      <c r="J32" s="25"/>
    </row>
    <row r="33" spans="1:13" s="1" customFormat="1" ht="15.75" x14ac:dyDescent="0.25">
      <c r="A33" s="27"/>
      <c r="B33" s="49" t="s">
        <v>50</v>
      </c>
      <c r="C33" s="50" t="s">
        <v>40</v>
      </c>
      <c r="D33" s="51">
        <f>D32</f>
        <v>1053</v>
      </c>
      <c r="E33" s="52">
        <v>28.07</v>
      </c>
      <c r="F33" s="55">
        <v>2</v>
      </c>
      <c r="G33" s="53">
        <f t="shared" si="1"/>
        <v>59115.42</v>
      </c>
      <c r="H33" s="54">
        <v>69</v>
      </c>
      <c r="I33" s="25"/>
      <c r="J33" s="25"/>
    </row>
    <row r="34" spans="1:13" s="1" customFormat="1" ht="15.75" x14ac:dyDescent="0.25">
      <c r="A34" s="27" t="s">
        <v>51</v>
      </c>
      <c r="B34" s="44" t="s">
        <v>52</v>
      </c>
      <c r="C34" s="28"/>
      <c r="D34" s="29">
        <f>D35</f>
        <v>135</v>
      </c>
      <c r="E34" s="334"/>
      <c r="F34" s="45"/>
      <c r="G34" s="31">
        <f>SUM(G35:G36)</f>
        <v>28641.600000000002</v>
      </c>
      <c r="H34" s="15"/>
      <c r="I34" s="25"/>
      <c r="J34" s="26"/>
      <c r="K34" s="25"/>
      <c r="L34" s="25"/>
    </row>
    <row r="35" spans="1:13" s="1" customFormat="1" ht="15.75" x14ac:dyDescent="0.25">
      <c r="A35" s="27"/>
      <c r="B35" s="46" t="s">
        <v>53</v>
      </c>
      <c r="C35" s="14" t="s">
        <v>54</v>
      </c>
      <c r="D35" s="33">
        <v>135</v>
      </c>
      <c r="E35" s="149">
        <v>17.64</v>
      </c>
      <c r="F35" s="14">
        <v>1</v>
      </c>
      <c r="G35" s="47">
        <f>ROUND((D35*E35*F35),2)</f>
        <v>2381.4</v>
      </c>
      <c r="H35" s="15">
        <v>58</v>
      </c>
      <c r="I35" s="25"/>
      <c r="J35" s="26">
        <f>[1]Прейскурант!$E$70</f>
        <v>17.637599999999999</v>
      </c>
      <c r="K35" s="25"/>
      <c r="L35" s="25"/>
    </row>
    <row r="36" spans="1:13" s="1" customFormat="1" ht="15.75" x14ac:dyDescent="0.25">
      <c r="A36" s="27"/>
      <c r="B36" s="46" t="s">
        <v>55</v>
      </c>
      <c r="C36" s="14" t="s">
        <v>54</v>
      </c>
      <c r="D36" s="33">
        <f>D35</f>
        <v>135</v>
      </c>
      <c r="E36" s="334">
        <v>32.42</v>
      </c>
      <c r="F36" s="30">
        <v>6</v>
      </c>
      <c r="G36" s="47">
        <f>ROUND((D36*E36*F36),2)</f>
        <v>26260.2</v>
      </c>
      <c r="H36" s="15">
        <v>61</v>
      </c>
      <c r="I36" s="25"/>
      <c r="J36" s="26">
        <f>[1]Прейскурант!$E$74</f>
        <v>32.415000000000006</v>
      </c>
      <c r="K36" s="25"/>
      <c r="L36" s="25"/>
    </row>
    <row r="37" spans="1:13" s="1" customFormat="1" ht="15.75" x14ac:dyDescent="0.25">
      <c r="A37" s="27" t="s">
        <v>56</v>
      </c>
      <c r="B37" s="21" t="s">
        <v>57</v>
      </c>
      <c r="C37" s="14"/>
      <c r="D37" s="29">
        <f>D38</f>
        <v>140</v>
      </c>
      <c r="E37" s="334"/>
      <c r="F37" s="14"/>
      <c r="G37" s="56">
        <f>G38</f>
        <v>26882.799999999999</v>
      </c>
      <c r="H37" s="15"/>
      <c r="I37" s="25"/>
      <c r="J37" s="26"/>
      <c r="K37" s="25"/>
      <c r="L37" s="25"/>
      <c r="M37" s="3"/>
    </row>
    <row r="38" spans="1:13" s="1" customFormat="1" ht="15.75" x14ac:dyDescent="0.25">
      <c r="A38" s="57"/>
      <c r="B38" s="46" t="s">
        <v>58</v>
      </c>
      <c r="C38" s="14" t="s">
        <v>40</v>
      </c>
      <c r="D38" s="58">
        <v>140</v>
      </c>
      <c r="E38" s="62">
        <v>96.01</v>
      </c>
      <c r="F38" s="30">
        <v>2</v>
      </c>
      <c r="G38" s="47">
        <f>ROUND((D38*E38*F38),2)</f>
        <v>26882.799999999999</v>
      </c>
      <c r="H38" s="15">
        <v>40</v>
      </c>
      <c r="I38" s="25"/>
      <c r="J38" s="26">
        <f>[1]Прейскурант!$E$50</f>
        <v>96.013443600000016</v>
      </c>
      <c r="K38" s="25"/>
      <c r="L38" s="25"/>
      <c r="M38" s="3"/>
    </row>
    <row r="39" spans="1:13" s="1" customFormat="1" ht="15.75" x14ac:dyDescent="0.25">
      <c r="A39" s="27" t="s">
        <v>59</v>
      </c>
      <c r="B39" s="21" t="s">
        <v>60</v>
      </c>
      <c r="C39" s="14"/>
      <c r="D39" s="29">
        <f>D40+D41+D42+D43+D44+D45+D46+D47+D48</f>
        <v>31849</v>
      </c>
      <c r="E39" s="334"/>
      <c r="F39" s="14"/>
      <c r="G39" s="56">
        <f>SUM(G40:G48)</f>
        <v>5563460.7999999998</v>
      </c>
      <c r="H39" s="15"/>
      <c r="I39" s="25"/>
      <c r="J39" s="26"/>
      <c r="K39" s="25"/>
      <c r="L39" s="25"/>
      <c r="M39" s="3"/>
    </row>
    <row r="40" spans="1:13" s="1" customFormat="1" ht="15.75" x14ac:dyDescent="0.25">
      <c r="A40" s="57"/>
      <c r="B40" s="46" t="s">
        <v>61</v>
      </c>
      <c r="C40" s="14" t="s">
        <v>54</v>
      </c>
      <c r="D40" s="33">
        <f>220+594</f>
        <v>814</v>
      </c>
      <c r="E40" s="62">
        <v>26.41</v>
      </c>
      <c r="F40" s="30">
        <v>2</v>
      </c>
      <c r="G40" s="60">
        <f>ROUND((D40*E40*F40),2)</f>
        <v>42995.48</v>
      </c>
      <c r="H40" s="15">
        <v>41</v>
      </c>
      <c r="I40" s="25"/>
      <c r="J40" s="26">
        <f>[1]Прейскурант!$E$51</f>
        <v>26.409755999999998</v>
      </c>
      <c r="K40" s="25"/>
      <c r="L40" s="25"/>
      <c r="M40" s="3"/>
    </row>
    <row r="41" spans="1:13" s="1" customFormat="1" ht="31.5" x14ac:dyDescent="0.25">
      <c r="A41" s="57"/>
      <c r="B41" s="46" t="s">
        <v>62</v>
      </c>
      <c r="C41" s="14" t="s">
        <v>54</v>
      </c>
      <c r="D41" s="33">
        <v>2500</v>
      </c>
      <c r="E41" s="334">
        <v>55.03</v>
      </c>
      <c r="F41" s="30">
        <v>1</v>
      </c>
      <c r="G41" s="60">
        <f t="shared" ref="G41:G48" si="2">ROUND((D41*E41*F41),2)</f>
        <v>137575</v>
      </c>
      <c r="H41" s="15">
        <v>42</v>
      </c>
      <c r="I41" s="25"/>
      <c r="J41" s="26">
        <f>[1]Прейскурант!$E$52</f>
        <v>55.028099999999995</v>
      </c>
      <c r="K41" s="25"/>
      <c r="L41" s="25"/>
      <c r="M41" s="3"/>
    </row>
    <row r="42" spans="1:13" s="1" customFormat="1" ht="31.5" x14ac:dyDescent="0.25">
      <c r="A42" s="57"/>
      <c r="B42" s="46" t="s">
        <v>63</v>
      </c>
      <c r="C42" s="14" t="s">
        <v>54</v>
      </c>
      <c r="D42" s="33">
        <v>2230</v>
      </c>
      <c r="E42" s="334">
        <f>E41</f>
        <v>55.03</v>
      </c>
      <c r="F42" s="30">
        <v>2</v>
      </c>
      <c r="G42" s="60">
        <f t="shared" si="2"/>
        <v>245433.8</v>
      </c>
      <c r="H42" s="15">
        <v>42</v>
      </c>
      <c r="I42" s="25"/>
      <c r="J42" s="26"/>
      <c r="K42" s="25"/>
      <c r="L42" s="25"/>
      <c r="M42" s="3"/>
    </row>
    <row r="43" spans="1:13" s="1" customFormat="1" ht="31.5" x14ac:dyDescent="0.25">
      <c r="A43" s="57"/>
      <c r="B43" s="46" t="s">
        <v>64</v>
      </c>
      <c r="C43" s="14" t="s">
        <v>54</v>
      </c>
      <c r="D43" s="33">
        <v>250</v>
      </c>
      <c r="E43" s="334">
        <f>E42</f>
        <v>55.03</v>
      </c>
      <c r="F43" s="30">
        <v>3</v>
      </c>
      <c r="G43" s="60">
        <f t="shared" si="2"/>
        <v>41272.5</v>
      </c>
      <c r="H43" s="15">
        <v>42</v>
      </c>
      <c r="I43" s="25"/>
      <c r="J43" s="26"/>
      <c r="K43" s="25"/>
      <c r="L43" s="25"/>
      <c r="M43" s="3"/>
    </row>
    <row r="44" spans="1:13" s="1" customFormat="1" ht="31.5" x14ac:dyDescent="0.25">
      <c r="A44" s="57"/>
      <c r="B44" s="46" t="s">
        <v>65</v>
      </c>
      <c r="C44" s="14" t="s">
        <v>54</v>
      </c>
      <c r="D44" s="33">
        <v>13297</v>
      </c>
      <c r="E44" s="149">
        <v>91.52</v>
      </c>
      <c r="F44" s="30">
        <v>2</v>
      </c>
      <c r="G44" s="60">
        <f t="shared" si="2"/>
        <v>2433882.88</v>
      </c>
      <c r="H44" s="15">
        <v>43</v>
      </c>
      <c r="I44" s="25"/>
      <c r="J44" s="26">
        <f>[1]Прейскурант!$E$53</f>
        <v>91.515800000000013</v>
      </c>
      <c r="K44" s="25"/>
      <c r="L44" s="25"/>
      <c r="M44" s="3"/>
    </row>
    <row r="45" spans="1:13" s="1" customFormat="1" ht="31.5" x14ac:dyDescent="0.25">
      <c r="A45" s="57"/>
      <c r="B45" s="46" t="s">
        <v>66</v>
      </c>
      <c r="C45" s="14" t="s">
        <v>54</v>
      </c>
      <c r="D45" s="33">
        <v>1510</v>
      </c>
      <c r="E45" s="149">
        <f>E44</f>
        <v>91.52</v>
      </c>
      <c r="F45" s="30">
        <v>3</v>
      </c>
      <c r="G45" s="60">
        <f t="shared" si="2"/>
        <v>414585.59999999998</v>
      </c>
      <c r="H45" s="15">
        <v>43</v>
      </c>
      <c r="I45" s="25"/>
      <c r="J45" s="26"/>
      <c r="K45" s="25"/>
      <c r="L45" s="25"/>
      <c r="M45" s="3"/>
    </row>
    <row r="46" spans="1:13" s="1" customFormat="1" ht="31.5" x14ac:dyDescent="0.25">
      <c r="A46" s="57"/>
      <c r="B46" s="46" t="s">
        <v>67</v>
      </c>
      <c r="C46" s="14" t="s">
        <v>54</v>
      </c>
      <c r="D46" s="33">
        <v>737</v>
      </c>
      <c r="E46" s="149">
        <f>E45</f>
        <v>91.52</v>
      </c>
      <c r="F46" s="30">
        <v>4</v>
      </c>
      <c r="G46" s="60">
        <f t="shared" si="2"/>
        <v>269800.96000000002</v>
      </c>
      <c r="H46" s="15">
        <v>43</v>
      </c>
      <c r="I46" s="25"/>
      <c r="J46" s="26"/>
      <c r="K46" s="25"/>
      <c r="L46" s="25"/>
      <c r="M46" s="3"/>
    </row>
    <row r="47" spans="1:13" s="1" customFormat="1" ht="31.5" x14ac:dyDescent="0.25">
      <c r="A47" s="57"/>
      <c r="B47" s="46" t="s">
        <v>68</v>
      </c>
      <c r="C47" s="14" t="s">
        <v>54</v>
      </c>
      <c r="D47" s="33">
        <v>354</v>
      </c>
      <c r="E47" s="334">
        <v>57.3</v>
      </c>
      <c r="F47" s="30">
        <v>2</v>
      </c>
      <c r="G47" s="60">
        <f t="shared" si="2"/>
        <v>40568.400000000001</v>
      </c>
      <c r="H47" s="15">
        <v>45</v>
      </c>
      <c r="I47" s="25">
        <f>I5</f>
        <v>137768000</v>
      </c>
      <c r="J47" s="26">
        <f>[1]Прейскурант!$E$55</f>
        <v>57.303700000000006</v>
      </c>
      <c r="K47" s="25"/>
      <c r="L47" s="25"/>
      <c r="M47" s="3"/>
    </row>
    <row r="48" spans="1:13" s="1" customFormat="1" ht="31.5" x14ac:dyDescent="0.25">
      <c r="A48" s="57"/>
      <c r="B48" s="46" t="s">
        <v>69</v>
      </c>
      <c r="C48" s="14" t="s">
        <v>54</v>
      </c>
      <c r="D48" s="33">
        <v>10157</v>
      </c>
      <c r="E48" s="334">
        <v>95.37</v>
      </c>
      <c r="F48" s="30">
        <v>2</v>
      </c>
      <c r="G48" s="60">
        <f t="shared" si="2"/>
        <v>1937346.18</v>
      </c>
      <c r="H48" s="15">
        <v>46</v>
      </c>
      <c r="I48" s="25">
        <f>I6</f>
        <v>137767998.13999999</v>
      </c>
      <c r="J48" s="26">
        <f>[1]Прейскурант!$E$56</f>
        <v>95.366916000000003</v>
      </c>
      <c r="K48" s="25"/>
      <c r="L48" s="25"/>
      <c r="M48" s="3"/>
    </row>
    <row r="49" spans="1:12" s="1" customFormat="1" ht="15.75" x14ac:dyDescent="0.25">
      <c r="A49" s="27" t="s">
        <v>70</v>
      </c>
      <c r="B49" s="21" t="s">
        <v>71</v>
      </c>
      <c r="C49" s="45" t="s">
        <v>72</v>
      </c>
      <c r="D49" s="29">
        <f>D75</f>
        <v>1580</v>
      </c>
      <c r="E49" s="334"/>
      <c r="F49" s="14"/>
      <c r="G49" s="31">
        <f>SUM(G50:G75)</f>
        <v>3566262.2700000005</v>
      </c>
      <c r="H49" s="15"/>
      <c r="I49" s="25">
        <f>J7</f>
        <v>0</v>
      </c>
      <c r="J49" s="26"/>
      <c r="K49" s="25"/>
      <c r="L49" s="25"/>
    </row>
    <row r="50" spans="1:12" s="1" customFormat="1" ht="31.5" x14ac:dyDescent="0.25">
      <c r="A50" s="57"/>
      <c r="B50" s="61" t="s">
        <v>73</v>
      </c>
      <c r="C50" s="14" t="s">
        <v>72</v>
      </c>
      <c r="D50" s="7">
        <v>24</v>
      </c>
      <c r="E50" s="62">
        <v>861.3</v>
      </c>
      <c r="F50" s="14"/>
      <c r="G50" s="62">
        <f>ROUND((D50*E50*1),2)</f>
        <v>20671.2</v>
      </c>
      <c r="H50" s="15">
        <v>20</v>
      </c>
      <c r="I50" s="25">
        <f>D50</f>
        <v>24</v>
      </c>
      <c r="J50" s="26">
        <f>[1]Прейскурант!$E$30</f>
        <v>861.30000000000007</v>
      </c>
      <c r="K50" s="25"/>
      <c r="L50" s="25"/>
    </row>
    <row r="51" spans="1:12" s="1" customFormat="1" ht="31.5" x14ac:dyDescent="0.25">
      <c r="A51" s="57"/>
      <c r="B51" s="61" t="s">
        <v>74</v>
      </c>
      <c r="C51" s="14" t="s">
        <v>72</v>
      </c>
      <c r="D51" s="7">
        <v>25</v>
      </c>
      <c r="E51" s="62">
        <v>1297.8800000000001</v>
      </c>
      <c r="F51" s="14"/>
      <c r="G51" s="62">
        <f>ROUND((D51*E51*1),2)</f>
        <v>32447</v>
      </c>
      <c r="H51" s="15">
        <v>21</v>
      </c>
      <c r="I51" s="25">
        <f>D51</f>
        <v>25</v>
      </c>
      <c r="J51" s="26">
        <f>[1]Прейскурант!$E$31</f>
        <v>1297.8800000000001</v>
      </c>
      <c r="K51" s="25"/>
      <c r="L51" s="25"/>
    </row>
    <row r="52" spans="1:12" s="1" customFormat="1" ht="31.5" x14ac:dyDescent="0.25">
      <c r="A52" s="57"/>
      <c r="B52" s="61" t="s">
        <v>75</v>
      </c>
      <c r="C52" s="14" t="s">
        <v>72</v>
      </c>
      <c r="D52" s="7">
        <v>15</v>
      </c>
      <c r="E52" s="62">
        <v>986.36</v>
      </c>
      <c r="F52" s="14"/>
      <c r="G52" s="62">
        <f t="shared" ref="G52:G75" si="3">ROUND((D52*E52*1),2)</f>
        <v>14795.4</v>
      </c>
      <c r="H52" s="15">
        <v>22</v>
      </c>
      <c r="I52" s="25">
        <f t="shared" ref="I52:I60" si="4">D52</f>
        <v>15</v>
      </c>
      <c r="J52" s="26">
        <f>[1]Прейскурант!$E$32</f>
        <v>986.36000000000013</v>
      </c>
      <c r="K52" s="25"/>
      <c r="L52" s="25"/>
    </row>
    <row r="53" spans="1:12" s="1" customFormat="1" ht="31.5" x14ac:dyDescent="0.25">
      <c r="A53" s="57"/>
      <c r="B53" s="61" t="s">
        <v>76</v>
      </c>
      <c r="C53" s="14" t="s">
        <v>72</v>
      </c>
      <c r="D53" s="7">
        <v>54</v>
      </c>
      <c r="E53" s="62">
        <v>1702.43</v>
      </c>
      <c r="F53" s="14"/>
      <c r="G53" s="62">
        <f t="shared" si="3"/>
        <v>91931.22</v>
      </c>
      <c r="H53" s="15">
        <v>23</v>
      </c>
      <c r="I53" s="25">
        <f t="shared" si="4"/>
        <v>54</v>
      </c>
      <c r="J53" s="26">
        <f>[1]Прейскурант!$E$33</f>
        <v>1702.43</v>
      </c>
      <c r="K53" s="25"/>
      <c r="L53" s="25"/>
    </row>
    <row r="54" spans="1:12" s="1" customFormat="1" ht="31.5" x14ac:dyDescent="0.25">
      <c r="A54" s="57"/>
      <c r="B54" s="61" t="s">
        <v>77</v>
      </c>
      <c r="C54" s="14" t="s">
        <v>72</v>
      </c>
      <c r="D54" s="7">
        <v>34</v>
      </c>
      <c r="E54" s="62">
        <v>1178.6099999999999</v>
      </c>
      <c r="F54" s="14"/>
      <c r="G54" s="62">
        <f t="shared" si="3"/>
        <v>40072.74</v>
      </c>
      <c r="H54" s="15">
        <v>24</v>
      </c>
      <c r="I54" s="25">
        <f t="shared" si="4"/>
        <v>34</v>
      </c>
      <c r="J54" s="26">
        <f>[1]Прейскурант!$E$34</f>
        <v>1178.6100000000001</v>
      </c>
      <c r="K54" s="25"/>
      <c r="L54" s="25"/>
    </row>
    <row r="55" spans="1:12" s="1" customFormat="1" ht="31.5" x14ac:dyDescent="0.25">
      <c r="A55" s="57"/>
      <c r="B55" s="61" t="s">
        <v>78</v>
      </c>
      <c r="C55" s="14" t="s">
        <v>72</v>
      </c>
      <c r="D55" s="7">
        <v>60</v>
      </c>
      <c r="E55" s="62">
        <v>1986.96</v>
      </c>
      <c r="F55" s="14"/>
      <c r="G55" s="62">
        <f t="shared" si="3"/>
        <v>119217.60000000001</v>
      </c>
      <c r="H55" s="15">
        <v>25</v>
      </c>
      <c r="I55" s="25">
        <f t="shared" si="4"/>
        <v>60</v>
      </c>
      <c r="J55" s="26">
        <f>[1]Прейскурант!$E$35</f>
        <v>1986.9600000000003</v>
      </c>
      <c r="K55" s="25"/>
      <c r="L55" s="25"/>
    </row>
    <row r="56" spans="1:12" s="1" customFormat="1" ht="31.5" x14ac:dyDescent="0.25">
      <c r="A56" s="57"/>
      <c r="B56" s="61" t="s">
        <v>79</v>
      </c>
      <c r="C56" s="14" t="s">
        <v>72</v>
      </c>
      <c r="D56" s="7">
        <v>91</v>
      </c>
      <c r="E56" s="62">
        <v>4242.6899999999996</v>
      </c>
      <c r="F56" s="14"/>
      <c r="G56" s="62">
        <f t="shared" si="3"/>
        <v>386084.79</v>
      </c>
      <c r="H56" s="15">
        <v>26</v>
      </c>
      <c r="I56" s="25">
        <f t="shared" si="4"/>
        <v>91</v>
      </c>
      <c r="J56" s="26">
        <f>[1]Прейскурант!$E$36</f>
        <v>4242.6899999999996</v>
      </c>
      <c r="K56" s="25"/>
      <c r="L56" s="25"/>
    </row>
    <row r="57" spans="1:12" s="1" customFormat="1" ht="31.5" x14ac:dyDescent="0.25">
      <c r="A57" s="57"/>
      <c r="B57" s="61" t="s">
        <v>80</v>
      </c>
      <c r="C57" s="14" t="s">
        <v>72</v>
      </c>
      <c r="D57" s="7">
        <v>141</v>
      </c>
      <c r="E57" s="62">
        <v>3437.4</v>
      </c>
      <c r="F57" s="14"/>
      <c r="G57" s="62">
        <f t="shared" si="3"/>
        <v>484673.4</v>
      </c>
      <c r="H57" s="15">
        <v>27</v>
      </c>
      <c r="I57" s="25">
        <f t="shared" si="4"/>
        <v>141</v>
      </c>
      <c r="J57" s="26">
        <f>[1]Прейскурант!$E$37</f>
        <v>3437.3999999999996</v>
      </c>
      <c r="K57" s="25"/>
      <c r="L57" s="25"/>
    </row>
    <row r="58" spans="1:12" s="1" customFormat="1" ht="31.5" x14ac:dyDescent="0.25">
      <c r="A58" s="57"/>
      <c r="B58" s="61" t="s">
        <v>81</v>
      </c>
      <c r="C58" s="14" t="s">
        <v>72</v>
      </c>
      <c r="D58" s="7">
        <v>160</v>
      </c>
      <c r="E58" s="62">
        <v>1680.69</v>
      </c>
      <c r="F58" s="14"/>
      <c r="G58" s="62">
        <f t="shared" si="3"/>
        <v>268910.40000000002</v>
      </c>
      <c r="H58" s="15">
        <v>28</v>
      </c>
      <c r="I58" s="25">
        <f t="shared" si="4"/>
        <v>160</v>
      </c>
      <c r="J58" s="26">
        <f>[1]Прейскурант!$E$38</f>
        <v>1680.6899999999998</v>
      </c>
      <c r="K58" s="25"/>
      <c r="L58" s="25"/>
    </row>
    <row r="59" spans="1:12" s="1" customFormat="1" ht="15.75" x14ac:dyDescent="0.25">
      <c r="A59" s="57"/>
      <c r="B59" s="61" t="s">
        <v>82</v>
      </c>
      <c r="C59" s="14" t="s">
        <v>72</v>
      </c>
      <c r="D59" s="7">
        <v>180</v>
      </c>
      <c r="E59" s="62">
        <v>1419.57</v>
      </c>
      <c r="F59" s="14"/>
      <c r="G59" s="62">
        <f t="shared" si="3"/>
        <v>255522.6</v>
      </c>
      <c r="H59" s="15">
        <v>29</v>
      </c>
      <c r="I59" s="25">
        <f t="shared" si="4"/>
        <v>180</v>
      </c>
      <c r="J59" s="26">
        <f>[1]Прейскурант!$E$39</f>
        <v>1419.5696000000003</v>
      </c>
      <c r="K59" s="25"/>
      <c r="L59" s="25"/>
    </row>
    <row r="60" spans="1:12" s="1" customFormat="1" ht="31.5" x14ac:dyDescent="0.25">
      <c r="A60" s="57"/>
      <c r="B60" s="61" t="s">
        <v>83</v>
      </c>
      <c r="C60" s="14" t="s">
        <v>72</v>
      </c>
      <c r="D60" s="7">
        <v>84</v>
      </c>
      <c r="E60" s="62">
        <v>1249.47</v>
      </c>
      <c r="F60" s="14"/>
      <c r="G60" s="62">
        <f t="shared" si="3"/>
        <v>104955.48</v>
      </c>
      <c r="H60" s="15">
        <v>30</v>
      </c>
      <c r="I60" s="25">
        <f t="shared" si="4"/>
        <v>84</v>
      </c>
      <c r="J60" s="26">
        <f>[1]Прейскурант!$E$40</f>
        <v>1249.4699999999998</v>
      </c>
      <c r="K60" s="25"/>
      <c r="L60" s="25"/>
    </row>
    <row r="61" spans="1:12" s="1" customFormat="1" ht="31.5" x14ac:dyDescent="0.25">
      <c r="A61" s="57"/>
      <c r="B61" s="46" t="s">
        <v>85</v>
      </c>
      <c r="C61" s="14" t="s">
        <v>40</v>
      </c>
      <c r="D61" s="33">
        <v>10</v>
      </c>
      <c r="E61" s="62">
        <v>275.57</v>
      </c>
      <c r="F61" s="14"/>
      <c r="G61" s="62">
        <f t="shared" si="3"/>
        <v>2755.7</v>
      </c>
      <c r="H61" s="15">
        <v>1</v>
      </c>
      <c r="I61" s="25">
        <f>D61*0.16</f>
        <v>1.6</v>
      </c>
      <c r="J61" s="26">
        <f>[1]Прейскурант!$E$11</f>
        <v>275.57</v>
      </c>
      <c r="K61" s="25"/>
      <c r="L61" s="25"/>
    </row>
    <row r="62" spans="1:12" s="1" customFormat="1" ht="31.5" x14ac:dyDescent="0.25">
      <c r="A62" s="57"/>
      <c r="B62" s="32" t="s">
        <v>86</v>
      </c>
      <c r="C62" s="63" t="s">
        <v>40</v>
      </c>
      <c r="D62" s="33">
        <v>20</v>
      </c>
      <c r="E62" s="35">
        <v>443.54</v>
      </c>
      <c r="F62" s="63"/>
      <c r="G62" s="35">
        <f t="shared" si="3"/>
        <v>8870.7999999999993</v>
      </c>
      <c r="H62" s="4">
        <v>2</v>
      </c>
      <c r="I62" s="25">
        <f>D62*0.3</f>
        <v>6</v>
      </c>
      <c r="J62" s="26">
        <f>[1]Прейскурант!$E$12</f>
        <v>443.54040000000003</v>
      </c>
      <c r="K62" s="25"/>
      <c r="L62" s="25"/>
    </row>
    <row r="63" spans="1:12" s="1" customFormat="1" ht="31.5" x14ac:dyDescent="0.25">
      <c r="A63" s="57"/>
      <c r="B63" s="46" t="s">
        <v>87</v>
      </c>
      <c r="C63" s="14" t="s">
        <v>40</v>
      </c>
      <c r="D63" s="33">
        <f>10+29</f>
        <v>39</v>
      </c>
      <c r="E63" s="62">
        <v>981.98</v>
      </c>
      <c r="F63" s="14"/>
      <c r="G63" s="62">
        <f t="shared" si="3"/>
        <v>38297.22</v>
      </c>
      <c r="H63" s="15">
        <v>3</v>
      </c>
      <c r="I63" s="25">
        <f>D63*0.24</f>
        <v>9.36</v>
      </c>
      <c r="J63" s="26">
        <f>[1]Прейскурант!$E$13</f>
        <v>981.98479999999972</v>
      </c>
      <c r="K63" s="25"/>
      <c r="L63" s="25"/>
    </row>
    <row r="64" spans="1:12" s="1" customFormat="1" ht="31.5" x14ac:dyDescent="0.25">
      <c r="A64" s="57"/>
      <c r="B64" s="32" t="s">
        <v>88</v>
      </c>
      <c r="C64" s="63" t="s">
        <v>40</v>
      </c>
      <c r="D64" s="33">
        <f>20+27</f>
        <v>47</v>
      </c>
      <c r="E64" s="35">
        <v>1649.32</v>
      </c>
      <c r="F64" s="63"/>
      <c r="G64" s="35">
        <f t="shared" si="3"/>
        <v>77518.039999999994</v>
      </c>
      <c r="H64" s="4">
        <v>4</v>
      </c>
      <c r="I64" s="25">
        <f>D64*0.5</f>
        <v>23.5</v>
      </c>
      <c r="J64" s="26">
        <f>[1]Прейскурант!$E$14</f>
        <v>1649.3200000000002</v>
      </c>
      <c r="K64" s="25"/>
      <c r="L64" s="25"/>
    </row>
    <row r="65" spans="1:12" s="1" customFormat="1" ht="31.5" x14ac:dyDescent="0.25">
      <c r="A65" s="57"/>
      <c r="B65" s="32" t="s">
        <v>89</v>
      </c>
      <c r="C65" s="63" t="s">
        <v>40</v>
      </c>
      <c r="D65" s="33">
        <v>25</v>
      </c>
      <c r="E65" s="35">
        <v>2314.6799999999998</v>
      </c>
      <c r="F65" s="63"/>
      <c r="G65" s="35">
        <f t="shared" si="3"/>
        <v>57867</v>
      </c>
      <c r="H65" s="4">
        <v>5</v>
      </c>
      <c r="I65" s="25">
        <f>D65*1</f>
        <v>25</v>
      </c>
      <c r="J65" s="26">
        <f>[1]Прейскурант!$E$15</f>
        <v>2314.6799999999998</v>
      </c>
      <c r="K65" s="25"/>
      <c r="L65" s="25"/>
    </row>
    <row r="66" spans="1:12" s="1" customFormat="1" ht="31.5" x14ac:dyDescent="0.25">
      <c r="A66" s="57"/>
      <c r="B66" s="46" t="s">
        <v>90</v>
      </c>
      <c r="C66" s="14" t="s">
        <v>40</v>
      </c>
      <c r="D66" s="33">
        <v>92</v>
      </c>
      <c r="E66" s="62">
        <v>2970.21</v>
      </c>
      <c r="F66" s="14"/>
      <c r="G66" s="62">
        <f t="shared" si="3"/>
        <v>273259.32</v>
      </c>
      <c r="H66" s="15">
        <v>6</v>
      </c>
      <c r="I66" s="25">
        <f>D66*1</f>
        <v>92</v>
      </c>
      <c r="J66" s="26">
        <f>[1]Прейскурант!$E$16</f>
        <v>2970.2122000000004</v>
      </c>
      <c r="K66" s="25"/>
      <c r="L66" s="25"/>
    </row>
    <row r="67" spans="1:12" s="1" customFormat="1" ht="31.5" x14ac:dyDescent="0.25">
      <c r="A67" s="57"/>
      <c r="B67" s="46" t="s">
        <v>91</v>
      </c>
      <c r="C67" s="14" t="s">
        <v>40</v>
      </c>
      <c r="D67" s="33">
        <f>40-1</f>
        <v>39</v>
      </c>
      <c r="E67" s="62">
        <v>3768.91</v>
      </c>
      <c r="F67" s="14"/>
      <c r="G67" s="62">
        <f t="shared" si="3"/>
        <v>146987.49</v>
      </c>
      <c r="H67" s="15">
        <v>7</v>
      </c>
      <c r="I67" s="25">
        <f>D67*1.7</f>
        <v>66.3</v>
      </c>
      <c r="J67" s="26">
        <f>[1]Прейскурант!$E$17</f>
        <v>3768.9100000000003</v>
      </c>
      <c r="K67" s="25"/>
      <c r="L67" s="25"/>
    </row>
    <row r="68" spans="1:12" s="1" customFormat="1" ht="31.5" x14ac:dyDescent="0.25">
      <c r="A68" s="57"/>
      <c r="B68" s="61" t="s">
        <v>92</v>
      </c>
      <c r="C68" s="14" t="s">
        <v>40</v>
      </c>
      <c r="D68" s="33">
        <v>15</v>
      </c>
      <c r="E68" s="62">
        <v>4104.51</v>
      </c>
      <c r="F68" s="14"/>
      <c r="G68" s="62">
        <f t="shared" si="3"/>
        <v>61567.65</v>
      </c>
      <c r="H68" s="15">
        <v>8</v>
      </c>
      <c r="I68" s="25">
        <f>D68*1</f>
        <v>15</v>
      </c>
      <c r="J68" s="26">
        <f>[1]Прейскурант!$E$18</f>
        <v>4104.51</v>
      </c>
      <c r="K68" s="25"/>
      <c r="L68" s="25"/>
    </row>
    <row r="69" spans="1:12" s="1" customFormat="1" ht="31.5" x14ac:dyDescent="0.25">
      <c r="A69" s="57"/>
      <c r="B69" s="61" t="s">
        <v>93</v>
      </c>
      <c r="C69" s="14" t="s">
        <v>40</v>
      </c>
      <c r="D69" s="33">
        <v>16</v>
      </c>
      <c r="E69" s="62">
        <v>9895.92</v>
      </c>
      <c r="F69" s="14"/>
      <c r="G69" s="62">
        <f t="shared" si="3"/>
        <v>158334.72</v>
      </c>
      <c r="H69" s="15">
        <v>10</v>
      </c>
      <c r="I69" s="25">
        <f>D69*3</f>
        <v>48</v>
      </c>
      <c r="J69" s="26">
        <f>[1]Прейскурант!$E$20</f>
        <v>9895.92</v>
      </c>
      <c r="K69" s="25"/>
      <c r="L69" s="25"/>
    </row>
    <row r="70" spans="1:12" s="1" customFormat="1" ht="31.5" x14ac:dyDescent="0.25">
      <c r="A70" s="57"/>
      <c r="B70" s="61" t="s">
        <v>94</v>
      </c>
      <c r="C70" s="14" t="s">
        <v>40</v>
      </c>
      <c r="D70" s="33">
        <v>15</v>
      </c>
      <c r="E70" s="62">
        <v>13881.75</v>
      </c>
      <c r="F70" s="14"/>
      <c r="G70" s="62">
        <f t="shared" si="3"/>
        <v>208226.25</v>
      </c>
      <c r="H70" s="15">
        <v>12</v>
      </c>
      <c r="I70" s="25">
        <f>D70*9</f>
        <v>135</v>
      </c>
      <c r="J70" s="26">
        <f>[1]Прейскурант!$E$22</f>
        <v>13881.75</v>
      </c>
      <c r="K70" s="25"/>
      <c r="L70" s="25"/>
    </row>
    <row r="71" spans="1:12" s="1" customFormat="1" ht="31.5" x14ac:dyDescent="0.25">
      <c r="A71" s="57"/>
      <c r="B71" s="61" t="s">
        <v>95</v>
      </c>
      <c r="C71" s="14" t="s">
        <v>40</v>
      </c>
      <c r="D71" s="33">
        <v>10</v>
      </c>
      <c r="E71" s="62">
        <v>5243.29</v>
      </c>
      <c r="F71" s="14"/>
      <c r="G71" s="62">
        <f t="shared" si="3"/>
        <v>52432.9</v>
      </c>
      <c r="H71" s="15">
        <v>14</v>
      </c>
      <c r="I71" s="25">
        <f>D71*4</f>
        <v>40</v>
      </c>
      <c r="J71" s="26">
        <f>[1]Прейскурант!$E$24</f>
        <v>5243.29</v>
      </c>
      <c r="K71" s="25"/>
      <c r="L71" s="25"/>
    </row>
    <row r="72" spans="1:12" s="1" customFormat="1" ht="31.5" x14ac:dyDescent="0.25">
      <c r="A72" s="57"/>
      <c r="B72" s="61" t="s">
        <v>96</v>
      </c>
      <c r="C72" s="14" t="s">
        <v>40</v>
      </c>
      <c r="D72" s="33">
        <v>10</v>
      </c>
      <c r="E72" s="62">
        <v>13108.28</v>
      </c>
      <c r="F72" s="14"/>
      <c r="G72" s="62">
        <f t="shared" si="3"/>
        <v>131082.79999999999</v>
      </c>
      <c r="H72" s="15">
        <v>16</v>
      </c>
      <c r="I72" s="25">
        <f>D72*10</f>
        <v>100</v>
      </c>
      <c r="J72" s="26">
        <f>[1]Прейскурант!$E$26</f>
        <v>13108.279999999999</v>
      </c>
      <c r="K72" s="25"/>
      <c r="L72" s="25"/>
    </row>
    <row r="73" spans="1:12" s="1" customFormat="1" ht="31.5" x14ac:dyDescent="0.25">
      <c r="A73" s="57"/>
      <c r="B73" s="61" t="s">
        <v>97</v>
      </c>
      <c r="C73" s="14" t="s">
        <v>40</v>
      </c>
      <c r="D73" s="33">
        <v>5</v>
      </c>
      <c r="E73" s="62">
        <v>22814.39</v>
      </c>
      <c r="F73" s="14"/>
      <c r="G73" s="62">
        <f t="shared" si="3"/>
        <v>114071.95</v>
      </c>
      <c r="H73" s="15">
        <v>18</v>
      </c>
      <c r="I73" s="25">
        <f>D73*20</f>
        <v>100</v>
      </c>
      <c r="J73" s="26">
        <f>[1]Прейскурант!$E$28</f>
        <v>22814.39</v>
      </c>
      <c r="K73" s="25"/>
      <c r="L73" s="25"/>
    </row>
    <row r="74" spans="1:12" s="1" customFormat="1" ht="15.75" x14ac:dyDescent="0.25">
      <c r="A74" s="57"/>
      <c r="B74" s="46" t="s">
        <v>98</v>
      </c>
      <c r="C74" s="14" t="s">
        <v>72</v>
      </c>
      <c r="D74" s="33">
        <v>50</v>
      </c>
      <c r="E74" s="62">
        <v>1032.9000000000001</v>
      </c>
      <c r="F74" s="14"/>
      <c r="G74" s="62">
        <f t="shared" si="3"/>
        <v>51645</v>
      </c>
      <c r="H74" s="15">
        <v>36</v>
      </c>
      <c r="I74" s="25">
        <f>D74</f>
        <v>50</v>
      </c>
      <c r="J74" s="26">
        <f>[1]Прейскурант!$E$46</f>
        <v>1032.8969999999999</v>
      </c>
      <c r="K74" s="25"/>
      <c r="L74" s="25"/>
    </row>
    <row r="75" spans="1:12" s="1" customFormat="1" ht="15.75" x14ac:dyDescent="0.25">
      <c r="A75" s="57"/>
      <c r="B75" s="46" t="s">
        <v>99</v>
      </c>
      <c r="C75" s="14" t="s">
        <v>72</v>
      </c>
      <c r="D75" s="33">
        <f>I75</f>
        <v>1580</v>
      </c>
      <c r="E75" s="62">
        <v>230.42</v>
      </c>
      <c r="F75" s="14"/>
      <c r="G75" s="62">
        <f t="shared" si="3"/>
        <v>364063.6</v>
      </c>
      <c r="H75" s="15">
        <v>83</v>
      </c>
      <c r="I75" s="25">
        <f>ROUND((SUM(I50:I74)),0)</f>
        <v>1580</v>
      </c>
      <c r="J75" s="26">
        <f>[1]Прейскурант!$E$99</f>
        <v>230.41812000000002</v>
      </c>
      <c r="K75" s="25"/>
      <c r="L75" s="25"/>
    </row>
    <row r="76" spans="1:12" s="1" customFormat="1" ht="15.75" x14ac:dyDescent="0.25">
      <c r="A76" s="27" t="s">
        <v>100</v>
      </c>
      <c r="B76" s="21" t="s">
        <v>101</v>
      </c>
      <c r="C76" s="65"/>
      <c r="D76" s="14"/>
      <c r="E76" s="334"/>
      <c r="F76" s="14"/>
      <c r="G76" s="24">
        <f>G77+G91+G99+G112+G121+G124</f>
        <v>9256762.7400000002</v>
      </c>
      <c r="H76" s="15"/>
      <c r="I76" s="25"/>
      <c r="J76" s="26"/>
      <c r="K76" s="25"/>
      <c r="L76" s="25"/>
    </row>
    <row r="77" spans="1:12" s="1" customFormat="1" ht="15.75" x14ac:dyDescent="0.25">
      <c r="A77" s="27" t="s">
        <v>102</v>
      </c>
      <c r="B77" s="44" t="s">
        <v>103</v>
      </c>
      <c r="C77" s="45" t="s">
        <v>104</v>
      </c>
      <c r="D77" s="29">
        <f>D79+D80+D81+D82+D83</f>
        <v>886</v>
      </c>
      <c r="E77" s="334"/>
      <c r="F77" s="45"/>
      <c r="G77" s="31">
        <f>SUM(G78:G90)</f>
        <v>1426876.6099999999</v>
      </c>
      <c r="H77" s="15"/>
      <c r="I77" s="25"/>
      <c r="J77" s="26"/>
      <c r="K77" s="25"/>
      <c r="L77" s="25"/>
    </row>
    <row r="78" spans="1:12" s="1" customFormat="1" ht="15.75" x14ac:dyDescent="0.25">
      <c r="A78" s="27"/>
      <c r="B78" s="49" t="s">
        <v>41</v>
      </c>
      <c r="C78" s="50" t="s">
        <v>40</v>
      </c>
      <c r="D78" s="51">
        <v>154</v>
      </c>
      <c r="E78" s="66">
        <v>47.06</v>
      </c>
      <c r="F78" s="50">
        <v>1</v>
      </c>
      <c r="G78" s="53">
        <f>ROUND((D78*E78*F78),2)</f>
        <v>7247.24</v>
      </c>
      <c r="H78" s="54">
        <v>56</v>
      </c>
      <c r="I78" s="417">
        <f>G78+G82+G83+G87+G90</f>
        <v>699539.96</v>
      </c>
      <c r="J78" s="25"/>
    </row>
    <row r="79" spans="1:12" s="1" customFormat="1" ht="31.5" x14ac:dyDescent="0.25">
      <c r="A79" s="27"/>
      <c r="B79" s="46" t="s">
        <v>105</v>
      </c>
      <c r="C79" s="14" t="s">
        <v>40</v>
      </c>
      <c r="D79" s="58">
        <f>161+31</f>
        <v>192</v>
      </c>
      <c r="E79" s="149">
        <v>135.06</v>
      </c>
      <c r="F79" s="14">
        <v>6</v>
      </c>
      <c r="G79" s="62">
        <f t="shared" ref="G79:G90" si="5">ROUND((D79*E79*F79),2)</f>
        <v>155589.12</v>
      </c>
      <c r="H79" s="15">
        <v>59</v>
      </c>
      <c r="I79" s="25"/>
      <c r="J79" s="26"/>
      <c r="K79" s="25"/>
      <c r="L79" s="25"/>
    </row>
    <row r="80" spans="1:12" s="1" customFormat="1" ht="31.5" x14ac:dyDescent="0.25">
      <c r="A80" s="27"/>
      <c r="B80" s="32" t="s">
        <v>106</v>
      </c>
      <c r="C80" s="63" t="s">
        <v>40</v>
      </c>
      <c r="D80" s="260">
        <f>257+14</f>
        <v>271</v>
      </c>
      <c r="E80" s="82">
        <f>E79</f>
        <v>135.06</v>
      </c>
      <c r="F80" s="63">
        <v>12</v>
      </c>
      <c r="G80" s="35">
        <f t="shared" si="5"/>
        <v>439215.12</v>
      </c>
      <c r="H80" s="4">
        <v>59</v>
      </c>
      <c r="I80" s="25"/>
      <c r="J80" s="26"/>
      <c r="K80" s="25"/>
      <c r="L80" s="25"/>
    </row>
    <row r="81" spans="1:13" s="1" customFormat="1" ht="15.75" x14ac:dyDescent="0.25">
      <c r="A81" s="27"/>
      <c r="B81" s="32" t="s">
        <v>107</v>
      </c>
      <c r="C81" s="63" t="s">
        <v>40</v>
      </c>
      <c r="D81" s="260">
        <v>129</v>
      </c>
      <c r="E81" s="82">
        <v>32.42</v>
      </c>
      <c r="F81" s="63">
        <v>12</v>
      </c>
      <c r="G81" s="35">
        <f t="shared" si="5"/>
        <v>50186.16</v>
      </c>
      <c r="H81" s="4" t="s">
        <v>108</v>
      </c>
      <c r="I81" s="25"/>
      <c r="J81" s="26"/>
      <c r="K81" s="25"/>
      <c r="L81" s="25"/>
    </row>
    <row r="82" spans="1:13" s="1" customFormat="1" ht="31.5" x14ac:dyDescent="0.25">
      <c r="A82" s="27"/>
      <c r="B82" s="49" t="s">
        <v>106</v>
      </c>
      <c r="C82" s="50" t="s">
        <v>40</v>
      </c>
      <c r="D82" s="67">
        <v>154</v>
      </c>
      <c r="E82" s="66">
        <v>135.06</v>
      </c>
      <c r="F82" s="50">
        <v>12</v>
      </c>
      <c r="G82" s="68">
        <f>ROUND((D82*E82*F82),2)</f>
        <v>249590.88</v>
      </c>
      <c r="H82" s="54">
        <v>59</v>
      </c>
      <c r="I82" s="25"/>
      <c r="J82" s="25"/>
    </row>
    <row r="83" spans="1:13" s="1" customFormat="1" ht="31.5" x14ac:dyDescent="0.25">
      <c r="A83" s="27"/>
      <c r="B83" s="49" t="s">
        <v>109</v>
      </c>
      <c r="C83" s="50" t="s">
        <v>40</v>
      </c>
      <c r="D83" s="67">
        <v>140</v>
      </c>
      <c r="E83" s="66">
        <v>135.06</v>
      </c>
      <c r="F83" s="50">
        <v>16</v>
      </c>
      <c r="G83" s="68">
        <f>ROUND((D83*E83*F83),2)</f>
        <v>302534.40000000002</v>
      </c>
      <c r="H83" s="54">
        <v>59</v>
      </c>
      <c r="I83" s="25"/>
      <c r="J83" s="25"/>
    </row>
    <row r="84" spans="1:13" s="1" customFormat="1" ht="15.75" x14ac:dyDescent="0.25">
      <c r="A84" s="27"/>
      <c r="B84" s="32" t="s">
        <v>110</v>
      </c>
      <c r="C84" s="63" t="s">
        <v>40</v>
      </c>
      <c r="D84" s="260">
        <v>192</v>
      </c>
      <c r="E84" s="35">
        <v>37.82</v>
      </c>
      <c r="F84" s="69">
        <v>1</v>
      </c>
      <c r="G84" s="35">
        <f t="shared" si="5"/>
        <v>7261.44</v>
      </c>
      <c r="H84" s="4">
        <v>62</v>
      </c>
      <c r="I84" s="25"/>
      <c r="J84" s="26"/>
      <c r="K84" s="25"/>
      <c r="L84" s="25"/>
      <c r="M84" s="3"/>
    </row>
    <row r="85" spans="1:13" s="1" customFormat="1" ht="15.75" x14ac:dyDescent="0.25">
      <c r="A85" s="27"/>
      <c r="B85" s="32" t="s">
        <v>111</v>
      </c>
      <c r="C85" s="63" t="s">
        <v>40</v>
      </c>
      <c r="D85" s="260">
        <f>257+14</f>
        <v>271</v>
      </c>
      <c r="E85" s="35">
        <f>E84</f>
        <v>37.82</v>
      </c>
      <c r="F85" s="69">
        <v>2</v>
      </c>
      <c r="G85" s="35">
        <f t="shared" si="5"/>
        <v>20498.439999999999</v>
      </c>
      <c r="H85" s="4">
        <v>62</v>
      </c>
      <c r="I85" s="25"/>
      <c r="J85" s="26"/>
      <c r="K85" s="25"/>
      <c r="L85" s="25"/>
      <c r="M85" s="3"/>
    </row>
    <row r="86" spans="1:13" s="1" customFormat="1" ht="15.75" x14ac:dyDescent="0.25">
      <c r="A86" s="27"/>
      <c r="B86" s="32" t="s">
        <v>112</v>
      </c>
      <c r="C86" s="63" t="s">
        <v>40</v>
      </c>
      <c r="D86" s="260">
        <v>129</v>
      </c>
      <c r="E86" s="35">
        <v>10.33</v>
      </c>
      <c r="F86" s="69">
        <v>2</v>
      </c>
      <c r="G86" s="35">
        <f t="shared" si="5"/>
        <v>2665.14</v>
      </c>
      <c r="H86" s="4" t="s">
        <v>113</v>
      </c>
      <c r="I86" s="25"/>
      <c r="J86" s="26">
        <f>[1]Прейскурант!$E$76</f>
        <v>10.334060629600001</v>
      </c>
      <c r="K86" s="25"/>
      <c r="L86" s="25"/>
      <c r="M86" s="3"/>
    </row>
    <row r="87" spans="1:13" s="1" customFormat="1" ht="15.75" x14ac:dyDescent="0.25">
      <c r="A87" s="27"/>
      <c r="B87" s="49" t="s">
        <v>114</v>
      </c>
      <c r="C87" s="50" t="s">
        <v>40</v>
      </c>
      <c r="D87" s="51">
        <f>D82+D83</f>
        <v>294</v>
      </c>
      <c r="E87" s="68">
        <v>37.82</v>
      </c>
      <c r="F87" s="55">
        <v>4</v>
      </c>
      <c r="G87" s="68">
        <f t="shared" si="5"/>
        <v>44476.32</v>
      </c>
      <c r="H87" s="54">
        <v>62</v>
      </c>
      <c r="I87" s="25"/>
      <c r="J87" s="25"/>
      <c r="K87" s="3"/>
    </row>
    <row r="88" spans="1:13" s="1" customFormat="1" ht="31.5" x14ac:dyDescent="0.25">
      <c r="A88" s="27"/>
      <c r="B88" s="32" t="s">
        <v>115</v>
      </c>
      <c r="C88" s="63" t="s">
        <v>40</v>
      </c>
      <c r="D88" s="260">
        <f>D80</f>
        <v>271</v>
      </c>
      <c r="E88" s="35">
        <v>162.74</v>
      </c>
      <c r="F88" s="69">
        <v>1</v>
      </c>
      <c r="G88" s="35">
        <f t="shared" si="5"/>
        <v>44102.54</v>
      </c>
      <c r="H88" s="4">
        <v>68</v>
      </c>
      <c r="I88" s="418"/>
      <c r="J88" s="70"/>
      <c r="K88" s="25"/>
      <c r="L88" s="25"/>
      <c r="M88" s="3"/>
    </row>
    <row r="89" spans="1:13" s="1" customFormat="1" ht="15.75" x14ac:dyDescent="0.25">
      <c r="A89" s="27"/>
      <c r="B89" s="32" t="s">
        <v>116</v>
      </c>
      <c r="C89" s="63" t="s">
        <v>40</v>
      </c>
      <c r="D89" s="260">
        <f>D81</f>
        <v>129</v>
      </c>
      <c r="E89" s="35">
        <v>60.61</v>
      </c>
      <c r="F89" s="69">
        <v>1</v>
      </c>
      <c r="G89" s="35">
        <f t="shared" si="5"/>
        <v>7818.69</v>
      </c>
      <c r="H89" s="4" t="s">
        <v>117</v>
      </c>
      <c r="I89" s="418"/>
      <c r="J89" s="70">
        <f>[1]Прейскурант!$E$83</f>
        <v>60.610099999999981</v>
      </c>
      <c r="K89" s="25"/>
      <c r="L89" s="25"/>
      <c r="M89" s="3"/>
    </row>
    <row r="90" spans="1:13" s="1" customFormat="1" ht="31.5" x14ac:dyDescent="0.25">
      <c r="A90" s="27"/>
      <c r="B90" s="49" t="s">
        <v>118</v>
      </c>
      <c r="C90" s="50" t="s">
        <v>40</v>
      </c>
      <c r="D90" s="51">
        <f>D87</f>
        <v>294</v>
      </c>
      <c r="E90" s="68">
        <v>162.74</v>
      </c>
      <c r="F90" s="55">
        <v>2</v>
      </c>
      <c r="G90" s="68">
        <f t="shared" si="5"/>
        <v>95691.12</v>
      </c>
      <c r="H90" s="54">
        <v>68</v>
      </c>
      <c r="I90" s="25"/>
      <c r="J90" s="25"/>
      <c r="K90" s="3"/>
    </row>
    <row r="91" spans="1:13" s="1" customFormat="1" ht="15.75" x14ac:dyDescent="0.25">
      <c r="A91" s="27" t="s">
        <v>119</v>
      </c>
      <c r="B91" s="44" t="s">
        <v>45</v>
      </c>
      <c r="C91" s="45" t="s">
        <v>40</v>
      </c>
      <c r="D91" s="29" t="s">
        <v>499</v>
      </c>
      <c r="E91" s="334"/>
      <c r="F91" s="45"/>
      <c r="G91" s="31">
        <f>SUM(G92:G98)</f>
        <v>527480.84</v>
      </c>
      <c r="H91" s="15"/>
      <c r="I91" s="25"/>
      <c r="J91" s="26"/>
      <c r="K91" s="25"/>
      <c r="L91" s="25"/>
    </row>
    <row r="92" spans="1:13" s="1" customFormat="1" ht="15.75" x14ac:dyDescent="0.25">
      <c r="A92" s="27"/>
      <c r="B92" s="49" t="s">
        <v>46</v>
      </c>
      <c r="C92" s="50" t="s">
        <v>40</v>
      </c>
      <c r="D92" s="51">
        <v>1247</v>
      </c>
      <c r="E92" s="52">
        <v>8.14</v>
      </c>
      <c r="F92" s="50">
        <v>1</v>
      </c>
      <c r="G92" s="53">
        <f t="shared" ref="G92:G98" si="6">ROUND((D92*E92*F92),2)</f>
        <v>10150.58</v>
      </c>
      <c r="H92" s="54">
        <v>57</v>
      </c>
      <c r="I92" s="417">
        <f>G92+G94+G95+G97+G98</f>
        <v>509764.44</v>
      </c>
      <c r="J92" s="25">
        <f>I28+I92</f>
        <v>969420</v>
      </c>
    </row>
    <row r="93" spans="1:13" s="1" customFormat="1" ht="15.75" x14ac:dyDescent="0.25">
      <c r="A93" s="27"/>
      <c r="B93" s="46" t="s">
        <v>47</v>
      </c>
      <c r="C93" s="14" t="s">
        <v>40</v>
      </c>
      <c r="D93" s="58">
        <v>130</v>
      </c>
      <c r="E93" s="62">
        <v>21.61</v>
      </c>
      <c r="F93" s="14">
        <v>6</v>
      </c>
      <c r="G93" s="62">
        <f t="shared" si="6"/>
        <v>16855.8</v>
      </c>
      <c r="H93" s="15">
        <v>60</v>
      </c>
      <c r="I93" s="25"/>
      <c r="J93" s="26"/>
      <c r="K93" s="25"/>
      <c r="L93" s="25"/>
    </row>
    <row r="94" spans="1:13" s="1" customFormat="1" ht="15.75" x14ac:dyDescent="0.25">
      <c r="A94" s="27"/>
      <c r="B94" s="49" t="s">
        <v>120</v>
      </c>
      <c r="C94" s="50" t="s">
        <v>40</v>
      </c>
      <c r="D94" s="51">
        <v>400</v>
      </c>
      <c r="E94" s="68">
        <v>21.61</v>
      </c>
      <c r="F94" s="50">
        <v>12</v>
      </c>
      <c r="G94" s="68">
        <f t="shared" si="6"/>
        <v>103728</v>
      </c>
      <c r="H94" s="54">
        <v>60</v>
      </c>
      <c r="I94" s="25"/>
      <c r="J94" s="25"/>
    </row>
    <row r="95" spans="1:13" s="1" customFormat="1" ht="15.75" x14ac:dyDescent="0.25">
      <c r="A95" s="27"/>
      <c r="B95" s="49" t="s">
        <v>121</v>
      </c>
      <c r="C95" s="50" t="s">
        <v>40</v>
      </c>
      <c r="D95" s="51">
        <v>847</v>
      </c>
      <c r="E95" s="68">
        <v>21.61</v>
      </c>
      <c r="F95" s="50">
        <v>16</v>
      </c>
      <c r="G95" s="68">
        <f t="shared" si="6"/>
        <v>292858.71999999997</v>
      </c>
      <c r="H95" s="54">
        <v>60</v>
      </c>
      <c r="I95" s="25"/>
      <c r="J95" s="25"/>
    </row>
    <row r="96" spans="1:13" s="1" customFormat="1" ht="15.75" x14ac:dyDescent="0.25">
      <c r="A96" s="27"/>
      <c r="B96" s="46" t="s">
        <v>122</v>
      </c>
      <c r="C96" s="14" t="s">
        <v>40</v>
      </c>
      <c r="D96" s="58">
        <v>130</v>
      </c>
      <c r="E96" s="62">
        <v>6.62</v>
      </c>
      <c r="F96" s="30">
        <v>1</v>
      </c>
      <c r="G96" s="62">
        <f t="shared" si="6"/>
        <v>860.6</v>
      </c>
      <c r="H96" s="15">
        <v>63</v>
      </c>
      <c r="I96" s="25"/>
      <c r="J96" s="26"/>
      <c r="K96" s="25"/>
      <c r="L96" s="25"/>
      <c r="M96" s="3"/>
    </row>
    <row r="97" spans="1:13" s="1" customFormat="1" ht="15.75" x14ac:dyDescent="0.25">
      <c r="A97" s="27"/>
      <c r="B97" s="49" t="s">
        <v>123</v>
      </c>
      <c r="C97" s="50" t="s">
        <v>40</v>
      </c>
      <c r="D97" s="51">
        <f>D92</f>
        <v>1247</v>
      </c>
      <c r="E97" s="68">
        <v>6.62</v>
      </c>
      <c r="F97" s="55">
        <v>4</v>
      </c>
      <c r="G97" s="68">
        <f t="shared" si="6"/>
        <v>33020.559999999998</v>
      </c>
      <c r="H97" s="54">
        <v>63</v>
      </c>
      <c r="I97" s="25"/>
      <c r="J97" s="25"/>
      <c r="K97" s="3"/>
    </row>
    <row r="98" spans="1:13" s="1" customFormat="1" ht="15.75" x14ac:dyDescent="0.25">
      <c r="A98" s="27"/>
      <c r="B98" s="49" t="s">
        <v>124</v>
      </c>
      <c r="C98" s="50" t="s">
        <v>40</v>
      </c>
      <c r="D98" s="51">
        <f>D97</f>
        <v>1247</v>
      </c>
      <c r="E98" s="68">
        <v>28.07</v>
      </c>
      <c r="F98" s="55">
        <v>2</v>
      </c>
      <c r="G98" s="68">
        <f t="shared" si="6"/>
        <v>70006.58</v>
      </c>
      <c r="H98" s="54">
        <v>69</v>
      </c>
      <c r="I98" s="25"/>
      <c r="J98" s="25"/>
      <c r="K98" s="3"/>
    </row>
    <row r="99" spans="1:13" s="1" customFormat="1" ht="15.75" x14ac:dyDescent="0.25">
      <c r="A99" s="27" t="s">
        <v>125</v>
      </c>
      <c r="B99" s="44" t="s">
        <v>126</v>
      </c>
      <c r="C99" s="14" t="s">
        <v>54</v>
      </c>
      <c r="D99" s="29">
        <f>D102+D103+D104</f>
        <v>1171</v>
      </c>
      <c r="E99" s="334"/>
      <c r="F99" s="45"/>
      <c r="G99" s="31">
        <f>SUM(G100:G111)</f>
        <v>637805.14</v>
      </c>
      <c r="H99" s="15"/>
      <c r="I99" s="25"/>
      <c r="J99" s="26"/>
      <c r="K99" s="25"/>
      <c r="L99" s="25"/>
    </row>
    <row r="100" spans="1:13" s="1" customFormat="1" ht="15.75" x14ac:dyDescent="0.25">
      <c r="A100" s="27"/>
      <c r="B100" s="32" t="s">
        <v>53</v>
      </c>
      <c r="C100" s="63" t="s">
        <v>54</v>
      </c>
      <c r="D100" s="7">
        <v>766</v>
      </c>
      <c r="E100" s="82">
        <v>17.64</v>
      </c>
      <c r="F100" s="63">
        <v>1</v>
      </c>
      <c r="G100" s="60">
        <f t="shared" ref="G100:G111" si="7">ROUND((D100*E100*F100),2)</f>
        <v>13512.24</v>
      </c>
      <c r="H100" s="4">
        <v>58</v>
      </c>
      <c r="I100" s="25"/>
      <c r="J100" s="26"/>
      <c r="K100" s="25"/>
      <c r="L100" s="25"/>
    </row>
    <row r="101" spans="1:13" s="1" customFormat="1" ht="15.75" x14ac:dyDescent="0.25">
      <c r="A101" s="27"/>
      <c r="B101" s="49" t="s">
        <v>53</v>
      </c>
      <c r="C101" s="50" t="s">
        <v>54</v>
      </c>
      <c r="D101" s="51">
        <v>355</v>
      </c>
      <c r="E101" s="66">
        <v>17.64</v>
      </c>
      <c r="F101" s="50">
        <v>1</v>
      </c>
      <c r="G101" s="53">
        <f>ROUND((D101*E101*F101),2)</f>
        <v>6262.2</v>
      </c>
      <c r="H101" s="54">
        <v>58</v>
      </c>
      <c r="I101" s="417">
        <f>G101+G104+G107+G109+G110+G111</f>
        <v>236505.14000000004</v>
      </c>
      <c r="J101" s="25"/>
    </row>
    <row r="102" spans="1:13" s="1" customFormat="1" ht="15.75" x14ac:dyDescent="0.25">
      <c r="A102" s="27"/>
      <c r="B102" s="32" t="s">
        <v>55</v>
      </c>
      <c r="C102" s="63" t="s">
        <v>54</v>
      </c>
      <c r="D102" s="260">
        <v>50</v>
      </c>
      <c r="E102" s="35">
        <v>32.42</v>
      </c>
      <c r="F102" s="63">
        <v>6</v>
      </c>
      <c r="G102" s="35">
        <f t="shared" si="7"/>
        <v>9726</v>
      </c>
      <c r="H102" s="4">
        <v>61</v>
      </c>
      <c r="I102" s="25"/>
      <c r="J102" s="26"/>
      <c r="K102" s="25"/>
      <c r="L102" s="25"/>
    </row>
    <row r="103" spans="1:13" s="1" customFormat="1" ht="15.75" x14ac:dyDescent="0.25">
      <c r="A103" s="27"/>
      <c r="B103" s="32" t="s">
        <v>127</v>
      </c>
      <c r="C103" s="63" t="s">
        <v>54</v>
      </c>
      <c r="D103" s="260">
        <v>766</v>
      </c>
      <c r="E103" s="35">
        <f>E102</f>
        <v>32.42</v>
      </c>
      <c r="F103" s="63">
        <v>12</v>
      </c>
      <c r="G103" s="35">
        <f t="shared" si="7"/>
        <v>298004.64</v>
      </c>
      <c r="H103" s="4">
        <v>61</v>
      </c>
      <c r="I103" s="25"/>
      <c r="J103" s="26"/>
      <c r="K103" s="25"/>
      <c r="L103" s="25"/>
    </row>
    <row r="104" spans="1:13" s="1" customFormat="1" ht="15.75" x14ac:dyDescent="0.25">
      <c r="A104" s="27"/>
      <c r="B104" s="49" t="s">
        <v>128</v>
      </c>
      <c r="C104" s="50" t="s">
        <v>54</v>
      </c>
      <c r="D104" s="51">
        <f>D101</f>
        <v>355</v>
      </c>
      <c r="E104" s="68">
        <v>32.42</v>
      </c>
      <c r="F104" s="50">
        <v>12</v>
      </c>
      <c r="G104" s="68">
        <f>ROUND((D104*E104*F104),2)</f>
        <v>138109.20000000001</v>
      </c>
      <c r="H104" s="54">
        <v>61</v>
      </c>
      <c r="I104" s="25"/>
      <c r="J104" s="25"/>
    </row>
    <row r="105" spans="1:13" s="1" customFormat="1" ht="15.75" x14ac:dyDescent="0.25">
      <c r="A105" s="27"/>
      <c r="B105" s="32" t="s">
        <v>129</v>
      </c>
      <c r="C105" s="63" t="s">
        <v>54</v>
      </c>
      <c r="D105" s="7">
        <v>50</v>
      </c>
      <c r="E105" s="35">
        <v>18.28</v>
      </c>
      <c r="F105" s="69">
        <v>1</v>
      </c>
      <c r="G105" s="35">
        <f t="shared" si="7"/>
        <v>914</v>
      </c>
      <c r="H105" s="4">
        <v>64</v>
      </c>
      <c r="I105" s="25"/>
      <c r="J105" s="26"/>
      <c r="K105" s="25"/>
      <c r="L105" s="25"/>
      <c r="M105" s="3"/>
    </row>
    <row r="106" spans="1:13" s="1" customFormat="1" ht="15.75" x14ac:dyDescent="0.25">
      <c r="A106" s="27"/>
      <c r="B106" s="32" t="s">
        <v>130</v>
      </c>
      <c r="C106" s="63" t="s">
        <v>54</v>
      </c>
      <c r="D106" s="7">
        <v>766</v>
      </c>
      <c r="E106" s="35">
        <f>E105</f>
        <v>18.28</v>
      </c>
      <c r="F106" s="69">
        <v>2</v>
      </c>
      <c r="G106" s="35">
        <f t="shared" si="7"/>
        <v>28004.959999999999</v>
      </c>
      <c r="H106" s="4">
        <v>64</v>
      </c>
      <c r="I106" s="25"/>
      <c r="J106" s="26"/>
      <c r="K106" s="25"/>
      <c r="L106" s="25"/>
      <c r="M106" s="3"/>
    </row>
    <row r="107" spans="1:13" s="1" customFormat="1" ht="15.75" x14ac:dyDescent="0.25">
      <c r="A107" s="27"/>
      <c r="B107" s="49" t="s">
        <v>131</v>
      </c>
      <c r="C107" s="50" t="s">
        <v>54</v>
      </c>
      <c r="D107" s="51">
        <f>D104</f>
        <v>355</v>
      </c>
      <c r="E107" s="68">
        <v>18.28</v>
      </c>
      <c r="F107" s="55">
        <v>4</v>
      </c>
      <c r="G107" s="68">
        <f t="shared" si="7"/>
        <v>25957.599999999999</v>
      </c>
      <c r="H107" s="54">
        <v>64</v>
      </c>
      <c r="I107" s="25"/>
      <c r="J107" s="25"/>
      <c r="K107" s="3"/>
    </row>
    <row r="108" spans="1:13" s="1" customFormat="1" ht="15.75" x14ac:dyDescent="0.25">
      <c r="A108" s="27"/>
      <c r="B108" s="32" t="s">
        <v>132</v>
      </c>
      <c r="C108" s="63" t="s">
        <v>40</v>
      </c>
      <c r="D108" s="7">
        <f>D100</f>
        <v>766</v>
      </c>
      <c r="E108" s="35">
        <v>66.760000000000005</v>
      </c>
      <c r="F108" s="69">
        <v>1</v>
      </c>
      <c r="G108" s="35">
        <f t="shared" si="7"/>
        <v>51138.16</v>
      </c>
      <c r="H108" s="4">
        <v>70</v>
      </c>
      <c r="I108" s="418"/>
      <c r="J108" s="70"/>
      <c r="K108" s="25"/>
      <c r="L108" s="25"/>
      <c r="M108" s="3"/>
    </row>
    <row r="109" spans="1:13" s="1" customFormat="1" ht="15.75" x14ac:dyDescent="0.25">
      <c r="A109" s="27"/>
      <c r="B109" s="49" t="s">
        <v>133</v>
      </c>
      <c r="C109" s="50" t="s">
        <v>54</v>
      </c>
      <c r="D109" s="51">
        <f>D107</f>
        <v>355</v>
      </c>
      <c r="E109" s="68">
        <v>66.760000000000005</v>
      </c>
      <c r="F109" s="55">
        <v>2</v>
      </c>
      <c r="G109" s="68">
        <f t="shared" si="7"/>
        <v>47399.6</v>
      </c>
      <c r="H109" s="54">
        <v>70</v>
      </c>
      <c r="I109" s="25"/>
      <c r="J109" s="25"/>
      <c r="K109" s="3"/>
    </row>
    <row r="110" spans="1:13" s="1" customFormat="1" ht="31.5" x14ac:dyDescent="0.25">
      <c r="A110" s="71"/>
      <c r="B110" s="72" t="s">
        <v>61</v>
      </c>
      <c r="C110" s="50" t="s">
        <v>54</v>
      </c>
      <c r="D110" s="73">
        <v>343</v>
      </c>
      <c r="E110" s="74">
        <v>26.41</v>
      </c>
      <c r="F110" s="75">
        <v>2</v>
      </c>
      <c r="G110" s="68">
        <f t="shared" si="7"/>
        <v>18117.259999999998</v>
      </c>
      <c r="H110" s="54">
        <v>41</v>
      </c>
      <c r="I110" s="25"/>
      <c r="J110" s="25"/>
      <c r="K110" s="3"/>
    </row>
    <row r="111" spans="1:13" s="1" customFormat="1" ht="31.5" x14ac:dyDescent="0.25">
      <c r="A111" s="71"/>
      <c r="B111" s="72" t="s">
        <v>134</v>
      </c>
      <c r="C111" s="50" t="s">
        <v>54</v>
      </c>
      <c r="D111" s="73">
        <v>12</v>
      </c>
      <c r="E111" s="74">
        <v>27.47</v>
      </c>
      <c r="F111" s="75">
        <v>2</v>
      </c>
      <c r="G111" s="68">
        <f t="shared" si="7"/>
        <v>659.28</v>
      </c>
      <c r="H111" s="54">
        <v>44</v>
      </c>
      <c r="I111" s="25"/>
      <c r="J111" s="25"/>
      <c r="K111" s="3"/>
    </row>
    <row r="112" spans="1:13" s="1" customFormat="1" ht="15.75" x14ac:dyDescent="0.25">
      <c r="A112" s="71" t="s">
        <v>135</v>
      </c>
      <c r="B112" s="76" t="s">
        <v>136</v>
      </c>
      <c r="C112" s="77" t="s">
        <v>23</v>
      </c>
      <c r="D112" s="78">
        <f>D113+D115+D116+D117+D118+D120</f>
        <v>88593</v>
      </c>
      <c r="E112" s="79"/>
      <c r="F112" s="78"/>
      <c r="G112" s="80">
        <f>SUM(G113:G120)</f>
        <v>4911727.9000000004</v>
      </c>
      <c r="H112" s="15"/>
      <c r="I112" s="25"/>
      <c r="J112" s="26"/>
      <c r="K112" s="25"/>
      <c r="L112" s="25"/>
    </row>
    <row r="113" spans="1:12" s="1" customFormat="1" ht="15.75" x14ac:dyDescent="0.25">
      <c r="A113" s="27"/>
      <c r="B113" s="46" t="s">
        <v>137</v>
      </c>
      <c r="C113" s="14" t="s">
        <v>23</v>
      </c>
      <c r="D113" s="33">
        <f>40422</f>
        <v>40422</v>
      </c>
      <c r="E113" s="149">
        <v>5.9</v>
      </c>
      <c r="F113" s="14">
        <v>2</v>
      </c>
      <c r="G113" s="62">
        <f t="shared" ref="G113:G120" si="8">ROUND((D113*E113*F113),2)</f>
        <v>476979.6</v>
      </c>
      <c r="H113" s="15">
        <v>54</v>
      </c>
      <c r="I113" s="25"/>
      <c r="J113" s="26"/>
      <c r="K113" s="25"/>
      <c r="L113" s="25"/>
    </row>
    <row r="114" spans="1:12" s="1" customFormat="1" ht="15.75" x14ac:dyDescent="0.25">
      <c r="A114" s="27"/>
      <c r="B114" s="32" t="s">
        <v>30</v>
      </c>
      <c r="C114" s="14" t="s">
        <v>23</v>
      </c>
      <c r="D114" s="33">
        <f>D113</f>
        <v>40422</v>
      </c>
      <c r="E114" s="149">
        <v>3.6</v>
      </c>
      <c r="F114" s="30">
        <v>1</v>
      </c>
      <c r="G114" s="35">
        <f t="shared" si="8"/>
        <v>145519.20000000001</v>
      </c>
      <c r="H114" s="15" t="s">
        <v>31</v>
      </c>
      <c r="I114" s="25"/>
      <c r="J114" s="26"/>
      <c r="K114" s="25"/>
      <c r="L114" s="25"/>
    </row>
    <row r="115" spans="1:12" s="1" customFormat="1" ht="15.75" x14ac:dyDescent="0.25">
      <c r="A115" s="27"/>
      <c r="B115" s="46" t="s">
        <v>137</v>
      </c>
      <c r="C115" s="14" t="s">
        <v>23</v>
      </c>
      <c r="D115" s="33">
        <v>80</v>
      </c>
      <c r="E115" s="149">
        <v>5.9</v>
      </c>
      <c r="F115" s="14">
        <v>3</v>
      </c>
      <c r="G115" s="62">
        <f>ROUND((D115*E115*F115),2)</f>
        <v>1416</v>
      </c>
      <c r="H115" s="15">
        <v>54</v>
      </c>
      <c r="I115" s="25"/>
      <c r="J115" s="26"/>
      <c r="K115" s="25"/>
      <c r="L115" s="25"/>
    </row>
    <row r="116" spans="1:12" s="1" customFormat="1" ht="15.75" x14ac:dyDescent="0.25">
      <c r="A116" s="27"/>
      <c r="B116" s="46" t="s">
        <v>138</v>
      </c>
      <c r="C116" s="14" t="s">
        <v>23</v>
      </c>
      <c r="D116" s="33">
        <v>2500</v>
      </c>
      <c r="E116" s="149">
        <f>E113</f>
        <v>5.9</v>
      </c>
      <c r="F116" s="14">
        <v>5</v>
      </c>
      <c r="G116" s="62">
        <f t="shared" si="8"/>
        <v>73750</v>
      </c>
      <c r="H116" s="15">
        <v>54</v>
      </c>
      <c r="I116" s="25"/>
      <c r="J116" s="26"/>
      <c r="K116" s="25"/>
      <c r="L116" s="25"/>
    </row>
    <row r="117" spans="1:12" s="1" customFormat="1" ht="15.75" x14ac:dyDescent="0.25">
      <c r="A117" s="27"/>
      <c r="B117" s="32" t="s">
        <v>139</v>
      </c>
      <c r="C117" s="63" t="s">
        <v>23</v>
      </c>
      <c r="D117" s="7">
        <v>4662</v>
      </c>
      <c r="E117" s="82">
        <v>37.35</v>
      </c>
      <c r="F117" s="63">
        <v>6</v>
      </c>
      <c r="G117" s="35">
        <f t="shared" si="8"/>
        <v>1044754.2</v>
      </c>
      <c r="H117" s="4">
        <v>129</v>
      </c>
      <c r="I117" s="418"/>
      <c r="J117" s="70"/>
      <c r="K117" s="25"/>
      <c r="L117" s="25"/>
    </row>
    <row r="118" spans="1:12" s="1" customFormat="1" ht="15.75" x14ac:dyDescent="0.25">
      <c r="A118" s="27"/>
      <c r="B118" s="49" t="s">
        <v>140</v>
      </c>
      <c r="C118" s="50" t="s">
        <v>23</v>
      </c>
      <c r="D118" s="51">
        <v>29600</v>
      </c>
      <c r="E118" s="66">
        <f>E116</f>
        <v>5.9</v>
      </c>
      <c r="F118" s="50">
        <v>3</v>
      </c>
      <c r="G118" s="68">
        <f t="shared" si="8"/>
        <v>523920</v>
      </c>
      <c r="H118" s="54">
        <v>54</v>
      </c>
      <c r="I118" s="417">
        <f>G118+G119+G120</f>
        <v>3169308.9</v>
      </c>
      <c r="J118" s="26"/>
      <c r="K118" s="25"/>
      <c r="L118" s="25"/>
    </row>
    <row r="119" spans="1:12" s="1" customFormat="1" ht="15.75" x14ac:dyDescent="0.25">
      <c r="A119" s="27"/>
      <c r="B119" s="49" t="s">
        <v>30</v>
      </c>
      <c r="C119" s="50" t="s">
        <v>23</v>
      </c>
      <c r="D119" s="51">
        <f>D118</f>
        <v>29600</v>
      </c>
      <c r="E119" s="66">
        <v>3.6</v>
      </c>
      <c r="F119" s="55">
        <v>1</v>
      </c>
      <c r="G119" s="68">
        <f t="shared" si="8"/>
        <v>106560</v>
      </c>
      <c r="H119" s="54" t="s">
        <v>31</v>
      </c>
      <c r="I119" s="25"/>
      <c r="J119" s="26"/>
      <c r="K119" s="25"/>
      <c r="L119" s="25"/>
    </row>
    <row r="120" spans="1:12" s="1" customFormat="1" ht="15.75" x14ac:dyDescent="0.25">
      <c r="A120" s="27"/>
      <c r="B120" s="49" t="s">
        <v>139</v>
      </c>
      <c r="C120" s="50" t="s">
        <v>23</v>
      </c>
      <c r="D120" s="51">
        <v>11329</v>
      </c>
      <c r="E120" s="66">
        <v>37.35</v>
      </c>
      <c r="F120" s="50">
        <v>6</v>
      </c>
      <c r="G120" s="68">
        <f t="shared" si="8"/>
        <v>2538828.9</v>
      </c>
      <c r="H120" s="54">
        <v>129</v>
      </c>
      <c r="I120" s="25"/>
      <c r="J120" s="25"/>
    </row>
    <row r="121" spans="1:12" s="1" customFormat="1" ht="15.75" x14ac:dyDescent="0.25">
      <c r="A121" s="71" t="s">
        <v>141</v>
      </c>
      <c r="B121" s="76" t="s">
        <v>142</v>
      </c>
      <c r="C121" s="77" t="s">
        <v>23</v>
      </c>
      <c r="D121" s="78">
        <f>D122+D123</f>
        <v>2919</v>
      </c>
      <c r="E121" s="79"/>
      <c r="F121" s="78"/>
      <c r="G121" s="80">
        <f>SUM(G122:G123)</f>
        <v>1692290.25</v>
      </c>
      <c r="H121" s="15"/>
      <c r="I121" s="25"/>
      <c r="J121" s="26"/>
      <c r="K121" s="25"/>
      <c r="L121" s="25"/>
    </row>
    <row r="122" spans="1:12" s="1" customFormat="1" ht="15.75" x14ac:dyDescent="0.25">
      <c r="A122" s="27"/>
      <c r="B122" s="32" t="s">
        <v>143</v>
      </c>
      <c r="C122" s="63" t="s">
        <v>23</v>
      </c>
      <c r="D122" s="7">
        <v>223</v>
      </c>
      <c r="E122" s="82">
        <v>115.95</v>
      </c>
      <c r="F122" s="63">
        <v>5</v>
      </c>
      <c r="G122" s="35">
        <f>ROUND((D122*E122*F122),2)</f>
        <v>129284.25</v>
      </c>
      <c r="H122" s="4">
        <v>66</v>
      </c>
      <c r="I122" s="418"/>
      <c r="J122" s="70"/>
      <c r="K122" s="25"/>
      <c r="L122" s="25"/>
    </row>
    <row r="123" spans="1:12" s="1" customFormat="1" ht="15.75" x14ac:dyDescent="0.25">
      <c r="A123" s="27"/>
      <c r="B123" s="49" t="s">
        <v>143</v>
      </c>
      <c r="C123" s="50" t="s">
        <v>23</v>
      </c>
      <c r="D123" s="51">
        <v>2696</v>
      </c>
      <c r="E123" s="66">
        <v>115.95</v>
      </c>
      <c r="F123" s="50">
        <v>5</v>
      </c>
      <c r="G123" s="68">
        <f>ROUND((D123*E123*F123),2)</f>
        <v>1563006</v>
      </c>
      <c r="H123" s="54">
        <v>66</v>
      </c>
      <c r="I123" s="417">
        <f>G123</f>
        <v>1563006</v>
      </c>
      <c r="J123" s="25"/>
    </row>
    <row r="124" spans="1:12" s="1" customFormat="1" ht="15.75" x14ac:dyDescent="0.25">
      <c r="A124" s="71" t="s">
        <v>144</v>
      </c>
      <c r="B124" s="76" t="s">
        <v>145</v>
      </c>
      <c r="C124" s="77" t="s">
        <v>23</v>
      </c>
      <c r="D124" s="78">
        <f>D125</f>
        <v>40</v>
      </c>
      <c r="E124" s="79"/>
      <c r="F124" s="78"/>
      <c r="G124" s="80">
        <f>SUM(G125:G127)</f>
        <v>60582</v>
      </c>
      <c r="H124" s="15"/>
      <c r="I124" s="25"/>
      <c r="J124" s="26"/>
      <c r="K124" s="25"/>
      <c r="L124" s="25"/>
    </row>
    <row r="125" spans="1:12" s="1" customFormat="1" ht="15.75" x14ac:dyDescent="0.25">
      <c r="A125" s="27"/>
      <c r="B125" s="32" t="s">
        <v>146</v>
      </c>
      <c r="C125" s="63" t="s">
        <v>23</v>
      </c>
      <c r="D125" s="7">
        <v>40</v>
      </c>
      <c r="E125" s="82">
        <v>94.8</v>
      </c>
      <c r="F125" s="63">
        <v>1</v>
      </c>
      <c r="G125" s="35">
        <f>ROUND((D125*E125*F125),2)</f>
        <v>3792</v>
      </c>
      <c r="H125" s="4">
        <v>125</v>
      </c>
      <c r="I125" s="25"/>
      <c r="J125" s="26">
        <f>[1]Прейскурант!$E$162</f>
        <v>94.797512000000012</v>
      </c>
      <c r="K125" s="25"/>
      <c r="L125" s="25"/>
    </row>
    <row r="126" spans="1:12" s="1" customFormat="1" ht="15.75" x14ac:dyDescent="0.25">
      <c r="A126" s="27"/>
      <c r="B126" s="32" t="s">
        <v>147</v>
      </c>
      <c r="C126" s="63" t="s">
        <v>40</v>
      </c>
      <c r="D126" s="7">
        <v>960</v>
      </c>
      <c r="E126" s="82">
        <v>35</v>
      </c>
      <c r="F126" s="69">
        <v>1</v>
      </c>
      <c r="G126" s="35">
        <f>ROUND((D126*E126*F126),2)</f>
        <v>33600</v>
      </c>
      <c r="H126" s="4">
        <v>126</v>
      </c>
      <c r="I126" s="25"/>
      <c r="J126" s="26"/>
      <c r="K126" s="25"/>
      <c r="L126" s="25"/>
    </row>
    <row r="127" spans="1:12" s="1" customFormat="1" ht="15.75" x14ac:dyDescent="0.25">
      <c r="A127" s="27"/>
      <c r="B127" s="32" t="s">
        <v>148</v>
      </c>
      <c r="C127" s="63" t="s">
        <v>23</v>
      </c>
      <c r="D127" s="7">
        <v>40</v>
      </c>
      <c r="E127" s="82">
        <f>E122</f>
        <v>115.95</v>
      </c>
      <c r="F127" s="63">
        <v>5</v>
      </c>
      <c r="G127" s="35">
        <f>ROUND((D127*E127*F127),2)</f>
        <v>23190</v>
      </c>
      <c r="H127" s="4">
        <v>66</v>
      </c>
      <c r="I127" s="418"/>
      <c r="J127" s="70"/>
      <c r="K127" s="25"/>
      <c r="L127" s="25"/>
    </row>
    <row r="128" spans="1:12" s="1" customFormat="1" ht="15.75" x14ac:dyDescent="0.25">
      <c r="A128" s="83" t="s">
        <v>149</v>
      </c>
      <c r="B128" s="84" t="s">
        <v>150</v>
      </c>
      <c r="C128" s="85" t="s">
        <v>23</v>
      </c>
      <c r="D128" s="86">
        <f>D129+D130</f>
        <v>2281</v>
      </c>
      <c r="E128" s="87"/>
      <c r="F128" s="86"/>
      <c r="G128" s="88">
        <f>SUM(G129:G131)</f>
        <v>1124613.3</v>
      </c>
      <c r="H128" s="15"/>
      <c r="I128" s="25"/>
      <c r="J128" s="26"/>
      <c r="K128" s="25"/>
      <c r="L128" s="25"/>
    </row>
    <row r="129" spans="1:13" s="1" customFormat="1" ht="15.75" x14ac:dyDescent="0.25">
      <c r="A129" s="57"/>
      <c r="B129" s="46" t="s">
        <v>151</v>
      </c>
      <c r="C129" s="14" t="s">
        <v>23</v>
      </c>
      <c r="D129" s="33">
        <f>1771+160</f>
        <v>1931</v>
      </c>
      <c r="E129" s="149">
        <f>E127</f>
        <v>115.95</v>
      </c>
      <c r="F129" s="30">
        <v>4</v>
      </c>
      <c r="G129" s="62">
        <f>ROUND((D129*E129*F129),2)</f>
        <v>895597.8</v>
      </c>
      <c r="H129" s="15">
        <v>66</v>
      </c>
      <c r="I129" s="25"/>
      <c r="J129" s="26"/>
      <c r="K129" s="25"/>
      <c r="L129" s="25"/>
    </row>
    <row r="130" spans="1:13" s="1" customFormat="1" ht="15.75" x14ac:dyDescent="0.25">
      <c r="A130" s="57"/>
      <c r="B130" s="46" t="s">
        <v>143</v>
      </c>
      <c r="C130" s="14" t="s">
        <v>23</v>
      </c>
      <c r="D130" s="33">
        <v>350</v>
      </c>
      <c r="E130" s="149">
        <f>E129</f>
        <v>115.95</v>
      </c>
      <c r="F130" s="30">
        <v>5</v>
      </c>
      <c r="G130" s="62">
        <f>ROUND((D130*E130*F130),2)</f>
        <v>202912.5</v>
      </c>
      <c r="H130" s="15">
        <v>66</v>
      </c>
      <c r="I130" s="25"/>
      <c r="J130" s="26"/>
      <c r="K130" s="25"/>
      <c r="L130" s="25"/>
    </row>
    <row r="131" spans="1:13" s="1" customFormat="1" ht="15.75" x14ac:dyDescent="0.25">
      <c r="A131" s="89"/>
      <c r="B131" s="90" t="s">
        <v>152</v>
      </c>
      <c r="C131" s="91" t="s">
        <v>23</v>
      </c>
      <c r="D131" s="92">
        <v>350</v>
      </c>
      <c r="E131" s="297">
        <v>74.58</v>
      </c>
      <c r="F131" s="94"/>
      <c r="G131" s="62">
        <f>ROUND((D131*E131*1),2)</f>
        <v>26103</v>
      </c>
      <c r="H131" s="15">
        <v>67</v>
      </c>
      <c r="I131" s="25"/>
      <c r="J131" s="26">
        <f>[1]Прейскурант!$E$81</f>
        <v>74.575100000000006</v>
      </c>
      <c r="K131" s="25"/>
      <c r="L131" s="25"/>
    </row>
    <row r="132" spans="1:13" s="1" customFormat="1" ht="15.75" x14ac:dyDescent="0.25">
      <c r="A132" s="27" t="s">
        <v>153</v>
      </c>
      <c r="B132" s="44" t="s">
        <v>154</v>
      </c>
      <c r="C132" s="45" t="s">
        <v>23</v>
      </c>
      <c r="D132" s="29">
        <f>D133</f>
        <v>201947</v>
      </c>
      <c r="E132" s="48"/>
      <c r="F132" s="29"/>
      <c r="G132" s="56">
        <f>G133+G134</f>
        <v>7461941.6500000004</v>
      </c>
      <c r="H132" s="15"/>
      <c r="I132" s="25"/>
      <c r="J132" s="26"/>
      <c r="K132" s="25"/>
      <c r="L132" s="25"/>
      <c r="M132" s="3"/>
    </row>
    <row r="133" spans="1:13" s="1" customFormat="1" ht="15.75" x14ac:dyDescent="0.25">
      <c r="A133" s="27"/>
      <c r="B133" s="36" t="s">
        <v>155</v>
      </c>
      <c r="C133" s="37" t="s">
        <v>23</v>
      </c>
      <c r="D133" s="95">
        <v>201947</v>
      </c>
      <c r="E133" s="419">
        <v>6.35</v>
      </c>
      <c r="F133" s="40">
        <v>5</v>
      </c>
      <c r="G133" s="97">
        <f>ROUND((D133*E133*F133),2)</f>
        <v>6411817.25</v>
      </c>
      <c r="H133" s="42">
        <v>101</v>
      </c>
      <c r="I133" s="25"/>
      <c r="J133" s="26">
        <f>[1]Прейскурант!$E$117</f>
        <v>6.3530959999999999</v>
      </c>
      <c r="K133" s="25"/>
      <c r="L133" s="25"/>
      <c r="M133" s="98"/>
    </row>
    <row r="134" spans="1:13" s="1" customFormat="1" ht="15.75" x14ac:dyDescent="0.25">
      <c r="A134" s="27"/>
      <c r="B134" s="36" t="s">
        <v>156</v>
      </c>
      <c r="C134" s="37" t="s">
        <v>23</v>
      </c>
      <c r="D134" s="95">
        <f>D133</f>
        <v>201947</v>
      </c>
      <c r="E134" s="419">
        <v>2.6</v>
      </c>
      <c r="F134" s="40">
        <v>2</v>
      </c>
      <c r="G134" s="97">
        <f>ROUND((D134*E134*F134),2)</f>
        <v>1050124.3999999999</v>
      </c>
      <c r="H134" s="42">
        <v>102</v>
      </c>
      <c r="I134" s="25"/>
      <c r="J134" s="26">
        <f>[1]Прейскурант!$E$118</f>
        <v>2.5973336000000007</v>
      </c>
      <c r="K134" s="25"/>
      <c r="L134" s="25"/>
      <c r="M134" s="3"/>
    </row>
    <row r="135" spans="1:13" s="1" customFormat="1" ht="15.75" x14ac:dyDescent="0.25">
      <c r="A135" s="27" t="s">
        <v>157</v>
      </c>
      <c r="B135" s="44" t="s">
        <v>158</v>
      </c>
      <c r="C135" s="45" t="s">
        <v>54</v>
      </c>
      <c r="D135" s="29">
        <f>D137</f>
        <v>1130</v>
      </c>
      <c r="E135" s="334"/>
      <c r="F135" s="29"/>
      <c r="G135" s="56">
        <f>G136+G137+G138</f>
        <v>851565.24</v>
      </c>
      <c r="H135" s="15"/>
      <c r="I135" s="25"/>
      <c r="J135" s="26"/>
      <c r="K135" s="25"/>
      <c r="L135" s="25"/>
      <c r="M135" s="3"/>
    </row>
    <row r="136" spans="1:13" s="1" customFormat="1" ht="15.75" x14ac:dyDescent="0.25">
      <c r="A136" s="27"/>
      <c r="B136" s="36" t="s">
        <v>159</v>
      </c>
      <c r="C136" s="37" t="s">
        <v>40</v>
      </c>
      <c r="D136" s="99">
        <v>140</v>
      </c>
      <c r="E136" s="420">
        <v>3539.76</v>
      </c>
      <c r="F136" s="40">
        <v>1</v>
      </c>
      <c r="G136" s="97">
        <f>ROUND((D136*E136*F136),2)</f>
        <v>495566.4</v>
      </c>
      <c r="H136" s="42">
        <v>117</v>
      </c>
      <c r="I136" s="25"/>
      <c r="J136" s="26">
        <f>[1]Прейскурант!$E$154</f>
        <v>3539.7561496200001</v>
      </c>
      <c r="K136" s="25"/>
      <c r="L136" s="25"/>
      <c r="M136" s="3"/>
    </row>
    <row r="137" spans="1:13" s="1" customFormat="1" ht="15.75" x14ac:dyDescent="0.25">
      <c r="A137" s="27"/>
      <c r="B137" s="36" t="s">
        <v>160</v>
      </c>
      <c r="C137" s="37" t="s">
        <v>54</v>
      </c>
      <c r="D137" s="99">
        <v>1130</v>
      </c>
      <c r="E137" s="420">
        <v>285.36</v>
      </c>
      <c r="F137" s="40">
        <v>1</v>
      </c>
      <c r="G137" s="97">
        <f>ROUND((D137*E137*F137),2)</f>
        <v>322456.8</v>
      </c>
      <c r="H137" s="42">
        <v>116</v>
      </c>
      <c r="I137" s="25"/>
      <c r="J137" s="26">
        <f>[1]Прейскурант!$E$153</f>
        <v>285.364036</v>
      </c>
      <c r="K137" s="25"/>
      <c r="L137" s="25"/>
      <c r="M137" s="3"/>
    </row>
    <row r="138" spans="1:13" s="1" customFormat="1" ht="15.75" x14ac:dyDescent="0.25">
      <c r="A138" s="27"/>
      <c r="B138" s="36" t="s">
        <v>161</v>
      </c>
      <c r="C138" s="37" t="s">
        <v>40</v>
      </c>
      <c r="D138" s="101">
        <v>4</v>
      </c>
      <c r="E138" s="333">
        <v>8385.51</v>
      </c>
      <c r="F138" s="40">
        <v>1</v>
      </c>
      <c r="G138" s="97">
        <f>ROUND((D138*E138*F138),2)</f>
        <v>33542.04</v>
      </c>
      <c r="H138" s="42">
        <v>119</v>
      </c>
      <c r="I138" s="25"/>
      <c r="J138" s="26">
        <f>[1]Прейскурант!$E$156</f>
        <v>8385.51</v>
      </c>
      <c r="K138" s="25"/>
      <c r="L138" s="25"/>
      <c r="M138" s="3"/>
    </row>
    <row r="139" spans="1:13" s="1" customFormat="1" ht="15.75" x14ac:dyDescent="0.25">
      <c r="A139" s="27" t="s">
        <v>162</v>
      </c>
      <c r="B139" s="103" t="s">
        <v>163</v>
      </c>
      <c r="C139" s="104" t="s">
        <v>164</v>
      </c>
      <c r="D139" s="105">
        <v>20</v>
      </c>
      <c r="E139" s="106"/>
      <c r="F139" s="69"/>
      <c r="G139" s="56">
        <f>250000*1.025</f>
        <v>256249.99999999997</v>
      </c>
      <c r="H139" s="4"/>
      <c r="I139" s="421">
        <f>D139</f>
        <v>20</v>
      </c>
      <c r="J139" s="26"/>
      <c r="K139" s="25"/>
      <c r="L139" s="26"/>
      <c r="M139" s="3"/>
    </row>
    <row r="140" spans="1:13" s="114" customFormat="1" ht="15.75" x14ac:dyDescent="0.25">
      <c r="A140" s="27" t="s">
        <v>165</v>
      </c>
      <c r="B140" s="107" t="s">
        <v>148</v>
      </c>
      <c r="C140" s="108" t="s">
        <v>23</v>
      </c>
      <c r="D140" s="109">
        <f>D141+D142+D143</f>
        <v>2067</v>
      </c>
      <c r="E140" s="422"/>
      <c r="F140" s="109"/>
      <c r="G140" s="111">
        <f>SUM(G141:G143)</f>
        <v>1198343.25</v>
      </c>
      <c r="H140" s="112"/>
      <c r="I140" s="368"/>
      <c r="J140" s="26"/>
      <c r="K140" s="368"/>
      <c r="L140" s="113"/>
    </row>
    <row r="141" spans="1:13" s="1" customFormat="1" ht="15.75" x14ac:dyDescent="0.25">
      <c r="A141" s="115"/>
      <c r="B141" s="116" t="s">
        <v>166</v>
      </c>
      <c r="C141" s="117" t="s">
        <v>23</v>
      </c>
      <c r="D141" s="118">
        <v>223</v>
      </c>
      <c r="E141" s="423">
        <f>E129</f>
        <v>115.95</v>
      </c>
      <c r="F141" s="118">
        <v>5</v>
      </c>
      <c r="G141" s="120">
        <f>ROUND((D141*E141*F141),2)</f>
        <v>129284.25</v>
      </c>
      <c r="H141" s="121">
        <v>66</v>
      </c>
      <c r="I141" s="25"/>
      <c r="J141" s="26"/>
      <c r="K141" s="25"/>
      <c r="L141" s="3"/>
    </row>
    <row r="142" spans="1:13" s="1" customFormat="1" ht="15.75" x14ac:dyDescent="0.25">
      <c r="A142" s="115"/>
      <c r="B142" s="116" t="s">
        <v>167</v>
      </c>
      <c r="C142" s="117" t="s">
        <v>23</v>
      </c>
      <c r="D142" s="118">
        <v>1627</v>
      </c>
      <c r="E142" s="423">
        <f>E141</f>
        <v>115.95</v>
      </c>
      <c r="F142" s="118">
        <v>5</v>
      </c>
      <c r="G142" s="120">
        <f>ROUND((D142*E142*F142),2)</f>
        <v>943253.25</v>
      </c>
      <c r="H142" s="121">
        <v>66</v>
      </c>
      <c r="I142" s="25"/>
      <c r="J142" s="26"/>
      <c r="K142" s="25"/>
      <c r="L142" s="3"/>
    </row>
    <row r="143" spans="1:13" s="1" customFormat="1" ht="15.75" x14ac:dyDescent="0.25">
      <c r="A143" s="115"/>
      <c r="B143" s="116" t="s">
        <v>168</v>
      </c>
      <c r="C143" s="117" t="s">
        <v>23</v>
      </c>
      <c r="D143" s="118">
        <v>217</v>
      </c>
      <c r="E143" s="423">
        <f>E142</f>
        <v>115.95</v>
      </c>
      <c r="F143" s="118">
        <v>5</v>
      </c>
      <c r="G143" s="120">
        <f>ROUND((D143*E143*F143),2)</f>
        <v>125805.75</v>
      </c>
      <c r="H143" s="121">
        <v>66</v>
      </c>
      <c r="I143" s="25"/>
      <c r="J143" s="26"/>
      <c r="K143" s="25"/>
      <c r="L143" s="3"/>
    </row>
    <row r="144" spans="1:13" s="114" customFormat="1" ht="15.75" x14ac:dyDescent="0.25">
      <c r="A144" s="122" t="s">
        <v>169</v>
      </c>
      <c r="B144" s="123" t="s">
        <v>170</v>
      </c>
      <c r="C144" s="124" t="s">
        <v>23</v>
      </c>
      <c r="D144" s="125">
        <f>D145</f>
        <v>2067</v>
      </c>
      <c r="E144" s="424"/>
      <c r="F144" s="124"/>
      <c r="G144" s="126">
        <f>G145+G149+G153</f>
        <v>2132231.6</v>
      </c>
      <c r="H144" s="112"/>
      <c r="I144" s="425"/>
      <c r="J144" s="127"/>
      <c r="K144" s="426"/>
      <c r="L144" s="113"/>
    </row>
    <row r="145" spans="1:16" s="114" customFormat="1" ht="20.100000000000001" customHeight="1" x14ac:dyDescent="0.25">
      <c r="A145" s="122" t="s">
        <v>171</v>
      </c>
      <c r="B145" s="107" t="s">
        <v>172</v>
      </c>
      <c r="C145" s="108" t="s">
        <v>23</v>
      </c>
      <c r="D145" s="109">
        <f>D146+D147+D148</f>
        <v>2067</v>
      </c>
      <c r="E145" s="424"/>
      <c r="F145" s="109"/>
      <c r="G145" s="111">
        <f>G146+G147+G148</f>
        <v>195951.6</v>
      </c>
      <c r="H145" s="112"/>
      <c r="I145" s="368"/>
      <c r="J145" s="26"/>
      <c r="K145" s="368"/>
      <c r="L145" s="113"/>
    </row>
    <row r="146" spans="1:16" s="1" customFormat="1" ht="20.100000000000001" customHeight="1" x14ac:dyDescent="0.25">
      <c r="A146" s="128"/>
      <c r="B146" s="116" t="s">
        <v>166</v>
      </c>
      <c r="C146" s="117" t="s">
        <v>23</v>
      </c>
      <c r="D146" s="118">
        <v>223</v>
      </c>
      <c r="E146" s="427">
        <f>E125</f>
        <v>94.8</v>
      </c>
      <c r="F146" s="130">
        <v>1</v>
      </c>
      <c r="G146" s="120">
        <f>ROUND((D146*E146*F146),2)</f>
        <v>21140.400000000001</v>
      </c>
      <c r="H146" s="121">
        <v>124</v>
      </c>
      <c r="I146" s="25"/>
      <c r="J146" s="26"/>
      <c r="K146" s="25"/>
      <c r="L146" s="3"/>
    </row>
    <row r="147" spans="1:16" s="1" customFormat="1" ht="20.100000000000001" customHeight="1" x14ac:dyDescent="0.25">
      <c r="A147" s="128"/>
      <c r="B147" s="116" t="s">
        <v>167</v>
      </c>
      <c r="C147" s="117" t="s">
        <v>23</v>
      </c>
      <c r="D147" s="118">
        <v>1627</v>
      </c>
      <c r="E147" s="427">
        <f>E146</f>
        <v>94.8</v>
      </c>
      <c r="F147" s="130">
        <v>1</v>
      </c>
      <c r="G147" s="120">
        <f>ROUND((D147*E147*F147),2)</f>
        <v>154239.6</v>
      </c>
      <c r="H147" s="121">
        <v>124</v>
      </c>
      <c r="I147" s="25"/>
      <c r="J147" s="26"/>
      <c r="K147" s="25"/>
      <c r="L147" s="3"/>
    </row>
    <row r="148" spans="1:16" s="1" customFormat="1" ht="20.100000000000001" customHeight="1" x14ac:dyDescent="0.25">
      <c r="A148" s="128"/>
      <c r="B148" s="116" t="s">
        <v>168</v>
      </c>
      <c r="C148" s="117" t="s">
        <v>23</v>
      </c>
      <c r="D148" s="118">
        <v>217</v>
      </c>
      <c r="E148" s="427">
        <f>E147</f>
        <v>94.8</v>
      </c>
      <c r="F148" s="130">
        <v>1</v>
      </c>
      <c r="G148" s="120">
        <f>ROUND((D148*E148*F148),2)</f>
        <v>20571.599999999999</v>
      </c>
      <c r="H148" s="121">
        <v>124</v>
      </c>
      <c r="I148" s="25"/>
      <c r="J148" s="26"/>
      <c r="K148" s="25"/>
      <c r="L148" s="3"/>
    </row>
    <row r="149" spans="1:16" s="114" customFormat="1" ht="20.100000000000001" customHeight="1" x14ac:dyDescent="0.25">
      <c r="A149" s="122" t="s">
        <v>173</v>
      </c>
      <c r="B149" s="107" t="s">
        <v>174</v>
      </c>
      <c r="C149" s="108" t="s">
        <v>40</v>
      </c>
      <c r="D149" s="109">
        <f>D150+D151+D152</f>
        <v>49608</v>
      </c>
      <c r="E149" s="422"/>
      <c r="F149" s="109"/>
      <c r="G149" s="111">
        <f>G150+G151+G152</f>
        <v>1736280</v>
      </c>
      <c r="H149" s="112"/>
      <c r="I149" s="368"/>
      <c r="J149" s="26"/>
      <c r="K149" s="368"/>
      <c r="L149" s="113"/>
    </row>
    <row r="150" spans="1:16" s="1" customFormat="1" ht="20.100000000000001" customHeight="1" x14ac:dyDescent="0.25">
      <c r="A150" s="128"/>
      <c r="B150" s="116" t="s">
        <v>166</v>
      </c>
      <c r="C150" s="117" t="s">
        <v>40</v>
      </c>
      <c r="D150" s="118">
        <f>D146*24</f>
        <v>5352</v>
      </c>
      <c r="E150" s="423">
        <v>35</v>
      </c>
      <c r="F150" s="130"/>
      <c r="G150" s="120">
        <f>ROUND((D150*E150),2)</f>
        <v>187320</v>
      </c>
      <c r="H150" s="121" t="s">
        <v>175</v>
      </c>
      <c r="I150" s="25"/>
      <c r="J150" s="26"/>
      <c r="K150" s="25"/>
      <c r="L150" s="3"/>
    </row>
    <row r="151" spans="1:16" s="1" customFormat="1" ht="20.100000000000001" customHeight="1" x14ac:dyDescent="0.25">
      <c r="A151" s="128"/>
      <c r="B151" s="116" t="s">
        <v>167</v>
      </c>
      <c r="C151" s="117" t="s">
        <v>40</v>
      </c>
      <c r="D151" s="118">
        <f>D147*24</f>
        <v>39048</v>
      </c>
      <c r="E151" s="423">
        <v>35</v>
      </c>
      <c r="F151" s="130"/>
      <c r="G151" s="120">
        <f>ROUND((D151*E151),2)</f>
        <v>1366680</v>
      </c>
      <c r="H151" s="121" t="s">
        <v>175</v>
      </c>
      <c r="I151" s="25"/>
      <c r="J151" s="26"/>
      <c r="K151" s="25"/>
      <c r="L151" s="3"/>
    </row>
    <row r="152" spans="1:16" s="1" customFormat="1" ht="20.100000000000001" customHeight="1" x14ac:dyDescent="0.25">
      <c r="A152" s="128"/>
      <c r="B152" s="116" t="s">
        <v>168</v>
      </c>
      <c r="C152" s="117" t="s">
        <v>40</v>
      </c>
      <c r="D152" s="118">
        <f>D148*24</f>
        <v>5208</v>
      </c>
      <c r="E152" s="423">
        <v>35</v>
      </c>
      <c r="F152" s="130"/>
      <c r="G152" s="120">
        <f>ROUND((D152*E152),2)</f>
        <v>182280</v>
      </c>
      <c r="H152" s="121" t="s">
        <v>175</v>
      </c>
      <c r="I152" s="25"/>
      <c r="J152" s="26"/>
      <c r="K152" s="25"/>
      <c r="L152" s="3"/>
    </row>
    <row r="153" spans="1:16" ht="20.25" customHeight="1" x14ac:dyDescent="0.2">
      <c r="A153" s="27" t="s">
        <v>452</v>
      </c>
      <c r="B153" s="191" t="s">
        <v>453</v>
      </c>
      <c r="C153" s="104"/>
      <c r="D153" s="69"/>
      <c r="E153" s="8"/>
      <c r="F153" s="63"/>
      <c r="G153" s="132">
        <f>G154</f>
        <v>200000</v>
      </c>
      <c r="H153" s="4"/>
      <c r="I153" s="195"/>
      <c r="J153" s="197"/>
      <c r="K153" s="197"/>
      <c r="L153"/>
    </row>
    <row r="154" spans="1:16" ht="20.25" customHeight="1" x14ac:dyDescent="0.2">
      <c r="A154" s="27"/>
      <c r="B154" s="339" t="s">
        <v>454</v>
      </c>
      <c r="C154" s="340" t="s">
        <v>164</v>
      </c>
      <c r="D154" s="341">
        <v>4</v>
      </c>
      <c r="E154" s="342"/>
      <c r="F154" s="343"/>
      <c r="G154" s="344">
        <v>200000</v>
      </c>
      <c r="H154" s="345" t="s">
        <v>455</v>
      </c>
      <c r="I154" s="346">
        <f>D154</f>
        <v>4</v>
      </c>
      <c r="J154" s="197"/>
      <c r="K154" s="197"/>
      <c r="L154"/>
    </row>
    <row r="155" spans="1:16" s="1" customFormat="1" ht="19.5" customHeight="1" x14ac:dyDescent="0.25">
      <c r="A155" s="27" t="s">
        <v>176</v>
      </c>
      <c r="B155" s="21" t="s">
        <v>177</v>
      </c>
      <c r="C155" s="14"/>
      <c r="D155" s="22"/>
      <c r="E155" s="428"/>
      <c r="F155" s="22"/>
      <c r="G155" s="132">
        <f>G156+G157+G158+G162+G163+G164+G165+G166+G167+G168+G169+G170+G171+G172+G173+G174</f>
        <v>6989225.7100000009</v>
      </c>
      <c r="H155" s="15"/>
      <c r="I155" s="133"/>
      <c r="J155" s="134"/>
      <c r="K155" s="134"/>
      <c r="L155" s="429"/>
      <c r="M155" s="3"/>
    </row>
    <row r="156" spans="1:16" s="140" customFormat="1" ht="18" customHeight="1" x14ac:dyDescent="0.25">
      <c r="A156" s="27" t="s">
        <v>178</v>
      </c>
      <c r="B156" s="103" t="s">
        <v>179</v>
      </c>
      <c r="C156" s="135" t="s">
        <v>40</v>
      </c>
      <c r="D156" s="136">
        <v>115</v>
      </c>
      <c r="E156" s="137"/>
      <c r="F156" s="138"/>
      <c r="G156" s="56">
        <v>538317.16</v>
      </c>
      <c r="H156" s="139"/>
      <c r="I156" s="430">
        <f>D156</f>
        <v>115</v>
      </c>
      <c r="J156" s="134"/>
      <c r="K156" s="134"/>
      <c r="L156" s="133"/>
      <c r="M156" s="98"/>
      <c r="P156" s="11"/>
    </row>
    <row r="157" spans="1:16" s="1" customFormat="1" ht="20.25" customHeight="1" x14ac:dyDescent="0.25">
      <c r="A157" s="27" t="s">
        <v>6</v>
      </c>
      <c r="B157" s="141" t="s">
        <v>180</v>
      </c>
      <c r="C157" s="142" t="s">
        <v>181</v>
      </c>
      <c r="D157" s="143">
        <v>8</v>
      </c>
      <c r="E157" s="144"/>
      <c r="F157" s="145"/>
      <c r="G157" s="146">
        <v>2093153.83</v>
      </c>
      <c r="H157" s="147" t="s">
        <v>182</v>
      </c>
      <c r="I157" s="431">
        <f>D157</f>
        <v>8</v>
      </c>
      <c r="J157" s="134"/>
      <c r="K157" s="133"/>
      <c r="L157" s="133"/>
      <c r="M157" s="3"/>
    </row>
    <row r="158" spans="1:16" s="1" customFormat="1" ht="20.25" customHeight="1" x14ac:dyDescent="0.25">
      <c r="A158" s="27" t="s">
        <v>183</v>
      </c>
      <c r="B158" s="21" t="s">
        <v>184</v>
      </c>
      <c r="C158" s="28" t="s">
        <v>23</v>
      </c>
      <c r="D158" s="148">
        <f>D159+D160</f>
        <v>260</v>
      </c>
      <c r="E158" s="149"/>
      <c r="F158" s="150"/>
      <c r="G158" s="132">
        <f>G159+G160+G161</f>
        <v>325323.59999999998</v>
      </c>
      <c r="H158" s="15"/>
      <c r="I158" s="133"/>
      <c r="J158" s="134"/>
      <c r="K158" s="133"/>
      <c r="L158" s="133"/>
      <c r="M158" s="3"/>
    </row>
    <row r="159" spans="1:16" s="1" customFormat="1" ht="24" customHeight="1" x14ac:dyDescent="0.25">
      <c r="A159" s="27"/>
      <c r="B159" s="36" t="s">
        <v>185</v>
      </c>
      <c r="C159" s="37" t="s">
        <v>23</v>
      </c>
      <c r="D159" s="101">
        <v>200</v>
      </c>
      <c r="E159" s="419">
        <v>503.22</v>
      </c>
      <c r="F159" s="40">
        <v>1</v>
      </c>
      <c r="G159" s="97">
        <f>ROUND((D159*E159*F159),2)</f>
        <v>100644</v>
      </c>
      <c r="H159" s="42">
        <v>113</v>
      </c>
      <c r="I159" s="133"/>
      <c r="J159" s="151">
        <f>[1]Прейскурант!$E$150</f>
        <v>503.22239999999999</v>
      </c>
      <c r="K159" s="133"/>
      <c r="L159" s="133"/>
      <c r="M159" s="3"/>
    </row>
    <row r="160" spans="1:16" s="1" customFormat="1" ht="21" customHeight="1" x14ac:dyDescent="0.25">
      <c r="A160" s="27"/>
      <c r="B160" s="36" t="s">
        <v>186</v>
      </c>
      <c r="C160" s="37" t="s">
        <v>23</v>
      </c>
      <c r="D160" s="101">
        <v>60</v>
      </c>
      <c r="E160" s="420">
        <v>1387.46</v>
      </c>
      <c r="F160" s="40">
        <v>1</v>
      </c>
      <c r="G160" s="97">
        <f>ROUND((D160*E160*F160),2)</f>
        <v>83247.600000000006</v>
      </c>
      <c r="H160" s="42">
        <v>115</v>
      </c>
      <c r="I160" s="133"/>
      <c r="J160" s="134">
        <f>[1]Прейскурант!$E$152</f>
        <v>1387.45591272</v>
      </c>
      <c r="K160" s="133"/>
      <c r="L160" s="133"/>
      <c r="M160" s="3"/>
    </row>
    <row r="161" spans="1:14" s="1" customFormat="1" ht="15.75" x14ac:dyDescent="0.25">
      <c r="A161" s="27"/>
      <c r="B161" s="36" t="s">
        <v>187</v>
      </c>
      <c r="C161" s="37" t="s">
        <v>23</v>
      </c>
      <c r="D161" s="99">
        <v>2400</v>
      </c>
      <c r="E161" s="419">
        <v>58.93</v>
      </c>
      <c r="F161" s="40">
        <v>1</v>
      </c>
      <c r="G161" s="97">
        <f>ROUND((D161*E161*F161),2)</f>
        <v>141432</v>
      </c>
      <c r="H161" s="42">
        <v>114</v>
      </c>
      <c r="I161" s="133"/>
      <c r="J161" s="134">
        <f>[1]Прейскурант!$E$151</f>
        <v>58.927599999999991</v>
      </c>
      <c r="K161" s="133"/>
      <c r="L161" s="133"/>
      <c r="M161" s="3"/>
    </row>
    <row r="162" spans="1:14" s="140" customFormat="1" ht="15.75" x14ac:dyDescent="0.25">
      <c r="A162" s="27" t="s">
        <v>188</v>
      </c>
      <c r="B162" s="103" t="s">
        <v>189</v>
      </c>
      <c r="C162" s="135" t="s">
        <v>40</v>
      </c>
      <c r="D162" s="136">
        <v>562</v>
      </c>
      <c r="E162" s="137"/>
      <c r="F162" s="138"/>
      <c r="G162" s="56">
        <v>782150.44</v>
      </c>
      <c r="H162" s="139"/>
      <c r="I162" s="430">
        <f>D162</f>
        <v>562</v>
      </c>
      <c r="J162" s="134"/>
      <c r="K162" s="134"/>
      <c r="L162" s="133"/>
      <c r="M162" s="98"/>
    </row>
    <row r="163" spans="1:14" s="114" customFormat="1" ht="15.75" x14ac:dyDescent="0.25">
      <c r="A163" s="122" t="s">
        <v>190</v>
      </c>
      <c r="B163" s="107" t="s">
        <v>191</v>
      </c>
      <c r="C163" s="117" t="s">
        <v>164</v>
      </c>
      <c r="D163" s="109">
        <v>1</v>
      </c>
      <c r="E163" s="432"/>
      <c r="F163" s="109"/>
      <c r="G163" s="111">
        <v>197856.26</v>
      </c>
      <c r="H163" s="112"/>
      <c r="I163" s="433">
        <f>D163</f>
        <v>1</v>
      </c>
      <c r="J163" s="26">
        <f>[13]Смета!$G$49</f>
        <v>197856.26</v>
      </c>
      <c r="K163" s="368"/>
      <c r="L163" s="113"/>
    </row>
    <row r="164" spans="1:14" s="114" customFormat="1" ht="15.75" x14ac:dyDescent="0.25">
      <c r="A164" s="122" t="s">
        <v>193</v>
      </c>
      <c r="B164" s="107" t="s">
        <v>192</v>
      </c>
      <c r="C164" s="117" t="s">
        <v>164</v>
      </c>
      <c r="D164" s="109">
        <v>1</v>
      </c>
      <c r="E164" s="432"/>
      <c r="F164" s="109"/>
      <c r="G164" s="111">
        <v>122938.2</v>
      </c>
      <c r="H164" s="112"/>
      <c r="I164" s="433">
        <f>D164</f>
        <v>1</v>
      </c>
      <c r="J164" s="26">
        <f>[14]Смета!$G$110</f>
        <v>122938.2</v>
      </c>
      <c r="K164" s="368"/>
      <c r="L164" s="113"/>
    </row>
    <row r="165" spans="1:14" s="114" customFormat="1" ht="15.75" x14ac:dyDescent="0.25">
      <c r="A165" s="122" t="s">
        <v>195</v>
      </c>
      <c r="B165" s="107" t="s">
        <v>194</v>
      </c>
      <c r="C165" s="117" t="s">
        <v>164</v>
      </c>
      <c r="D165" s="109">
        <v>1</v>
      </c>
      <c r="E165" s="424"/>
      <c r="F165" s="109"/>
      <c r="G165" s="111">
        <v>214675.03</v>
      </c>
      <c r="H165" s="112"/>
      <c r="I165" s="434">
        <f>D165</f>
        <v>1</v>
      </c>
      <c r="J165" s="26">
        <f>[15]Смета!$G$46</f>
        <v>214675.03</v>
      </c>
      <c r="K165" s="368"/>
      <c r="L165" s="113"/>
    </row>
    <row r="166" spans="1:14" s="114" customFormat="1" ht="15.75" x14ac:dyDescent="0.25">
      <c r="A166" s="122" t="s">
        <v>197</v>
      </c>
      <c r="B166" s="107" t="s">
        <v>196</v>
      </c>
      <c r="C166" s="117" t="s">
        <v>40</v>
      </c>
      <c r="D166" s="109"/>
      <c r="E166" s="424"/>
      <c r="F166" s="109"/>
      <c r="G166" s="111">
        <v>90478.11</v>
      </c>
      <c r="H166" s="112"/>
      <c r="I166" s="435"/>
      <c r="J166" s="26">
        <f>[16]Смета!$G$69+[17]Смета!$G$54+[18]Смета!$G$71+[19]Смета!$G$50+[20]Смета!$G$41</f>
        <v>90478.109999999986</v>
      </c>
      <c r="K166" s="368"/>
      <c r="L166" s="113"/>
    </row>
    <row r="167" spans="1:14" s="114" customFormat="1" ht="15.75" x14ac:dyDescent="0.25">
      <c r="A167" s="122" t="s">
        <v>199</v>
      </c>
      <c r="B167" s="107" t="s">
        <v>198</v>
      </c>
      <c r="C167" s="117" t="s">
        <v>40</v>
      </c>
      <c r="D167" s="109"/>
      <c r="E167" s="424"/>
      <c r="F167" s="109"/>
      <c r="G167" s="111">
        <v>712890.07</v>
      </c>
      <c r="H167" s="112"/>
      <c r="I167" s="435"/>
      <c r="J167" s="26"/>
      <c r="K167" s="368"/>
      <c r="L167" s="113"/>
    </row>
    <row r="168" spans="1:14" s="114" customFormat="1" ht="15.75" x14ac:dyDescent="0.25">
      <c r="A168" s="122" t="s">
        <v>201</v>
      </c>
      <c r="B168" s="107" t="s">
        <v>200</v>
      </c>
      <c r="C168" s="117" t="s">
        <v>164</v>
      </c>
      <c r="D168" s="125">
        <v>1</v>
      </c>
      <c r="E168" s="424"/>
      <c r="F168" s="109"/>
      <c r="G168" s="111">
        <v>110807.97</v>
      </c>
      <c r="H168" s="112"/>
      <c r="I168" s="433">
        <f>D168</f>
        <v>1</v>
      </c>
      <c r="J168" s="26">
        <f>[21]Смета!$G$223</f>
        <v>110807.97</v>
      </c>
      <c r="K168" s="368"/>
      <c r="L168" s="113"/>
    </row>
    <row r="169" spans="1:14" s="114" customFormat="1" ht="15.75" x14ac:dyDescent="0.25">
      <c r="A169" s="122" t="s">
        <v>204</v>
      </c>
      <c r="B169" s="107" t="s">
        <v>202</v>
      </c>
      <c r="C169" s="117" t="s">
        <v>164</v>
      </c>
      <c r="D169" s="125">
        <v>1</v>
      </c>
      <c r="E169" s="424"/>
      <c r="F169" s="109"/>
      <c r="G169" s="111">
        <v>158507.16</v>
      </c>
      <c r="H169" s="112"/>
      <c r="I169" s="433">
        <f t="shared" ref="I169:I171" si="9">D169</f>
        <v>1</v>
      </c>
      <c r="J169" s="26" t="str">
        <f>[22]Смета!$G$155</f>
        <v>158 507,16</v>
      </c>
      <c r="K169" s="368"/>
      <c r="L169" s="113"/>
    </row>
    <row r="170" spans="1:14" s="114" customFormat="1" ht="15.75" x14ac:dyDescent="0.25">
      <c r="A170" s="122" t="s">
        <v>206</v>
      </c>
      <c r="B170" s="107" t="s">
        <v>203</v>
      </c>
      <c r="C170" s="117" t="s">
        <v>164</v>
      </c>
      <c r="D170" s="125">
        <v>1</v>
      </c>
      <c r="E170" s="424"/>
      <c r="F170" s="109"/>
      <c r="G170" s="111">
        <v>588789.98</v>
      </c>
      <c r="H170" s="112"/>
      <c r="I170" s="433">
        <f t="shared" si="9"/>
        <v>1</v>
      </c>
      <c r="J170" s="26" t="str">
        <f>[23]Смета!$G$91</f>
        <v>588 789,98</v>
      </c>
      <c r="K170" s="368"/>
      <c r="L170" s="113"/>
    </row>
    <row r="171" spans="1:14" s="114" customFormat="1" ht="15.75" x14ac:dyDescent="0.25">
      <c r="A171" s="122" t="s">
        <v>209</v>
      </c>
      <c r="B171" s="107" t="s">
        <v>205</v>
      </c>
      <c r="C171" s="117" t="s">
        <v>164</v>
      </c>
      <c r="D171" s="125">
        <v>1</v>
      </c>
      <c r="E171" s="424"/>
      <c r="F171" s="109"/>
      <c r="G171" s="111">
        <v>49416.29</v>
      </c>
      <c r="H171" s="112"/>
      <c r="I171" s="433">
        <f t="shared" si="9"/>
        <v>1</v>
      </c>
      <c r="J171" s="26">
        <f>[24]Смета!$G$144</f>
        <v>49416.29</v>
      </c>
      <c r="K171" s="368"/>
      <c r="L171" s="368"/>
    </row>
    <row r="172" spans="1:14" s="140" customFormat="1" ht="15.75" x14ac:dyDescent="0.25">
      <c r="A172" s="27" t="s">
        <v>500</v>
      </c>
      <c r="B172" s="103" t="s">
        <v>207</v>
      </c>
      <c r="C172" s="135" t="s">
        <v>40</v>
      </c>
      <c r="D172" s="136">
        <v>1</v>
      </c>
      <c r="E172" s="137"/>
      <c r="F172" s="138"/>
      <c r="G172" s="56">
        <v>13260.21</v>
      </c>
      <c r="H172" s="139"/>
      <c r="I172" s="433">
        <f>D172</f>
        <v>1</v>
      </c>
      <c r="J172" s="134">
        <f>[25]Смета!$G$83</f>
        <v>13260.21</v>
      </c>
      <c r="K172" s="134"/>
      <c r="L172" s="133"/>
      <c r="M172" s="98"/>
    </row>
    <row r="173" spans="1:14" s="140" customFormat="1" ht="15.75" x14ac:dyDescent="0.25">
      <c r="A173" s="153" t="s">
        <v>501</v>
      </c>
      <c r="B173" s="154" t="s">
        <v>208</v>
      </c>
      <c r="C173" s="155" t="s">
        <v>40</v>
      </c>
      <c r="D173" s="156">
        <v>348</v>
      </c>
      <c r="E173" s="157"/>
      <c r="F173" s="158"/>
      <c r="G173" s="159">
        <v>800000</v>
      </c>
      <c r="H173" s="367"/>
      <c r="I173" s="436">
        <f>G173</f>
        <v>800000</v>
      </c>
      <c r="J173" s="133"/>
      <c r="K173" s="98"/>
      <c r="N173" s="11"/>
    </row>
    <row r="174" spans="1:14" s="140" customFormat="1" ht="15.75" x14ac:dyDescent="0.25">
      <c r="A174" s="160" t="s">
        <v>502</v>
      </c>
      <c r="B174" s="161" t="s">
        <v>210</v>
      </c>
      <c r="C174" s="162" t="s">
        <v>40</v>
      </c>
      <c r="D174" s="163">
        <f>D175+D176+D177</f>
        <v>348</v>
      </c>
      <c r="E174" s="164"/>
      <c r="F174" s="165"/>
      <c r="G174" s="56">
        <f>G175+G176+G177</f>
        <v>190661.4</v>
      </c>
      <c r="H174" s="16"/>
      <c r="I174" s="430">
        <f>D174</f>
        <v>348</v>
      </c>
      <c r="J174" s="436">
        <f>I156+I162+I174</f>
        <v>1025</v>
      </c>
      <c r="K174" s="436">
        <f>G156+G162+G173+G174</f>
        <v>2311129</v>
      </c>
      <c r="L174" s="133"/>
      <c r="M174" s="98"/>
    </row>
    <row r="175" spans="1:14" s="140" customFormat="1" ht="15.75" x14ac:dyDescent="0.25">
      <c r="A175" s="57"/>
      <c r="B175" s="46" t="s">
        <v>166</v>
      </c>
      <c r="C175" s="14" t="s">
        <v>40</v>
      </c>
      <c r="D175" s="33">
        <v>156</v>
      </c>
      <c r="E175" s="149">
        <v>549.92999999999995</v>
      </c>
      <c r="F175" s="30"/>
      <c r="G175" s="60">
        <f>ROUND((D175*E175),2)</f>
        <v>85789.08</v>
      </c>
      <c r="H175" s="15">
        <v>97</v>
      </c>
      <c r="I175" s="134"/>
      <c r="J175" s="134">
        <f>[1]Прейскурант!$E$113</f>
        <v>549.9316</v>
      </c>
      <c r="K175" s="134"/>
      <c r="L175" s="133"/>
      <c r="M175" s="98"/>
    </row>
    <row r="176" spans="1:14" s="140" customFormat="1" ht="15.75" x14ac:dyDescent="0.25">
      <c r="A176" s="57"/>
      <c r="B176" s="46" t="s">
        <v>168</v>
      </c>
      <c r="C176" s="14" t="s">
        <v>40</v>
      </c>
      <c r="D176" s="33">
        <v>108</v>
      </c>
      <c r="E176" s="149">
        <v>556.99</v>
      </c>
      <c r="F176" s="30"/>
      <c r="G176" s="60">
        <f>ROUND((D176*E176),2)</f>
        <v>60154.92</v>
      </c>
      <c r="H176" s="15">
        <v>98</v>
      </c>
      <c r="I176" s="134"/>
      <c r="J176" s="134">
        <f>[1]Прейскурант!$E$114</f>
        <v>556.98599999999999</v>
      </c>
      <c r="K176" s="134"/>
      <c r="L176" s="133"/>
      <c r="M176" s="98"/>
    </row>
    <row r="177" spans="1:13" s="140" customFormat="1" ht="15.75" x14ac:dyDescent="0.25">
      <c r="A177" s="89"/>
      <c r="B177" s="90" t="s">
        <v>167</v>
      </c>
      <c r="C177" s="91" t="s">
        <v>40</v>
      </c>
      <c r="D177" s="92">
        <v>84</v>
      </c>
      <c r="E177" s="297">
        <v>532.35</v>
      </c>
      <c r="F177" s="94"/>
      <c r="G177" s="60">
        <f>ROUND((D177*E177),2)</f>
        <v>44717.4</v>
      </c>
      <c r="H177" s="15">
        <v>99</v>
      </c>
      <c r="I177" s="134"/>
      <c r="J177" s="134">
        <f>[1]Прейскурант!$E$115</f>
        <v>532.35</v>
      </c>
      <c r="K177" s="134"/>
      <c r="L177" s="133"/>
      <c r="M177" s="98"/>
    </row>
    <row r="178" spans="1:13" s="114" customFormat="1" ht="15.75" x14ac:dyDescent="0.25">
      <c r="A178" s="27" t="s">
        <v>211</v>
      </c>
      <c r="B178" s="123" t="s">
        <v>212</v>
      </c>
      <c r="C178" s="124" t="s">
        <v>213</v>
      </c>
      <c r="D178" s="125">
        <v>6</v>
      </c>
      <c r="E178" s="424"/>
      <c r="F178" s="124"/>
      <c r="G178" s="126">
        <f>ROUND((1572278.88*1.025),2)</f>
        <v>1611585.85</v>
      </c>
      <c r="H178" s="112"/>
      <c r="I178" s="437">
        <f>D178</f>
        <v>6</v>
      </c>
      <c r="J178" s="438">
        <f>I154+I139+I157+I163+I164+I165+I168+I169+I170+I171+I172+I178</f>
        <v>46</v>
      </c>
      <c r="K178" s="426"/>
      <c r="L178" s="113"/>
    </row>
    <row r="179" spans="1:13" s="1" customFormat="1" ht="15.75" x14ac:dyDescent="0.25">
      <c r="A179" s="27" t="s">
        <v>1</v>
      </c>
      <c r="B179" s="21" t="s">
        <v>214</v>
      </c>
      <c r="C179" s="28" t="s">
        <v>23</v>
      </c>
      <c r="D179" s="150">
        <f>D180+D194+D208+D227+D252</f>
        <v>2202469</v>
      </c>
      <c r="E179" s="334"/>
      <c r="F179" s="14"/>
      <c r="G179" s="132">
        <f>G180+G194+G208+G227+G252</f>
        <v>77747155.699999988</v>
      </c>
      <c r="H179" s="15"/>
      <c r="I179" s="167"/>
      <c r="J179" s="438">
        <f>G153+G139+G157+G163+G164+G165+G168+G169+G170+G171+G172+G178</f>
        <v>5617240.7800000003</v>
      </c>
      <c r="K179" s="167"/>
      <c r="L179" s="133"/>
      <c r="M179" s="3"/>
    </row>
    <row r="180" spans="1:13" s="1" customFormat="1" ht="15.75" x14ac:dyDescent="0.25">
      <c r="A180" s="27" t="s">
        <v>215</v>
      </c>
      <c r="B180" s="21" t="s">
        <v>216</v>
      </c>
      <c r="C180" s="28"/>
      <c r="D180" s="150">
        <f>D181+D190</f>
        <v>271597</v>
      </c>
      <c r="E180" s="334"/>
      <c r="F180" s="14"/>
      <c r="G180" s="132">
        <f>G181+G190</f>
        <v>16060330.089999996</v>
      </c>
      <c r="H180" s="15"/>
      <c r="I180" s="167"/>
      <c r="J180" s="166"/>
      <c r="K180" s="167"/>
      <c r="L180" s="133"/>
      <c r="M180" s="3"/>
    </row>
    <row r="181" spans="1:13" s="1" customFormat="1" ht="15.75" x14ac:dyDescent="0.25">
      <c r="A181" s="27" t="s">
        <v>217</v>
      </c>
      <c r="B181" s="44" t="s">
        <v>218</v>
      </c>
      <c r="C181" s="45" t="s">
        <v>23</v>
      </c>
      <c r="D181" s="150">
        <f>SUM(D185:D189)</f>
        <v>103940</v>
      </c>
      <c r="E181" s="334"/>
      <c r="F181" s="29"/>
      <c r="G181" s="132">
        <f>SUM(G182:G189)</f>
        <v>9916298.6999999974</v>
      </c>
      <c r="H181" s="15"/>
      <c r="I181" s="25">
        <f>D181+D195+D209+D228+D236+D244</f>
        <v>563549</v>
      </c>
      <c r="J181" s="26"/>
      <c r="K181" s="25"/>
      <c r="L181" s="25"/>
      <c r="M181" s="3"/>
    </row>
    <row r="182" spans="1:13" s="1" customFormat="1" ht="15.75" x14ac:dyDescent="0.25">
      <c r="A182" s="27"/>
      <c r="B182" s="46" t="s">
        <v>219</v>
      </c>
      <c r="C182" s="14" t="s">
        <v>23</v>
      </c>
      <c r="D182" s="168">
        <v>87556</v>
      </c>
      <c r="E182" s="172">
        <v>7.37</v>
      </c>
      <c r="F182" s="30">
        <v>5</v>
      </c>
      <c r="G182" s="60">
        <f>ROUND((D182*E182*F182),2)</f>
        <v>3226438.6</v>
      </c>
      <c r="H182" s="15">
        <v>103</v>
      </c>
      <c r="I182" s="25"/>
      <c r="J182" s="26">
        <f>[1]Прейскурант!$E$119</f>
        <v>7.36564</v>
      </c>
      <c r="K182" s="25"/>
      <c r="L182" s="25"/>
      <c r="M182" s="98"/>
    </row>
    <row r="183" spans="1:13" s="1" customFormat="1" ht="15.75" x14ac:dyDescent="0.25">
      <c r="A183" s="27"/>
      <c r="B183" s="46" t="s">
        <v>220</v>
      </c>
      <c r="C183" s="14" t="s">
        <v>23</v>
      </c>
      <c r="D183" s="168">
        <f>11908+3157</f>
        <v>15065</v>
      </c>
      <c r="E183" s="172">
        <v>59.08</v>
      </c>
      <c r="F183" s="30">
        <v>5</v>
      </c>
      <c r="G183" s="60">
        <f t="shared" ref="G183:G189" si="10">ROUND((D183*E183*F183),2)</f>
        <v>4450201</v>
      </c>
      <c r="H183" s="15" t="s">
        <v>221</v>
      </c>
      <c r="I183" s="25"/>
      <c r="J183" s="26">
        <f>[1]Прейскурант!$E$122</f>
        <v>59.076476100000001</v>
      </c>
      <c r="K183" s="25"/>
      <c r="L183" s="25"/>
      <c r="M183" s="3"/>
    </row>
    <row r="184" spans="1:13" s="1" customFormat="1" ht="15.75" x14ac:dyDescent="0.25">
      <c r="A184" s="27"/>
      <c r="B184" s="49" t="s">
        <v>220</v>
      </c>
      <c r="C184" s="50" t="s">
        <v>23</v>
      </c>
      <c r="D184" s="170">
        <v>654</v>
      </c>
      <c r="E184" s="402">
        <f>E183</f>
        <v>59.08</v>
      </c>
      <c r="F184" s="55">
        <v>5</v>
      </c>
      <c r="G184" s="53">
        <f t="shared" si="10"/>
        <v>193191.6</v>
      </c>
      <c r="H184" s="54" t="s">
        <v>221</v>
      </c>
      <c r="I184" s="417">
        <f>G184+G187</f>
        <v>248219.16</v>
      </c>
      <c r="J184" s="26"/>
      <c r="K184" s="25"/>
      <c r="L184" s="25"/>
      <c r="M184" s="3"/>
    </row>
    <row r="185" spans="1:13" s="1" customFormat="1" ht="15.75" x14ac:dyDescent="0.25">
      <c r="A185" s="27"/>
      <c r="B185" s="46" t="s">
        <v>222</v>
      </c>
      <c r="C185" s="14" t="s">
        <v>23</v>
      </c>
      <c r="D185" s="168">
        <v>88263</v>
      </c>
      <c r="E185" s="172">
        <v>4.51</v>
      </c>
      <c r="F185" s="30">
        <v>2</v>
      </c>
      <c r="G185" s="60">
        <f t="shared" si="10"/>
        <v>796132.26</v>
      </c>
      <c r="H185" s="15">
        <v>104</v>
      </c>
      <c r="I185" s="25"/>
      <c r="J185" s="26">
        <f>[1]Прейскурант!$E$120</f>
        <v>4.5071599999999998</v>
      </c>
      <c r="K185" s="25"/>
      <c r="L185" s="25"/>
      <c r="M185" s="3"/>
    </row>
    <row r="186" spans="1:13" s="1" customFormat="1" ht="15.75" x14ac:dyDescent="0.25">
      <c r="A186" s="27"/>
      <c r="B186" s="46" t="s">
        <v>223</v>
      </c>
      <c r="C186" s="14" t="s">
        <v>23</v>
      </c>
      <c r="D186" s="168">
        <f>10611+3157</f>
        <v>13768</v>
      </c>
      <c r="E186" s="172">
        <v>12.02</v>
      </c>
      <c r="F186" s="30">
        <v>7</v>
      </c>
      <c r="G186" s="60">
        <f t="shared" si="10"/>
        <v>1158439.52</v>
      </c>
      <c r="H186" s="15" t="s">
        <v>224</v>
      </c>
      <c r="I186" s="25"/>
      <c r="J186" s="26">
        <f>[1]Прейскурант!$E$125</f>
        <v>12.02</v>
      </c>
      <c r="K186" s="25"/>
      <c r="L186" s="25"/>
      <c r="M186" s="3"/>
    </row>
    <row r="187" spans="1:13" s="1" customFormat="1" ht="15.75" x14ac:dyDescent="0.25">
      <c r="A187" s="27"/>
      <c r="B187" s="49" t="s">
        <v>223</v>
      </c>
      <c r="C187" s="50" t="s">
        <v>23</v>
      </c>
      <c r="D187" s="170">
        <v>654</v>
      </c>
      <c r="E187" s="402">
        <v>12.02</v>
      </c>
      <c r="F187" s="55">
        <v>7</v>
      </c>
      <c r="G187" s="53">
        <f t="shared" si="10"/>
        <v>55027.56</v>
      </c>
      <c r="H187" s="54" t="s">
        <v>224</v>
      </c>
      <c r="I187" s="418"/>
      <c r="J187" s="70"/>
      <c r="K187" s="25"/>
      <c r="L187" s="25"/>
      <c r="M187" s="3"/>
    </row>
    <row r="188" spans="1:13" s="1" customFormat="1" ht="15.75" x14ac:dyDescent="0.25">
      <c r="A188" s="27"/>
      <c r="B188" s="46" t="s">
        <v>223</v>
      </c>
      <c r="C188" s="14" t="s">
        <v>23</v>
      </c>
      <c r="D188" s="168">
        <v>158</v>
      </c>
      <c r="E188" s="172">
        <v>7.09</v>
      </c>
      <c r="F188" s="30">
        <v>7</v>
      </c>
      <c r="G188" s="60">
        <f t="shared" si="10"/>
        <v>7841.54</v>
      </c>
      <c r="H188" s="15" t="s">
        <v>225</v>
      </c>
      <c r="I188" s="25"/>
      <c r="J188" s="26">
        <f>[1]Прейскурант!$E$126</f>
        <v>7.09</v>
      </c>
      <c r="K188" s="25"/>
      <c r="L188" s="25"/>
      <c r="M188" s="3"/>
    </row>
    <row r="189" spans="1:13" s="1" customFormat="1" ht="15.75" x14ac:dyDescent="0.25">
      <c r="A189" s="27"/>
      <c r="B189" s="46" t="s">
        <v>223</v>
      </c>
      <c r="C189" s="14" t="s">
        <v>23</v>
      </c>
      <c r="D189" s="168">
        <v>1097</v>
      </c>
      <c r="E189" s="172">
        <v>3.78</v>
      </c>
      <c r="F189" s="30">
        <v>7</v>
      </c>
      <c r="G189" s="60">
        <f t="shared" si="10"/>
        <v>29026.62</v>
      </c>
      <c r="H189" s="15" t="s">
        <v>226</v>
      </c>
      <c r="I189" s="25"/>
      <c r="J189" s="26">
        <f>[1]Прейскурант!$E$128</f>
        <v>3.78</v>
      </c>
      <c r="K189" s="25"/>
      <c r="L189" s="25"/>
      <c r="M189" s="3"/>
    </row>
    <row r="190" spans="1:13" s="1" customFormat="1" ht="15.75" x14ac:dyDescent="0.25">
      <c r="A190" s="27" t="s">
        <v>227</v>
      </c>
      <c r="B190" s="44" t="s">
        <v>136</v>
      </c>
      <c r="C190" s="45" t="s">
        <v>23</v>
      </c>
      <c r="D190" s="29">
        <f>D191+D192+D193</f>
        <v>167657</v>
      </c>
      <c r="E190" s="149"/>
      <c r="F190" s="29"/>
      <c r="G190" s="56">
        <f>SUM(G191:G193)</f>
        <v>6144031.3899999997</v>
      </c>
      <c r="H190" s="15"/>
      <c r="I190" s="25"/>
      <c r="J190" s="26"/>
      <c r="K190" s="25"/>
      <c r="L190" s="25"/>
      <c r="M190" s="3"/>
    </row>
    <row r="191" spans="1:13" s="1" customFormat="1" ht="15.75" x14ac:dyDescent="0.25">
      <c r="A191" s="27"/>
      <c r="B191" s="46" t="s">
        <v>228</v>
      </c>
      <c r="C191" s="14" t="s">
        <v>23</v>
      </c>
      <c r="D191" s="33">
        <v>111910</v>
      </c>
      <c r="E191" s="172">
        <v>6.54</v>
      </c>
      <c r="F191" s="30">
        <v>7</v>
      </c>
      <c r="G191" s="60">
        <f>ROUND((D191*E191*F191),2)</f>
        <v>5123239.8</v>
      </c>
      <c r="H191" s="15" t="s">
        <v>229</v>
      </c>
      <c r="I191" s="25"/>
      <c r="J191" s="26">
        <f>[1]Прейскурант!$E$137</f>
        <v>6.54</v>
      </c>
      <c r="K191" s="25"/>
      <c r="L191" s="25"/>
      <c r="M191" s="3"/>
    </row>
    <row r="192" spans="1:13" s="1" customFormat="1" ht="15.75" x14ac:dyDescent="0.25">
      <c r="A192" s="27"/>
      <c r="B192" s="46" t="s">
        <v>228</v>
      </c>
      <c r="C192" s="14" t="s">
        <v>23</v>
      </c>
      <c r="D192" s="33">
        <v>23770</v>
      </c>
      <c r="E192" s="172">
        <v>3.7</v>
      </c>
      <c r="F192" s="30">
        <v>7</v>
      </c>
      <c r="G192" s="60">
        <f>ROUND((D192*E192*F192),2)</f>
        <v>615643</v>
      </c>
      <c r="H192" s="15" t="s">
        <v>230</v>
      </c>
      <c r="I192" s="25"/>
      <c r="J192" s="26">
        <f>[1]Прейскурант!$E$138</f>
        <v>3.7</v>
      </c>
      <c r="K192" s="25"/>
      <c r="L192" s="25"/>
      <c r="M192" s="3"/>
    </row>
    <row r="193" spans="1:13" s="1" customFormat="1" ht="15.75" x14ac:dyDescent="0.25">
      <c r="A193" s="27"/>
      <c r="B193" s="46" t="s">
        <v>228</v>
      </c>
      <c r="C193" s="14" t="s">
        <v>23</v>
      </c>
      <c r="D193" s="33">
        <v>31977</v>
      </c>
      <c r="E193" s="172">
        <v>1.81</v>
      </c>
      <c r="F193" s="30">
        <v>7</v>
      </c>
      <c r="G193" s="60">
        <f>ROUND((D193*E193*F193),2)</f>
        <v>405148.59</v>
      </c>
      <c r="H193" s="15" t="s">
        <v>231</v>
      </c>
      <c r="I193" s="25"/>
      <c r="J193" s="26">
        <f>[1]Прейскурант!$E$140</f>
        <v>1.81</v>
      </c>
      <c r="K193" s="25"/>
      <c r="L193" s="25"/>
      <c r="M193" s="3"/>
    </row>
    <row r="194" spans="1:13" s="1" customFormat="1" ht="15.75" x14ac:dyDescent="0.25">
      <c r="A194" s="27" t="s">
        <v>232</v>
      </c>
      <c r="B194" s="44" t="s">
        <v>233</v>
      </c>
      <c r="C194" s="14"/>
      <c r="D194" s="150">
        <f>D195+D203</f>
        <v>212981</v>
      </c>
      <c r="E194" s="172"/>
      <c r="F194" s="30"/>
      <c r="G194" s="132">
        <f>G195+G203</f>
        <v>6717903.709999999</v>
      </c>
      <c r="H194" s="15"/>
      <c r="I194" s="25"/>
      <c r="J194" s="26"/>
      <c r="K194" s="25"/>
      <c r="L194" s="25"/>
      <c r="M194" s="3"/>
    </row>
    <row r="195" spans="1:13" s="1" customFormat="1" ht="15.75" x14ac:dyDescent="0.25">
      <c r="A195" s="27" t="s">
        <v>234</v>
      </c>
      <c r="B195" s="44" t="s">
        <v>218</v>
      </c>
      <c r="C195" s="45" t="s">
        <v>23</v>
      </c>
      <c r="D195" s="29">
        <f>SUM(D199:D202)</f>
        <v>42192</v>
      </c>
      <c r="E195" s="334"/>
      <c r="F195" s="29"/>
      <c r="G195" s="56">
        <f>SUM(G196:G202)</f>
        <v>3525622.2399999998</v>
      </c>
      <c r="H195" s="15"/>
      <c r="I195" s="25"/>
      <c r="J195" s="26"/>
      <c r="K195" s="25"/>
      <c r="L195" s="25"/>
      <c r="M195" s="3"/>
    </row>
    <row r="196" spans="1:13" s="1" customFormat="1" ht="15.75" x14ac:dyDescent="0.25">
      <c r="A196" s="27"/>
      <c r="B196" s="46" t="s">
        <v>235</v>
      </c>
      <c r="C196" s="14" t="s">
        <v>23</v>
      </c>
      <c r="D196" s="33">
        <v>15100</v>
      </c>
      <c r="E196" s="172">
        <f t="shared" ref="E196:E201" si="11">E182</f>
        <v>7.37</v>
      </c>
      <c r="F196" s="69">
        <v>4</v>
      </c>
      <c r="G196" s="60">
        <f>ROUND((D196*E196*F196),2)</f>
        <v>445148</v>
      </c>
      <c r="H196" s="4">
        <v>103</v>
      </c>
      <c r="I196" s="25"/>
      <c r="J196" s="26"/>
      <c r="K196" s="25"/>
      <c r="L196" s="25"/>
      <c r="M196" s="3"/>
    </row>
    <row r="197" spans="1:13" s="1" customFormat="1" ht="15.75" x14ac:dyDescent="0.25">
      <c r="A197" s="27"/>
      <c r="B197" s="46" t="s">
        <v>236</v>
      </c>
      <c r="C197" s="14" t="s">
        <v>23</v>
      </c>
      <c r="D197" s="168">
        <v>5060</v>
      </c>
      <c r="E197" s="172">
        <f t="shared" si="11"/>
        <v>59.08</v>
      </c>
      <c r="F197" s="69">
        <v>5</v>
      </c>
      <c r="G197" s="60">
        <f t="shared" ref="G197:G206" si="12">ROUND((D197*E197*F197),2)</f>
        <v>1494724</v>
      </c>
      <c r="H197" s="4" t="s">
        <v>221</v>
      </c>
      <c r="I197" s="25"/>
      <c r="J197" s="26"/>
      <c r="K197" s="25"/>
      <c r="L197" s="25"/>
      <c r="M197" s="98"/>
    </row>
    <row r="198" spans="1:13" s="1" customFormat="1" ht="15.75" x14ac:dyDescent="0.25">
      <c r="A198" s="27"/>
      <c r="B198" s="32" t="s">
        <v>236</v>
      </c>
      <c r="C198" s="63" t="s">
        <v>23</v>
      </c>
      <c r="D198" s="173">
        <v>1700</v>
      </c>
      <c r="E198" s="106">
        <f t="shared" si="11"/>
        <v>59.08</v>
      </c>
      <c r="F198" s="69">
        <v>5</v>
      </c>
      <c r="G198" s="60">
        <f>ROUND((D198*E198*F198),2)</f>
        <v>502180</v>
      </c>
      <c r="H198" s="4" t="s">
        <v>221</v>
      </c>
      <c r="I198" s="25"/>
      <c r="J198" s="26"/>
      <c r="K198" s="25"/>
      <c r="L198" s="25"/>
      <c r="M198" s="98"/>
    </row>
    <row r="199" spans="1:13" s="1" customFormat="1" ht="15.75" x14ac:dyDescent="0.25">
      <c r="A199" s="27"/>
      <c r="B199" s="32" t="s">
        <v>237</v>
      </c>
      <c r="C199" s="63" t="s">
        <v>23</v>
      </c>
      <c r="D199" s="7">
        <v>15100</v>
      </c>
      <c r="E199" s="106">
        <f t="shared" si="11"/>
        <v>4.51</v>
      </c>
      <c r="F199" s="69">
        <v>2</v>
      </c>
      <c r="G199" s="60">
        <f t="shared" si="12"/>
        <v>136202</v>
      </c>
      <c r="H199" s="4">
        <v>104</v>
      </c>
      <c r="I199" s="25"/>
      <c r="J199" s="26"/>
      <c r="K199" s="25"/>
      <c r="L199" s="25"/>
      <c r="M199" s="3"/>
    </row>
    <row r="200" spans="1:13" s="1" customFormat="1" ht="15.75" x14ac:dyDescent="0.25">
      <c r="A200" s="27"/>
      <c r="B200" s="32" t="s">
        <v>238</v>
      </c>
      <c r="C200" s="63" t="s">
        <v>23</v>
      </c>
      <c r="D200" s="173">
        <f>D197</f>
        <v>5060</v>
      </c>
      <c r="E200" s="106">
        <f t="shared" si="11"/>
        <v>12.02</v>
      </c>
      <c r="F200" s="69">
        <v>7</v>
      </c>
      <c r="G200" s="60">
        <f t="shared" si="12"/>
        <v>425748.4</v>
      </c>
      <c r="H200" s="4" t="s">
        <v>224</v>
      </c>
      <c r="I200" s="25"/>
      <c r="J200" s="26"/>
      <c r="K200" s="25"/>
      <c r="L200" s="25"/>
      <c r="M200" s="3"/>
    </row>
    <row r="201" spans="1:13" s="1" customFormat="1" ht="15.75" x14ac:dyDescent="0.25">
      <c r="A201" s="27"/>
      <c r="B201" s="32" t="s">
        <v>238</v>
      </c>
      <c r="C201" s="63" t="s">
        <v>23</v>
      </c>
      <c r="D201" s="173">
        <f>D198</f>
        <v>1700</v>
      </c>
      <c r="E201" s="106">
        <f t="shared" si="11"/>
        <v>12.02</v>
      </c>
      <c r="F201" s="69">
        <v>7</v>
      </c>
      <c r="G201" s="60">
        <f>ROUND((D201*E201*F201),2)</f>
        <v>143038</v>
      </c>
      <c r="H201" s="4" t="s">
        <v>224</v>
      </c>
      <c r="I201" s="25"/>
      <c r="J201" s="26"/>
      <c r="K201" s="25"/>
      <c r="L201" s="25"/>
      <c r="M201" s="3"/>
    </row>
    <row r="202" spans="1:13" s="1" customFormat="1" ht="15.75" x14ac:dyDescent="0.25">
      <c r="A202" s="27"/>
      <c r="B202" s="32" t="s">
        <v>238</v>
      </c>
      <c r="C202" s="63" t="s">
        <v>23</v>
      </c>
      <c r="D202" s="173">
        <v>20332</v>
      </c>
      <c r="E202" s="106">
        <v>2.66</v>
      </c>
      <c r="F202" s="69">
        <v>7</v>
      </c>
      <c r="G202" s="60">
        <f t="shared" si="12"/>
        <v>378581.84</v>
      </c>
      <c r="H202" s="4" t="s">
        <v>239</v>
      </c>
      <c r="I202" s="25"/>
      <c r="J202" s="26">
        <f>[1]Прейскурант!$E$134</f>
        <v>2.66</v>
      </c>
      <c r="K202" s="25"/>
      <c r="L202" s="25"/>
      <c r="M202" s="3"/>
    </row>
    <row r="203" spans="1:13" s="1" customFormat="1" ht="15.75" x14ac:dyDescent="0.25">
      <c r="A203" s="27" t="s">
        <v>240</v>
      </c>
      <c r="B203" s="103" t="s">
        <v>136</v>
      </c>
      <c r="C203" s="135" t="s">
        <v>23</v>
      </c>
      <c r="D203" s="138">
        <f>SUM(D204:D207)</f>
        <v>170789</v>
      </c>
      <c r="E203" s="82"/>
      <c r="F203" s="138"/>
      <c r="G203" s="56">
        <f>SUM(G204:G207)</f>
        <v>3192281.4699999997</v>
      </c>
      <c r="H203" s="4"/>
      <c r="I203" s="25"/>
      <c r="J203" s="26"/>
      <c r="K203" s="25"/>
      <c r="L203" s="25"/>
      <c r="M203" s="3"/>
    </row>
    <row r="204" spans="1:13" s="1" customFormat="1" ht="15.75" x14ac:dyDescent="0.25">
      <c r="A204" s="27"/>
      <c r="B204" s="32" t="s">
        <v>228</v>
      </c>
      <c r="C204" s="63" t="s">
        <v>23</v>
      </c>
      <c r="D204" s="7">
        <v>40145</v>
      </c>
      <c r="E204" s="106">
        <f>E191</f>
        <v>6.54</v>
      </c>
      <c r="F204" s="69">
        <v>7</v>
      </c>
      <c r="G204" s="60">
        <f t="shared" si="12"/>
        <v>1837838.1</v>
      </c>
      <c r="H204" s="4" t="s">
        <v>229</v>
      </c>
      <c r="I204" s="25"/>
      <c r="J204" s="26"/>
      <c r="K204" s="25"/>
      <c r="L204" s="25"/>
      <c r="M204" s="3"/>
    </row>
    <row r="205" spans="1:13" s="1" customFormat="1" ht="15.75" x14ac:dyDescent="0.25">
      <c r="A205" s="27"/>
      <c r="B205" s="32" t="s">
        <v>228</v>
      </c>
      <c r="C205" s="63" t="s">
        <v>23</v>
      </c>
      <c r="D205" s="7">
        <v>1314</v>
      </c>
      <c r="E205" s="106">
        <f>E204</f>
        <v>6.54</v>
      </c>
      <c r="F205" s="69">
        <v>7</v>
      </c>
      <c r="G205" s="60">
        <f>ROUND((D205*E205*F205),2)</f>
        <v>60154.92</v>
      </c>
      <c r="H205" s="4" t="s">
        <v>229</v>
      </c>
      <c r="I205" s="25"/>
      <c r="J205" s="26"/>
      <c r="K205" s="25"/>
      <c r="L205" s="25"/>
      <c r="M205" s="3"/>
    </row>
    <row r="206" spans="1:13" s="1" customFormat="1" ht="15.75" x14ac:dyDescent="0.25">
      <c r="A206" s="27"/>
      <c r="B206" s="46" t="s">
        <v>228</v>
      </c>
      <c r="C206" s="14" t="s">
        <v>23</v>
      </c>
      <c r="D206" s="33">
        <v>76955</v>
      </c>
      <c r="E206" s="172">
        <v>1.62</v>
      </c>
      <c r="F206" s="69">
        <v>7</v>
      </c>
      <c r="G206" s="60">
        <f t="shared" si="12"/>
        <v>872669.7</v>
      </c>
      <c r="H206" s="4" t="s">
        <v>241</v>
      </c>
      <c r="I206" s="25"/>
      <c r="J206" s="26">
        <f>[1]Прейскурант!$E$146</f>
        <v>1.62</v>
      </c>
      <c r="K206" s="25"/>
      <c r="L206" s="25"/>
      <c r="M206" s="3"/>
    </row>
    <row r="207" spans="1:13" s="1" customFormat="1" ht="15.75" x14ac:dyDescent="0.25">
      <c r="A207" s="27"/>
      <c r="B207" s="46" t="s">
        <v>228</v>
      </c>
      <c r="C207" s="14" t="s">
        <v>23</v>
      </c>
      <c r="D207" s="33">
        <v>52375</v>
      </c>
      <c r="E207" s="172">
        <v>1.1499999999999999</v>
      </c>
      <c r="F207" s="69">
        <v>7</v>
      </c>
      <c r="G207" s="60">
        <f>ROUND((D207*E207*F207),2)</f>
        <v>421618.75</v>
      </c>
      <c r="H207" s="4" t="s">
        <v>242</v>
      </c>
      <c r="I207" s="25"/>
      <c r="J207" s="26">
        <f>[1]Прейскурант!$E$147</f>
        <v>1.1499999999999999</v>
      </c>
      <c r="K207" s="25"/>
      <c r="L207" s="25"/>
      <c r="M207" s="3"/>
    </row>
    <row r="208" spans="1:13" s="1" customFormat="1" ht="15.75" x14ac:dyDescent="0.25">
      <c r="A208" s="27" t="s">
        <v>243</v>
      </c>
      <c r="B208" s="44" t="s">
        <v>244</v>
      </c>
      <c r="C208" s="14"/>
      <c r="D208" s="150">
        <f>D209+D221</f>
        <v>1256525</v>
      </c>
      <c r="E208" s="172"/>
      <c r="F208" s="69"/>
      <c r="G208" s="132">
        <f>G209+G221</f>
        <v>33521159.319999993</v>
      </c>
      <c r="H208" s="4"/>
      <c r="I208" s="25"/>
      <c r="J208" s="26"/>
      <c r="K208" s="25"/>
      <c r="L208" s="25"/>
      <c r="M208" s="3"/>
    </row>
    <row r="209" spans="1:13" s="1" customFormat="1" ht="15.75" x14ac:dyDescent="0.25">
      <c r="A209" s="27" t="s">
        <v>245</v>
      </c>
      <c r="B209" s="44" t="s">
        <v>246</v>
      </c>
      <c r="C209" s="14"/>
      <c r="D209" s="29">
        <f>D215+D216+D217+D218+D219+D220</f>
        <v>326448</v>
      </c>
      <c r="E209" s="175"/>
      <c r="F209" s="176"/>
      <c r="G209" s="56">
        <f>G210+G211+G212+G213+G214+G215+G216+G217+G218+G219+G220</f>
        <v>22961521.269999996</v>
      </c>
      <c r="H209" s="15"/>
      <c r="I209" s="25"/>
      <c r="J209" s="26"/>
      <c r="K209" s="25"/>
      <c r="L209" s="25"/>
      <c r="M209" s="3"/>
    </row>
    <row r="210" spans="1:13" s="1" customFormat="1" ht="15.75" x14ac:dyDescent="0.25">
      <c r="A210" s="27"/>
      <c r="B210" s="36" t="s">
        <v>219</v>
      </c>
      <c r="C210" s="37" t="s">
        <v>23</v>
      </c>
      <c r="D210" s="101">
        <v>263573</v>
      </c>
      <c r="E210" s="419">
        <f>E182</f>
        <v>7.37</v>
      </c>
      <c r="F210" s="40">
        <v>5</v>
      </c>
      <c r="G210" s="97">
        <f>ROUND((D210*E210*F210),2)</f>
        <v>9712665.0500000007</v>
      </c>
      <c r="H210" s="42">
        <v>103</v>
      </c>
      <c r="I210" s="25"/>
      <c r="J210" s="26"/>
      <c r="K210" s="25"/>
      <c r="L210" s="25"/>
      <c r="M210" s="177"/>
    </row>
    <row r="211" spans="1:13" s="1" customFormat="1" ht="15.75" x14ac:dyDescent="0.25">
      <c r="A211" s="27"/>
      <c r="B211" s="36" t="s">
        <v>220</v>
      </c>
      <c r="C211" s="37" t="s">
        <v>23</v>
      </c>
      <c r="D211" s="101">
        <v>29286</v>
      </c>
      <c r="E211" s="419">
        <v>44.5</v>
      </c>
      <c r="F211" s="40">
        <v>4</v>
      </c>
      <c r="G211" s="97">
        <f t="shared" ref="G211:G220" si="13">ROUND((D211*E211*F211),2)</f>
        <v>5212908</v>
      </c>
      <c r="H211" s="42">
        <v>106</v>
      </c>
      <c r="I211" s="25"/>
      <c r="J211" s="26">
        <f>[1]Прейскурант!$E$123</f>
        <v>44.497844000000001</v>
      </c>
      <c r="K211" s="25"/>
      <c r="L211" s="25"/>
      <c r="M211" s="3"/>
    </row>
    <row r="212" spans="1:13" s="1" customFormat="1" ht="15.75" x14ac:dyDescent="0.25">
      <c r="A212" s="27"/>
      <c r="B212" s="36" t="s">
        <v>219</v>
      </c>
      <c r="C212" s="37" t="s">
        <v>23</v>
      </c>
      <c r="D212" s="101">
        <v>8901</v>
      </c>
      <c r="E212" s="419">
        <f>E182</f>
        <v>7.37</v>
      </c>
      <c r="F212" s="40">
        <v>5</v>
      </c>
      <c r="G212" s="97">
        <f t="shared" si="13"/>
        <v>328001.84999999998</v>
      </c>
      <c r="H212" s="42">
        <v>103</v>
      </c>
      <c r="I212" s="25"/>
      <c r="J212" s="26"/>
      <c r="K212" s="25"/>
      <c r="L212" s="25"/>
      <c r="M212" s="178"/>
    </row>
    <row r="213" spans="1:13" s="1" customFormat="1" ht="15.75" x14ac:dyDescent="0.25">
      <c r="A213" s="27"/>
      <c r="B213" s="36" t="s">
        <v>220</v>
      </c>
      <c r="C213" s="37" t="s">
        <v>23</v>
      </c>
      <c r="D213" s="101">
        <v>8372</v>
      </c>
      <c r="E213" s="419">
        <f>E183</f>
        <v>59.08</v>
      </c>
      <c r="F213" s="40">
        <v>5</v>
      </c>
      <c r="G213" s="97">
        <f t="shared" si="13"/>
        <v>2473088.7999999998</v>
      </c>
      <c r="H213" s="42" t="s">
        <v>221</v>
      </c>
      <c r="I213" s="25"/>
      <c r="J213" s="26"/>
      <c r="K213" s="25"/>
      <c r="L213" s="25"/>
      <c r="M213" s="3"/>
    </row>
    <row r="214" spans="1:13" s="1" customFormat="1" ht="15.75" x14ac:dyDescent="0.25">
      <c r="A214" s="27"/>
      <c r="B214" s="36" t="s">
        <v>247</v>
      </c>
      <c r="C214" s="37" t="s">
        <v>23</v>
      </c>
      <c r="D214" s="101">
        <v>7383</v>
      </c>
      <c r="E214" s="419">
        <v>67.510000000000005</v>
      </c>
      <c r="F214" s="40">
        <v>3</v>
      </c>
      <c r="G214" s="97">
        <f t="shared" si="13"/>
        <v>1495278.99</v>
      </c>
      <c r="H214" s="42">
        <v>112</v>
      </c>
      <c r="I214" s="25"/>
      <c r="J214" s="26">
        <f>[1]Прейскурант!$E$149</f>
        <v>67.514259999999993</v>
      </c>
      <c r="K214" s="25"/>
      <c r="L214" s="25"/>
      <c r="M214" s="98"/>
    </row>
    <row r="215" spans="1:13" s="1" customFormat="1" ht="15.75" x14ac:dyDescent="0.25">
      <c r="A215" s="27"/>
      <c r="B215" s="36" t="s">
        <v>222</v>
      </c>
      <c r="C215" s="37" t="s">
        <v>23</v>
      </c>
      <c r="D215" s="101">
        <v>243994</v>
      </c>
      <c r="E215" s="419">
        <f>E185</f>
        <v>4.51</v>
      </c>
      <c r="F215" s="40">
        <v>2</v>
      </c>
      <c r="G215" s="97">
        <f t="shared" si="13"/>
        <v>2200825.88</v>
      </c>
      <c r="H215" s="42">
        <v>104</v>
      </c>
      <c r="I215" s="25"/>
      <c r="J215" s="26"/>
      <c r="K215" s="25"/>
      <c r="L215" s="26"/>
      <c r="M215" s="178"/>
    </row>
    <row r="216" spans="1:13" s="1" customFormat="1" ht="15.75" x14ac:dyDescent="0.25">
      <c r="A216" s="27"/>
      <c r="B216" s="36" t="s">
        <v>223</v>
      </c>
      <c r="C216" s="37" t="s">
        <v>23</v>
      </c>
      <c r="D216" s="101">
        <v>32226</v>
      </c>
      <c r="E216" s="419">
        <v>2.66</v>
      </c>
      <c r="F216" s="40">
        <v>7</v>
      </c>
      <c r="G216" s="97">
        <f t="shared" si="13"/>
        <v>600048.12</v>
      </c>
      <c r="H216" s="42" t="s">
        <v>239</v>
      </c>
      <c r="I216" s="25"/>
      <c r="J216" s="26">
        <f>[1]Прейскурант!$E$134</f>
        <v>2.66</v>
      </c>
      <c r="K216" s="25"/>
      <c r="L216" s="25"/>
      <c r="M216" s="98"/>
    </row>
    <row r="217" spans="1:13" s="1" customFormat="1" ht="15.75" x14ac:dyDescent="0.25">
      <c r="A217" s="27"/>
      <c r="B217" s="36" t="s">
        <v>223</v>
      </c>
      <c r="C217" s="37" t="s">
        <v>23</v>
      </c>
      <c r="D217" s="101">
        <v>16639</v>
      </c>
      <c r="E217" s="419">
        <v>1.92</v>
      </c>
      <c r="F217" s="40">
        <v>7</v>
      </c>
      <c r="G217" s="97">
        <f t="shared" si="13"/>
        <v>223628.16</v>
      </c>
      <c r="H217" s="42" t="s">
        <v>248</v>
      </c>
      <c r="I217" s="25"/>
      <c r="J217" s="26"/>
      <c r="K217" s="25"/>
      <c r="L217" s="25"/>
      <c r="M217" s="98"/>
    </row>
    <row r="218" spans="1:13" s="1" customFormat="1" ht="15.75" x14ac:dyDescent="0.25">
      <c r="A218" s="27"/>
      <c r="B218" s="36" t="s">
        <v>223</v>
      </c>
      <c r="C218" s="37" t="s">
        <v>23</v>
      </c>
      <c r="D218" s="101">
        <v>16316</v>
      </c>
      <c r="E218" s="419">
        <f>E217</f>
        <v>1.92</v>
      </c>
      <c r="F218" s="40">
        <v>7</v>
      </c>
      <c r="G218" s="97">
        <f t="shared" si="13"/>
        <v>219287.04000000001</v>
      </c>
      <c r="H218" s="42" t="s">
        <v>248</v>
      </c>
      <c r="I218" s="25"/>
      <c r="J218" s="26"/>
      <c r="K218" s="25"/>
      <c r="L218" s="25"/>
      <c r="M218" s="3"/>
    </row>
    <row r="219" spans="1:13" s="1" customFormat="1" ht="15.75" x14ac:dyDescent="0.25">
      <c r="A219" s="27"/>
      <c r="B219" s="36" t="s">
        <v>222</v>
      </c>
      <c r="C219" s="37" t="s">
        <v>23</v>
      </c>
      <c r="D219" s="101">
        <f>D212</f>
        <v>8901</v>
      </c>
      <c r="E219" s="419">
        <f>E185</f>
        <v>4.51</v>
      </c>
      <c r="F219" s="40">
        <v>2</v>
      </c>
      <c r="G219" s="97">
        <f t="shared" si="13"/>
        <v>80287.02</v>
      </c>
      <c r="H219" s="42">
        <v>104</v>
      </c>
      <c r="I219" s="25"/>
      <c r="J219" s="26"/>
      <c r="K219" s="25"/>
      <c r="L219" s="25"/>
      <c r="M219" s="3"/>
    </row>
    <row r="220" spans="1:13" s="1" customFormat="1" ht="15.75" x14ac:dyDescent="0.25">
      <c r="A220" s="27"/>
      <c r="B220" s="36" t="s">
        <v>223</v>
      </c>
      <c r="C220" s="37" t="s">
        <v>23</v>
      </c>
      <c r="D220" s="101">
        <f>D213</f>
        <v>8372</v>
      </c>
      <c r="E220" s="419">
        <f>E188</f>
        <v>7.09</v>
      </c>
      <c r="F220" s="40">
        <v>7</v>
      </c>
      <c r="G220" s="97">
        <f t="shared" si="13"/>
        <v>415502.36</v>
      </c>
      <c r="H220" s="42" t="s">
        <v>225</v>
      </c>
      <c r="I220" s="25"/>
      <c r="J220" s="26"/>
      <c r="K220" s="25"/>
      <c r="L220" s="25"/>
      <c r="M220" s="3"/>
    </row>
    <row r="221" spans="1:13" s="1" customFormat="1" ht="15.75" x14ac:dyDescent="0.25">
      <c r="A221" s="27" t="s">
        <v>249</v>
      </c>
      <c r="B221" s="44" t="s">
        <v>250</v>
      </c>
      <c r="C221" s="28" t="s">
        <v>23</v>
      </c>
      <c r="D221" s="179">
        <f>D222+D223+D224</f>
        <v>930077</v>
      </c>
      <c r="E221" s="172"/>
      <c r="F221" s="30"/>
      <c r="G221" s="56">
        <f>SUM(G222:G226)</f>
        <v>10559638.049999999</v>
      </c>
      <c r="H221" s="15"/>
      <c r="I221" s="25"/>
      <c r="J221" s="26"/>
      <c r="K221" s="25"/>
      <c r="L221" s="25"/>
      <c r="M221" s="3"/>
    </row>
    <row r="222" spans="1:13" s="1" customFormat="1" ht="15.75" x14ac:dyDescent="0.25">
      <c r="A222" s="27"/>
      <c r="B222" s="36" t="s">
        <v>228</v>
      </c>
      <c r="C222" s="37" t="s">
        <v>23</v>
      </c>
      <c r="D222" s="101">
        <v>527873</v>
      </c>
      <c r="E222" s="419">
        <v>1.62</v>
      </c>
      <c r="F222" s="40">
        <v>7</v>
      </c>
      <c r="G222" s="97">
        <f>ROUND((D222*E222*F222),2)</f>
        <v>5986079.8200000003</v>
      </c>
      <c r="H222" s="42" t="s">
        <v>241</v>
      </c>
      <c r="I222" s="25"/>
      <c r="J222" s="26">
        <f>[1]Прейскурант!$E$146</f>
        <v>1.62</v>
      </c>
      <c r="K222" s="25"/>
      <c r="L222" s="25"/>
      <c r="M222" s="3"/>
    </row>
    <row r="223" spans="1:13" s="1" customFormat="1" ht="15.75" x14ac:dyDescent="0.25">
      <c r="A223" s="27"/>
      <c r="B223" s="36" t="s">
        <v>228</v>
      </c>
      <c r="C223" s="37" t="s">
        <v>23</v>
      </c>
      <c r="D223" s="101">
        <v>346749</v>
      </c>
      <c r="E223" s="419">
        <v>1.1499999999999999</v>
      </c>
      <c r="F223" s="40">
        <v>7</v>
      </c>
      <c r="G223" s="97">
        <f>ROUND((D223*E223*F223),2)</f>
        <v>2791329.45</v>
      </c>
      <c r="H223" s="42" t="s">
        <v>242</v>
      </c>
      <c r="I223" s="25"/>
      <c r="J223" s="26">
        <f>[1]Прейскурант!$E$147</f>
        <v>1.1499999999999999</v>
      </c>
      <c r="K223" s="25"/>
      <c r="L223" s="25"/>
      <c r="M223" s="3"/>
    </row>
    <row r="224" spans="1:13" s="1" customFormat="1" ht="15.75" x14ac:dyDescent="0.25">
      <c r="A224" s="27"/>
      <c r="B224" s="36" t="s">
        <v>228</v>
      </c>
      <c r="C224" s="37" t="s">
        <v>23</v>
      </c>
      <c r="D224" s="101">
        <v>55455</v>
      </c>
      <c r="E224" s="419">
        <v>3.7</v>
      </c>
      <c r="F224" s="40">
        <v>7</v>
      </c>
      <c r="G224" s="97">
        <f>ROUND((D224*E224*F224),2)</f>
        <v>1436284.5</v>
      </c>
      <c r="H224" s="42" t="s">
        <v>230</v>
      </c>
      <c r="I224" s="25"/>
      <c r="J224" s="26">
        <f>[1]Прейскурант!$E$138</f>
        <v>3.7</v>
      </c>
      <c r="K224" s="25"/>
      <c r="L224" s="25"/>
      <c r="M224" s="3"/>
    </row>
    <row r="225" spans="1:13" s="1" customFormat="1" ht="31.5" x14ac:dyDescent="0.25">
      <c r="A225" s="57"/>
      <c r="B225" s="180" t="s">
        <v>251</v>
      </c>
      <c r="C225" s="37" t="s">
        <v>23</v>
      </c>
      <c r="D225" s="181">
        <v>359518.28</v>
      </c>
      <c r="E225" s="41">
        <v>0.77</v>
      </c>
      <c r="F225" s="37"/>
      <c r="G225" s="97">
        <f>ROUND((D225*E225*1),2)</f>
        <v>276829.08</v>
      </c>
      <c r="H225" s="42">
        <v>78</v>
      </c>
      <c r="I225" s="25"/>
      <c r="J225" s="26">
        <f>[1]Прейскурант!$E$94</f>
        <v>0.77099999999999991</v>
      </c>
      <c r="K225" s="25"/>
      <c r="L225" s="25"/>
      <c r="M225" s="3"/>
    </row>
    <row r="226" spans="1:13" s="1" customFormat="1" ht="15.75" x14ac:dyDescent="0.25">
      <c r="A226" s="57"/>
      <c r="B226" s="180" t="s">
        <v>252</v>
      </c>
      <c r="C226" s="37" t="s">
        <v>72</v>
      </c>
      <c r="D226" s="38">
        <v>160</v>
      </c>
      <c r="E226" s="41">
        <v>431.97</v>
      </c>
      <c r="F226" s="37"/>
      <c r="G226" s="97">
        <f>ROUND((D226*E226*1),2)</f>
        <v>69115.199999999997</v>
      </c>
      <c r="H226" s="42">
        <v>81</v>
      </c>
      <c r="I226" s="25"/>
      <c r="J226" s="26">
        <f>[1]Прейскурант!$E$97</f>
        <v>431.96999999999997</v>
      </c>
      <c r="K226" s="25"/>
      <c r="L226" s="25"/>
      <c r="M226" s="3"/>
    </row>
    <row r="227" spans="1:13" s="114" customFormat="1" ht="15.75" x14ac:dyDescent="0.25">
      <c r="A227" s="27" t="s">
        <v>253</v>
      </c>
      <c r="B227" s="107" t="s">
        <v>254</v>
      </c>
      <c r="C227" s="108" t="s">
        <v>23</v>
      </c>
      <c r="D227" s="109">
        <f>D228+D233+D236+D241+D244+D249</f>
        <v>393856</v>
      </c>
      <c r="E227" s="432"/>
      <c r="F227" s="109"/>
      <c r="G227" s="111">
        <f>G228+G233+G236+G241+G244+G249</f>
        <v>20168431.580000002</v>
      </c>
      <c r="H227" s="112"/>
      <c r="I227" s="368"/>
      <c r="J227" s="26"/>
      <c r="K227" s="368"/>
      <c r="L227" s="368"/>
    </row>
    <row r="228" spans="1:13" s="114" customFormat="1" ht="15.75" x14ac:dyDescent="0.25">
      <c r="A228" s="27" t="s">
        <v>255</v>
      </c>
      <c r="B228" s="107" t="s">
        <v>256</v>
      </c>
      <c r="C228" s="108" t="s">
        <v>23</v>
      </c>
      <c r="D228" s="109">
        <v>54766</v>
      </c>
      <c r="E228" s="439"/>
      <c r="F228" s="109"/>
      <c r="G228" s="111">
        <f>G229+G230+G231+G232</f>
        <v>5571610.6999999993</v>
      </c>
      <c r="H228" s="112"/>
      <c r="I228" s="368"/>
      <c r="J228" s="26"/>
      <c r="K228" s="368"/>
      <c r="L228" s="184"/>
    </row>
    <row r="229" spans="1:13" s="1" customFormat="1" ht="15.75" x14ac:dyDescent="0.25">
      <c r="A229" s="115"/>
      <c r="B229" s="116" t="s">
        <v>257</v>
      </c>
      <c r="C229" s="117" t="s">
        <v>23</v>
      </c>
      <c r="D229" s="185">
        <f>ROUND((D228*85%),0)</f>
        <v>46551</v>
      </c>
      <c r="E229" s="440">
        <v>7.37</v>
      </c>
      <c r="F229" s="118">
        <v>5</v>
      </c>
      <c r="G229" s="120">
        <f>ROUND((D229*E229*F229),2)</f>
        <v>1715404.35</v>
      </c>
      <c r="H229" s="121">
        <v>103</v>
      </c>
      <c r="I229" s="25"/>
      <c r="J229" s="26">
        <f>[1]Прейскурант!$E$119</f>
        <v>7.36564</v>
      </c>
      <c r="K229" s="25"/>
      <c r="L229" s="25"/>
    </row>
    <row r="230" spans="1:13" s="1" customFormat="1" ht="15.75" x14ac:dyDescent="0.25">
      <c r="A230" s="115"/>
      <c r="B230" s="116" t="s">
        <v>258</v>
      </c>
      <c r="C230" s="117" t="s">
        <v>23</v>
      </c>
      <c r="D230" s="185">
        <f>D228-D229</f>
        <v>8215</v>
      </c>
      <c r="E230" s="440">
        <f>E213</f>
        <v>59.08</v>
      </c>
      <c r="F230" s="118">
        <v>5</v>
      </c>
      <c r="G230" s="120">
        <f>ROUND((D230*E230*F230),2)</f>
        <v>2426711</v>
      </c>
      <c r="H230" s="121" t="s">
        <v>221</v>
      </c>
      <c r="I230" s="25"/>
      <c r="J230" s="26"/>
      <c r="K230" s="25"/>
      <c r="L230" s="187"/>
    </row>
    <row r="231" spans="1:13" s="1" customFormat="1" ht="15.75" x14ac:dyDescent="0.25">
      <c r="A231" s="115"/>
      <c r="B231" s="116" t="s">
        <v>259</v>
      </c>
      <c r="C231" s="117" t="s">
        <v>23</v>
      </c>
      <c r="D231" s="185">
        <f>ROUND((D228*75%),0)</f>
        <v>41075</v>
      </c>
      <c r="E231" s="440">
        <f>E215</f>
        <v>4.51</v>
      </c>
      <c r="F231" s="118">
        <v>2</v>
      </c>
      <c r="G231" s="120">
        <f>ROUND((D231*E231*F231),2)</f>
        <v>370496.5</v>
      </c>
      <c r="H231" s="121">
        <v>104</v>
      </c>
      <c r="I231" s="25"/>
      <c r="J231" s="26"/>
      <c r="K231" s="25"/>
      <c r="L231" s="178"/>
    </row>
    <row r="232" spans="1:13" s="1" customFormat="1" ht="15.75" x14ac:dyDescent="0.25">
      <c r="A232" s="115"/>
      <c r="B232" s="116" t="s">
        <v>260</v>
      </c>
      <c r="C232" s="117" t="s">
        <v>23</v>
      </c>
      <c r="D232" s="185">
        <f>D228-D231</f>
        <v>13691</v>
      </c>
      <c r="E232" s="440">
        <v>11.05</v>
      </c>
      <c r="F232" s="118">
        <v>7</v>
      </c>
      <c r="G232" s="120">
        <f>ROUND((D232*E232*F232),2)</f>
        <v>1058998.8500000001</v>
      </c>
      <c r="H232" s="121" t="s">
        <v>261</v>
      </c>
      <c r="I232" s="25"/>
      <c r="J232" s="26">
        <f>[1]Прейскурант!$E$165</f>
        <v>11.05</v>
      </c>
      <c r="K232" s="25"/>
      <c r="L232" s="188"/>
    </row>
    <row r="233" spans="1:13" s="114" customFormat="1" ht="15.75" x14ac:dyDescent="0.25">
      <c r="A233" s="27" t="s">
        <v>262</v>
      </c>
      <c r="B233" s="107" t="s">
        <v>263</v>
      </c>
      <c r="C233" s="108" t="s">
        <v>23</v>
      </c>
      <c r="D233" s="109">
        <v>149695</v>
      </c>
      <c r="E233" s="422"/>
      <c r="F233" s="109"/>
      <c r="G233" s="111">
        <f>SUM(G234:G235)</f>
        <v>5365118.5</v>
      </c>
      <c r="H233" s="112"/>
      <c r="I233" s="368"/>
      <c r="J233" s="26"/>
      <c r="K233" s="368"/>
      <c r="L233" s="113"/>
    </row>
    <row r="234" spans="1:13" s="1" customFormat="1" ht="15.75" x14ac:dyDescent="0.25">
      <c r="A234" s="115"/>
      <c r="B234" s="116" t="s">
        <v>264</v>
      </c>
      <c r="C234" s="117" t="s">
        <v>23</v>
      </c>
      <c r="D234" s="118">
        <v>74850</v>
      </c>
      <c r="E234" s="440">
        <f>E191</f>
        <v>6.54</v>
      </c>
      <c r="F234" s="118">
        <v>7</v>
      </c>
      <c r="G234" s="120">
        <f>ROUND((D234*E234*F234),2)</f>
        <v>3426633</v>
      </c>
      <c r="H234" s="121" t="s">
        <v>229</v>
      </c>
      <c r="I234" s="25"/>
      <c r="J234" s="26">
        <f>[1]Прейскурант!$E$137</f>
        <v>6.54</v>
      </c>
      <c r="K234" s="25"/>
      <c r="L234" s="3"/>
    </row>
    <row r="235" spans="1:13" s="1" customFormat="1" ht="15.75" x14ac:dyDescent="0.25">
      <c r="A235" s="57"/>
      <c r="B235" s="116" t="s">
        <v>265</v>
      </c>
      <c r="C235" s="117" t="s">
        <v>23</v>
      </c>
      <c r="D235" s="118">
        <f>D233-D234</f>
        <v>74845</v>
      </c>
      <c r="E235" s="440">
        <f>E192</f>
        <v>3.7</v>
      </c>
      <c r="F235" s="118">
        <v>7</v>
      </c>
      <c r="G235" s="120">
        <f>ROUND((D235*E235*F235),2)</f>
        <v>1938485.5</v>
      </c>
      <c r="H235" s="121" t="s">
        <v>230</v>
      </c>
      <c r="I235" s="25"/>
      <c r="J235" s="26"/>
      <c r="K235" s="25"/>
      <c r="L235" s="25"/>
      <c r="M235" s="3"/>
    </row>
    <row r="236" spans="1:13" s="114" customFormat="1" ht="15.75" x14ac:dyDescent="0.25">
      <c r="A236" s="27" t="s">
        <v>266</v>
      </c>
      <c r="B236" s="107" t="s">
        <v>267</v>
      </c>
      <c r="C236" s="108" t="s">
        <v>23</v>
      </c>
      <c r="D236" s="109">
        <v>29523</v>
      </c>
      <c r="E236" s="424"/>
      <c r="F236" s="109"/>
      <c r="G236" s="111">
        <f>SUM(G237:G240)</f>
        <v>3003423.14</v>
      </c>
      <c r="H236" s="112"/>
      <c r="I236" s="368"/>
      <c r="J236" s="26"/>
      <c r="K236" s="368"/>
      <c r="L236" s="113"/>
    </row>
    <row r="237" spans="1:13" s="1" customFormat="1" ht="15.75" x14ac:dyDescent="0.25">
      <c r="A237" s="115"/>
      <c r="B237" s="116" t="s">
        <v>257</v>
      </c>
      <c r="C237" s="117" t="s">
        <v>23</v>
      </c>
      <c r="D237" s="185">
        <f>ROUND((D236*85%),0)</f>
        <v>25095</v>
      </c>
      <c r="E237" s="440">
        <f>E229</f>
        <v>7.37</v>
      </c>
      <c r="F237" s="118">
        <v>5</v>
      </c>
      <c r="G237" s="120">
        <f>ROUND((D237*E237*F237),2)</f>
        <v>924750.75</v>
      </c>
      <c r="H237" s="121">
        <v>103</v>
      </c>
      <c r="I237" s="25"/>
      <c r="J237" s="26"/>
      <c r="K237" s="25"/>
      <c r="L237" s="188"/>
    </row>
    <row r="238" spans="1:13" s="1" customFormat="1" ht="15.75" x14ac:dyDescent="0.25">
      <c r="A238" s="115"/>
      <c r="B238" s="116" t="s">
        <v>258</v>
      </c>
      <c r="C238" s="117" t="s">
        <v>23</v>
      </c>
      <c r="D238" s="185">
        <f>D236-D237</f>
        <v>4428</v>
      </c>
      <c r="E238" s="440">
        <f>E230</f>
        <v>59.08</v>
      </c>
      <c r="F238" s="118">
        <v>5</v>
      </c>
      <c r="G238" s="120">
        <f>ROUND((D238*E238*F238),2)</f>
        <v>1308031.2</v>
      </c>
      <c r="H238" s="121" t="s">
        <v>221</v>
      </c>
      <c r="I238" s="25"/>
      <c r="J238" s="26"/>
      <c r="K238" s="25"/>
      <c r="L238" s="178"/>
    </row>
    <row r="239" spans="1:13" s="1" customFormat="1" ht="15.75" x14ac:dyDescent="0.25">
      <c r="A239" s="115"/>
      <c r="B239" s="116" t="s">
        <v>259</v>
      </c>
      <c r="C239" s="117" t="s">
        <v>23</v>
      </c>
      <c r="D239" s="185">
        <f>ROUND((D236*75%),0)</f>
        <v>22142</v>
      </c>
      <c r="E239" s="440">
        <f>E231</f>
        <v>4.51</v>
      </c>
      <c r="F239" s="118">
        <v>2</v>
      </c>
      <c r="G239" s="120">
        <f>ROUND((D239*E239*F239),2)</f>
        <v>199720.84</v>
      </c>
      <c r="H239" s="121">
        <v>104</v>
      </c>
      <c r="I239" s="25"/>
      <c r="J239" s="26"/>
      <c r="K239" s="25"/>
      <c r="L239" s="178"/>
    </row>
    <row r="240" spans="1:13" s="1" customFormat="1" ht="15.75" x14ac:dyDescent="0.25">
      <c r="A240" s="115"/>
      <c r="B240" s="116" t="s">
        <v>260</v>
      </c>
      <c r="C240" s="117" t="s">
        <v>23</v>
      </c>
      <c r="D240" s="185">
        <f>D236-D239</f>
        <v>7381</v>
      </c>
      <c r="E240" s="440">
        <f>E232</f>
        <v>11.05</v>
      </c>
      <c r="F240" s="118">
        <v>7</v>
      </c>
      <c r="G240" s="120">
        <f>ROUND((D240*E240*F240),2)</f>
        <v>570920.35</v>
      </c>
      <c r="H240" s="121" t="s">
        <v>261</v>
      </c>
      <c r="I240" s="25"/>
      <c r="J240" s="26"/>
      <c r="K240" s="25"/>
      <c r="L240" s="178"/>
    </row>
    <row r="241" spans="1:13" s="114" customFormat="1" ht="15.75" x14ac:dyDescent="0.25">
      <c r="A241" s="27" t="s">
        <v>268</v>
      </c>
      <c r="B241" s="107" t="s">
        <v>269</v>
      </c>
      <c r="C241" s="108" t="s">
        <v>23</v>
      </c>
      <c r="D241" s="109">
        <v>93242</v>
      </c>
      <c r="E241" s="422"/>
      <c r="F241" s="109"/>
      <c r="G241" s="111">
        <f>SUM(G242:G243)</f>
        <v>3400081.44</v>
      </c>
      <c r="H241" s="112"/>
      <c r="I241" s="368"/>
      <c r="J241" s="26"/>
      <c r="K241" s="368"/>
      <c r="L241" s="113"/>
    </row>
    <row r="242" spans="1:13" s="1" customFormat="1" ht="15.75" x14ac:dyDescent="0.25">
      <c r="A242" s="115"/>
      <c r="B242" s="116" t="s">
        <v>264</v>
      </c>
      <c r="C242" s="117" t="s">
        <v>23</v>
      </c>
      <c r="D242" s="118">
        <v>49553</v>
      </c>
      <c r="E242" s="440">
        <f>E234</f>
        <v>6.54</v>
      </c>
      <c r="F242" s="118">
        <v>7</v>
      </c>
      <c r="G242" s="120">
        <f>ROUND((D242*E242*F242),2)</f>
        <v>2268536.34</v>
      </c>
      <c r="H242" s="121" t="s">
        <v>229</v>
      </c>
      <c r="I242" s="25"/>
      <c r="J242" s="26"/>
      <c r="K242" s="25"/>
      <c r="L242" s="3"/>
    </row>
    <row r="243" spans="1:13" s="1" customFormat="1" ht="15.75" x14ac:dyDescent="0.25">
      <c r="A243" s="57"/>
      <c r="B243" s="116" t="s">
        <v>265</v>
      </c>
      <c r="C243" s="117" t="s">
        <v>23</v>
      </c>
      <c r="D243" s="118">
        <f>D241-D242</f>
        <v>43689</v>
      </c>
      <c r="E243" s="440">
        <f>E235</f>
        <v>3.7</v>
      </c>
      <c r="F243" s="118">
        <v>7</v>
      </c>
      <c r="G243" s="120">
        <f>ROUND((D243*E243*F243),2)</f>
        <v>1131545.1000000001</v>
      </c>
      <c r="H243" s="121" t="s">
        <v>230</v>
      </c>
      <c r="I243" s="25"/>
      <c r="J243" s="26"/>
      <c r="K243" s="25"/>
      <c r="L243" s="25"/>
      <c r="M243" s="3"/>
    </row>
    <row r="244" spans="1:13" s="114" customFormat="1" ht="15.75" x14ac:dyDescent="0.25">
      <c r="A244" s="27" t="s">
        <v>270</v>
      </c>
      <c r="B244" s="107" t="s">
        <v>271</v>
      </c>
      <c r="C244" s="108" t="s">
        <v>23</v>
      </c>
      <c r="D244" s="109">
        <v>6680</v>
      </c>
      <c r="E244" s="424"/>
      <c r="F244" s="109"/>
      <c r="G244" s="111">
        <f>SUM(G245:G248)</f>
        <v>679589.79999999993</v>
      </c>
      <c r="H244" s="112"/>
      <c r="I244" s="368"/>
      <c r="J244" s="26"/>
      <c r="K244" s="368"/>
      <c r="L244" s="113"/>
    </row>
    <row r="245" spans="1:13" s="1" customFormat="1" ht="15.75" x14ac:dyDescent="0.25">
      <c r="A245" s="115"/>
      <c r="B245" s="116" t="s">
        <v>257</v>
      </c>
      <c r="C245" s="117" t="s">
        <v>23</v>
      </c>
      <c r="D245" s="185">
        <f>ROUND((D244*85%),0)</f>
        <v>5678</v>
      </c>
      <c r="E245" s="440">
        <f>E237</f>
        <v>7.37</v>
      </c>
      <c r="F245" s="118">
        <v>5</v>
      </c>
      <c r="G245" s="120">
        <f>ROUND((D245*E245*F245),2)</f>
        <v>209234.3</v>
      </c>
      <c r="H245" s="121">
        <v>103</v>
      </c>
      <c r="I245" s="25"/>
      <c r="J245" s="26"/>
      <c r="K245" s="25"/>
      <c r="L245" s="188"/>
    </row>
    <row r="246" spans="1:13" s="1" customFormat="1" ht="15.75" x14ac:dyDescent="0.25">
      <c r="A246" s="115"/>
      <c r="B246" s="116" t="s">
        <v>258</v>
      </c>
      <c r="C246" s="117" t="s">
        <v>23</v>
      </c>
      <c r="D246" s="185">
        <f>D244-D245</f>
        <v>1002</v>
      </c>
      <c r="E246" s="440">
        <f>E238</f>
        <v>59.08</v>
      </c>
      <c r="F246" s="118">
        <v>5</v>
      </c>
      <c r="G246" s="120">
        <f>ROUND((D246*E246*F246),2)</f>
        <v>295990.8</v>
      </c>
      <c r="H246" s="121" t="s">
        <v>221</v>
      </c>
      <c r="I246" s="25"/>
      <c r="J246" s="26"/>
      <c r="K246" s="25"/>
      <c r="L246" s="178"/>
    </row>
    <row r="247" spans="1:13" s="1" customFormat="1" ht="15.75" x14ac:dyDescent="0.25">
      <c r="A247" s="115"/>
      <c r="B247" s="116" t="s">
        <v>259</v>
      </c>
      <c r="C247" s="117" t="s">
        <v>23</v>
      </c>
      <c r="D247" s="185">
        <f>ROUND((D244*75%),0)</f>
        <v>5010</v>
      </c>
      <c r="E247" s="440">
        <f>E239</f>
        <v>4.51</v>
      </c>
      <c r="F247" s="118">
        <v>2</v>
      </c>
      <c r="G247" s="120">
        <f>ROUND((D247*E247*F247),2)</f>
        <v>45190.2</v>
      </c>
      <c r="H247" s="121">
        <v>104</v>
      </c>
      <c r="I247" s="25"/>
      <c r="J247" s="26"/>
      <c r="K247" s="25"/>
      <c r="L247" s="178"/>
    </row>
    <row r="248" spans="1:13" s="1" customFormat="1" ht="15.75" x14ac:dyDescent="0.25">
      <c r="A248" s="115"/>
      <c r="B248" s="116" t="s">
        <v>260</v>
      </c>
      <c r="C248" s="117" t="s">
        <v>23</v>
      </c>
      <c r="D248" s="185">
        <f>D244-D247</f>
        <v>1670</v>
      </c>
      <c r="E248" s="440">
        <f>E240</f>
        <v>11.05</v>
      </c>
      <c r="F248" s="118">
        <v>7</v>
      </c>
      <c r="G248" s="120">
        <f>ROUND((D248*E248*F248),2)</f>
        <v>129174.5</v>
      </c>
      <c r="H248" s="121" t="s">
        <v>261</v>
      </c>
      <c r="I248" s="25"/>
      <c r="J248" s="26"/>
      <c r="K248" s="25"/>
      <c r="L248" s="178"/>
    </row>
    <row r="249" spans="1:13" s="114" customFormat="1" ht="15.75" x14ac:dyDescent="0.25">
      <c r="A249" s="27" t="s">
        <v>272</v>
      </c>
      <c r="B249" s="107" t="s">
        <v>273</v>
      </c>
      <c r="C249" s="108" t="s">
        <v>23</v>
      </c>
      <c r="D249" s="109">
        <v>59950</v>
      </c>
      <c r="E249" s="422"/>
      <c r="F249" s="109"/>
      <c r="G249" s="111">
        <f>SUM(G250:G251)</f>
        <v>2148608</v>
      </c>
      <c r="H249" s="112"/>
      <c r="I249" s="368"/>
      <c r="J249" s="26"/>
      <c r="K249" s="368"/>
      <c r="L249" s="113"/>
    </row>
    <row r="250" spans="1:13" s="1" customFormat="1" ht="15.75" x14ac:dyDescent="0.25">
      <c r="A250" s="115"/>
      <c r="B250" s="116" t="s">
        <v>264</v>
      </c>
      <c r="C250" s="117" t="s">
        <v>23</v>
      </c>
      <c r="D250" s="118">
        <f>D249*50%</f>
        <v>29975</v>
      </c>
      <c r="E250" s="440">
        <f>E242</f>
        <v>6.54</v>
      </c>
      <c r="F250" s="118">
        <v>7</v>
      </c>
      <c r="G250" s="120">
        <f>ROUND((D250*E250*F250),2)</f>
        <v>1372255.5</v>
      </c>
      <c r="H250" s="121" t="s">
        <v>229</v>
      </c>
      <c r="I250" s="25"/>
      <c r="J250" s="26"/>
      <c r="K250" s="25"/>
      <c r="L250" s="3"/>
    </row>
    <row r="251" spans="1:13" s="1" customFormat="1" ht="15.75" x14ac:dyDescent="0.25">
      <c r="A251" s="57"/>
      <c r="B251" s="116" t="s">
        <v>265</v>
      </c>
      <c r="C251" s="117" t="s">
        <v>23</v>
      </c>
      <c r="D251" s="118">
        <f>D249-D250</f>
        <v>29975</v>
      </c>
      <c r="E251" s="440">
        <f>E243</f>
        <v>3.7</v>
      </c>
      <c r="F251" s="118">
        <v>7</v>
      </c>
      <c r="G251" s="120">
        <f>ROUND((D251*E251*F251),2)</f>
        <v>776352.5</v>
      </c>
      <c r="H251" s="121" t="s">
        <v>230</v>
      </c>
      <c r="I251" s="25"/>
      <c r="J251" s="26"/>
      <c r="K251" s="25"/>
      <c r="L251" s="25"/>
      <c r="M251" s="3"/>
    </row>
    <row r="252" spans="1:13" s="114" customFormat="1" ht="15.75" x14ac:dyDescent="0.25">
      <c r="A252" s="27" t="s">
        <v>274</v>
      </c>
      <c r="B252" s="107" t="s">
        <v>275</v>
      </c>
      <c r="C252" s="108" t="s">
        <v>23</v>
      </c>
      <c r="D252" s="109">
        <v>67510</v>
      </c>
      <c r="E252" s="432"/>
      <c r="F252" s="109"/>
      <c r="G252" s="111">
        <f>G253+G254</f>
        <v>1279331</v>
      </c>
      <c r="H252" s="112"/>
      <c r="I252" s="368"/>
      <c r="J252" s="26"/>
      <c r="K252" s="368"/>
      <c r="L252" s="113"/>
    </row>
    <row r="253" spans="1:13" s="114" customFormat="1" ht="15.75" x14ac:dyDescent="0.25">
      <c r="A253" s="27"/>
      <c r="B253" s="116" t="s">
        <v>276</v>
      </c>
      <c r="C253" s="117" t="s">
        <v>23</v>
      </c>
      <c r="D253" s="118">
        <v>12500</v>
      </c>
      <c r="E253" s="441">
        <v>13.34</v>
      </c>
      <c r="F253" s="130">
        <v>5</v>
      </c>
      <c r="G253" s="120">
        <f>ROUND((D253*E253*F253),2)</f>
        <v>833750</v>
      </c>
      <c r="H253" s="121">
        <v>96</v>
      </c>
      <c r="I253" s="368"/>
      <c r="J253" s="26">
        <f>[1]Прейскурант!$E$112</f>
        <v>13.336604200000002</v>
      </c>
      <c r="K253" s="368"/>
      <c r="L253" s="113"/>
    </row>
    <row r="254" spans="1:13" s="114" customFormat="1" ht="15.75" x14ac:dyDescent="0.25">
      <c r="A254" s="27"/>
      <c r="B254" s="116" t="s">
        <v>277</v>
      </c>
      <c r="C254" s="117" t="s">
        <v>23</v>
      </c>
      <c r="D254" s="118">
        <f>D252-D253</f>
        <v>55010</v>
      </c>
      <c r="E254" s="441">
        <v>1.62</v>
      </c>
      <c r="F254" s="130">
        <v>5</v>
      </c>
      <c r="G254" s="120">
        <f>ROUND((D254*E254*F254),2)</f>
        <v>445581</v>
      </c>
      <c r="H254" s="121" t="s">
        <v>241</v>
      </c>
      <c r="I254" s="368"/>
      <c r="J254" s="26">
        <f>[1]Прейскурант!$E$146</f>
        <v>1.62</v>
      </c>
      <c r="K254" s="368"/>
      <c r="L254" s="113"/>
    </row>
    <row r="255" spans="1:13" s="1" customFormat="1" ht="15.75" x14ac:dyDescent="0.25">
      <c r="A255" s="27" t="s">
        <v>0</v>
      </c>
      <c r="B255" s="21" t="s">
        <v>4</v>
      </c>
      <c r="C255" s="45" t="s">
        <v>278</v>
      </c>
      <c r="D255" s="190">
        <f>D256</f>
        <v>40</v>
      </c>
      <c r="E255" s="334"/>
      <c r="F255" s="29"/>
      <c r="G255" s="56">
        <f>G256</f>
        <v>38604</v>
      </c>
      <c r="H255" s="15"/>
      <c r="I255" s="25"/>
      <c r="J255" s="26"/>
      <c r="K255" s="25"/>
      <c r="L255" s="25"/>
      <c r="M255" s="3"/>
    </row>
    <row r="256" spans="1:13" s="3" customFormat="1" ht="15.75" x14ac:dyDescent="0.25">
      <c r="A256" s="122" t="s">
        <v>279</v>
      </c>
      <c r="B256" s="32" t="s">
        <v>280</v>
      </c>
      <c r="C256" s="63" t="s">
        <v>278</v>
      </c>
      <c r="D256" s="173">
        <v>40</v>
      </c>
      <c r="E256" s="106">
        <v>965.1</v>
      </c>
      <c r="F256" s="69"/>
      <c r="G256" s="60">
        <f>ROUND((D256*E256),2)</f>
        <v>38604</v>
      </c>
      <c r="H256" s="4">
        <v>121</v>
      </c>
      <c r="I256" s="25"/>
      <c r="J256" s="26">
        <f>[1]Прейскурант!$E$158</f>
        <v>965.09999999999991</v>
      </c>
      <c r="K256" s="25"/>
      <c r="L256" s="25"/>
    </row>
    <row r="257" spans="1:12" s="3" customFormat="1" ht="15.75" x14ac:dyDescent="0.25">
      <c r="A257" s="122" t="s">
        <v>281</v>
      </c>
      <c r="B257" s="191" t="s">
        <v>4</v>
      </c>
      <c r="C257" s="135" t="s">
        <v>278</v>
      </c>
      <c r="D257" s="192">
        <v>180</v>
      </c>
      <c r="E257" s="8"/>
      <c r="F257" s="138"/>
      <c r="G257" s="56">
        <f>SUM(G258:G260)</f>
        <v>123661.8</v>
      </c>
      <c r="H257" s="4"/>
      <c r="I257" s="25"/>
      <c r="J257" s="26"/>
      <c r="K257" s="25"/>
      <c r="L257" s="25"/>
    </row>
    <row r="258" spans="1:12" s="3" customFormat="1" ht="15.75" x14ac:dyDescent="0.25">
      <c r="A258" s="122" t="s">
        <v>282</v>
      </c>
      <c r="B258" s="32" t="s">
        <v>283</v>
      </c>
      <c r="C258" s="63" t="s">
        <v>278</v>
      </c>
      <c r="D258" s="193">
        <v>77.221000000000004</v>
      </c>
      <c r="E258" s="106">
        <v>386.04</v>
      </c>
      <c r="F258" s="69">
        <v>1</v>
      </c>
      <c r="G258" s="60">
        <f>ROUND((D258*E258*F258),2)</f>
        <v>29810.39</v>
      </c>
      <c r="H258" s="4">
        <v>122</v>
      </c>
      <c r="I258" s="25"/>
      <c r="J258" s="26">
        <f>[1]Прейскурант!$E$159</f>
        <v>386.03999999999996</v>
      </c>
      <c r="K258" s="25"/>
      <c r="L258" s="25"/>
    </row>
    <row r="259" spans="1:12" s="3" customFormat="1" ht="15.75" x14ac:dyDescent="0.25">
      <c r="A259" s="122"/>
      <c r="B259" s="32" t="s">
        <v>284</v>
      </c>
      <c r="C259" s="63" t="s">
        <v>278</v>
      </c>
      <c r="D259" s="193">
        <f>D257-D258</f>
        <v>102.779</v>
      </c>
      <c r="E259" s="106">
        <f>E258</f>
        <v>386.04</v>
      </c>
      <c r="F259" s="69">
        <v>2</v>
      </c>
      <c r="G259" s="60">
        <f>ROUND((D259*E259*F259),2)</f>
        <v>79353.61</v>
      </c>
      <c r="H259" s="4">
        <v>122</v>
      </c>
      <c r="I259" s="25"/>
      <c r="J259" s="26"/>
      <c r="K259" s="25"/>
      <c r="L259" s="25"/>
    </row>
    <row r="260" spans="1:12" s="3" customFormat="1" ht="15.75" x14ac:dyDescent="0.25">
      <c r="A260" s="122" t="s">
        <v>285</v>
      </c>
      <c r="B260" s="32" t="s">
        <v>286</v>
      </c>
      <c r="C260" s="63" t="s">
        <v>72</v>
      </c>
      <c r="D260" s="168">
        <v>15</v>
      </c>
      <c r="E260" s="106">
        <v>966.52</v>
      </c>
      <c r="F260" s="69">
        <v>1</v>
      </c>
      <c r="G260" s="60">
        <f>ROUND((D260*E260*F260),2)</f>
        <v>14497.8</v>
      </c>
      <c r="H260" s="4">
        <v>123</v>
      </c>
      <c r="I260" s="25"/>
      <c r="J260" s="26">
        <f>[1]Прейскурант!$E$160</f>
        <v>966.51886000000002</v>
      </c>
      <c r="K260" s="25"/>
      <c r="L260" s="25"/>
    </row>
    <row r="261" spans="1:12" s="197" customFormat="1" ht="31.5" x14ac:dyDescent="0.25">
      <c r="A261" s="122" t="s">
        <v>5</v>
      </c>
      <c r="B261" s="191" t="s">
        <v>287</v>
      </c>
      <c r="C261" s="104"/>
      <c r="D261" s="194">
        <f>D262</f>
        <v>1728</v>
      </c>
      <c r="E261" s="8"/>
      <c r="F261" s="63"/>
      <c r="G261" s="132">
        <f>G262</f>
        <v>1767640.32</v>
      </c>
      <c r="H261" s="4"/>
      <c r="I261" s="195"/>
      <c r="J261" s="196"/>
      <c r="K261" s="195"/>
      <c r="L261" s="195"/>
    </row>
    <row r="262" spans="1:12" s="197" customFormat="1" ht="15.75" x14ac:dyDescent="0.25">
      <c r="A262" s="122" t="s">
        <v>288</v>
      </c>
      <c r="B262" s="32" t="s">
        <v>289</v>
      </c>
      <c r="C262" s="104" t="s">
        <v>213</v>
      </c>
      <c r="D262" s="7">
        <v>1728</v>
      </c>
      <c r="E262" s="35"/>
      <c r="F262" s="63"/>
      <c r="G262" s="60">
        <v>1767640.32</v>
      </c>
      <c r="H262" s="4" t="s">
        <v>182</v>
      </c>
      <c r="I262" s="195">
        <f>G144+G155+G178+G179+G255+G257+G261</f>
        <v>90410104.979999974</v>
      </c>
      <c r="J262" s="196"/>
      <c r="K262" s="195"/>
      <c r="L262" s="196"/>
    </row>
    <row r="263" spans="1:12" s="197" customFormat="1" ht="15.75" x14ac:dyDescent="0.25">
      <c r="A263" s="198"/>
      <c r="B263" s="199"/>
      <c r="C263" s="200"/>
      <c r="D263" s="201"/>
      <c r="E263" s="202"/>
      <c r="F263" s="203"/>
      <c r="G263" s="204"/>
      <c r="H263" s="205"/>
      <c r="I263" s="195">
        <f>G8</f>
        <v>45231841.159999996</v>
      </c>
      <c r="J263" s="196"/>
      <c r="K263" s="195"/>
      <c r="L263" s="196"/>
    </row>
    <row r="264" spans="1:12" s="197" customFormat="1" ht="15.75" x14ac:dyDescent="0.25">
      <c r="A264" s="198"/>
      <c r="B264" s="199"/>
      <c r="C264" s="200"/>
      <c r="D264" s="9"/>
      <c r="E264" s="202"/>
      <c r="F264" s="203"/>
      <c r="G264" s="204"/>
      <c r="H264" s="205"/>
      <c r="I264" s="195">
        <f>I262+I263</f>
        <v>135641946.13999999</v>
      </c>
      <c r="J264" s="196"/>
      <c r="K264" s="195"/>
      <c r="L264" s="196"/>
    </row>
    <row r="265" spans="1:12" ht="15.75" x14ac:dyDescent="0.25">
      <c r="B265" s="206"/>
      <c r="G265" s="206"/>
      <c r="I265" s="195"/>
      <c r="J265" s="196"/>
      <c r="K265" s="195"/>
      <c r="L265" s="196"/>
    </row>
    <row r="266" spans="1:12" x14ac:dyDescent="0.25">
      <c r="I266" s="443">
        <f>G12+G13+G19+G20+G132+G135+G158+G209+G221</f>
        <v>48165050.149999991</v>
      </c>
      <c r="L266" s="207"/>
    </row>
    <row r="267" spans="1:12" x14ac:dyDescent="0.25">
      <c r="B267" s="209"/>
      <c r="C267" t="s">
        <v>291</v>
      </c>
      <c r="G267" s="208"/>
      <c r="L267" s="207"/>
    </row>
    <row r="268" spans="1:12" x14ac:dyDescent="0.25">
      <c r="B268" s="210"/>
      <c r="C268" t="s">
        <v>292</v>
      </c>
      <c r="G268" s="208"/>
      <c r="L268" s="207"/>
    </row>
    <row r="269" spans="1:12" x14ac:dyDescent="0.25">
      <c r="B269" s="211"/>
      <c r="C269" t="s">
        <v>293</v>
      </c>
      <c r="G269" s="208"/>
      <c r="I269" s="444">
        <f>I28+I78+I92+I101+I118+I123+I173+I184</f>
        <v>7685999.1600000001</v>
      </c>
      <c r="L269" s="207"/>
    </row>
    <row r="270" spans="1:12" s="197" customFormat="1" x14ac:dyDescent="0.25">
      <c r="E270" s="445"/>
      <c r="G270" s="195"/>
      <c r="I270" s="195"/>
      <c r="J270" s="196"/>
      <c r="K270" s="195"/>
      <c r="L270" s="196"/>
    </row>
    <row r="272" spans="1:12" ht="18.75" x14ac:dyDescent="0.3">
      <c r="B272" t="s">
        <v>294</v>
      </c>
      <c r="D272" s="212"/>
      <c r="G272" s="213">
        <f>G8+G144+G155-G157+G178+G179</f>
        <v>131618886.19</v>
      </c>
      <c r="I272" s="446"/>
      <c r="J272" s="214"/>
      <c r="K272" s="215"/>
      <c r="L272" s="195"/>
    </row>
    <row r="273" spans="2:12" ht="18" x14ac:dyDescent="0.25">
      <c r="B273" t="s">
        <v>295</v>
      </c>
      <c r="G273" s="213">
        <f>G157</f>
        <v>2093153.83</v>
      </c>
      <c r="I273" s="447"/>
      <c r="J273" s="216"/>
      <c r="K273" s="197"/>
      <c r="L273" s="195"/>
    </row>
    <row r="274" spans="2:12" ht="18" x14ac:dyDescent="0.25">
      <c r="B274" t="s">
        <v>296</v>
      </c>
      <c r="G274" s="213">
        <f>G255+G257</f>
        <v>162265.79999999999</v>
      </c>
      <c r="I274" s="447"/>
      <c r="J274" s="216"/>
      <c r="K274" s="197"/>
      <c r="L274" s="195"/>
    </row>
    <row r="275" spans="2:12" ht="18" x14ac:dyDescent="0.25">
      <c r="B275" t="s">
        <v>297</v>
      </c>
      <c r="G275" s="213">
        <f>G261</f>
        <v>1767640.32</v>
      </c>
      <c r="I275" s="447"/>
      <c r="J275" s="216"/>
      <c r="K275" s="197"/>
      <c r="L275" s="195"/>
    </row>
    <row r="276" spans="2:12" ht="18" x14ac:dyDescent="0.25">
      <c r="B276" t="s">
        <v>298</v>
      </c>
      <c r="G276" s="213">
        <f>SUM(G272:G275)</f>
        <v>135641946.13999999</v>
      </c>
      <c r="I276" s="447"/>
      <c r="J276" s="216"/>
      <c r="K276" s="197"/>
      <c r="L276" s="195"/>
    </row>
    <row r="277" spans="2:12" ht="18" x14ac:dyDescent="0.25">
      <c r="B277" t="s">
        <v>299</v>
      </c>
      <c r="G277" s="213">
        <v>2126052</v>
      </c>
      <c r="I277" s="447"/>
      <c r="J277" s="216"/>
      <c r="K277" s="197"/>
      <c r="L277" s="195"/>
    </row>
    <row r="278" spans="2:12" ht="18.75" x14ac:dyDescent="0.3">
      <c r="G278" s="213"/>
      <c r="I278" s="448"/>
      <c r="J278" s="196"/>
      <c r="K278" s="197"/>
      <c r="L278" s="195"/>
    </row>
    <row r="279" spans="2:12" ht="18" x14ac:dyDescent="0.25">
      <c r="B279" t="s">
        <v>300</v>
      </c>
      <c r="G279" s="213">
        <f>G276+G277+G278</f>
        <v>137767998.13999999</v>
      </c>
      <c r="H279" s="208"/>
      <c r="I279" s="447"/>
      <c r="J279" s="196"/>
      <c r="K279" s="197"/>
      <c r="L279" s="195"/>
    </row>
    <row r="280" spans="2:12" ht="18" x14ac:dyDescent="0.25">
      <c r="I280" s="449"/>
    </row>
    <row r="281" spans="2:12" ht="18" x14ac:dyDescent="0.25">
      <c r="I281" s="449"/>
    </row>
    <row r="282" spans="2:12" ht="18" x14ac:dyDescent="0.25">
      <c r="C282" s="217"/>
      <c r="D282" s="217"/>
      <c r="G282" s="208">
        <v>133722000</v>
      </c>
      <c r="I282" s="449"/>
    </row>
    <row r="283" spans="2:12" ht="18" x14ac:dyDescent="0.25">
      <c r="C283" s="217"/>
      <c r="D283" s="217"/>
      <c r="G283" s="208">
        <v>2095000</v>
      </c>
      <c r="I283" s="449"/>
    </row>
    <row r="284" spans="2:12" ht="18" x14ac:dyDescent="0.25">
      <c r="C284" s="217"/>
      <c r="D284" s="217"/>
      <c r="G284" s="208">
        <v>166000</v>
      </c>
      <c r="I284" s="449"/>
    </row>
    <row r="285" spans="2:12" ht="18" x14ac:dyDescent="0.25">
      <c r="C285" s="217"/>
      <c r="D285" s="217"/>
      <c r="G285" s="208">
        <v>1785000</v>
      </c>
      <c r="I285" s="449"/>
    </row>
    <row r="286" spans="2:12" x14ac:dyDescent="0.25">
      <c r="C286" s="217"/>
      <c r="D286" s="217"/>
      <c r="G286" s="208">
        <f>SUM(G282:G285)</f>
        <v>137768000</v>
      </c>
    </row>
    <row r="287" spans="2:12" x14ac:dyDescent="0.25">
      <c r="C287" s="217"/>
      <c r="D287" s="217"/>
    </row>
    <row r="288" spans="2:12" x14ac:dyDescent="0.25">
      <c r="D288" s="217"/>
      <c r="E288" s="450"/>
    </row>
    <row r="298" spans="7:7" customFormat="1" ht="12.75" x14ac:dyDescent="0.2">
      <c r="G298" s="208"/>
    </row>
    <row r="299" spans="7:7" customFormat="1" ht="12.75" x14ac:dyDescent="0.2">
      <c r="G299" s="208"/>
    </row>
    <row r="300" spans="7:7" customFormat="1" ht="12.75" x14ac:dyDescent="0.2">
      <c r="G300" s="208"/>
    </row>
  </sheetData>
  <mergeCells count="2">
    <mergeCell ref="A1:H1"/>
    <mergeCell ref="A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opLeftCell="A55" workbookViewId="0">
      <selection activeCell="H74" sqref="H74"/>
    </sheetView>
  </sheetViews>
  <sheetFormatPr defaultRowHeight="12.75" x14ac:dyDescent="0.2"/>
  <cols>
    <col min="1" max="1" width="7.5703125" style="372" customWidth="1"/>
    <col min="2" max="2" width="32.7109375" style="372" customWidth="1"/>
    <col min="3" max="3" width="11.28515625" style="372" customWidth="1"/>
    <col min="4" max="4" width="16.140625" style="372" customWidth="1"/>
    <col min="5" max="5" width="31.5703125" style="372" customWidth="1"/>
    <col min="6" max="6" width="16.28515625" style="372" customWidth="1"/>
    <col min="7" max="7" width="30.5703125" style="372" customWidth="1"/>
    <col min="8" max="8" width="20.28515625" style="374" customWidth="1"/>
    <col min="9" max="9" width="16.28515625" style="375" customWidth="1"/>
    <col min="10" max="10" width="30.5703125" style="375" customWidth="1"/>
  </cols>
  <sheetData>
    <row r="1" spans="1:12" ht="15.75" x14ac:dyDescent="0.25">
      <c r="G1" s="373" t="s">
        <v>303</v>
      </c>
      <c r="J1" s="373"/>
    </row>
    <row r="2" spans="1:12" ht="12" customHeight="1" x14ac:dyDescent="0.2"/>
    <row r="3" spans="1:12" ht="15.75" customHeight="1" x14ac:dyDescent="0.2">
      <c r="A3" s="470" t="s">
        <v>304</v>
      </c>
      <c r="B3" s="470"/>
      <c r="C3" s="470"/>
      <c r="D3" s="470"/>
      <c r="E3" s="470"/>
      <c r="F3" s="470"/>
      <c r="G3" s="470"/>
      <c r="H3" s="376"/>
      <c r="I3" s="376"/>
      <c r="J3" s="376"/>
    </row>
    <row r="5" spans="1:12" x14ac:dyDescent="0.2">
      <c r="A5" s="460" t="s">
        <v>9</v>
      </c>
      <c r="B5" s="460" t="s">
        <v>305</v>
      </c>
      <c r="C5" s="460" t="s">
        <v>11</v>
      </c>
      <c r="D5" s="460" t="s">
        <v>306</v>
      </c>
      <c r="E5" s="460"/>
      <c r="F5" s="460"/>
      <c r="G5" s="460"/>
      <c r="H5" s="377"/>
      <c r="I5" s="377"/>
      <c r="J5" s="377"/>
      <c r="K5" s="218"/>
      <c r="L5" s="219"/>
    </row>
    <row r="6" spans="1:12" x14ac:dyDescent="0.2">
      <c r="A6" s="460"/>
      <c r="B6" s="460"/>
      <c r="C6" s="460"/>
      <c r="D6" s="460" t="s">
        <v>307</v>
      </c>
      <c r="E6" s="460"/>
      <c r="F6" s="460" t="s">
        <v>308</v>
      </c>
      <c r="G6" s="460"/>
      <c r="H6" s="378"/>
      <c r="I6" s="460" t="s">
        <v>308</v>
      </c>
      <c r="J6" s="460"/>
      <c r="K6" s="218"/>
      <c r="L6" s="219"/>
    </row>
    <row r="7" spans="1:12" ht="58.5" customHeight="1" x14ac:dyDescent="0.2">
      <c r="A7" s="460"/>
      <c r="B7" s="460"/>
      <c r="C7" s="460"/>
      <c r="D7" s="379" t="s">
        <v>309</v>
      </c>
      <c r="E7" s="380" t="s">
        <v>310</v>
      </c>
      <c r="F7" s="380" t="s">
        <v>309</v>
      </c>
      <c r="G7" s="380" t="s">
        <v>311</v>
      </c>
      <c r="H7" s="381" t="s">
        <v>492</v>
      </c>
      <c r="I7" s="380" t="s">
        <v>309</v>
      </c>
      <c r="J7" s="380" t="s">
        <v>311</v>
      </c>
      <c r="K7" s="218"/>
      <c r="L7" s="219"/>
    </row>
    <row r="8" spans="1:12" ht="42" customHeight="1" x14ac:dyDescent="0.2">
      <c r="A8" s="467">
        <v>1</v>
      </c>
      <c r="B8" s="382" t="s">
        <v>312</v>
      </c>
      <c r="C8" s="383" t="s">
        <v>313</v>
      </c>
      <c r="D8" s="380">
        <v>100</v>
      </c>
      <c r="E8" s="380">
        <v>100</v>
      </c>
      <c r="F8" s="380">
        <v>100</v>
      </c>
      <c r="G8" s="380">
        <v>100</v>
      </c>
      <c r="H8" s="381"/>
      <c r="I8" s="384"/>
      <c r="J8" s="384"/>
      <c r="K8" s="218"/>
      <c r="L8" s="219"/>
    </row>
    <row r="9" spans="1:12" ht="17.25" customHeight="1" x14ac:dyDescent="0.2">
      <c r="A9" s="468"/>
      <c r="B9" s="385" t="s">
        <v>314</v>
      </c>
      <c r="C9" s="383"/>
      <c r="D9" s="380"/>
      <c r="E9" s="380"/>
      <c r="F9" s="380"/>
      <c r="G9" s="380"/>
      <c r="H9" s="381"/>
      <c r="I9" s="380"/>
      <c r="J9" s="380"/>
      <c r="K9" s="218"/>
      <c r="L9" s="219"/>
    </row>
    <row r="10" spans="1:12" ht="27.75" customHeight="1" x14ac:dyDescent="0.2">
      <c r="A10" s="468"/>
      <c r="B10" s="386" t="s">
        <v>315</v>
      </c>
      <c r="C10" s="383" t="s">
        <v>23</v>
      </c>
      <c r="D10" s="387">
        <v>1943550</v>
      </c>
      <c r="E10" s="387">
        <v>1891096</v>
      </c>
      <c r="F10" s="387">
        <v>1815946</v>
      </c>
      <c r="G10" s="387">
        <v>1815946</v>
      </c>
      <c r="H10" s="461" t="s">
        <v>493</v>
      </c>
      <c r="I10" s="464">
        <v>181.59460000000001</v>
      </c>
      <c r="J10" s="464">
        <v>181.59460000000001</v>
      </c>
      <c r="K10" s="221"/>
      <c r="L10" s="220"/>
    </row>
    <row r="11" spans="1:12" ht="15" customHeight="1" x14ac:dyDescent="0.2">
      <c r="A11" s="468"/>
      <c r="B11" s="388" t="s">
        <v>316</v>
      </c>
      <c r="C11" s="383"/>
      <c r="D11" s="387"/>
      <c r="E11" s="387"/>
      <c r="F11" s="387"/>
      <c r="G11" s="387"/>
      <c r="H11" s="462"/>
      <c r="I11" s="465"/>
      <c r="J11" s="465"/>
      <c r="K11" s="218"/>
      <c r="L11" s="219"/>
    </row>
    <row r="12" spans="1:12" x14ac:dyDescent="0.2">
      <c r="A12" s="468"/>
      <c r="B12" s="389" t="s">
        <v>317</v>
      </c>
      <c r="C12" s="383" t="s">
        <v>40</v>
      </c>
      <c r="D12" s="387">
        <v>1014</v>
      </c>
      <c r="E12" s="387">
        <v>1014</v>
      </c>
      <c r="F12" s="387">
        <v>1062</v>
      </c>
      <c r="G12" s="387">
        <v>1062</v>
      </c>
      <c r="H12" s="462"/>
      <c r="I12" s="465"/>
      <c r="J12" s="465"/>
      <c r="K12" s="218"/>
      <c r="L12" s="219"/>
    </row>
    <row r="13" spans="1:12" x14ac:dyDescent="0.2">
      <c r="A13" s="468"/>
      <c r="B13" s="389" t="s">
        <v>318</v>
      </c>
      <c r="C13" s="383" t="s">
        <v>40</v>
      </c>
      <c r="D13" s="387">
        <v>210</v>
      </c>
      <c r="E13" s="387">
        <v>210</v>
      </c>
      <c r="F13" s="387">
        <v>1377</v>
      </c>
      <c r="G13" s="387">
        <v>1377</v>
      </c>
      <c r="H13" s="462"/>
      <c r="I13" s="465"/>
      <c r="J13" s="465"/>
      <c r="K13" s="218"/>
      <c r="L13" s="219"/>
    </row>
    <row r="14" spans="1:12" ht="15.75" customHeight="1" x14ac:dyDescent="0.2">
      <c r="A14" s="468"/>
      <c r="B14" s="389" t="s">
        <v>319</v>
      </c>
      <c r="C14" s="383" t="s">
        <v>54</v>
      </c>
      <c r="D14" s="387">
        <v>135</v>
      </c>
      <c r="E14" s="387">
        <v>135</v>
      </c>
      <c r="F14" s="387">
        <v>135</v>
      </c>
      <c r="G14" s="387">
        <v>135</v>
      </c>
      <c r="H14" s="462"/>
      <c r="I14" s="465"/>
      <c r="J14" s="465"/>
      <c r="K14" s="218"/>
      <c r="L14" s="219"/>
    </row>
    <row r="15" spans="1:12" ht="24" x14ac:dyDescent="0.2">
      <c r="A15" s="468"/>
      <c r="B15" s="389" t="s">
        <v>320</v>
      </c>
      <c r="C15" s="383" t="s">
        <v>40</v>
      </c>
      <c r="D15" s="387">
        <v>140</v>
      </c>
      <c r="E15" s="387">
        <v>140</v>
      </c>
      <c r="F15" s="387">
        <v>140</v>
      </c>
      <c r="G15" s="387">
        <v>140</v>
      </c>
      <c r="H15" s="462"/>
      <c r="I15" s="465"/>
      <c r="J15" s="465"/>
      <c r="K15" s="218"/>
      <c r="L15" s="219"/>
    </row>
    <row r="16" spans="1:12" ht="21.75" customHeight="1" x14ac:dyDescent="0.2">
      <c r="A16" s="468"/>
      <c r="B16" s="389" t="s">
        <v>321</v>
      </c>
      <c r="C16" s="383" t="s">
        <v>54</v>
      </c>
      <c r="D16" s="387">
        <v>31849</v>
      </c>
      <c r="E16" s="387">
        <v>31849</v>
      </c>
      <c r="F16" s="387">
        <v>31849</v>
      </c>
      <c r="G16" s="387">
        <v>31849</v>
      </c>
      <c r="H16" s="462"/>
      <c r="I16" s="465"/>
      <c r="J16" s="465"/>
      <c r="K16" s="218"/>
      <c r="L16" s="219"/>
    </row>
    <row r="17" spans="1:12" ht="27" customHeight="1" x14ac:dyDescent="0.2">
      <c r="A17" s="468"/>
      <c r="B17" s="388" t="s">
        <v>322</v>
      </c>
      <c r="C17" s="383" t="s">
        <v>72</v>
      </c>
      <c r="D17" s="387">
        <v>8000</v>
      </c>
      <c r="E17" s="387">
        <v>1733</v>
      </c>
      <c r="F17" s="387">
        <v>8000</v>
      </c>
      <c r="G17" s="387">
        <v>1580</v>
      </c>
      <c r="H17" s="462"/>
      <c r="I17" s="466"/>
      <c r="J17" s="466"/>
      <c r="K17" s="218"/>
      <c r="L17" s="220"/>
    </row>
    <row r="18" spans="1:12" ht="25.5" customHeight="1" x14ac:dyDescent="0.2">
      <c r="A18" s="468"/>
      <c r="B18" s="388" t="s">
        <v>323</v>
      </c>
      <c r="C18" s="383"/>
      <c r="D18" s="387"/>
      <c r="E18" s="387"/>
      <c r="F18" s="387"/>
      <c r="G18" s="387"/>
      <c r="H18" s="462"/>
      <c r="I18" s="464">
        <v>8.8592999999999993</v>
      </c>
      <c r="J18" s="464">
        <v>8.8592999999999993</v>
      </c>
      <c r="K18" s="218"/>
      <c r="L18" s="219"/>
    </row>
    <row r="19" spans="1:12" x14ac:dyDescent="0.2">
      <c r="A19" s="468"/>
      <c r="B19" s="389" t="s">
        <v>324</v>
      </c>
      <c r="C19" s="383" t="s">
        <v>40</v>
      </c>
      <c r="D19" s="387">
        <v>592</v>
      </c>
      <c r="E19" s="387">
        <v>592</v>
      </c>
      <c r="F19" s="387">
        <v>886</v>
      </c>
      <c r="G19" s="387">
        <v>886</v>
      </c>
      <c r="H19" s="462"/>
      <c r="I19" s="465"/>
      <c r="J19" s="465"/>
      <c r="K19" s="218"/>
      <c r="L19" s="219"/>
    </row>
    <row r="20" spans="1:12" x14ac:dyDescent="0.2">
      <c r="A20" s="468"/>
      <c r="B20" s="389" t="s">
        <v>318</v>
      </c>
      <c r="C20" s="383" t="s">
        <v>40</v>
      </c>
      <c r="D20" s="387">
        <v>130</v>
      </c>
      <c r="E20" s="387">
        <v>130</v>
      </c>
      <c r="F20" s="387">
        <v>1377</v>
      </c>
      <c r="G20" s="387">
        <v>1377</v>
      </c>
      <c r="H20" s="462"/>
      <c r="I20" s="465"/>
      <c r="J20" s="465"/>
      <c r="K20" s="218"/>
      <c r="L20" s="219"/>
    </row>
    <row r="21" spans="1:12" ht="16.5" customHeight="1" x14ac:dyDescent="0.2">
      <c r="A21" s="468"/>
      <c r="B21" s="389" t="s">
        <v>325</v>
      </c>
      <c r="C21" s="383" t="s">
        <v>54</v>
      </c>
      <c r="D21" s="387">
        <v>816</v>
      </c>
      <c r="E21" s="387">
        <v>816</v>
      </c>
      <c r="F21" s="387">
        <v>1171</v>
      </c>
      <c r="G21" s="387">
        <v>1171</v>
      </c>
      <c r="H21" s="462"/>
      <c r="I21" s="465"/>
      <c r="J21" s="465"/>
      <c r="K21" s="218"/>
      <c r="L21" s="219"/>
    </row>
    <row r="22" spans="1:12" ht="14.25" customHeight="1" x14ac:dyDescent="0.2">
      <c r="A22" s="468"/>
      <c r="B22" s="389" t="s">
        <v>494</v>
      </c>
      <c r="C22" s="383" t="s">
        <v>23</v>
      </c>
      <c r="D22" s="387">
        <v>47664</v>
      </c>
      <c r="E22" s="387">
        <v>47664</v>
      </c>
      <c r="F22" s="387">
        <v>88593</v>
      </c>
      <c r="G22" s="387">
        <f>F22</f>
        <v>88593</v>
      </c>
      <c r="H22" s="462"/>
      <c r="I22" s="466"/>
      <c r="J22" s="466"/>
      <c r="K22" s="221"/>
      <c r="L22" s="219"/>
    </row>
    <row r="23" spans="1:12" x14ac:dyDescent="0.2">
      <c r="A23" s="468"/>
      <c r="B23" s="389" t="s">
        <v>326</v>
      </c>
      <c r="C23" s="383" t="s">
        <v>23</v>
      </c>
      <c r="D23" s="387">
        <v>223</v>
      </c>
      <c r="E23" s="387">
        <v>223</v>
      </c>
      <c r="F23" s="387">
        <v>2919</v>
      </c>
      <c r="G23" s="387">
        <v>2919</v>
      </c>
      <c r="H23" s="462"/>
      <c r="I23" s="384">
        <v>0.29189999999999999</v>
      </c>
      <c r="J23" s="384">
        <v>0.29189999999999999</v>
      </c>
      <c r="K23" s="221"/>
      <c r="L23" s="219"/>
    </row>
    <row r="24" spans="1:12" x14ac:dyDescent="0.2">
      <c r="A24" s="468"/>
      <c r="B24" s="389" t="s">
        <v>327</v>
      </c>
      <c r="C24" s="383" t="s">
        <v>23</v>
      </c>
      <c r="D24" s="387">
        <v>40</v>
      </c>
      <c r="E24" s="387">
        <v>40</v>
      </c>
      <c r="F24" s="387">
        <v>40</v>
      </c>
      <c r="G24" s="387">
        <v>40</v>
      </c>
      <c r="H24" s="462"/>
      <c r="I24" s="384">
        <v>4.0000000000000001E-3</v>
      </c>
      <c r="J24" s="384">
        <v>4.0000000000000001E-3</v>
      </c>
      <c r="K24" s="221"/>
      <c r="L24" s="219"/>
    </row>
    <row r="25" spans="1:12" ht="17.25" customHeight="1" x14ac:dyDescent="0.2">
      <c r="A25" s="468"/>
      <c r="B25" s="388" t="s">
        <v>328</v>
      </c>
      <c r="C25" s="383" t="s">
        <v>23</v>
      </c>
      <c r="D25" s="387">
        <v>2121</v>
      </c>
      <c r="E25" s="387">
        <v>2121</v>
      </c>
      <c r="F25" s="387">
        <v>2281</v>
      </c>
      <c r="G25" s="387">
        <v>2281</v>
      </c>
      <c r="H25" s="462"/>
      <c r="I25" s="384">
        <v>0.2281</v>
      </c>
      <c r="J25" s="384">
        <v>0.2281</v>
      </c>
      <c r="K25" s="218"/>
      <c r="L25" s="219"/>
    </row>
    <row r="26" spans="1:12" x14ac:dyDescent="0.2">
      <c r="A26" s="468"/>
      <c r="B26" s="388" t="s">
        <v>329</v>
      </c>
      <c r="C26" s="383" t="s">
        <v>23</v>
      </c>
      <c r="D26" s="387">
        <v>197002</v>
      </c>
      <c r="E26" s="387">
        <v>197022</v>
      </c>
      <c r="F26" s="387">
        <v>201947</v>
      </c>
      <c r="G26" s="387">
        <f>F26</f>
        <v>201947</v>
      </c>
      <c r="H26" s="462"/>
      <c r="I26" s="464">
        <v>20.194700000000001</v>
      </c>
      <c r="J26" s="464">
        <v>20.194700000000001</v>
      </c>
      <c r="K26" s="218"/>
      <c r="L26" s="219"/>
    </row>
    <row r="27" spans="1:12" ht="15.75" customHeight="1" x14ac:dyDescent="0.2">
      <c r="A27" s="468"/>
      <c r="B27" s="388" t="s">
        <v>330</v>
      </c>
      <c r="C27" s="383" t="s">
        <v>54</v>
      </c>
      <c r="D27" s="387">
        <v>1130</v>
      </c>
      <c r="E27" s="387">
        <v>1130</v>
      </c>
      <c r="F27" s="387">
        <v>1130</v>
      </c>
      <c r="G27" s="387">
        <v>1130</v>
      </c>
      <c r="H27" s="463"/>
      <c r="I27" s="463"/>
      <c r="J27" s="463"/>
      <c r="K27" s="218"/>
      <c r="L27" s="219"/>
    </row>
    <row r="28" spans="1:12" ht="15.75" customHeight="1" x14ac:dyDescent="0.2">
      <c r="A28" s="468"/>
      <c r="B28" s="388" t="s">
        <v>331</v>
      </c>
      <c r="C28" s="383" t="s">
        <v>23</v>
      </c>
      <c r="D28" s="387">
        <v>2668</v>
      </c>
      <c r="E28" s="387">
        <v>2668</v>
      </c>
      <c r="F28" s="387">
        <v>4479</v>
      </c>
      <c r="G28" s="387">
        <v>2067</v>
      </c>
      <c r="H28" s="390"/>
      <c r="I28" s="384">
        <v>0.44790000000000002</v>
      </c>
      <c r="J28" s="384">
        <v>0.20669999999999999</v>
      </c>
      <c r="K28" s="218"/>
      <c r="L28" s="220"/>
    </row>
    <row r="29" spans="1:12" ht="15.75" customHeight="1" x14ac:dyDescent="0.2">
      <c r="A29" s="468"/>
      <c r="B29" s="388" t="s">
        <v>332</v>
      </c>
      <c r="C29" s="383" t="s">
        <v>213</v>
      </c>
      <c r="D29" s="387">
        <v>20</v>
      </c>
      <c r="E29" s="387">
        <v>20</v>
      </c>
      <c r="F29" s="387">
        <v>20</v>
      </c>
      <c r="G29" s="387">
        <v>20</v>
      </c>
      <c r="H29" s="391" t="s">
        <v>213</v>
      </c>
      <c r="I29" s="387">
        <v>20</v>
      </c>
      <c r="J29" s="392">
        <v>20</v>
      </c>
      <c r="K29" s="218"/>
      <c r="L29" s="219"/>
    </row>
    <row r="30" spans="1:12" ht="37.5" customHeight="1" x14ac:dyDescent="0.2">
      <c r="A30" s="462"/>
      <c r="B30" s="385" t="s">
        <v>333</v>
      </c>
      <c r="C30" s="383" t="s">
        <v>23</v>
      </c>
      <c r="D30" s="387">
        <v>2067</v>
      </c>
      <c r="E30" s="392">
        <v>2067</v>
      </c>
      <c r="F30" s="387">
        <f>F28</f>
        <v>4479</v>
      </c>
      <c r="G30" s="392">
        <v>2067</v>
      </c>
      <c r="H30" s="390"/>
      <c r="I30" s="387"/>
      <c r="J30" s="387"/>
      <c r="K30" s="218"/>
      <c r="L30" s="219"/>
    </row>
    <row r="31" spans="1:12" ht="37.5" customHeight="1" x14ac:dyDescent="0.2">
      <c r="A31" s="462"/>
      <c r="B31" s="385" t="s">
        <v>495</v>
      </c>
      <c r="C31" s="383" t="s">
        <v>213</v>
      </c>
      <c r="D31" s="387" t="s">
        <v>3</v>
      </c>
      <c r="E31" s="392" t="s">
        <v>3</v>
      </c>
      <c r="F31" s="391" t="s">
        <v>3</v>
      </c>
      <c r="G31" s="387" t="s">
        <v>3</v>
      </c>
      <c r="H31" s="391" t="s">
        <v>213</v>
      </c>
      <c r="I31" s="335">
        <v>4</v>
      </c>
      <c r="J31" s="222">
        <v>4</v>
      </c>
    </row>
    <row r="32" spans="1:12" ht="27" customHeight="1" x14ac:dyDescent="0.2">
      <c r="A32" s="462"/>
      <c r="B32" s="385" t="s">
        <v>334</v>
      </c>
      <c r="C32" s="383"/>
      <c r="D32" s="387"/>
      <c r="E32" s="387"/>
      <c r="F32" s="387"/>
      <c r="G32" s="387"/>
      <c r="H32" s="391" t="s">
        <v>6</v>
      </c>
      <c r="I32" s="387"/>
      <c r="J32" s="392"/>
      <c r="K32" s="218"/>
      <c r="L32" s="219"/>
    </row>
    <row r="33" spans="1:12" ht="14.25" customHeight="1" x14ac:dyDescent="0.2">
      <c r="A33" s="462"/>
      <c r="B33" s="388" t="s">
        <v>383</v>
      </c>
      <c r="C33" s="393" t="s">
        <v>40</v>
      </c>
      <c r="D33" s="387">
        <v>348</v>
      </c>
      <c r="E33" s="392" t="s">
        <v>3</v>
      </c>
      <c r="F33" s="387">
        <v>348</v>
      </c>
      <c r="G33" s="392">
        <f>F33</f>
        <v>348</v>
      </c>
      <c r="H33" s="457" t="s">
        <v>40</v>
      </c>
      <c r="I33" s="459">
        <v>348</v>
      </c>
      <c r="J33" s="459">
        <v>348</v>
      </c>
      <c r="K33" s="218"/>
      <c r="L33" s="219"/>
    </row>
    <row r="34" spans="1:12" ht="14.25" customHeight="1" x14ac:dyDescent="0.2">
      <c r="A34" s="462"/>
      <c r="B34" s="388" t="s">
        <v>335</v>
      </c>
      <c r="C34" s="469" t="s">
        <v>40</v>
      </c>
      <c r="D34" s="387">
        <v>348</v>
      </c>
      <c r="E34" s="392" t="s">
        <v>3</v>
      </c>
      <c r="F34" s="387">
        <v>348</v>
      </c>
      <c r="G34" s="392">
        <f>F34</f>
        <v>348</v>
      </c>
      <c r="H34" s="458"/>
      <c r="I34" s="458"/>
      <c r="J34" s="458"/>
      <c r="K34" s="218"/>
      <c r="L34" s="219"/>
    </row>
    <row r="35" spans="1:12" ht="39" customHeight="1" x14ac:dyDescent="0.2">
      <c r="A35" s="462"/>
      <c r="B35" s="388" t="s">
        <v>336</v>
      </c>
      <c r="C35" s="462"/>
      <c r="D35" s="387">
        <v>300</v>
      </c>
      <c r="E35" s="392">
        <v>113</v>
      </c>
      <c r="F35" s="387">
        <v>300</v>
      </c>
      <c r="G35" s="392">
        <v>113</v>
      </c>
      <c r="H35" s="391" t="s">
        <v>40</v>
      </c>
      <c r="I35" s="387">
        <v>300</v>
      </c>
      <c r="J35" s="392">
        <v>115</v>
      </c>
      <c r="K35" s="218"/>
      <c r="L35" s="220"/>
    </row>
    <row r="36" spans="1:12" ht="24" x14ac:dyDescent="0.2">
      <c r="A36" s="462"/>
      <c r="B36" s="388" t="s">
        <v>337</v>
      </c>
      <c r="C36" s="462"/>
      <c r="D36" s="387">
        <v>562</v>
      </c>
      <c r="E36" s="392">
        <v>562</v>
      </c>
      <c r="F36" s="387">
        <v>562</v>
      </c>
      <c r="G36" s="392">
        <v>562</v>
      </c>
      <c r="H36" s="391" t="s">
        <v>40</v>
      </c>
      <c r="I36" s="387">
        <v>562</v>
      </c>
      <c r="J36" s="392">
        <v>562</v>
      </c>
      <c r="K36" s="218"/>
      <c r="L36" s="219"/>
    </row>
    <row r="37" spans="1:12" ht="12.75" customHeight="1" x14ac:dyDescent="0.2">
      <c r="A37" s="462"/>
      <c r="B37" s="388" t="s">
        <v>338</v>
      </c>
      <c r="C37" s="393" t="s">
        <v>339</v>
      </c>
      <c r="D37" s="387">
        <v>6</v>
      </c>
      <c r="E37" s="392">
        <v>6</v>
      </c>
      <c r="F37" s="387">
        <v>8</v>
      </c>
      <c r="G37" s="392">
        <v>8</v>
      </c>
      <c r="H37" s="391" t="s">
        <v>213</v>
      </c>
      <c r="I37" s="387">
        <v>8</v>
      </c>
      <c r="J37" s="392">
        <v>8</v>
      </c>
      <c r="K37" s="218"/>
      <c r="L37" s="219"/>
    </row>
    <row r="38" spans="1:12" ht="12" customHeight="1" x14ac:dyDescent="0.2">
      <c r="A38" s="462"/>
      <c r="B38" s="394" t="s">
        <v>340</v>
      </c>
      <c r="C38" s="383" t="s">
        <v>23</v>
      </c>
      <c r="D38" s="387">
        <v>874</v>
      </c>
      <c r="E38" s="392">
        <v>260</v>
      </c>
      <c r="F38" s="387">
        <v>874</v>
      </c>
      <c r="G38" s="392">
        <v>260</v>
      </c>
      <c r="H38" s="391"/>
      <c r="I38" s="387"/>
      <c r="J38" s="392"/>
      <c r="K38" s="218"/>
      <c r="L38" s="219"/>
    </row>
    <row r="39" spans="1:12" ht="16.5" customHeight="1" x14ac:dyDescent="0.2">
      <c r="A39" s="462"/>
      <c r="B39" s="394" t="s">
        <v>384</v>
      </c>
      <c r="C39" s="383" t="s">
        <v>164</v>
      </c>
      <c r="D39" s="387">
        <v>1</v>
      </c>
      <c r="E39" s="392">
        <v>1</v>
      </c>
      <c r="F39" s="387">
        <v>1</v>
      </c>
      <c r="G39" s="392">
        <v>1</v>
      </c>
      <c r="H39" s="391"/>
      <c r="I39" s="387">
        <v>1</v>
      </c>
      <c r="J39" s="392">
        <v>1</v>
      </c>
      <c r="K39" s="218"/>
      <c r="L39" s="219"/>
    </row>
    <row r="40" spans="1:12" ht="24.75" customHeight="1" x14ac:dyDescent="0.2">
      <c r="A40" s="462"/>
      <c r="B40" s="394" t="s">
        <v>385</v>
      </c>
      <c r="C40" s="383" t="s">
        <v>164</v>
      </c>
      <c r="D40" s="387" t="s">
        <v>3</v>
      </c>
      <c r="E40" s="392" t="s">
        <v>3</v>
      </c>
      <c r="F40" s="387">
        <v>1</v>
      </c>
      <c r="G40" s="392">
        <v>1</v>
      </c>
      <c r="H40" s="391"/>
      <c r="I40" s="387">
        <v>1</v>
      </c>
      <c r="J40" s="392">
        <v>1</v>
      </c>
      <c r="K40" s="218"/>
      <c r="L40" s="219"/>
    </row>
    <row r="41" spans="1:12" ht="12.75" customHeight="1" x14ac:dyDescent="0.2">
      <c r="A41" s="462"/>
      <c r="B41" s="394" t="s">
        <v>341</v>
      </c>
      <c r="C41" s="383" t="s">
        <v>164</v>
      </c>
      <c r="D41" s="387"/>
      <c r="E41" s="392"/>
      <c r="F41" s="387">
        <v>1</v>
      </c>
      <c r="G41" s="392">
        <v>1</v>
      </c>
      <c r="H41" s="391" t="s">
        <v>213</v>
      </c>
      <c r="I41" s="387">
        <v>1</v>
      </c>
      <c r="J41" s="392">
        <v>1</v>
      </c>
      <c r="K41" s="218"/>
      <c r="L41" s="219"/>
    </row>
    <row r="42" spans="1:12" ht="13.5" customHeight="1" x14ac:dyDescent="0.2">
      <c r="A42" s="462"/>
      <c r="B42" s="394" t="s">
        <v>342</v>
      </c>
      <c r="C42" s="383" t="s">
        <v>40</v>
      </c>
      <c r="D42" s="387">
        <v>307</v>
      </c>
      <c r="E42" s="392">
        <v>307</v>
      </c>
      <c r="F42" s="387">
        <v>307</v>
      </c>
      <c r="G42" s="392">
        <v>307</v>
      </c>
      <c r="H42" s="391"/>
      <c r="I42" s="387"/>
      <c r="J42" s="392"/>
      <c r="K42" s="218"/>
      <c r="L42" s="219"/>
    </row>
    <row r="43" spans="1:12" ht="12.75" customHeight="1" x14ac:dyDescent="0.2">
      <c r="A43" s="462"/>
      <c r="B43" s="394" t="s">
        <v>343</v>
      </c>
      <c r="C43" s="383" t="s">
        <v>40</v>
      </c>
      <c r="D43" s="387">
        <v>435</v>
      </c>
      <c r="E43" s="392">
        <v>435</v>
      </c>
      <c r="F43" s="387">
        <v>435</v>
      </c>
      <c r="G43" s="392">
        <v>435</v>
      </c>
      <c r="H43" s="391"/>
      <c r="I43" s="387"/>
      <c r="J43" s="392"/>
      <c r="K43" s="218"/>
      <c r="L43" s="219"/>
    </row>
    <row r="44" spans="1:12" ht="13.5" customHeight="1" x14ac:dyDescent="0.2">
      <c r="A44" s="462"/>
      <c r="B44" s="394" t="s">
        <v>344</v>
      </c>
      <c r="C44" s="383" t="s">
        <v>40</v>
      </c>
      <c r="D44" s="387">
        <v>2</v>
      </c>
      <c r="E44" s="392">
        <v>2</v>
      </c>
      <c r="F44" s="387">
        <v>2</v>
      </c>
      <c r="G44" s="392">
        <v>2</v>
      </c>
      <c r="H44" s="391"/>
      <c r="I44" s="387"/>
      <c r="J44" s="392"/>
      <c r="K44" s="218"/>
      <c r="L44" s="219"/>
    </row>
    <row r="45" spans="1:12" ht="24.75" customHeight="1" x14ac:dyDescent="0.2">
      <c r="A45" s="462"/>
      <c r="B45" s="394" t="s">
        <v>345</v>
      </c>
      <c r="C45" s="383" t="s">
        <v>40</v>
      </c>
      <c r="D45" s="387">
        <v>30</v>
      </c>
      <c r="E45" s="392">
        <v>30</v>
      </c>
      <c r="F45" s="387">
        <v>30</v>
      </c>
      <c r="G45" s="392">
        <v>30</v>
      </c>
      <c r="H45" s="391"/>
      <c r="I45" s="387"/>
      <c r="J45" s="392"/>
      <c r="K45" s="218"/>
      <c r="L45" s="219"/>
    </row>
    <row r="46" spans="1:12" ht="16.5" customHeight="1" x14ac:dyDescent="0.2">
      <c r="A46" s="462"/>
      <c r="B46" s="394" t="s">
        <v>346</v>
      </c>
      <c r="C46" s="383" t="s">
        <v>40</v>
      </c>
      <c r="D46" s="387">
        <v>120</v>
      </c>
      <c r="E46" s="392">
        <v>120</v>
      </c>
      <c r="F46" s="387">
        <v>120</v>
      </c>
      <c r="G46" s="392">
        <v>120</v>
      </c>
      <c r="H46" s="391"/>
      <c r="I46" s="387"/>
      <c r="J46" s="392"/>
      <c r="K46" s="218"/>
      <c r="L46" s="219"/>
    </row>
    <row r="47" spans="1:12" ht="23.25" customHeight="1" x14ac:dyDescent="0.2">
      <c r="A47" s="462"/>
      <c r="B47" s="394" t="s">
        <v>347</v>
      </c>
      <c r="C47" s="383" t="s">
        <v>164</v>
      </c>
      <c r="D47" s="387">
        <v>4</v>
      </c>
      <c r="E47" s="392">
        <v>4</v>
      </c>
      <c r="F47" s="387">
        <v>1</v>
      </c>
      <c r="G47" s="392">
        <v>1</v>
      </c>
      <c r="H47" s="391" t="s">
        <v>213</v>
      </c>
      <c r="I47" s="387">
        <v>1</v>
      </c>
      <c r="J47" s="392">
        <v>1</v>
      </c>
      <c r="K47" s="218"/>
      <c r="L47" s="219"/>
    </row>
    <row r="48" spans="1:12" ht="16.5" customHeight="1" x14ac:dyDescent="0.2">
      <c r="A48" s="462"/>
      <c r="B48" s="394" t="s">
        <v>348</v>
      </c>
      <c r="C48" s="383" t="s">
        <v>164</v>
      </c>
      <c r="D48" s="387">
        <v>1</v>
      </c>
      <c r="E48" s="392">
        <v>1</v>
      </c>
      <c r="F48" s="387">
        <v>1</v>
      </c>
      <c r="G48" s="392">
        <v>1</v>
      </c>
      <c r="H48" s="391" t="s">
        <v>213</v>
      </c>
      <c r="I48" s="387">
        <v>1</v>
      </c>
      <c r="J48" s="392">
        <v>1</v>
      </c>
      <c r="K48" s="218"/>
      <c r="L48" s="219"/>
    </row>
    <row r="49" spans="1:12" ht="14.25" customHeight="1" x14ac:dyDescent="0.2">
      <c r="A49" s="462"/>
      <c r="B49" s="394" t="s">
        <v>349</v>
      </c>
      <c r="C49" s="383" t="s">
        <v>40</v>
      </c>
      <c r="D49" s="387">
        <v>9</v>
      </c>
      <c r="E49" s="392">
        <v>9</v>
      </c>
      <c r="F49" s="387">
        <v>9</v>
      </c>
      <c r="G49" s="392">
        <v>9</v>
      </c>
      <c r="H49" s="391"/>
      <c r="I49" s="387"/>
      <c r="J49" s="392"/>
      <c r="K49" s="218"/>
      <c r="L49" s="219"/>
    </row>
    <row r="50" spans="1:12" ht="12.75" customHeight="1" x14ac:dyDescent="0.2">
      <c r="A50" s="462"/>
      <c r="B50" s="394" t="s">
        <v>350</v>
      </c>
      <c r="C50" s="383" t="s">
        <v>40</v>
      </c>
      <c r="D50" s="387">
        <v>30</v>
      </c>
      <c r="E50" s="392">
        <v>30</v>
      </c>
      <c r="F50" s="387">
        <v>30</v>
      </c>
      <c r="G50" s="392">
        <v>30</v>
      </c>
      <c r="H50" s="391"/>
      <c r="I50" s="387"/>
      <c r="J50" s="392"/>
      <c r="K50" s="218"/>
      <c r="L50" s="219"/>
    </row>
    <row r="51" spans="1:12" ht="15.75" customHeight="1" x14ac:dyDescent="0.2">
      <c r="A51" s="462"/>
      <c r="B51" s="394" t="s">
        <v>351</v>
      </c>
      <c r="C51" s="383" t="s">
        <v>23</v>
      </c>
      <c r="D51" s="387">
        <v>10</v>
      </c>
      <c r="E51" s="392">
        <v>10</v>
      </c>
      <c r="F51" s="387">
        <v>10</v>
      </c>
      <c r="G51" s="392">
        <v>10</v>
      </c>
      <c r="H51" s="391"/>
      <c r="I51" s="387"/>
      <c r="J51" s="392"/>
      <c r="K51" s="218"/>
      <c r="L51" s="219"/>
    </row>
    <row r="52" spans="1:12" ht="13.5" customHeight="1" x14ac:dyDescent="0.2">
      <c r="A52" s="462"/>
      <c r="B52" s="394" t="s">
        <v>352</v>
      </c>
      <c r="C52" s="383" t="s">
        <v>23</v>
      </c>
      <c r="D52" s="387">
        <v>39</v>
      </c>
      <c r="E52" s="392">
        <v>39</v>
      </c>
      <c r="F52" s="387">
        <v>39</v>
      </c>
      <c r="G52" s="392">
        <v>39</v>
      </c>
      <c r="H52" s="391"/>
      <c r="I52" s="387"/>
      <c r="J52" s="392"/>
      <c r="K52" s="218"/>
      <c r="L52" s="219"/>
    </row>
    <row r="53" spans="1:12" ht="13.5" customHeight="1" x14ac:dyDescent="0.2">
      <c r="A53" s="462"/>
      <c r="B53" s="394" t="s">
        <v>353</v>
      </c>
      <c r="C53" s="383" t="s">
        <v>23</v>
      </c>
      <c r="D53" s="387">
        <v>180</v>
      </c>
      <c r="E53" s="392">
        <v>180</v>
      </c>
      <c r="F53" s="387">
        <v>180</v>
      </c>
      <c r="G53" s="392">
        <v>180</v>
      </c>
      <c r="H53" s="391"/>
      <c r="I53" s="387"/>
      <c r="J53" s="392"/>
      <c r="K53" s="218"/>
      <c r="L53" s="219"/>
    </row>
    <row r="54" spans="1:12" ht="12.75" customHeight="1" x14ac:dyDescent="0.2">
      <c r="A54" s="462"/>
      <c r="B54" s="394" t="s">
        <v>354</v>
      </c>
      <c r="C54" s="383" t="s">
        <v>23</v>
      </c>
      <c r="D54" s="387">
        <v>20</v>
      </c>
      <c r="E54" s="392">
        <v>20</v>
      </c>
      <c r="F54" s="387">
        <v>20</v>
      </c>
      <c r="G54" s="392">
        <v>20</v>
      </c>
      <c r="H54" s="391"/>
      <c r="I54" s="387"/>
      <c r="J54" s="392"/>
      <c r="K54" s="218"/>
      <c r="L54" s="219"/>
    </row>
    <row r="55" spans="1:12" ht="14.25" customHeight="1" x14ac:dyDescent="0.2">
      <c r="A55" s="462"/>
      <c r="B55" s="394" t="s">
        <v>355</v>
      </c>
      <c r="C55" s="383" t="s">
        <v>213</v>
      </c>
      <c r="D55" s="387">
        <v>1</v>
      </c>
      <c r="E55" s="392">
        <v>1</v>
      </c>
      <c r="F55" s="387">
        <v>3</v>
      </c>
      <c r="G55" s="392">
        <v>1</v>
      </c>
      <c r="H55" s="391" t="s">
        <v>213</v>
      </c>
      <c r="I55" s="387">
        <v>3</v>
      </c>
      <c r="J55" s="392">
        <v>1</v>
      </c>
      <c r="K55" s="218"/>
      <c r="L55" s="219"/>
    </row>
    <row r="56" spans="1:12" ht="23.25" customHeight="1" x14ac:dyDescent="0.2">
      <c r="A56" s="462"/>
      <c r="B56" s="394" t="s">
        <v>496</v>
      </c>
      <c r="C56" s="383" t="s">
        <v>164</v>
      </c>
      <c r="D56" s="387" t="s">
        <v>3</v>
      </c>
      <c r="E56" s="392" t="s">
        <v>3</v>
      </c>
      <c r="F56" s="387">
        <v>1</v>
      </c>
      <c r="G56" s="392">
        <v>1</v>
      </c>
      <c r="H56" s="391" t="s">
        <v>213</v>
      </c>
      <c r="I56" s="387">
        <v>1</v>
      </c>
      <c r="J56" s="392">
        <v>1</v>
      </c>
      <c r="K56" s="218"/>
      <c r="L56" s="219"/>
    </row>
    <row r="57" spans="1:12" ht="14.25" customHeight="1" x14ac:dyDescent="0.2">
      <c r="A57" s="462"/>
      <c r="B57" s="394" t="s">
        <v>356</v>
      </c>
      <c r="C57" s="383" t="s">
        <v>40</v>
      </c>
      <c r="D57" s="387">
        <v>1</v>
      </c>
      <c r="E57" s="392">
        <v>1</v>
      </c>
      <c r="F57" s="387">
        <v>1</v>
      </c>
      <c r="G57" s="392">
        <v>1</v>
      </c>
      <c r="H57" s="391" t="s">
        <v>213</v>
      </c>
      <c r="I57" s="387">
        <v>1</v>
      </c>
      <c r="J57" s="392">
        <v>1</v>
      </c>
      <c r="K57" s="218"/>
      <c r="L57" s="219"/>
    </row>
    <row r="58" spans="1:12" ht="23.25" customHeight="1" x14ac:dyDescent="0.2">
      <c r="A58" s="462"/>
      <c r="B58" s="394" t="s">
        <v>386</v>
      </c>
      <c r="C58" s="383" t="s">
        <v>164</v>
      </c>
      <c r="D58" s="387">
        <v>1</v>
      </c>
      <c r="E58" s="392">
        <v>1</v>
      </c>
      <c r="F58" s="387" t="s">
        <v>3</v>
      </c>
      <c r="G58" s="392" t="s">
        <v>3</v>
      </c>
      <c r="H58" s="391"/>
      <c r="I58" s="387" t="s">
        <v>3</v>
      </c>
      <c r="J58" s="392" t="s">
        <v>3</v>
      </c>
      <c r="K58" s="218"/>
      <c r="L58" s="219"/>
    </row>
    <row r="59" spans="1:12" ht="25.5" customHeight="1" x14ac:dyDescent="0.2">
      <c r="A59" s="462"/>
      <c r="B59" s="385" t="s">
        <v>357</v>
      </c>
      <c r="C59" s="383" t="s">
        <v>213</v>
      </c>
      <c r="D59" s="387">
        <v>6</v>
      </c>
      <c r="E59" s="392">
        <v>6</v>
      </c>
      <c r="F59" s="387">
        <v>6</v>
      </c>
      <c r="G59" s="392">
        <v>6</v>
      </c>
      <c r="H59" s="391" t="s">
        <v>213</v>
      </c>
      <c r="I59" s="387">
        <v>6</v>
      </c>
      <c r="J59" s="392">
        <v>6</v>
      </c>
      <c r="K59" s="218"/>
      <c r="L59" s="219"/>
    </row>
    <row r="60" spans="1:12" ht="27" customHeight="1" x14ac:dyDescent="0.2">
      <c r="A60" s="395">
        <v>2</v>
      </c>
      <c r="B60" s="382" t="s">
        <v>358</v>
      </c>
      <c r="C60" s="383" t="s">
        <v>23</v>
      </c>
      <c r="D60" s="387">
        <v>2190630</v>
      </c>
      <c r="E60" s="392">
        <f>D60</f>
        <v>2190630</v>
      </c>
      <c r="F60" s="387">
        <v>2202469</v>
      </c>
      <c r="G60" s="392">
        <f>F60</f>
        <v>2202469</v>
      </c>
      <c r="H60" s="391" t="s">
        <v>23</v>
      </c>
      <c r="I60" s="387">
        <v>2202469</v>
      </c>
      <c r="J60" s="392">
        <v>2202469</v>
      </c>
      <c r="K60" s="221"/>
      <c r="L60" s="219"/>
    </row>
    <row r="61" spans="1:12" ht="60" x14ac:dyDescent="0.2">
      <c r="A61" s="379">
        <v>3</v>
      </c>
      <c r="B61" s="382" t="s">
        <v>301</v>
      </c>
      <c r="C61" s="383" t="s">
        <v>278</v>
      </c>
      <c r="D61" s="387">
        <v>40</v>
      </c>
      <c r="E61" s="392">
        <v>40</v>
      </c>
      <c r="F61" s="387">
        <v>40</v>
      </c>
      <c r="G61" s="392">
        <v>40</v>
      </c>
      <c r="H61" s="391" t="s">
        <v>278</v>
      </c>
      <c r="I61" s="396">
        <v>40</v>
      </c>
      <c r="J61" s="392">
        <v>40</v>
      </c>
      <c r="K61" s="218"/>
      <c r="L61" s="219"/>
    </row>
    <row r="62" spans="1:12" ht="69.75" customHeight="1" x14ac:dyDescent="0.2">
      <c r="A62" s="397">
        <v>4</v>
      </c>
      <c r="B62" s="382" t="s">
        <v>302</v>
      </c>
      <c r="C62" s="383" t="s">
        <v>278</v>
      </c>
      <c r="D62" s="396">
        <v>180</v>
      </c>
      <c r="E62" s="392">
        <v>180</v>
      </c>
      <c r="F62" s="396">
        <v>180</v>
      </c>
      <c r="G62" s="392">
        <v>180</v>
      </c>
      <c r="H62" s="398" t="s">
        <v>278</v>
      </c>
      <c r="I62" s="396">
        <v>180</v>
      </c>
      <c r="J62" s="396">
        <v>180</v>
      </c>
      <c r="K62" s="219"/>
      <c r="L62" s="219"/>
    </row>
    <row r="63" spans="1:12" ht="102.75" customHeight="1" x14ac:dyDescent="0.2">
      <c r="A63" s="397">
        <v>5</v>
      </c>
      <c r="B63" s="382" t="s">
        <v>497</v>
      </c>
      <c r="C63" s="383" t="s">
        <v>290</v>
      </c>
      <c r="D63" s="396">
        <v>1728</v>
      </c>
      <c r="E63" s="396">
        <v>1728</v>
      </c>
      <c r="F63" s="396">
        <v>1728</v>
      </c>
      <c r="G63" s="396">
        <v>1728</v>
      </c>
      <c r="H63" s="381" t="s">
        <v>498</v>
      </c>
      <c r="I63" s="396">
        <v>1728</v>
      </c>
      <c r="J63" s="396">
        <v>1728</v>
      </c>
    </row>
    <row r="65" spans="6:9" x14ac:dyDescent="0.2">
      <c r="I65" s="399"/>
    </row>
    <row r="66" spans="6:9" x14ac:dyDescent="0.2">
      <c r="F66" s="400"/>
    </row>
  </sheetData>
  <mergeCells count="20">
    <mergeCell ref="A8:A59"/>
    <mergeCell ref="C34:C36"/>
    <mergeCell ref="A3:G3"/>
    <mergeCell ref="A5:A7"/>
    <mergeCell ref="B5:B7"/>
    <mergeCell ref="C5:C7"/>
    <mergeCell ref="D5:G5"/>
    <mergeCell ref="D6:E6"/>
    <mergeCell ref="F6:G6"/>
    <mergeCell ref="H33:H34"/>
    <mergeCell ref="I33:I34"/>
    <mergeCell ref="J33:J34"/>
    <mergeCell ref="I6:J6"/>
    <mergeCell ref="H10:H27"/>
    <mergeCell ref="I10:I17"/>
    <mergeCell ref="J10:J17"/>
    <mergeCell ref="I18:I22"/>
    <mergeCell ref="J18:J22"/>
    <mergeCell ref="I26:I27"/>
    <mergeCell ref="J26:J2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1"/>
  <sheetViews>
    <sheetView zoomScale="75" zoomScaleNormal="75" workbookViewId="0">
      <selection activeCell="C182" sqref="C182"/>
    </sheetView>
  </sheetViews>
  <sheetFormatPr defaultRowHeight="15" x14ac:dyDescent="0.25"/>
  <cols>
    <col min="1" max="1" width="10.85546875" customWidth="1"/>
    <col min="2" max="2" width="74" customWidth="1"/>
    <col min="3" max="3" width="10.5703125" customWidth="1"/>
    <col min="4" max="4" width="13.140625" customWidth="1"/>
    <col min="5" max="5" width="13.5703125" customWidth="1"/>
    <col min="6" max="6" width="12.85546875" customWidth="1"/>
    <col min="7" max="7" width="19.5703125" customWidth="1"/>
    <col min="9" max="9" width="8.140625" style="208" customWidth="1"/>
    <col min="10" max="10" width="16.42578125" style="207" customWidth="1"/>
    <col min="11" max="11" width="15.42578125" style="208" customWidth="1"/>
    <col min="12" max="12" width="20.28515625" style="208" customWidth="1"/>
    <col min="13" max="13" width="16" customWidth="1"/>
    <col min="15" max="15" width="16.28515625" bestFit="1" customWidth="1"/>
    <col min="16" max="16" width="10.7109375" bestFit="1" customWidth="1"/>
    <col min="17" max="17" width="11" customWidth="1"/>
    <col min="18" max="18" width="10.5703125" customWidth="1"/>
    <col min="19" max="19" width="10.7109375" customWidth="1"/>
  </cols>
  <sheetData>
    <row r="1" spans="1:16" s="1" customFormat="1" ht="18.75" x14ac:dyDescent="0.3">
      <c r="A1" s="451" t="s">
        <v>7</v>
      </c>
      <c r="B1" s="451"/>
      <c r="C1" s="451"/>
      <c r="D1" s="451"/>
      <c r="E1" s="451"/>
      <c r="F1" s="451"/>
      <c r="G1" s="451"/>
      <c r="H1" s="451"/>
      <c r="I1" s="10"/>
      <c r="J1" s="11"/>
      <c r="K1" s="10"/>
      <c r="L1" s="10"/>
    </row>
    <row r="2" spans="1:16" s="1" customFormat="1" ht="18.75" x14ac:dyDescent="0.3">
      <c r="A2" s="451" t="s">
        <v>359</v>
      </c>
      <c r="B2" s="451"/>
      <c r="C2" s="451"/>
      <c r="D2" s="451"/>
      <c r="E2" s="451"/>
      <c r="F2" s="451"/>
      <c r="G2" s="451"/>
      <c r="H2" s="12"/>
      <c r="I2" s="10"/>
      <c r="J2" s="11"/>
      <c r="K2" s="10"/>
      <c r="L2" s="10"/>
    </row>
    <row r="3" spans="1:16" s="1" customFormat="1" ht="15.75" x14ac:dyDescent="0.25">
      <c r="G3" s="13"/>
      <c r="H3" s="13" t="s">
        <v>360</v>
      </c>
      <c r="I3" s="10"/>
      <c r="J3" s="11"/>
      <c r="K3" s="10"/>
      <c r="L3" s="10"/>
    </row>
    <row r="4" spans="1:16" s="1" customFormat="1" ht="76.5" customHeight="1" x14ac:dyDescent="0.25">
      <c r="A4" s="2" t="s">
        <v>9</v>
      </c>
      <c r="B4" s="14" t="s">
        <v>10</v>
      </c>
      <c r="C4" s="14" t="s">
        <v>11</v>
      </c>
      <c r="D4" s="14" t="s">
        <v>12</v>
      </c>
      <c r="E4" s="14" t="s">
        <v>13</v>
      </c>
      <c r="F4" s="14" t="s">
        <v>14</v>
      </c>
      <c r="G4" s="14" t="s">
        <v>15</v>
      </c>
      <c r="H4" s="14" t="s">
        <v>16</v>
      </c>
      <c r="I4" s="10"/>
      <c r="J4" s="268" t="s">
        <v>409</v>
      </c>
      <c r="K4" s="268" t="s">
        <v>410</v>
      </c>
      <c r="L4" s="262" t="s">
        <v>408</v>
      </c>
      <c r="M4" s="262" t="s">
        <v>421</v>
      </c>
    </row>
    <row r="5" spans="1:16" s="1" customFormat="1" ht="15.75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0"/>
      <c r="J5" s="11">
        <f>J9+J21+J140+J147+J162+J164+J168+J169+J170+J185+J187+J201+J232</f>
        <v>155060195.47525001</v>
      </c>
      <c r="K5" s="11">
        <v>2104</v>
      </c>
      <c r="L5" s="292">
        <f t="shared" ref="L5:M5" si="0">L9+L21+L140+L147+L162+L164+L168+L169+L170+L185+L187+L201+L232</f>
        <v>157164202.6158478</v>
      </c>
      <c r="M5" s="11">
        <f t="shared" si="0"/>
        <v>157164</v>
      </c>
      <c r="O5" s="1">
        <v>155060</v>
      </c>
      <c r="P5" s="1">
        <v>100</v>
      </c>
    </row>
    <row r="6" spans="1:16" s="1" customFormat="1" ht="15.75" x14ac:dyDescent="0.25">
      <c r="A6" s="15"/>
      <c r="B6" s="16" t="s">
        <v>18</v>
      </c>
      <c r="C6" s="15"/>
      <c r="D6" s="15"/>
      <c r="E6" s="15"/>
      <c r="F6" s="15"/>
      <c r="G6" s="17">
        <f>G7+G182+G275+G277+G281</f>
        <v>159083945.20524999</v>
      </c>
      <c r="H6" s="15"/>
      <c r="I6" s="18"/>
      <c r="J6" s="19">
        <f>J5+2104000</f>
        <v>157164195.47525001</v>
      </c>
      <c r="K6" s="18"/>
      <c r="L6" s="293"/>
      <c r="N6" s="1">
        <f>157186-157164</f>
        <v>22</v>
      </c>
      <c r="O6" s="1">
        <f>2126-22</f>
        <v>2104</v>
      </c>
      <c r="P6" s="1">
        <f>O6*P5/O5</f>
        <v>1.3568941055075454</v>
      </c>
    </row>
    <row r="7" spans="1:16" s="1" customFormat="1" ht="15.75" customHeight="1" x14ac:dyDescent="0.25">
      <c r="A7" s="20">
        <v>1</v>
      </c>
      <c r="B7" s="21" t="s">
        <v>2</v>
      </c>
      <c r="C7" s="14"/>
      <c r="D7" s="22"/>
      <c r="E7" s="23"/>
      <c r="F7" s="22"/>
      <c r="G7" s="24">
        <f>G8+G152+G161+G181</f>
        <v>72176173.185250014</v>
      </c>
      <c r="H7" s="15"/>
      <c r="I7" s="25"/>
      <c r="J7" s="26"/>
      <c r="K7" s="26"/>
      <c r="L7" s="178"/>
    </row>
    <row r="8" spans="1:16" s="1" customFormat="1" ht="15.75" customHeight="1" x14ac:dyDescent="0.25">
      <c r="A8" s="27" t="s">
        <v>19</v>
      </c>
      <c r="B8" s="21" t="s">
        <v>20</v>
      </c>
      <c r="C8" s="14"/>
      <c r="D8" s="22"/>
      <c r="E8" s="23"/>
      <c r="F8" s="22"/>
      <c r="G8" s="24">
        <f>G9+G21+G39+G41+G51+G79+G136+G140+G143+G147+G148</f>
        <v>59933241.840000011</v>
      </c>
      <c r="H8" s="15"/>
      <c r="I8" s="25"/>
      <c r="J8" s="26"/>
      <c r="K8" s="26"/>
      <c r="L8" s="178"/>
      <c r="O8" s="10"/>
    </row>
    <row r="9" spans="1:16" s="1" customFormat="1" ht="15.75" x14ac:dyDescent="0.25">
      <c r="A9" s="27" t="s">
        <v>21</v>
      </c>
      <c r="B9" s="21" t="s">
        <v>22</v>
      </c>
      <c r="C9" s="28" t="s">
        <v>23</v>
      </c>
      <c r="D9" s="29">
        <f>D10+D12+D14+D15+D17+D18+D19</f>
        <v>1887595</v>
      </c>
      <c r="E9" s="14"/>
      <c r="F9" s="30"/>
      <c r="G9" s="31">
        <f>SUM(G10:G20)</f>
        <v>15197897.370000001</v>
      </c>
      <c r="H9" s="15"/>
      <c r="I9" s="474" t="s">
        <v>169</v>
      </c>
      <c r="J9" s="26">
        <f>G9+G121+G195+G227+G228+G230+G231-G128-G129-G130</f>
        <v>46017751.940000005</v>
      </c>
      <c r="K9" s="294">
        <v>1.356897</v>
      </c>
      <c r="L9" s="178">
        <f>J9+(J9*K9/100)</f>
        <v>46642165.435541309</v>
      </c>
      <c r="M9" s="1">
        <v>46642</v>
      </c>
    </row>
    <row r="10" spans="1:16" s="1" customFormat="1" ht="21.75" customHeight="1" x14ac:dyDescent="0.25">
      <c r="A10" s="27"/>
      <c r="B10" s="32" t="s">
        <v>24</v>
      </c>
      <c r="C10" s="14" t="s">
        <v>23</v>
      </c>
      <c r="D10" s="33">
        <v>250420</v>
      </c>
      <c r="E10" s="34">
        <v>3.5</v>
      </c>
      <c r="F10" s="30">
        <v>1</v>
      </c>
      <c r="G10" s="35">
        <f>ROUND((D10*E10*F10),2)</f>
        <v>876470</v>
      </c>
      <c r="H10" s="15">
        <v>53</v>
      </c>
      <c r="I10" s="474"/>
      <c r="J10" s="26">
        <f>D9+D122+D124+D125+D126+D127+D195+D227+D228+D230</f>
        <v>3388007.45</v>
      </c>
      <c r="K10" s="294" t="s">
        <v>23</v>
      </c>
      <c r="L10" s="178"/>
    </row>
    <row r="11" spans="1:16" s="1" customFormat="1" ht="21.75" customHeight="1" x14ac:dyDescent="0.25">
      <c r="A11" s="27"/>
      <c r="B11" s="32" t="s">
        <v>25</v>
      </c>
      <c r="C11" s="14" t="s">
        <v>23</v>
      </c>
      <c r="D11" s="33">
        <v>390619</v>
      </c>
      <c r="E11" s="34">
        <v>0.91</v>
      </c>
      <c r="F11" s="30">
        <v>1</v>
      </c>
      <c r="G11" s="35">
        <f t="shared" ref="G11:G20" si="1">ROUND((D11*E11*F11),2)</f>
        <v>355463.29</v>
      </c>
      <c r="H11" s="15">
        <v>55</v>
      </c>
      <c r="I11" s="474"/>
      <c r="J11" s="26"/>
      <c r="K11" s="326"/>
      <c r="L11" s="327"/>
    </row>
    <row r="12" spans="1:16" s="1" customFormat="1" ht="36.75" customHeight="1" x14ac:dyDescent="0.25">
      <c r="A12" s="27"/>
      <c r="B12" s="36" t="s">
        <v>361</v>
      </c>
      <c r="C12" s="37" t="s">
        <v>23</v>
      </c>
      <c r="D12" s="38">
        <v>488269</v>
      </c>
      <c r="E12" s="39">
        <v>3.5</v>
      </c>
      <c r="F12" s="40">
        <v>1</v>
      </c>
      <c r="G12" s="41">
        <f t="shared" si="1"/>
        <v>1708941.5</v>
      </c>
      <c r="H12" s="42">
        <v>53</v>
      </c>
      <c r="I12" s="474"/>
      <c r="J12" s="26"/>
      <c r="K12" s="326"/>
      <c r="L12" s="327"/>
    </row>
    <row r="13" spans="1:16" s="1" customFormat="1" ht="33" customHeight="1" x14ac:dyDescent="0.25">
      <c r="A13" s="27"/>
      <c r="B13" s="36" t="s">
        <v>27</v>
      </c>
      <c r="C13" s="37" t="s">
        <v>23</v>
      </c>
      <c r="D13" s="38">
        <f>D12</f>
        <v>488269</v>
      </c>
      <c r="E13" s="39">
        <v>0.91</v>
      </c>
      <c r="F13" s="40">
        <v>1</v>
      </c>
      <c r="G13" s="41">
        <f t="shared" si="1"/>
        <v>444324.79</v>
      </c>
      <c r="H13" s="42">
        <v>55</v>
      </c>
      <c r="I13" s="474"/>
      <c r="J13" s="26"/>
      <c r="K13" s="326"/>
      <c r="L13" s="327"/>
    </row>
    <row r="14" spans="1:16" s="1" customFormat="1" ht="22.5" customHeight="1" x14ac:dyDescent="0.25">
      <c r="A14" s="27"/>
      <c r="B14" s="32" t="s">
        <v>28</v>
      </c>
      <c r="C14" s="14" t="s">
        <v>23</v>
      </c>
      <c r="D14" s="33">
        <f>140199+45732</f>
        <v>185931</v>
      </c>
      <c r="E14" s="34">
        <f>E10</f>
        <v>3.5</v>
      </c>
      <c r="F14" s="30">
        <v>2</v>
      </c>
      <c r="G14" s="35">
        <f t="shared" si="1"/>
        <v>1301517</v>
      </c>
      <c r="H14" s="15">
        <v>53</v>
      </c>
      <c r="I14" s="474"/>
      <c r="J14" s="26"/>
      <c r="K14" s="326"/>
      <c r="L14" s="327"/>
    </row>
    <row r="15" spans="1:16" s="1" customFormat="1" ht="21" customHeight="1" x14ac:dyDescent="0.25">
      <c r="A15" s="27"/>
      <c r="B15" s="32" t="s">
        <v>29</v>
      </c>
      <c r="C15" s="14" t="s">
        <v>23</v>
      </c>
      <c r="D15" s="33">
        <v>274212</v>
      </c>
      <c r="E15" s="43">
        <v>5.92</v>
      </c>
      <c r="F15" s="30">
        <v>1</v>
      </c>
      <c r="G15" s="35">
        <f t="shared" si="1"/>
        <v>1623335.04</v>
      </c>
      <c r="H15" s="15">
        <v>54</v>
      </c>
      <c r="I15" s="474"/>
      <c r="J15" s="26"/>
      <c r="K15" s="326"/>
      <c r="L15" s="327"/>
    </row>
    <row r="16" spans="1:16" s="1" customFormat="1" ht="21.75" customHeight="1" x14ac:dyDescent="0.25">
      <c r="A16" s="27"/>
      <c r="B16" s="32" t="s">
        <v>30</v>
      </c>
      <c r="C16" s="14" t="s">
        <v>23</v>
      </c>
      <c r="D16" s="33">
        <v>424031</v>
      </c>
      <c r="E16" s="43">
        <v>3.61</v>
      </c>
      <c r="F16" s="30">
        <v>1</v>
      </c>
      <c r="G16" s="35">
        <f t="shared" si="1"/>
        <v>1530751.91</v>
      </c>
      <c r="H16" s="15" t="s">
        <v>31</v>
      </c>
      <c r="I16" s="474"/>
      <c r="J16" s="26"/>
      <c r="K16" s="326"/>
      <c r="L16" s="327"/>
    </row>
    <row r="17" spans="1:13" s="1" customFormat="1" ht="23.25" customHeight="1" x14ac:dyDescent="0.25">
      <c r="A17" s="27"/>
      <c r="B17" s="32" t="s">
        <v>32</v>
      </c>
      <c r="C17" s="14" t="s">
        <v>23</v>
      </c>
      <c r="D17" s="33">
        <f>251504+30708</f>
        <v>282212</v>
      </c>
      <c r="E17" s="43">
        <f>E15</f>
        <v>5.92</v>
      </c>
      <c r="F17" s="30">
        <v>2</v>
      </c>
      <c r="G17" s="35">
        <f t="shared" si="1"/>
        <v>3341390.08</v>
      </c>
      <c r="H17" s="15">
        <v>54</v>
      </c>
      <c r="I17" s="474"/>
      <c r="J17" s="26"/>
      <c r="K17" s="326"/>
      <c r="L17" s="327"/>
    </row>
    <row r="18" spans="1:13" s="1" customFormat="1" ht="20.25" customHeight="1" x14ac:dyDescent="0.25">
      <c r="A18" s="27"/>
      <c r="B18" s="32" t="s">
        <v>33</v>
      </c>
      <c r="C18" s="14" t="s">
        <v>23</v>
      </c>
      <c r="D18" s="33">
        <v>7039</v>
      </c>
      <c r="E18" s="43">
        <f>E17</f>
        <v>5.92</v>
      </c>
      <c r="F18" s="30">
        <v>5</v>
      </c>
      <c r="G18" s="35">
        <f t="shared" si="1"/>
        <v>208354.4</v>
      </c>
      <c r="H18" s="15">
        <v>54</v>
      </c>
      <c r="I18" s="474"/>
      <c r="J18" s="26"/>
      <c r="K18" s="326"/>
      <c r="L18" s="327"/>
    </row>
    <row r="19" spans="1:13" s="1" customFormat="1" ht="34.5" customHeight="1" x14ac:dyDescent="0.25">
      <c r="A19" s="27"/>
      <c r="B19" s="36" t="s">
        <v>362</v>
      </c>
      <c r="C19" s="37" t="s">
        <v>23</v>
      </c>
      <c r="D19" s="38">
        <v>399512</v>
      </c>
      <c r="E19" s="39">
        <v>5.92</v>
      </c>
      <c r="F19" s="40">
        <v>1</v>
      </c>
      <c r="G19" s="41">
        <f t="shared" si="1"/>
        <v>2365111.04</v>
      </c>
      <c r="H19" s="42">
        <v>54</v>
      </c>
      <c r="I19" s="474"/>
      <c r="J19" s="26"/>
      <c r="K19" s="326"/>
      <c r="L19" s="327"/>
    </row>
    <row r="20" spans="1:13" s="1" customFormat="1" ht="34.5" customHeight="1" x14ac:dyDescent="0.25">
      <c r="A20" s="27"/>
      <c r="B20" s="36" t="s">
        <v>35</v>
      </c>
      <c r="C20" s="37" t="s">
        <v>23</v>
      </c>
      <c r="D20" s="38">
        <f>D19</f>
        <v>399512</v>
      </c>
      <c r="E20" s="39">
        <v>3.61</v>
      </c>
      <c r="F20" s="40">
        <v>1</v>
      </c>
      <c r="G20" s="41">
        <f t="shared" si="1"/>
        <v>1442238.32</v>
      </c>
      <c r="H20" s="42" t="s">
        <v>31</v>
      </c>
      <c r="I20" s="475"/>
      <c r="J20" s="26"/>
      <c r="K20" s="326"/>
      <c r="L20" s="327"/>
    </row>
    <row r="21" spans="1:13" s="1" customFormat="1" ht="18" customHeight="1" x14ac:dyDescent="0.25">
      <c r="A21" s="27" t="s">
        <v>36</v>
      </c>
      <c r="B21" s="21" t="s">
        <v>37</v>
      </c>
      <c r="C21" s="14"/>
      <c r="D21" s="14"/>
      <c r="E21" s="2"/>
      <c r="F21" s="14"/>
      <c r="G21" s="31">
        <f>G22+G29+G36</f>
        <v>2046896.2000000002</v>
      </c>
      <c r="H21" s="15"/>
      <c r="I21" s="476" t="s">
        <v>211</v>
      </c>
      <c r="J21" s="26">
        <f>G21+G39+G41+G51+G80+G101+G108+G131+G136+G148+G152+G128+G129+G130</f>
        <v>24584193.679999992</v>
      </c>
      <c r="K21" s="294">
        <v>1.356897</v>
      </c>
      <c r="L21" s="178">
        <f t="shared" ref="L21" si="2">J21+(J21*K21/100)</f>
        <v>24917775.866518103</v>
      </c>
      <c r="M21" s="1">
        <v>24918</v>
      </c>
    </row>
    <row r="22" spans="1:13" s="1" customFormat="1" ht="18" customHeight="1" x14ac:dyDescent="0.25">
      <c r="A22" s="27" t="s">
        <v>38</v>
      </c>
      <c r="B22" s="44" t="s">
        <v>39</v>
      </c>
      <c r="C22" s="45" t="s">
        <v>40</v>
      </c>
      <c r="D22" s="29">
        <f>D23</f>
        <v>1251</v>
      </c>
      <c r="E22" s="2"/>
      <c r="F22" s="29"/>
      <c r="G22" s="31">
        <f>SUM(G23:G28)</f>
        <v>1497854.07</v>
      </c>
      <c r="H22" s="15"/>
      <c r="I22" s="477"/>
      <c r="J22" s="26">
        <f>D22+D29+D80+D101</f>
        <v>6134</v>
      </c>
      <c r="K22" s="294" t="s">
        <v>104</v>
      </c>
      <c r="L22" s="178"/>
    </row>
    <row r="23" spans="1:13" s="1" customFormat="1" ht="18" customHeight="1" x14ac:dyDescent="0.25">
      <c r="A23" s="27"/>
      <c r="B23" s="46" t="s">
        <v>41</v>
      </c>
      <c r="C23" s="14" t="s">
        <v>40</v>
      </c>
      <c r="D23" s="33">
        <f>1062+189</f>
        <v>1251</v>
      </c>
      <c r="E23" s="43">
        <v>47.37</v>
      </c>
      <c r="F23" s="14">
        <v>1</v>
      </c>
      <c r="G23" s="47">
        <f t="shared" ref="G23:G28" si="3">ROUND((D23*E23*F23),2)</f>
        <v>59259.87</v>
      </c>
      <c r="H23" s="15">
        <v>56</v>
      </c>
      <c r="I23" s="477"/>
      <c r="J23" s="26">
        <f>D36+D41+D108</f>
        <v>33195</v>
      </c>
      <c r="K23" s="294" t="s">
        <v>54</v>
      </c>
      <c r="L23" s="178"/>
    </row>
    <row r="24" spans="1:13" s="1" customFormat="1" ht="18" customHeight="1" x14ac:dyDescent="0.25">
      <c r="A24" s="27"/>
      <c r="B24" s="46" t="s">
        <v>42</v>
      </c>
      <c r="C24" s="14" t="s">
        <v>40</v>
      </c>
      <c r="D24" s="33">
        <v>918</v>
      </c>
      <c r="E24" s="43">
        <v>135.19999999999999</v>
      </c>
      <c r="F24" s="30">
        <v>6</v>
      </c>
      <c r="G24" s="47">
        <f t="shared" si="3"/>
        <v>744681.6</v>
      </c>
      <c r="H24" s="15">
        <v>59</v>
      </c>
      <c r="I24" s="477"/>
      <c r="J24" s="26">
        <v>1682</v>
      </c>
      <c r="K24" s="294" t="s">
        <v>72</v>
      </c>
      <c r="L24" s="178"/>
    </row>
    <row r="25" spans="1:13" s="1" customFormat="1" ht="18" customHeight="1" x14ac:dyDescent="0.25">
      <c r="A25" s="27"/>
      <c r="B25" s="46" t="s">
        <v>43</v>
      </c>
      <c r="C25" s="14" t="s">
        <v>40</v>
      </c>
      <c r="D25" s="33">
        <v>144</v>
      </c>
      <c r="E25" s="43">
        <v>135.19999999999999</v>
      </c>
      <c r="F25" s="30">
        <v>10</v>
      </c>
      <c r="G25" s="47">
        <f t="shared" si="3"/>
        <v>194688</v>
      </c>
      <c r="H25" s="15">
        <v>59</v>
      </c>
      <c r="I25" s="477"/>
      <c r="J25" s="26">
        <f>D131+D136+D148+D128+D129+D130</f>
        <v>8158</v>
      </c>
      <c r="K25" s="294" t="s">
        <v>23</v>
      </c>
      <c r="L25" s="25"/>
    </row>
    <row r="26" spans="1:13" s="1" customFormat="1" ht="18" customHeight="1" x14ac:dyDescent="0.25">
      <c r="A26" s="27"/>
      <c r="B26" s="46" t="s">
        <v>363</v>
      </c>
      <c r="C26" s="14" t="s">
        <v>40</v>
      </c>
      <c r="D26" s="33">
        <v>189</v>
      </c>
      <c r="E26" s="43">
        <v>135.19999999999999</v>
      </c>
      <c r="F26" s="30">
        <v>16</v>
      </c>
      <c r="G26" s="47">
        <f t="shared" si="3"/>
        <v>408844.79999999999</v>
      </c>
      <c r="H26" s="15">
        <v>59</v>
      </c>
      <c r="I26" s="477"/>
      <c r="J26" s="25"/>
      <c r="K26" s="326"/>
      <c r="L26" s="133"/>
    </row>
    <row r="27" spans="1:13" s="1" customFormat="1" ht="18" customHeight="1" x14ac:dyDescent="0.25">
      <c r="A27" s="27"/>
      <c r="B27" s="46" t="s">
        <v>49</v>
      </c>
      <c r="C27" s="14" t="s">
        <v>40</v>
      </c>
      <c r="D27" s="33">
        <f>D26</f>
        <v>189</v>
      </c>
      <c r="E27" s="43">
        <v>38.049999999999997</v>
      </c>
      <c r="F27" s="30">
        <v>4</v>
      </c>
      <c r="G27" s="47">
        <f t="shared" si="3"/>
        <v>28765.8</v>
      </c>
      <c r="H27" s="15">
        <v>62</v>
      </c>
      <c r="I27" s="477"/>
      <c r="J27" s="25"/>
      <c r="K27" s="326"/>
      <c r="L27" s="133"/>
    </row>
    <row r="28" spans="1:13" s="1" customFormat="1" ht="18" customHeight="1" x14ac:dyDescent="0.25">
      <c r="A28" s="27"/>
      <c r="B28" s="46" t="s">
        <v>124</v>
      </c>
      <c r="C28" s="14" t="s">
        <v>40</v>
      </c>
      <c r="D28" s="33">
        <f>D27</f>
        <v>189</v>
      </c>
      <c r="E28" s="43">
        <v>163</v>
      </c>
      <c r="F28" s="30">
        <v>2</v>
      </c>
      <c r="G28" s="47">
        <f t="shared" si="3"/>
        <v>61614</v>
      </c>
      <c r="H28" s="15">
        <v>68</v>
      </c>
      <c r="I28" s="477"/>
      <c r="J28" s="25"/>
      <c r="K28" s="326"/>
      <c r="L28" s="133"/>
    </row>
    <row r="29" spans="1:13" s="1" customFormat="1" ht="18" customHeight="1" x14ac:dyDescent="0.25">
      <c r="A29" s="27" t="s">
        <v>44</v>
      </c>
      <c r="B29" s="44" t="s">
        <v>45</v>
      </c>
      <c r="C29" s="45" t="s">
        <v>40</v>
      </c>
      <c r="D29" s="29">
        <f>D30</f>
        <v>1385</v>
      </c>
      <c r="E29" s="2"/>
      <c r="F29" s="29"/>
      <c r="G29" s="31">
        <f>SUM(G30:G35)</f>
        <v>511863.38</v>
      </c>
      <c r="H29" s="15"/>
      <c r="I29" s="477"/>
      <c r="J29" s="26"/>
      <c r="K29" s="326"/>
      <c r="L29" s="133"/>
    </row>
    <row r="30" spans="1:13" s="1" customFormat="1" ht="18" customHeight="1" x14ac:dyDescent="0.25">
      <c r="A30" s="27"/>
      <c r="B30" s="46" t="s">
        <v>46</v>
      </c>
      <c r="C30" s="14" t="s">
        <v>40</v>
      </c>
      <c r="D30" s="33">
        <f>318+1067</f>
        <v>1385</v>
      </c>
      <c r="E30" s="48">
        <v>8.1999999999999993</v>
      </c>
      <c r="F30" s="14">
        <v>1</v>
      </c>
      <c r="G30" s="47">
        <f t="shared" ref="G30:G35" si="4">ROUND((D30*E30*F30),2)</f>
        <v>11357</v>
      </c>
      <c r="H30" s="15">
        <v>57</v>
      </c>
      <c r="I30" s="477"/>
      <c r="J30" s="26"/>
      <c r="K30" s="326"/>
      <c r="L30" s="133"/>
    </row>
    <row r="31" spans="1:13" s="1" customFormat="1" ht="18" customHeight="1" x14ac:dyDescent="0.25">
      <c r="A31" s="27"/>
      <c r="B31" s="46" t="s">
        <v>47</v>
      </c>
      <c r="C31" s="14" t="s">
        <v>40</v>
      </c>
      <c r="D31" s="33">
        <v>300</v>
      </c>
      <c r="E31" s="48">
        <v>21.63</v>
      </c>
      <c r="F31" s="30">
        <v>6</v>
      </c>
      <c r="G31" s="47">
        <f t="shared" si="4"/>
        <v>38934</v>
      </c>
      <c r="H31" s="15">
        <v>60</v>
      </c>
      <c r="I31" s="477"/>
      <c r="J31" s="26"/>
      <c r="K31" s="326"/>
      <c r="L31" s="133"/>
    </row>
    <row r="32" spans="1:13" s="1" customFormat="1" ht="18" customHeight="1" x14ac:dyDescent="0.25">
      <c r="A32" s="27"/>
      <c r="B32" s="46" t="s">
        <v>364</v>
      </c>
      <c r="C32" s="14" t="s">
        <v>40</v>
      </c>
      <c r="D32" s="33">
        <v>18</v>
      </c>
      <c r="E32" s="48">
        <v>21.63</v>
      </c>
      <c r="F32" s="30">
        <v>10</v>
      </c>
      <c r="G32" s="47">
        <f t="shared" si="4"/>
        <v>3893.4</v>
      </c>
      <c r="H32" s="15">
        <v>60</v>
      </c>
      <c r="I32" s="477"/>
      <c r="J32" s="26"/>
      <c r="K32" s="326"/>
      <c r="L32" s="133"/>
    </row>
    <row r="33" spans="1:13" s="1" customFormat="1" ht="18" customHeight="1" x14ac:dyDescent="0.25">
      <c r="A33" s="27"/>
      <c r="B33" s="46" t="s">
        <v>48</v>
      </c>
      <c r="C33" s="14" t="s">
        <v>40</v>
      </c>
      <c r="D33" s="33">
        <v>1067</v>
      </c>
      <c r="E33" s="48">
        <v>21.63</v>
      </c>
      <c r="F33" s="30">
        <v>16</v>
      </c>
      <c r="G33" s="47">
        <f t="shared" si="4"/>
        <v>369267.36</v>
      </c>
      <c r="H33" s="15">
        <v>60</v>
      </c>
      <c r="I33" s="477"/>
      <c r="J33" s="25"/>
      <c r="K33" s="326"/>
      <c r="L33" s="133"/>
    </row>
    <row r="34" spans="1:13" s="1" customFormat="1" ht="18" customHeight="1" x14ac:dyDescent="0.25">
      <c r="A34" s="27"/>
      <c r="B34" s="46" t="s">
        <v>49</v>
      </c>
      <c r="C34" s="14" t="s">
        <v>40</v>
      </c>
      <c r="D34" s="33">
        <f>D33</f>
        <v>1067</v>
      </c>
      <c r="E34" s="48">
        <v>6.66</v>
      </c>
      <c r="F34" s="30">
        <v>4</v>
      </c>
      <c r="G34" s="47">
        <f t="shared" si="4"/>
        <v>28424.880000000001</v>
      </c>
      <c r="H34" s="15">
        <v>63</v>
      </c>
      <c r="I34" s="477"/>
      <c r="J34" s="25"/>
      <c r="K34" s="326"/>
      <c r="L34" s="133"/>
    </row>
    <row r="35" spans="1:13" s="1" customFormat="1" ht="18" customHeight="1" x14ac:dyDescent="0.25">
      <c r="A35" s="27"/>
      <c r="B35" s="46" t="s">
        <v>50</v>
      </c>
      <c r="C35" s="14" t="s">
        <v>40</v>
      </c>
      <c r="D35" s="33">
        <f>D34</f>
        <v>1067</v>
      </c>
      <c r="E35" s="48">
        <v>28.11</v>
      </c>
      <c r="F35" s="30">
        <v>2</v>
      </c>
      <c r="G35" s="47">
        <f t="shared" si="4"/>
        <v>59986.74</v>
      </c>
      <c r="H35" s="15">
        <v>69</v>
      </c>
      <c r="I35" s="477"/>
      <c r="J35" s="25"/>
      <c r="K35" s="326"/>
      <c r="L35" s="133"/>
    </row>
    <row r="36" spans="1:13" s="1" customFormat="1" ht="18" customHeight="1" x14ac:dyDescent="0.25">
      <c r="A36" s="27" t="s">
        <v>51</v>
      </c>
      <c r="B36" s="44" t="s">
        <v>52</v>
      </c>
      <c r="C36" s="28"/>
      <c r="D36" s="29">
        <f>D37</f>
        <v>175</v>
      </c>
      <c r="E36" s="2"/>
      <c r="F36" s="45"/>
      <c r="G36" s="31">
        <f>SUM(G37:G38)</f>
        <v>37178.75</v>
      </c>
      <c r="H36" s="15"/>
      <c r="I36" s="477"/>
      <c r="J36" s="26"/>
      <c r="K36" s="326"/>
      <c r="L36" s="133"/>
    </row>
    <row r="37" spans="1:13" s="1" customFormat="1" ht="18" customHeight="1" x14ac:dyDescent="0.25">
      <c r="A37" s="27"/>
      <c r="B37" s="46" t="s">
        <v>53</v>
      </c>
      <c r="C37" s="14" t="s">
        <v>54</v>
      </c>
      <c r="D37" s="33">
        <v>175</v>
      </c>
      <c r="E37" s="43">
        <v>17.75</v>
      </c>
      <c r="F37" s="14">
        <v>1</v>
      </c>
      <c r="G37" s="47">
        <f>ROUND((D37*E37*F37),2)</f>
        <v>3106.25</v>
      </c>
      <c r="H37" s="15">
        <v>58</v>
      </c>
      <c r="I37" s="477"/>
      <c r="J37" s="26"/>
      <c r="K37" s="326"/>
      <c r="L37" s="133"/>
    </row>
    <row r="38" spans="1:13" s="1" customFormat="1" ht="18" customHeight="1" x14ac:dyDescent="0.25">
      <c r="A38" s="27"/>
      <c r="B38" s="46" t="s">
        <v>55</v>
      </c>
      <c r="C38" s="14" t="s">
        <v>54</v>
      </c>
      <c r="D38" s="33">
        <f>D37</f>
        <v>175</v>
      </c>
      <c r="E38" s="48">
        <v>32.450000000000003</v>
      </c>
      <c r="F38" s="30">
        <v>6</v>
      </c>
      <c r="G38" s="47">
        <f>ROUND((D38*E38*F38),2)</f>
        <v>34072.5</v>
      </c>
      <c r="H38" s="15">
        <v>61</v>
      </c>
      <c r="I38" s="477"/>
      <c r="J38" s="26"/>
      <c r="K38" s="326"/>
      <c r="L38" s="133"/>
    </row>
    <row r="39" spans="1:13" s="1" customFormat="1" ht="15.75" x14ac:dyDescent="0.25">
      <c r="A39" s="27" t="s">
        <v>56</v>
      </c>
      <c r="B39" s="21" t="s">
        <v>57</v>
      </c>
      <c r="C39" s="14"/>
      <c r="D39" s="29">
        <f>D40</f>
        <v>140</v>
      </c>
      <c r="E39" s="2"/>
      <c r="F39" s="14"/>
      <c r="G39" s="56">
        <f>G40</f>
        <v>27045.200000000001</v>
      </c>
      <c r="H39" s="15"/>
      <c r="I39" s="477"/>
      <c r="J39" s="26"/>
      <c r="K39" s="326"/>
      <c r="L39" s="133"/>
      <c r="M39" s="3"/>
    </row>
    <row r="40" spans="1:13" s="1" customFormat="1" ht="23.25" customHeight="1" x14ac:dyDescent="0.25">
      <c r="A40" s="57"/>
      <c r="B40" s="46" t="s">
        <v>58</v>
      </c>
      <c r="C40" s="14" t="s">
        <v>40</v>
      </c>
      <c r="D40" s="58">
        <v>140</v>
      </c>
      <c r="E40" s="59">
        <v>96.59</v>
      </c>
      <c r="F40" s="30">
        <v>2</v>
      </c>
      <c r="G40" s="47">
        <f>ROUND((D40*E40*F40),2)</f>
        <v>27045.200000000001</v>
      </c>
      <c r="H40" s="15">
        <v>40</v>
      </c>
      <c r="I40" s="477"/>
      <c r="J40" s="26"/>
      <c r="K40" s="326"/>
      <c r="L40" s="133"/>
      <c r="M40" s="3"/>
    </row>
    <row r="41" spans="1:13" s="1" customFormat="1" ht="18" customHeight="1" x14ac:dyDescent="0.25">
      <c r="A41" s="27" t="s">
        <v>59</v>
      </c>
      <c r="B41" s="21" t="s">
        <v>60</v>
      </c>
      <c r="C41" s="14"/>
      <c r="D41" s="29">
        <f>D42+D43+D44+D45+D46+D47+D48+D49+D50</f>
        <v>31849</v>
      </c>
      <c r="E41" s="2"/>
      <c r="F41" s="14"/>
      <c r="G41" s="56">
        <f>SUM(G42:G50)</f>
        <v>5592858.7999999998</v>
      </c>
      <c r="H41" s="15"/>
      <c r="I41" s="477"/>
      <c r="J41" s="26"/>
      <c r="K41" s="326"/>
      <c r="L41" s="133"/>
      <c r="M41" s="3"/>
    </row>
    <row r="42" spans="1:13" s="1" customFormat="1" ht="31.5" customHeight="1" x14ac:dyDescent="0.25">
      <c r="A42" s="57"/>
      <c r="B42" s="46" t="s">
        <v>61</v>
      </c>
      <c r="C42" s="14" t="s">
        <v>54</v>
      </c>
      <c r="D42" s="33">
        <f>220+594</f>
        <v>814</v>
      </c>
      <c r="E42" s="59">
        <v>26.55</v>
      </c>
      <c r="F42" s="30">
        <v>2</v>
      </c>
      <c r="G42" s="60">
        <f>ROUND((D42*E42*F42),2)</f>
        <v>43223.4</v>
      </c>
      <c r="H42" s="15">
        <v>41</v>
      </c>
      <c r="I42" s="477"/>
      <c r="J42" s="26"/>
      <c r="K42" s="326"/>
      <c r="L42" s="133"/>
      <c r="M42" s="3"/>
    </row>
    <row r="43" spans="1:13" s="1" customFormat="1" ht="34.5" customHeight="1" x14ac:dyDescent="0.25">
      <c r="A43" s="57"/>
      <c r="B43" s="46" t="s">
        <v>62</v>
      </c>
      <c r="C43" s="14" t="s">
        <v>54</v>
      </c>
      <c r="D43" s="33">
        <v>2500</v>
      </c>
      <c r="E43" s="48">
        <v>55.32</v>
      </c>
      <c r="F43" s="30">
        <v>1</v>
      </c>
      <c r="G43" s="60">
        <f t="shared" ref="G43:G50" si="5">ROUND((D43*E43*F43),2)</f>
        <v>138300</v>
      </c>
      <c r="H43" s="15">
        <v>42</v>
      </c>
      <c r="I43" s="477"/>
      <c r="J43" s="26"/>
      <c r="K43" s="326"/>
      <c r="L43" s="133"/>
      <c r="M43" s="3"/>
    </row>
    <row r="44" spans="1:13" s="1" customFormat="1" ht="32.25" customHeight="1" x14ac:dyDescent="0.25">
      <c r="A44" s="57"/>
      <c r="B44" s="46" t="s">
        <v>63</v>
      </c>
      <c r="C44" s="14" t="s">
        <v>54</v>
      </c>
      <c r="D44" s="33">
        <v>2230</v>
      </c>
      <c r="E44" s="48">
        <f>E43</f>
        <v>55.32</v>
      </c>
      <c r="F44" s="30">
        <v>2</v>
      </c>
      <c r="G44" s="60">
        <f t="shared" si="5"/>
        <v>246727.2</v>
      </c>
      <c r="H44" s="15">
        <v>42</v>
      </c>
      <c r="I44" s="477"/>
      <c r="J44" s="26"/>
      <c r="K44" s="326"/>
      <c r="L44" s="133"/>
      <c r="M44" s="3"/>
    </row>
    <row r="45" spans="1:13" s="1" customFormat="1" ht="33" customHeight="1" x14ac:dyDescent="0.25">
      <c r="A45" s="57"/>
      <c r="B45" s="46" t="s">
        <v>64</v>
      </c>
      <c r="C45" s="14" t="s">
        <v>54</v>
      </c>
      <c r="D45" s="33">
        <v>250</v>
      </c>
      <c r="E45" s="48">
        <f>E44</f>
        <v>55.32</v>
      </c>
      <c r="F45" s="30">
        <v>3</v>
      </c>
      <c r="G45" s="60">
        <f t="shared" si="5"/>
        <v>41490</v>
      </c>
      <c r="H45" s="15">
        <v>42</v>
      </c>
      <c r="I45" s="477"/>
      <c r="J45" s="26"/>
      <c r="K45" s="326"/>
      <c r="L45" s="133"/>
      <c r="M45" s="3"/>
    </row>
    <row r="46" spans="1:13" s="1" customFormat="1" ht="30.75" customHeight="1" x14ac:dyDescent="0.25">
      <c r="A46" s="57"/>
      <c r="B46" s="46" t="s">
        <v>65</v>
      </c>
      <c r="C46" s="14" t="s">
        <v>54</v>
      </c>
      <c r="D46" s="33">
        <v>13297</v>
      </c>
      <c r="E46" s="43">
        <v>92</v>
      </c>
      <c r="F46" s="30">
        <v>2</v>
      </c>
      <c r="G46" s="60">
        <f t="shared" si="5"/>
        <v>2446648</v>
      </c>
      <c r="H46" s="15">
        <v>43</v>
      </c>
      <c r="I46" s="477"/>
      <c r="J46" s="26"/>
      <c r="K46" s="326"/>
      <c r="L46" s="133"/>
      <c r="M46" s="3"/>
    </row>
    <row r="47" spans="1:13" s="1" customFormat="1" ht="32.25" customHeight="1" x14ac:dyDescent="0.25">
      <c r="A47" s="57"/>
      <c r="B47" s="46" t="s">
        <v>66</v>
      </c>
      <c r="C47" s="14" t="s">
        <v>54</v>
      </c>
      <c r="D47" s="33">
        <v>1510</v>
      </c>
      <c r="E47" s="43">
        <f>E46</f>
        <v>92</v>
      </c>
      <c r="F47" s="30">
        <v>3</v>
      </c>
      <c r="G47" s="60">
        <f t="shared" si="5"/>
        <v>416760</v>
      </c>
      <c r="H47" s="15">
        <v>43</v>
      </c>
      <c r="I47" s="477"/>
      <c r="J47" s="26"/>
      <c r="K47" s="326"/>
      <c r="L47" s="133"/>
      <c r="M47" s="3"/>
    </row>
    <row r="48" spans="1:13" s="1" customFormat="1" ht="30.75" customHeight="1" x14ac:dyDescent="0.25">
      <c r="A48" s="57"/>
      <c r="B48" s="46" t="s">
        <v>67</v>
      </c>
      <c r="C48" s="14" t="s">
        <v>54</v>
      </c>
      <c r="D48" s="33">
        <v>737</v>
      </c>
      <c r="E48" s="43">
        <f>E47</f>
        <v>92</v>
      </c>
      <c r="F48" s="30">
        <v>4</v>
      </c>
      <c r="G48" s="60">
        <f t="shared" si="5"/>
        <v>271216</v>
      </c>
      <c r="H48" s="15">
        <v>43</v>
      </c>
      <c r="I48" s="477"/>
      <c r="J48" s="26"/>
      <c r="K48" s="326"/>
      <c r="L48" s="133"/>
      <c r="M48" s="3"/>
    </row>
    <row r="49" spans="1:13" s="1" customFormat="1" ht="35.25" customHeight="1" x14ac:dyDescent="0.25">
      <c r="A49" s="57"/>
      <c r="B49" s="46" t="s">
        <v>68</v>
      </c>
      <c r="C49" s="14" t="s">
        <v>54</v>
      </c>
      <c r="D49" s="33">
        <v>354</v>
      </c>
      <c r="E49" s="48">
        <v>57.61</v>
      </c>
      <c r="F49" s="30">
        <v>2</v>
      </c>
      <c r="G49" s="60">
        <f t="shared" si="5"/>
        <v>40787.879999999997</v>
      </c>
      <c r="H49" s="15">
        <v>45</v>
      </c>
      <c r="I49" s="477"/>
      <c r="J49" s="26"/>
      <c r="K49" s="326"/>
      <c r="L49" s="133"/>
      <c r="M49" s="3"/>
    </row>
    <row r="50" spans="1:13" s="1" customFormat="1" ht="33" customHeight="1" x14ac:dyDescent="0.25">
      <c r="A50" s="57"/>
      <c r="B50" s="46" t="s">
        <v>69</v>
      </c>
      <c r="C50" s="14" t="s">
        <v>54</v>
      </c>
      <c r="D50" s="33">
        <v>10157</v>
      </c>
      <c r="E50" s="48">
        <v>95.88</v>
      </c>
      <c r="F50" s="30">
        <v>2</v>
      </c>
      <c r="G50" s="60">
        <f t="shared" si="5"/>
        <v>1947706.32</v>
      </c>
      <c r="H50" s="15">
        <v>46</v>
      </c>
      <c r="I50" s="477"/>
      <c r="J50" s="26"/>
      <c r="K50" s="326"/>
      <c r="L50" s="133"/>
      <c r="M50" s="3"/>
    </row>
    <row r="51" spans="1:13" s="1" customFormat="1" ht="22.5" customHeight="1" x14ac:dyDescent="0.25">
      <c r="A51" s="27" t="s">
        <v>70</v>
      </c>
      <c r="B51" s="21" t="s">
        <v>71</v>
      </c>
      <c r="C51" s="45" t="s">
        <v>72</v>
      </c>
      <c r="D51" s="29">
        <f>D78</f>
        <v>1682</v>
      </c>
      <c r="E51" s="258"/>
      <c r="F51" s="14"/>
      <c r="G51" s="31">
        <f>G52+G53+G54+G55+G56+G57+G58+G59+G60+G61+G62+G63+G64+G65+G66+G67+G68+G69+G70+G71+G72+G73+G74+G75+G76+G78+G77</f>
        <v>3775610.0199999996</v>
      </c>
      <c r="H51" s="15"/>
      <c r="I51" s="477"/>
      <c r="J51" s="26"/>
      <c r="K51" s="326"/>
      <c r="L51" s="133"/>
    </row>
    <row r="52" spans="1:13" s="1" customFormat="1" ht="33" customHeight="1" x14ac:dyDescent="0.25">
      <c r="A52" s="57"/>
      <c r="B52" s="61" t="s">
        <v>73</v>
      </c>
      <c r="C52" s="14" t="s">
        <v>72</v>
      </c>
      <c r="D52" s="7">
        <v>24</v>
      </c>
      <c r="E52" s="59">
        <v>865.07</v>
      </c>
      <c r="F52" s="14"/>
      <c r="G52" s="62">
        <f>ROUND((D52*E52*1),2)</f>
        <v>20761.68</v>
      </c>
      <c r="H52" s="15">
        <v>20</v>
      </c>
      <c r="I52" s="477"/>
      <c r="J52" s="26"/>
      <c r="K52" s="326"/>
      <c r="L52" s="133"/>
    </row>
    <row r="53" spans="1:13" s="1" customFormat="1" ht="33" customHeight="1" x14ac:dyDescent="0.25">
      <c r="A53" s="57"/>
      <c r="B53" s="61" t="s">
        <v>74</v>
      </c>
      <c r="C53" s="14" t="s">
        <v>72</v>
      </c>
      <c r="D53" s="7">
        <v>25</v>
      </c>
      <c r="E53" s="59">
        <v>1304.03</v>
      </c>
      <c r="F53" s="14"/>
      <c r="G53" s="62">
        <f>ROUND((D53*E53*1),2)</f>
        <v>32600.75</v>
      </c>
      <c r="H53" s="15">
        <v>21</v>
      </c>
      <c r="I53" s="477"/>
      <c r="J53" s="223"/>
      <c r="K53" s="326"/>
      <c r="L53" s="133"/>
    </row>
    <row r="54" spans="1:13" s="1" customFormat="1" ht="35.25" customHeight="1" x14ac:dyDescent="0.25">
      <c r="A54" s="57"/>
      <c r="B54" s="61" t="s">
        <v>75</v>
      </c>
      <c r="C54" s="14" t="s">
        <v>72</v>
      </c>
      <c r="D54" s="7">
        <v>15</v>
      </c>
      <c r="E54" s="59">
        <v>990.71</v>
      </c>
      <c r="F54" s="14"/>
      <c r="G54" s="62">
        <f t="shared" ref="G54:G77" si="6">ROUND((D54*E54*1),2)</f>
        <v>14860.65</v>
      </c>
      <c r="H54" s="15">
        <v>22</v>
      </c>
      <c r="I54" s="477"/>
      <c r="J54" s="26"/>
      <c r="K54" s="326"/>
      <c r="L54" s="133"/>
    </row>
    <row r="55" spans="1:13" s="1" customFormat="1" ht="29.25" customHeight="1" x14ac:dyDescent="0.25">
      <c r="A55" s="57"/>
      <c r="B55" s="61" t="s">
        <v>76</v>
      </c>
      <c r="C55" s="14" t="s">
        <v>72</v>
      </c>
      <c r="D55" s="7">
        <v>54</v>
      </c>
      <c r="E55" s="59">
        <v>1710.7</v>
      </c>
      <c r="F55" s="14"/>
      <c r="G55" s="62">
        <f t="shared" si="6"/>
        <v>92377.8</v>
      </c>
      <c r="H55" s="15">
        <v>23</v>
      </c>
      <c r="I55" s="477"/>
      <c r="J55" s="26"/>
      <c r="K55" s="326"/>
      <c r="L55" s="133"/>
    </row>
    <row r="56" spans="1:13" s="1" customFormat="1" ht="27.75" customHeight="1" x14ac:dyDescent="0.25">
      <c r="A56" s="57"/>
      <c r="B56" s="61" t="s">
        <v>77</v>
      </c>
      <c r="C56" s="14" t="s">
        <v>72</v>
      </c>
      <c r="D56" s="7">
        <v>34</v>
      </c>
      <c r="E56" s="59">
        <v>1184.08</v>
      </c>
      <c r="F56" s="14"/>
      <c r="G56" s="62">
        <f t="shared" si="6"/>
        <v>40258.720000000001</v>
      </c>
      <c r="H56" s="15">
        <v>24</v>
      </c>
      <c r="I56" s="477"/>
      <c r="J56" s="26"/>
      <c r="K56" s="326"/>
      <c r="L56" s="133"/>
    </row>
    <row r="57" spans="1:13" s="1" customFormat="1" ht="27.75" customHeight="1" x14ac:dyDescent="0.25">
      <c r="A57" s="57"/>
      <c r="B57" s="61" t="s">
        <v>78</v>
      </c>
      <c r="C57" s="14" t="s">
        <v>72</v>
      </c>
      <c r="D57" s="7">
        <v>60</v>
      </c>
      <c r="E57" s="59">
        <v>1996.83</v>
      </c>
      <c r="F57" s="14"/>
      <c r="G57" s="62">
        <f t="shared" si="6"/>
        <v>119809.8</v>
      </c>
      <c r="H57" s="15">
        <v>25</v>
      </c>
      <c r="I57" s="477"/>
      <c r="J57" s="26"/>
      <c r="K57" s="326"/>
      <c r="L57" s="133"/>
    </row>
    <row r="58" spans="1:13" s="1" customFormat="1" ht="32.25" customHeight="1" x14ac:dyDescent="0.25">
      <c r="A58" s="57"/>
      <c r="B58" s="61" t="s">
        <v>79</v>
      </c>
      <c r="C58" s="14" t="s">
        <v>72</v>
      </c>
      <c r="D58" s="7">
        <v>103</v>
      </c>
      <c r="E58" s="59">
        <v>4251.59</v>
      </c>
      <c r="F58" s="14"/>
      <c r="G58" s="62">
        <f t="shared" si="6"/>
        <v>437913.77</v>
      </c>
      <c r="H58" s="15">
        <v>26</v>
      </c>
      <c r="I58" s="477"/>
      <c r="J58" s="26"/>
      <c r="K58" s="326"/>
      <c r="L58" s="133"/>
    </row>
    <row r="59" spans="1:13" s="1" customFormat="1" ht="33" customHeight="1" x14ac:dyDescent="0.25">
      <c r="A59" s="57"/>
      <c r="B59" s="61" t="s">
        <v>80</v>
      </c>
      <c r="C59" s="14" t="s">
        <v>72</v>
      </c>
      <c r="D59" s="7">
        <v>145</v>
      </c>
      <c r="E59" s="59">
        <v>3444.58</v>
      </c>
      <c r="F59" s="14"/>
      <c r="G59" s="62">
        <f t="shared" si="6"/>
        <v>499464.1</v>
      </c>
      <c r="H59" s="15">
        <v>27</v>
      </c>
      <c r="I59" s="477"/>
      <c r="J59" s="26"/>
      <c r="K59" s="326"/>
      <c r="L59" s="133"/>
    </row>
    <row r="60" spans="1:13" s="1" customFormat="1" ht="29.25" customHeight="1" x14ac:dyDescent="0.25">
      <c r="A60" s="57"/>
      <c r="B60" s="61" t="s">
        <v>81</v>
      </c>
      <c r="C60" s="14" t="s">
        <v>72</v>
      </c>
      <c r="D60" s="7">
        <v>170</v>
      </c>
      <c r="E60" s="59">
        <v>1684.22</v>
      </c>
      <c r="F60" s="14"/>
      <c r="G60" s="62">
        <f t="shared" si="6"/>
        <v>286317.40000000002</v>
      </c>
      <c r="H60" s="15">
        <v>28</v>
      </c>
      <c r="I60" s="477"/>
      <c r="J60" s="26"/>
      <c r="K60" s="326"/>
      <c r="L60" s="133"/>
    </row>
    <row r="61" spans="1:13" s="1" customFormat="1" ht="29.25" customHeight="1" x14ac:dyDescent="0.25">
      <c r="A61" s="57"/>
      <c r="B61" s="61" t="s">
        <v>82</v>
      </c>
      <c r="C61" s="14" t="s">
        <v>72</v>
      </c>
      <c r="D61" s="7">
        <v>218</v>
      </c>
      <c r="E61" s="59">
        <v>1422.53</v>
      </c>
      <c r="F61" s="14"/>
      <c r="G61" s="62">
        <f t="shared" si="6"/>
        <v>310111.53999999998</v>
      </c>
      <c r="H61" s="15">
        <v>29</v>
      </c>
      <c r="I61" s="477"/>
      <c r="J61" s="26"/>
      <c r="K61" s="326"/>
      <c r="L61" s="133"/>
    </row>
    <row r="62" spans="1:13" s="1" customFormat="1" ht="29.25" customHeight="1" x14ac:dyDescent="0.25">
      <c r="A62" s="57"/>
      <c r="B62" s="61" t="s">
        <v>83</v>
      </c>
      <c r="C62" s="14" t="s">
        <v>72</v>
      </c>
      <c r="D62" s="7">
        <v>84</v>
      </c>
      <c r="E62" s="59">
        <v>1252.08</v>
      </c>
      <c r="F62" s="14"/>
      <c r="G62" s="62">
        <f t="shared" si="6"/>
        <v>105174.72</v>
      </c>
      <c r="H62" s="15">
        <v>30</v>
      </c>
      <c r="I62" s="477"/>
      <c r="J62" s="26"/>
      <c r="K62" s="326"/>
      <c r="L62" s="133"/>
    </row>
    <row r="63" spans="1:13" s="1" customFormat="1" ht="29.25" customHeight="1" x14ac:dyDescent="0.25">
      <c r="A63" s="57"/>
      <c r="B63" s="61" t="s">
        <v>84</v>
      </c>
      <c r="C63" s="14" t="s">
        <v>72</v>
      </c>
      <c r="D63" s="7">
        <v>38</v>
      </c>
      <c r="E63" s="59">
        <v>1083.5899999999999</v>
      </c>
      <c r="F63" s="14"/>
      <c r="G63" s="62">
        <f t="shared" si="6"/>
        <v>41176.42</v>
      </c>
      <c r="H63" s="15">
        <v>31</v>
      </c>
      <c r="I63" s="477"/>
      <c r="J63" s="26"/>
      <c r="K63" s="326"/>
      <c r="L63" s="133"/>
    </row>
    <row r="64" spans="1:13" s="1" customFormat="1" ht="34.5" customHeight="1" x14ac:dyDescent="0.25">
      <c r="A64" s="57"/>
      <c r="B64" s="46" t="s">
        <v>85</v>
      </c>
      <c r="C64" s="14" t="s">
        <v>40</v>
      </c>
      <c r="D64" s="33">
        <v>10</v>
      </c>
      <c r="E64" s="59">
        <v>277.27</v>
      </c>
      <c r="F64" s="14"/>
      <c r="G64" s="62">
        <f t="shared" si="6"/>
        <v>2772.7</v>
      </c>
      <c r="H64" s="15">
        <v>1</v>
      </c>
      <c r="I64" s="477"/>
      <c r="J64" s="26"/>
      <c r="K64" s="326"/>
      <c r="L64" s="133"/>
    </row>
    <row r="65" spans="1:12" s="1" customFormat="1" ht="36" customHeight="1" x14ac:dyDescent="0.25">
      <c r="A65" s="57"/>
      <c r="B65" s="32" t="s">
        <v>86</v>
      </c>
      <c r="C65" s="63" t="s">
        <v>40</v>
      </c>
      <c r="D65" s="33">
        <v>20</v>
      </c>
      <c r="E65" s="64">
        <v>446.22</v>
      </c>
      <c r="F65" s="63"/>
      <c r="G65" s="35">
        <f t="shared" si="6"/>
        <v>8924.4</v>
      </c>
      <c r="H65" s="4">
        <v>2</v>
      </c>
      <c r="I65" s="477"/>
      <c r="J65" s="26"/>
      <c r="K65" s="326"/>
      <c r="L65" s="133"/>
    </row>
    <row r="66" spans="1:12" s="1" customFormat="1" ht="31.5" customHeight="1" x14ac:dyDescent="0.25">
      <c r="A66" s="57"/>
      <c r="B66" s="46" t="s">
        <v>87</v>
      </c>
      <c r="C66" s="14" t="s">
        <v>40</v>
      </c>
      <c r="D66" s="33">
        <f>10+29</f>
        <v>39</v>
      </c>
      <c r="E66" s="59">
        <v>984.02</v>
      </c>
      <c r="F66" s="14"/>
      <c r="G66" s="62">
        <f t="shared" si="6"/>
        <v>38376.78</v>
      </c>
      <c r="H66" s="15">
        <v>3</v>
      </c>
      <c r="I66" s="477"/>
      <c r="J66" s="26"/>
      <c r="K66" s="326"/>
      <c r="L66" s="133"/>
    </row>
    <row r="67" spans="1:12" s="1" customFormat="1" ht="31.5" customHeight="1" x14ac:dyDescent="0.25">
      <c r="A67" s="57"/>
      <c r="B67" s="32" t="s">
        <v>88</v>
      </c>
      <c r="C67" s="63" t="s">
        <v>40</v>
      </c>
      <c r="D67" s="33">
        <f>20+27</f>
        <v>47</v>
      </c>
      <c r="E67" s="64">
        <v>1652.77</v>
      </c>
      <c r="F67" s="63"/>
      <c r="G67" s="35">
        <f t="shared" si="6"/>
        <v>77680.19</v>
      </c>
      <c r="H67" s="4">
        <v>4</v>
      </c>
      <c r="I67" s="477"/>
      <c r="J67" s="26"/>
      <c r="K67" s="326"/>
      <c r="L67" s="133"/>
    </row>
    <row r="68" spans="1:12" s="1" customFormat="1" ht="31.5" customHeight="1" x14ac:dyDescent="0.25">
      <c r="A68" s="57"/>
      <c r="B68" s="32" t="s">
        <v>89</v>
      </c>
      <c r="C68" s="63" t="s">
        <v>40</v>
      </c>
      <c r="D68" s="33">
        <v>25</v>
      </c>
      <c r="E68" s="64">
        <v>2319.54</v>
      </c>
      <c r="F68" s="63"/>
      <c r="G68" s="35">
        <f t="shared" si="6"/>
        <v>57988.5</v>
      </c>
      <c r="H68" s="4">
        <v>5</v>
      </c>
      <c r="I68" s="477"/>
      <c r="J68" s="26"/>
      <c r="K68" s="326"/>
      <c r="L68" s="133"/>
    </row>
    <row r="69" spans="1:12" s="1" customFormat="1" ht="36.75" customHeight="1" x14ac:dyDescent="0.25">
      <c r="A69" s="57"/>
      <c r="B69" s="46" t="s">
        <v>90</v>
      </c>
      <c r="C69" s="14" t="s">
        <v>40</v>
      </c>
      <c r="D69" s="33">
        <v>92</v>
      </c>
      <c r="E69" s="59">
        <v>2979.84</v>
      </c>
      <c r="F69" s="14"/>
      <c r="G69" s="62">
        <f t="shared" si="6"/>
        <v>274145.28000000003</v>
      </c>
      <c r="H69" s="15">
        <v>6</v>
      </c>
      <c r="I69" s="477"/>
      <c r="J69" s="26"/>
      <c r="K69" s="326"/>
      <c r="L69" s="133"/>
    </row>
    <row r="70" spans="1:12" s="1" customFormat="1" ht="35.25" customHeight="1" x14ac:dyDescent="0.25">
      <c r="A70" s="57"/>
      <c r="B70" s="46" t="s">
        <v>91</v>
      </c>
      <c r="C70" s="14" t="s">
        <v>40</v>
      </c>
      <c r="D70" s="33">
        <f>40-1</f>
        <v>39</v>
      </c>
      <c r="E70" s="59">
        <v>3781.77</v>
      </c>
      <c r="F70" s="14"/>
      <c r="G70" s="62">
        <f t="shared" si="6"/>
        <v>147489.03</v>
      </c>
      <c r="H70" s="15">
        <v>7</v>
      </c>
      <c r="I70" s="477"/>
      <c r="J70" s="26"/>
      <c r="K70" s="326"/>
      <c r="L70" s="133"/>
    </row>
    <row r="71" spans="1:12" s="1" customFormat="1" ht="35.25" customHeight="1" x14ac:dyDescent="0.25">
      <c r="A71" s="57"/>
      <c r="B71" s="61" t="s">
        <v>92</v>
      </c>
      <c r="C71" s="14" t="s">
        <v>40</v>
      </c>
      <c r="D71" s="33">
        <v>15</v>
      </c>
      <c r="E71" s="59">
        <v>4113.1000000000004</v>
      </c>
      <c r="F71" s="14"/>
      <c r="G71" s="62">
        <f t="shared" si="6"/>
        <v>61696.5</v>
      </c>
      <c r="H71" s="15">
        <v>8</v>
      </c>
      <c r="I71" s="477"/>
      <c r="J71" s="26"/>
      <c r="K71" s="326"/>
      <c r="L71" s="133"/>
    </row>
    <row r="72" spans="1:12" s="1" customFormat="1" ht="34.5" customHeight="1" x14ac:dyDescent="0.25">
      <c r="A72" s="57"/>
      <c r="B72" s="61" t="s">
        <v>93</v>
      </c>
      <c r="C72" s="14" t="s">
        <v>40</v>
      </c>
      <c r="D72" s="33">
        <v>16</v>
      </c>
      <c r="E72" s="59">
        <v>9916.5499999999993</v>
      </c>
      <c r="F72" s="14"/>
      <c r="G72" s="62">
        <f t="shared" si="6"/>
        <v>158664.79999999999</v>
      </c>
      <c r="H72" s="15">
        <v>10</v>
      </c>
      <c r="I72" s="477"/>
      <c r="J72" s="26"/>
      <c r="K72" s="326"/>
      <c r="L72" s="133"/>
    </row>
    <row r="73" spans="1:12" s="1" customFormat="1" ht="30.75" customHeight="1" x14ac:dyDescent="0.25">
      <c r="A73" s="57"/>
      <c r="B73" s="61" t="s">
        <v>94</v>
      </c>
      <c r="C73" s="14" t="s">
        <v>40</v>
      </c>
      <c r="D73" s="33">
        <v>15</v>
      </c>
      <c r="E73" s="59">
        <v>13910.72</v>
      </c>
      <c r="F73" s="14"/>
      <c r="G73" s="62">
        <f t="shared" si="6"/>
        <v>208660.8</v>
      </c>
      <c r="H73" s="15">
        <v>12</v>
      </c>
      <c r="I73" s="477"/>
      <c r="J73" s="26"/>
      <c r="K73" s="326"/>
      <c r="L73" s="133"/>
    </row>
    <row r="74" spans="1:12" s="1" customFormat="1" ht="31.5" customHeight="1" x14ac:dyDescent="0.25">
      <c r="A74" s="57"/>
      <c r="B74" s="61" t="s">
        <v>95</v>
      </c>
      <c r="C74" s="14" t="s">
        <v>40</v>
      </c>
      <c r="D74" s="33">
        <v>10</v>
      </c>
      <c r="E74" s="59">
        <v>5254.28</v>
      </c>
      <c r="F74" s="14"/>
      <c r="G74" s="62">
        <f t="shared" si="6"/>
        <v>52542.8</v>
      </c>
      <c r="H74" s="15">
        <v>14</v>
      </c>
      <c r="I74" s="477"/>
      <c r="J74" s="26"/>
      <c r="K74" s="326"/>
      <c r="L74" s="133"/>
    </row>
    <row r="75" spans="1:12" s="1" customFormat="1" ht="31.5" customHeight="1" x14ac:dyDescent="0.25">
      <c r="A75" s="57"/>
      <c r="B75" s="61" t="s">
        <v>96</v>
      </c>
      <c r="C75" s="14" t="s">
        <v>40</v>
      </c>
      <c r="D75" s="33">
        <v>10</v>
      </c>
      <c r="E75" s="59">
        <v>13135.74</v>
      </c>
      <c r="F75" s="14"/>
      <c r="G75" s="62">
        <f t="shared" si="6"/>
        <v>131357.4</v>
      </c>
      <c r="H75" s="15">
        <v>16</v>
      </c>
      <c r="I75" s="477"/>
      <c r="J75" s="26"/>
      <c r="K75" s="326"/>
      <c r="L75" s="133"/>
    </row>
    <row r="76" spans="1:12" s="1" customFormat="1" ht="31.5" customHeight="1" x14ac:dyDescent="0.25">
      <c r="A76" s="57"/>
      <c r="B76" s="61" t="s">
        <v>97</v>
      </c>
      <c r="C76" s="14" t="s">
        <v>40</v>
      </c>
      <c r="D76" s="33">
        <v>5</v>
      </c>
      <c r="E76" s="59">
        <v>22862.05</v>
      </c>
      <c r="F76" s="14"/>
      <c r="G76" s="62">
        <f t="shared" si="6"/>
        <v>114310.25</v>
      </c>
      <c r="H76" s="15">
        <v>18</v>
      </c>
      <c r="I76" s="478"/>
      <c r="J76" s="26"/>
      <c r="K76" s="326"/>
      <c r="L76" s="133"/>
    </row>
    <row r="77" spans="1:12" s="1" customFormat="1" ht="29.25" customHeight="1" x14ac:dyDescent="0.25">
      <c r="A77" s="57"/>
      <c r="B77" s="46" t="s">
        <v>98</v>
      </c>
      <c r="C77" s="14" t="s">
        <v>72</v>
      </c>
      <c r="D77" s="33">
        <v>50</v>
      </c>
      <c r="E77" s="59">
        <v>1038.68</v>
      </c>
      <c r="F77" s="14"/>
      <c r="G77" s="62">
        <f t="shared" si="6"/>
        <v>51934</v>
      </c>
      <c r="H77" s="15">
        <v>36</v>
      </c>
      <c r="I77" s="25"/>
      <c r="J77" s="26"/>
      <c r="K77" s="326"/>
      <c r="L77" s="133"/>
    </row>
    <row r="78" spans="1:12" s="1" customFormat="1" ht="16.5" customHeight="1" x14ac:dyDescent="0.25">
      <c r="A78" s="57"/>
      <c r="B78" s="46" t="s">
        <v>99</v>
      </c>
      <c r="C78" s="14" t="s">
        <v>72</v>
      </c>
      <c r="D78" s="33">
        <f>1682</f>
        <v>1682</v>
      </c>
      <c r="E78" s="59">
        <v>230.82</v>
      </c>
      <c r="F78" s="14"/>
      <c r="G78" s="62">
        <f>ROUND((D78*E78*1),2)</f>
        <v>388239.24</v>
      </c>
      <c r="H78" s="15">
        <v>83</v>
      </c>
      <c r="I78" s="25"/>
      <c r="J78" s="26"/>
      <c r="K78" s="326"/>
      <c r="L78" s="133"/>
    </row>
    <row r="79" spans="1:12" s="1" customFormat="1" ht="16.5" customHeight="1" x14ac:dyDescent="0.25">
      <c r="A79" s="27" t="s">
        <v>100</v>
      </c>
      <c r="B79" s="21" t="s">
        <v>101</v>
      </c>
      <c r="C79" s="65"/>
      <c r="D79" s="14"/>
      <c r="E79" s="2"/>
      <c r="F79" s="14"/>
      <c r="G79" s="24">
        <f>G80+G101+G108+G121+G131</f>
        <v>20941394.510000005</v>
      </c>
      <c r="H79" s="15"/>
      <c r="I79" s="479" t="s">
        <v>211</v>
      </c>
      <c r="J79" s="26"/>
      <c r="K79" s="326"/>
      <c r="L79" s="133"/>
    </row>
    <row r="80" spans="1:12" s="1" customFormat="1" ht="17.25" customHeight="1" x14ac:dyDescent="0.25">
      <c r="A80" s="27" t="s">
        <v>102</v>
      </c>
      <c r="B80" s="44" t="s">
        <v>103</v>
      </c>
      <c r="C80" s="45" t="s">
        <v>104</v>
      </c>
      <c r="D80" s="29">
        <f>D84+D85+D86+D87+D88+D89</f>
        <v>2114</v>
      </c>
      <c r="E80" s="2"/>
      <c r="F80" s="45"/>
      <c r="G80" s="31">
        <f>SUM(G81:G100)</f>
        <v>3161848.8400000008</v>
      </c>
      <c r="H80" s="15"/>
      <c r="I80" s="480"/>
      <c r="J80" s="26"/>
      <c r="K80" s="326"/>
      <c r="L80" s="133"/>
    </row>
    <row r="81" spans="1:13" s="1" customFormat="1" ht="18" customHeight="1" x14ac:dyDescent="0.25">
      <c r="A81" s="27"/>
      <c r="B81" s="46" t="s">
        <v>41</v>
      </c>
      <c r="C81" s="14" t="s">
        <v>40</v>
      </c>
      <c r="D81" s="33">
        <v>294</v>
      </c>
      <c r="E81" s="43">
        <v>47.37</v>
      </c>
      <c r="F81" s="14">
        <v>1</v>
      </c>
      <c r="G81" s="47">
        <f>ROUND((D81*E81*F81),2)</f>
        <v>13926.78</v>
      </c>
      <c r="H81" s="15">
        <v>56</v>
      </c>
      <c r="I81" s="480"/>
      <c r="J81" s="26"/>
      <c r="K81" s="326"/>
      <c r="L81" s="133"/>
    </row>
    <row r="82" spans="1:13" s="1" customFormat="1" ht="18" customHeight="1" x14ac:dyDescent="0.25">
      <c r="A82" s="27"/>
      <c r="B82" s="49" t="s">
        <v>41</v>
      </c>
      <c r="C82" s="50" t="s">
        <v>40</v>
      </c>
      <c r="D82" s="51">
        <f>396</f>
        <v>396</v>
      </c>
      <c r="E82" s="81">
        <f>E23</f>
        <v>47.37</v>
      </c>
      <c r="F82" s="50">
        <v>1</v>
      </c>
      <c r="G82" s="53">
        <f>ROUND((D82*E82*F82),2)</f>
        <v>18758.52</v>
      </c>
      <c r="H82" s="54">
        <v>56</v>
      </c>
      <c r="I82" s="480"/>
      <c r="J82" s="25"/>
      <c r="K82" s="326"/>
      <c r="L82" s="133"/>
    </row>
    <row r="83" spans="1:13" s="1" customFormat="1" ht="18" customHeight="1" x14ac:dyDescent="0.25">
      <c r="A83" s="27"/>
      <c r="B83" s="49" t="s">
        <v>365</v>
      </c>
      <c r="C83" s="50" t="s">
        <v>40</v>
      </c>
      <c r="D83" s="51">
        <v>832</v>
      </c>
      <c r="E83" s="81">
        <v>12.95</v>
      </c>
      <c r="F83" s="50">
        <v>1</v>
      </c>
      <c r="G83" s="53">
        <f>ROUND((D83*E83*F83),2)</f>
        <v>10774.4</v>
      </c>
      <c r="H83" s="54" t="s">
        <v>366</v>
      </c>
      <c r="I83" s="480"/>
      <c r="J83" s="25"/>
      <c r="K83" s="326"/>
      <c r="L83" s="133"/>
    </row>
    <row r="84" spans="1:13" s="1" customFormat="1" ht="23.25" customHeight="1" x14ac:dyDescent="0.25">
      <c r="A84" s="27"/>
      <c r="B84" s="46" t="s">
        <v>105</v>
      </c>
      <c r="C84" s="14" t="s">
        <v>40</v>
      </c>
      <c r="D84" s="58">
        <f>161+31</f>
        <v>192</v>
      </c>
      <c r="E84" s="43">
        <v>135.19999999999999</v>
      </c>
      <c r="F84" s="14">
        <v>6</v>
      </c>
      <c r="G84" s="62">
        <f t="shared" ref="G84:G100" si="7">ROUND((D84*E84*F84),2)</f>
        <v>155750.39999999999</v>
      </c>
      <c r="H84" s="15">
        <v>59</v>
      </c>
      <c r="I84" s="480"/>
      <c r="J84" s="26"/>
      <c r="K84" s="326"/>
      <c r="L84" s="133"/>
    </row>
    <row r="85" spans="1:13" s="1" customFormat="1" ht="23.25" customHeight="1" x14ac:dyDescent="0.25">
      <c r="A85" s="27"/>
      <c r="B85" s="46" t="s">
        <v>109</v>
      </c>
      <c r="C85" s="14" t="s">
        <v>40</v>
      </c>
      <c r="D85" s="33">
        <f>D81</f>
        <v>294</v>
      </c>
      <c r="E85" s="43">
        <v>135.19999999999999</v>
      </c>
      <c r="F85" s="14">
        <v>16</v>
      </c>
      <c r="G85" s="62">
        <f>ROUND((D85*E85*F85),2)</f>
        <v>635980.80000000005</v>
      </c>
      <c r="H85" s="15">
        <v>59</v>
      </c>
      <c r="I85" s="480"/>
      <c r="J85" s="26"/>
      <c r="K85" s="326"/>
      <c r="L85" s="133"/>
    </row>
    <row r="86" spans="1:13" s="1" customFormat="1" ht="27" customHeight="1" x14ac:dyDescent="0.25">
      <c r="A86" s="27"/>
      <c r="B86" s="49" t="s">
        <v>106</v>
      </c>
      <c r="C86" s="50" t="s">
        <v>40</v>
      </c>
      <c r="D86" s="67">
        <f>257+14</f>
        <v>271</v>
      </c>
      <c r="E86" s="81">
        <v>135.19999999999999</v>
      </c>
      <c r="F86" s="50">
        <v>12</v>
      </c>
      <c r="G86" s="68">
        <f t="shared" si="7"/>
        <v>439670.4</v>
      </c>
      <c r="H86" s="54">
        <v>59</v>
      </c>
      <c r="I86" s="480"/>
      <c r="J86" s="26"/>
      <c r="K86" s="326"/>
      <c r="L86" s="133"/>
    </row>
    <row r="87" spans="1:13" s="1" customFormat="1" ht="25.5" customHeight="1" x14ac:dyDescent="0.25">
      <c r="A87" s="27"/>
      <c r="B87" s="49" t="s">
        <v>367</v>
      </c>
      <c r="C87" s="50" t="s">
        <v>40</v>
      </c>
      <c r="D87" s="67">
        <v>129</v>
      </c>
      <c r="E87" s="81">
        <v>32.450000000000003</v>
      </c>
      <c r="F87" s="50">
        <v>12</v>
      </c>
      <c r="G87" s="68">
        <f t="shared" si="7"/>
        <v>50232.6</v>
      </c>
      <c r="H87" s="54" t="s">
        <v>108</v>
      </c>
      <c r="I87" s="480"/>
      <c r="J87" s="26"/>
      <c r="K87" s="326"/>
      <c r="L87" s="133"/>
    </row>
    <row r="88" spans="1:13" s="1" customFormat="1" ht="21.75" customHeight="1" x14ac:dyDescent="0.25">
      <c r="A88" s="27"/>
      <c r="B88" s="49" t="s">
        <v>109</v>
      </c>
      <c r="C88" s="50" t="s">
        <v>40</v>
      </c>
      <c r="D88" s="51">
        <f>D82</f>
        <v>396</v>
      </c>
      <c r="E88" s="81">
        <f>E84</f>
        <v>135.19999999999999</v>
      </c>
      <c r="F88" s="50">
        <v>16</v>
      </c>
      <c r="G88" s="68">
        <f>ROUND((D88*E88*F88),2)</f>
        <v>856627.19999999995</v>
      </c>
      <c r="H88" s="54">
        <v>59</v>
      </c>
      <c r="I88" s="480"/>
      <c r="J88" s="25"/>
      <c r="K88" s="326"/>
      <c r="L88" s="133"/>
    </row>
    <row r="89" spans="1:13" s="1" customFormat="1" ht="21.75" customHeight="1" x14ac:dyDescent="0.25">
      <c r="A89" s="27"/>
      <c r="B89" s="49" t="s">
        <v>368</v>
      </c>
      <c r="C89" s="50" t="s">
        <v>40</v>
      </c>
      <c r="D89" s="51">
        <f>D83</f>
        <v>832</v>
      </c>
      <c r="E89" s="81">
        <v>32.450000000000003</v>
      </c>
      <c r="F89" s="50">
        <v>16</v>
      </c>
      <c r="G89" s="68">
        <f>ROUND((D89*E89*F89),2)</f>
        <v>431974.40000000002</v>
      </c>
      <c r="H89" s="54" t="s">
        <v>108</v>
      </c>
      <c r="I89" s="480"/>
      <c r="J89" s="25"/>
      <c r="K89" s="326"/>
      <c r="L89" s="133"/>
    </row>
    <row r="90" spans="1:13" s="1" customFormat="1" ht="21" customHeight="1" x14ac:dyDescent="0.25">
      <c r="A90" s="27"/>
      <c r="B90" s="46" t="s">
        <v>110</v>
      </c>
      <c r="C90" s="14" t="s">
        <v>40</v>
      </c>
      <c r="D90" s="58">
        <v>192</v>
      </c>
      <c r="E90" s="59">
        <v>38.049999999999997</v>
      </c>
      <c r="F90" s="30">
        <v>1</v>
      </c>
      <c r="G90" s="62">
        <f t="shared" si="7"/>
        <v>7305.6</v>
      </c>
      <c r="H90" s="15">
        <v>62</v>
      </c>
      <c r="I90" s="480"/>
      <c r="J90" s="26"/>
      <c r="K90" s="326"/>
      <c r="L90" s="133"/>
      <c r="M90" s="3"/>
    </row>
    <row r="91" spans="1:13" s="1" customFormat="1" ht="21" customHeight="1" x14ac:dyDescent="0.25">
      <c r="A91" s="27"/>
      <c r="B91" s="46" t="s">
        <v>114</v>
      </c>
      <c r="C91" s="14" t="s">
        <v>40</v>
      </c>
      <c r="D91" s="33">
        <f>D81</f>
        <v>294</v>
      </c>
      <c r="E91" s="59">
        <v>38.049999999999997</v>
      </c>
      <c r="F91" s="30">
        <v>4</v>
      </c>
      <c r="G91" s="62">
        <f>ROUND((D91*E91*F91),2)</f>
        <v>44746.8</v>
      </c>
      <c r="H91" s="15">
        <v>62</v>
      </c>
      <c r="I91" s="480"/>
      <c r="J91" s="26"/>
      <c r="K91" s="326"/>
      <c r="L91" s="133"/>
      <c r="M91" s="3"/>
    </row>
    <row r="92" spans="1:13" s="1" customFormat="1" ht="28.5" customHeight="1" x14ac:dyDescent="0.25">
      <c r="A92" s="27"/>
      <c r="B92" s="49" t="s">
        <v>111</v>
      </c>
      <c r="C92" s="50" t="s">
        <v>40</v>
      </c>
      <c r="D92" s="67">
        <f>257+14</f>
        <v>271</v>
      </c>
      <c r="E92" s="224">
        <f>E90</f>
        <v>38.049999999999997</v>
      </c>
      <c r="F92" s="55">
        <v>2</v>
      </c>
      <c r="G92" s="68">
        <f t="shared" si="7"/>
        <v>20623.099999999999</v>
      </c>
      <c r="H92" s="54">
        <v>62</v>
      </c>
      <c r="I92" s="480"/>
      <c r="J92" s="26"/>
      <c r="K92" s="326"/>
      <c r="L92" s="133"/>
      <c r="M92" s="3"/>
    </row>
    <row r="93" spans="1:13" s="1" customFormat="1" ht="21" customHeight="1" x14ac:dyDescent="0.25">
      <c r="A93" s="27"/>
      <c r="B93" s="49" t="s">
        <v>112</v>
      </c>
      <c r="C93" s="50" t="s">
        <v>40</v>
      </c>
      <c r="D93" s="67">
        <v>129</v>
      </c>
      <c r="E93" s="224">
        <v>10.4</v>
      </c>
      <c r="F93" s="55">
        <v>2</v>
      </c>
      <c r="G93" s="68">
        <f t="shared" si="7"/>
        <v>2683.2</v>
      </c>
      <c r="H93" s="54" t="s">
        <v>113</v>
      </c>
      <c r="I93" s="480"/>
      <c r="J93" s="26"/>
      <c r="K93" s="326"/>
      <c r="L93" s="133"/>
      <c r="M93" s="3"/>
    </row>
    <row r="94" spans="1:13" s="1" customFormat="1" ht="21" customHeight="1" x14ac:dyDescent="0.25">
      <c r="A94" s="27"/>
      <c r="B94" s="49" t="s">
        <v>114</v>
      </c>
      <c r="C94" s="50" t="s">
        <v>40</v>
      </c>
      <c r="D94" s="51">
        <f>D88</f>
        <v>396</v>
      </c>
      <c r="E94" s="224">
        <f>E92</f>
        <v>38.049999999999997</v>
      </c>
      <c r="F94" s="55">
        <v>4</v>
      </c>
      <c r="G94" s="68">
        <f t="shared" si="7"/>
        <v>60271.199999999997</v>
      </c>
      <c r="H94" s="54">
        <v>62</v>
      </c>
      <c r="I94" s="480"/>
      <c r="J94" s="25"/>
      <c r="K94" s="326"/>
      <c r="L94" s="133"/>
    </row>
    <row r="95" spans="1:13" s="1" customFormat="1" ht="21" customHeight="1" x14ac:dyDescent="0.25">
      <c r="A95" s="27"/>
      <c r="B95" s="49" t="s">
        <v>369</v>
      </c>
      <c r="C95" s="50" t="s">
        <v>40</v>
      </c>
      <c r="D95" s="51">
        <f>D89</f>
        <v>832</v>
      </c>
      <c r="E95" s="224">
        <v>10.4</v>
      </c>
      <c r="F95" s="55">
        <v>4</v>
      </c>
      <c r="G95" s="68">
        <f t="shared" si="7"/>
        <v>34611.199999999997</v>
      </c>
      <c r="H95" s="54" t="s">
        <v>113</v>
      </c>
      <c r="I95" s="480"/>
      <c r="J95" s="25"/>
      <c r="K95" s="326"/>
      <c r="L95" s="133"/>
    </row>
    <row r="96" spans="1:13" s="1" customFormat="1" ht="21.75" customHeight="1" x14ac:dyDescent="0.25">
      <c r="A96" s="27"/>
      <c r="B96" s="32" t="s">
        <v>118</v>
      </c>
      <c r="C96" s="63" t="s">
        <v>40</v>
      </c>
      <c r="D96" s="6">
        <f>D85</f>
        <v>294</v>
      </c>
      <c r="E96" s="64">
        <v>163</v>
      </c>
      <c r="F96" s="69">
        <v>2</v>
      </c>
      <c r="G96" s="35">
        <f>ROUND((D96*E96*F96),2)</f>
        <v>95844</v>
      </c>
      <c r="H96" s="4">
        <v>68</v>
      </c>
      <c r="I96" s="480"/>
      <c r="J96" s="70"/>
      <c r="K96" s="326"/>
      <c r="L96" s="133"/>
      <c r="M96" s="3"/>
    </row>
    <row r="97" spans="1:13" s="1" customFormat="1" ht="32.25" customHeight="1" x14ac:dyDescent="0.25">
      <c r="A97" s="27"/>
      <c r="B97" s="49" t="s">
        <v>115</v>
      </c>
      <c r="C97" s="50" t="s">
        <v>40</v>
      </c>
      <c r="D97" s="67">
        <f>D86</f>
        <v>271</v>
      </c>
      <c r="E97" s="224">
        <v>163</v>
      </c>
      <c r="F97" s="55">
        <v>1</v>
      </c>
      <c r="G97" s="68">
        <f t="shared" si="7"/>
        <v>44173</v>
      </c>
      <c r="H97" s="54">
        <v>68</v>
      </c>
      <c r="I97" s="480"/>
      <c r="J97" s="70"/>
      <c r="K97" s="326"/>
      <c r="L97" s="133"/>
      <c r="M97" s="3"/>
    </row>
    <row r="98" spans="1:13" s="1" customFormat="1" ht="23.25" customHeight="1" x14ac:dyDescent="0.25">
      <c r="A98" s="27"/>
      <c r="B98" s="49" t="s">
        <v>116</v>
      </c>
      <c r="C98" s="50" t="s">
        <v>40</v>
      </c>
      <c r="D98" s="67">
        <f>D87</f>
        <v>129</v>
      </c>
      <c r="E98" s="224">
        <v>60.68</v>
      </c>
      <c r="F98" s="55">
        <v>1</v>
      </c>
      <c r="G98" s="68">
        <f t="shared" si="7"/>
        <v>7827.72</v>
      </c>
      <c r="H98" s="54" t="s">
        <v>117</v>
      </c>
      <c r="I98" s="480"/>
      <c r="J98" s="70"/>
      <c r="K98" s="326"/>
      <c r="L98" s="133"/>
      <c r="M98" s="3"/>
    </row>
    <row r="99" spans="1:13" s="1" customFormat="1" ht="22.5" customHeight="1" x14ac:dyDescent="0.25">
      <c r="A99" s="27"/>
      <c r="B99" s="49" t="s">
        <v>118</v>
      </c>
      <c r="C99" s="50" t="s">
        <v>40</v>
      </c>
      <c r="D99" s="51">
        <f>D88</f>
        <v>396</v>
      </c>
      <c r="E99" s="224">
        <f>E97</f>
        <v>163</v>
      </c>
      <c r="F99" s="55">
        <v>2</v>
      </c>
      <c r="G99" s="68">
        <f t="shared" si="7"/>
        <v>129096</v>
      </c>
      <c r="H99" s="54">
        <v>68</v>
      </c>
      <c r="I99" s="480"/>
      <c r="J99" s="25"/>
      <c r="K99" s="326"/>
      <c r="L99" s="133"/>
    </row>
    <row r="100" spans="1:13" s="1" customFormat="1" ht="22.5" customHeight="1" x14ac:dyDescent="0.25">
      <c r="A100" s="27"/>
      <c r="B100" s="49" t="s">
        <v>370</v>
      </c>
      <c r="C100" s="50" t="s">
        <v>40</v>
      </c>
      <c r="D100" s="51">
        <f>D89</f>
        <v>832</v>
      </c>
      <c r="E100" s="224">
        <v>60.68</v>
      </c>
      <c r="F100" s="55">
        <v>2</v>
      </c>
      <c r="G100" s="68">
        <f t="shared" si="7"/>
        <v>100971.52</v>
      </c>
      <c r="H100" s="54" t="s">
        <v>117</v>
      </c>
      <c r="I100" s="480"/>
      <c r="J100" s="25"/>
      <c r="K100" s="326"/>
      <c r="L100" s="133"/>
    </row>
    <row r="101" spans="1:13" s="1" customFormat="1" ht="21" customHeight="1" x14ac:dyDescent="0.25">
      <c r="A101" s="27" t="s">
        <v>119</v>
      </c>
      <c r="B101" s="44" t="s">
        <v>45</v>
      </c>
      <c r="C101" s="45" t="s">
        <v>40</v>
      </c>
      <c r="D101" s="29">
        <f>D103+D105</f>
        <v>1384</v>
      </c>
      <c r="E101" s="2"/>
      <c r="F101" s="45"/>
      <c r="G101" s="31">
        <f>SUM(G102:G107)</f>
        <v>563805.86</v>
      </c>
      <c r="H101" s="15"/>
      <c r="I101" s="480"/>
      <c r="J101" s="26"/>
      <c r="K101" s="326"/>
      <c r="L101" s="133"/>
    </row>
    <row r="102" spans="1:13" s="1" customFormat="1" ht="18" customHeight="1" x14ac:dyDescent="0.25">
      <c r="A102" s="27"/>
      <c r="B102" s="46" t="s">
        <v>46</v>
      </c>
      <c r="C102" s="14" t="s">
        <v>40</v>
      </c>
      <c r="D102" s="33">
        <v>1247</v>
      </c>
      <c r="E102" s="48">
        <v>8.1999999999999993</v>
      </c>
      <c r="F102" s="14">
        <v>1</v>
      </c>
      <c r="G102" s="47">
        <f t="shared" ref="G102:G107" si="8">ROUND((D102*E102*F102),2)</f>
        <v>10225.4</v>
      </c>
      <c r="H102" s="15">
        <v>57</v>
      </c>
      <c r="I102" s="480"/>
      <c r="J102" s="25"/>
      <c r="K102" s="326"/>
      <c r="L102" s="133"/>
    </row>
    <row r="103" spans="1:13" s="1" customFormat="1" ht="21" customHeight="1" x14ac:dyDescent="0.25">
      <c r="A103" s="27"/>
      <c r="B103" s="46" t="s">
        <v>47</v>
      </c>
      <c r="C103" s="14" t="s">
        <v>40</v>
      </c>
      <c r="D103" s="58">
        <v>137</v>
      </c>
      <c r="E103" s="59">
        <v>21.63</v>
      </c>
      <c r="F103" s="14">
        <v>6</v>
      </c>
      <c r="G103" s="62">
        <f t="shared" si="8"/>
        <v>17779.86</v>
      </c>
      <c r="H103" s="15">
        <v>60</v>
      </c>
      <c r="I103" s="480"/>
      <c r="J103" s="26"/>
      <c r="K103" s="326"/>
      <c r="L103" s="133"/>
    </row>
    <row r="104" spans="1:13" s="1" customFormat="1" ht="21" customHeight="1" x14ac:dyDescent="0.25">
      <c r="A104" s="27"/>
      <c r="B104" s="46" t="s">
        <v>122</v>
      </c>
      <c r="C104" s="14" t="s">
        <v>40</v>
      </c>
      <c r="D104" s="58">
        <v>137</v>
      </c>
      <c r="E104" s="59">
        <v>6.66</v>
      </c>
      <c r="F104" s="30">
        <v>1</v>
      </c>
      <c r="G104" s="62">
        <f t="shared" si="8"/>
        <v>912.42</v>
      </c>
      <c r="H104" s="15">
        <v>63</v>
      </c>
      <c r="I104" s="480"/>
      <c r="J104" s="26"/>
      <c r="K104" s="326"/>
      <c r="L104" s="133"/>
      <c r="M104" s="3"/>
    </row>
    <row r="105" spans="1:13" s="1" customFormat="1" ht="21" customHeight="1" x14ac:dyDescent="0.25">
      <c r="A105" s="27"/>
      <c r="B105" s="46" t="s">
        <v>121</v>
      </c>
      <c r="C105" s="14" t="s">
        <v>40</v>
      </c>
      <c r="D105" s="33">
        <v>1247</v>
      </c>
      <c r="E105" s="59">
        <f>E103</f>
        <v>21.63</v>
      </c>
      <c r="F105" s="14">
        <v>16</v>
      </c>
      <c r="G105" s="62">
        <f t="shared" si="8"/>
        <v>431561.76</v>
      </c>
      <c r="H105" s="15">
        <v>60</v>
      </c>
      <c r="I105" s="480"/>
      <c r="J105" s="25"/>
      <c r="K105" s="326"/>
      <c r="L105" s="133"/>
    </row>
    <row r="106" spans="1:13" s="1" customFormat="1" ht="21" customHeight="1" x14ac:dyDescent="0.25">
      <c r="A106" s="27"/>
      <c r="B106" s="46" t="s">
        <v>123</v>
      </c>
      <c r="C106" s="14" t="s">
        <v>40</v>
      </c>
      <c r="D106" s="33">
        <f>D105</f>
        <v>1247</v>
      </c>
      <c r="E106" s="59">
        <f>E104</f>
        <v>6.66</v>
      </c>
      <c r="F106" s="30">
        <v>4</v>
      </c>
      <c r="G106" s="62">
        <f t="shared" si="8"/>
        <v>33220.080000000002</v>
      </c>
      <c r="H106" s="15">
        <v>63</v>
      </c>
      <c r="I106" s="480"/>
      <c r="J106" s="25"/>
      <c r="K106" s="326"/>
      <c r="L106" s="133"/>
    </row>
    <row r="107" spans="1:13" s="1" customFormat="1" ht="21" customHeight="1" x14ac:dyDescent="0.25">
      <c r="A107" s="27"/>
      <c r="B107" s="46" t="s">
        <v>124</v>
      </c>
      <c r="C107" s="14" t="s">
        <v>40</v>
      </c>
      <c r="D107" s="33">
        <f>D106</f>
        <v>1247</v>
      </c>
      <c r="E107" s="59">
        <v>28.11</v>
      </c>
      <c r="F107" s="30">
        <v>2</v>
      </c>
      <c r="G107" s="62">
        <f t="shared" si="8"/>
        <v>70106.34</v>
      </c>
      <c r="H107" s="15">
        <v>69</v>
      </c>
      <c r="I107" s="480"/>
      <c r="J107" s="25"/>
      <c r="K107" s="326"/>
      <c r="L107" s="133"/>
    </row>
    <row r="108" spans="1:13" s="1" customFormat="1" ht="21" customHeight="1" x14ac:dyDescent="0.25">
      <c r="A108" s="27" t="s">
        <v>125</v>
      </c>
      <c r="B108" s="44" t="s">
        <v>126</v>
      </c>
      <c r="C108" s="14" t="s">
        <v>54</v>
      </c>
      <c r="D108" s="29">
        <f>D111+D112+D113</f>
        <v>1171</v>
      </c>
      <c r="E108" s="2"/>
      <c r="F108" s="45"/>
      <c r="G108" s="31">
        <f>SUM(G109:G120)</f>
        <v>685042.01000000013</v>
      </c>
      <c r="H108" s="15"/>
      <c r="I108" s="480"/>
      <c r="J108" s="26"/>
      <c r="K108" s="326"/>
      <c r="L108" s="133"/>
    </row>
    <row r="109" spans="1:13" s="1" customFormat="1" ht="18" customHeight="1" x14ac:dyDescent="0.25">
      <c r="A109" s="27"/>
      <c r="B109" s="49" t="s">
        <v>53</v>
      </c>
      <c r="C109" s="50" t="s">
        <v>54</v>
      </c>
      <c r="D109" s="51">
        <v>766</v>
      </c>
      <c r="E109" s="81">
        <v>17.75</v>
      </c>
      <c r="F109" s="50">
        <v>1</v>
      </c>
      <c r="G109" s="53">
        <f t="shared" ref="G109:G120" si="9">ROUND((D109*E109*F109),2)</f>
        <v>13596.5</v>
      </c>
      <c r="H109" s="54">
        <v>58</v>
      </c>
      <c r="I109" s="480"/>
      <c r="J109" s="26"/>
      <c r="K109" s="326"/>
      <c r="L109" s="133"/>
    </row>
    <row r="110" spans="1:13" s="1" customFormat="1" ht="18" customHeight="1" x14ac:dyDescent="0.25">
      <c r="A110" s="27"/>
      <c r="B110" s="32" t="s">
        <v>53</v>
      </c>
      <c r="C110" s="63" t="s">
        <v>54</v>
      </c>
      <c r="D110" s="7">
        <v>355</v>
      </c>
      <c r="E110" s="34">
        <v>17.75</v>
      </c>
      <c r="F110" s="63">
        <v>1</v>
      </c>
      <c r="G110" s="60">
        <f>ROUND((D110*E110*F110),2)</f>
        <v>6301.25</v>
      </c>
      <c r="H110" s="4">
        <v>58</v>
      </c>
      <c r="I110" s="480"/>
      <c r="J110" s="25"/>
      <c r="K110" s="326"/>
      <c r="L110" s="133"/>
    </row>
    <row r="111" spans="1:13" s="1" customFormat="1" ht="20.25" customHeight="1" x14ac:dyDescent="0.25">
      <c r="A111" s="27"/>
      <c r="B111" s="46" t="s">
        <v>55</v>
      </c>
      <c r="C111" s="14" t="s">
        <v>54</v>
      </c>
      <c r="D111" s="58">
        <v>50</v>
      </c>
      <c r="E111" s="59">
        <v>32.450000000000003</v>
      </c>
      <c r="F111" s="14">
        <v>6</v>
      </c>
      <c r="G111" s="62">
        <f t="shared" si="9"/>
        <v>9735</v>
      </c>
      <c r="H111" s="15">
        <v>61</v>
      </c>
      <c r="I111" s="480"/>
      <c r="J111" s="26"/>
      <c r="K111" s="326"/>
      <c r="L111" s="133"/>
    </row>
    <row r="112" spans="1:13" s="1" customFormat="1" ht="20.25" customHeight="1" x14ac:dyDescent="0.25">
      <c r="A112" s="27"/>
      <c r="B112" s="49" t="s">
        <v>127</v>
      </c>
      <c r="C112" s="50" t="s">
        <v>54</v>
      </c>
      <c r="D112" s="67">
        <v>766</v>
      </c>
      <c r="E112" s="224">
        <f>E111</f>
        <v>32.450000000000003</v>
      </c>
      <c r="F112" s="50">
        <v>12</v>
      </c>
      <c r="G112" s="68">
        <f t="shared" si="9"/>
        <v>298280.40000000002</v>
      </c>
      <c r="H112" s="54">
        <v>61</v>
      </c>
      <c r="I112" s="480"/>
      <c r="J112" s="26"/>
      <c r="K112" s="326"/>
      <c r="L112" s="133"/>
    </row>
    <row r="113" spans="1:13" s="1" customFormat="1" ht="20.25" customHeight="1" x14ac:dyDescent="0.25">
      <c r="A113" s="27"/>
      <c r="B113" s="46" t="s">
        <v>371</v>
      </c>
      <c r="C113" s="14" t="s">
        <v>54</v>
      </c>
      <c r="D113" s="33">
        <f>D110</f>
        <v>355</v>
      </c>
      <c r="E113" s="59">
        <v>32.450000000000003</v>
      </c>
      <c r="F113" s="14">
        <v>16</v>
      </c>
      <c r="G113" s="62">
        <f>ROUND((D113*E113*F113),2)</f>
        <v>184316</v>
      </c>
      <c r="H113" s="15">
        <v>61</v>
      </c>
      <c r="I113" s="480"/>
      <c r="J113" s="25"/>
      <c r="K113" s="326"/>
      <c r="L113" s="133"/>
    </row>
    <row r="114" spans="1:13" s="1" customFormat="1" ht="18" customHeight="1" x14ac:dyDescent="0.25">
      <c r="A114" s="27"/>
      <c r="B114" s="46" t="s">
        <v>129</v>
      </c>
      <c r="C114" s="14" t="s">
        <v>54</v>
      </c>
      <c r="D114" s="33">
        <v>50</v>
      </c>
      <c r="E114" s="59">
        <v>18.399999999999999</v>
      </c>
      <c r="F114" s="30">
        <v>1</v>
      </c>
      <c r="G114" s="62">
        <f t="shared" si="9"/>
        <v>920</v>
      </c>
      <c r="H114" s="15">
        <v>64</v>
      </c>
      <c r="I114" s="480"/>
      <c r="J114" s="26"/>
      <c r="K114" s="326"/>
      <c r="L114" s="133"/>
      <c r="M114" s="3"/>
    </row>
    <row r="115" spans="1:13" s="1" customFormat="1" ht="18" customHeight="1" x14ac:dyDescent="0.25">
      <c r="A115" s="27"/>
      <c r="B115" s="46" t="s">
        <v>131</v>
      </c>
      <c r="C115" s="14" t="s">
        <v>54</v>
      </c>
      <c r="D115" s="33">
        <f>D113</f>
        <v>355</v>
      </c>
      <c r="E115" s="59">
        <v>18.399999999999999</v>
      </c>
      <c r="F115" s="30">
        <v>4</v>
      </c>
      <c r="G115" s="62">
        <f t="shared" si="9"/>
        <v>26128</v>
      </c>
      <c r="H115" s="15">
        <v>64</v>
      </c>
      <c r="I115" s="480"/>
      <c r="J115" s="25"/>
      <c r="K115" s="326"/>
      <c r="L115" s="133"/>
    </row>
    <row r="116" spans="1:13" s="1" customFormat="1" ht="18.75" customHeight="1" x14ac:dyDescent="0.25">
      <c r="A116" s="27"/>
      <c r="B116" s="49" t="s">
        <v>130</v>
      </c>
      <c r="C116" s="50" t="s">
        <v>54</v>
      </c>
      <c r="D116" s="51">
        <v>766</v>
      </c>
      <c r="E116" s="224">
        <f>E114</f>
        <v>18.399999999999999</v>
      </c>
      <c r="F116" s="55">
        <v>2</v>
      </c>
      <c r="G116" s="68">
        <f t="shared" si="9"/>
        <v>28188.799999999999</v>
      </c>
      <c r="H116" s="54">
        <v>64</v>
      </c>
      <c r="I116" s="480"/>
      <c r="J116" s="26"/>
      <c r="K116" s="326"/>
      <c r="L116" s="133"/>
      <c r="M116" s="3"/>
    </row>
    <row r="117" spans="1:13" s="1" customFormat="1" ht="21" customHeight="1" x14ac:dyDescent="0.25">
      <c r="A117" s="27"/>
      <c r="B117" s="49" t="s">
        <v>132</v>
      </c>
      <c r="C117" s="50" t="s">
        <v>40</v>
      </c>
      <c r="D117" s="51">
        <f>D109</f>
        <v>766</v>
      </c>
      <c r="E117" s="224">
        <v>66.87</v>
      </c>
      <c r="F117" s="55">
        <v>1</v>
      </c>
      <c r="G117" s="68">
        <f t="shared" si="9"/>
        <v>51222.42</v>
      </c>
      <c r="H117" s="54">
        <v>70</v>
      </c>
      <c r="I117" s="480"/>
      <c r="J117" s="70"/>
      <c r="K117" s="326"/>
      <c r="L117" s="133"/>
      <c r="M117" s="3"/>
    </row>
    <row r="118" spans="1:13" s="1" customFormat="1" ht="21" customHeight="1" x14ac:dyDescent="0.25">
      <c r="A118" s="27"/>
      <c r="B118" s="32" t="s">
        <v>133</v>
      </c>
      <c r="C118" s="63" t="s">
        <v>54</v>
      </c>
      <c r="D118" s="7">
        <f>D115</f>
        <v>355</v>
      </c>
      <c r="E118" s="64">
        <v>66.87</v>
      </c>
      <c r="F118" s="69">
        <v>2</v>
      </c>
      <c r="G118" s="35">
        <f t="shared" si="9"/>
        <v>47477.7</v>
      </c>
      <c r="H118" s="4">
        <v>70</v>
      </c>
      <c r="I118" s="480"/>
      <c r="J118" s="25"/>
      <c r="K118" s="326"/>
      <c r="L118" s="133"/>
    </row>
    <row r="119" spans="1:13" s="1" customFormat="1" ht="21" customHeight="1" x14ac:dyDescent="0.25">
      <c r="A119" s="71"/>
      <c r="B119" s="225" t="s">
        <v>61</v>
      </c>
      <c r="C119" s="63" t="s">
        <v>54</v>
      </c>
      <c r="D119" s="226">
        <v>343</v>
      </c>
      <c r="E119" s="227">
        <v>26.55</v>
      </c>
      <c r="F119" s="228">
        <v>2</v>
      </c>
      <c r="G119" s="35">
        <f t="shared" si="9"/>
        <v>18213.3</v>
      </c>
      <c r="H119" s="4">
        <v>41</v>
      </c>
      <c r="I119" s="480"/>
      <c r="J119" s="25"/>
      <c r="K119" s="326"/>
      <c r="L119" s="133"/>
    </row>
    <row r="120" spans="1:13" s="1" customFormat="1" ht="28.5" customHeight="1" x14ac:dyDescent="0.25">
      <c r="A120" s="71"/>
      <c r="B120" s="225" t="s">
        <v>134</v>
      </c>
      <c r="C120" s="63" t="s">
        <v>54</v>
      </c>
      <c r="D120" s="226">
        <v>12</v>
      </c>
      <c r="E120" s="227">
        <v>27.61</v>
      </c>
      <c r="F120" s="228">
        <v>2</v>
      </c>
      <c r="G120" s="35">
        <f t="shared" si="9"/>
        <v>662.64</v>
      </c>
      <c r="H120" s="4">
        <v>44</v>
      </c>
      <c r="I120" s="480"/>
      <c r="J120" s="25"/>
      <c r="K120" s="326"/>
      <c r="L120" s="133"/>
    </row>
    <row r="121" spans="1:13" s="1" customFormat="1" ht="15.75" x14ac:dyDescent="0.25">
      <c r="A121" s="71" t="s">
        <v>135</v>
      </c>
      <c r="B121" s="76" t="s">
        <v>372</v>
      </c>
      <c r="C121" s="77" t="s">
        <v>23</v>
      </c>
      <c r="D121" s="78">
        <f>D122+D124+D125+D126+D127+D128+D129+D130</f>
        <v>110265</v>
      </c>
      <c r="E121" s="79"/>
      <c r="F121" s="78"/>
      <c r="G121" s="80">
        <f>SUM(G122:G130)</f>
        <v>16438804.200000001</v>
      </c>
      <c r="H121" s="15"/>
      <c r="K121" s="326"/>
      <c r="L121" s="133"/>
    </row>
    <row r="122" spans="1:13" s="1" customFormat="1" ht="21" customHeight="1" x14ac:dyDescent="0.25">
      <c r="A122" s="27"/>
      <c r="B122" s="46" t="s">
        <v>373</v>
      </c>
      <c r="C122" s="14" t="s">
        <v>23</v>
      </c>
      <c r="D122" s="33">
        <f>40422+80</f>
        <v>40502</v>
      </c>
      <c r="E122" s="43">
        <v>5.92</v>
      </c>
      <c r="F122" s="14">
        <v>2</v>
      </c>
      <c r="G122" s="62">
        <f t="shared" ref="G122:G130" si="10">ROUND((D122*E122*F122),2)</f>
        <v>479543.68</v>
      </c>
      <c r="H122" s="15">
        <v>54</v>
      </c>
      <c r="I122" s="471" t="s">
        <v>169</v>
      </c>
      <c r="K122" s="326"/>
      <c r="L122" s="133"/>
    </row>
    <row r="123" spans="1:13" s="1" customFormat="1" ht="21" customHeight="1" x14ac:dyDescent="0.25">
      <c r="A123" s="27"/>
      <c r="B123" s="32" t="s">
        <v>30</v>
      </c>
      <c r="C123" s="14" t="s">
        <v>23</v>
      </c>
      <c r="D123" s="33">
        <f>D122</f>
        <v>40502</v>
      </c>
      <c r="E123" s="43">
        <v>3.61</v>
      </c>
      <c r="F123" s="30">
        <v>1</v>
      </c>
      <c r="G123" s="35">
        <f t="shared" si="10"/>
        <v>146212.22</v>
      </c>
      <c r="H123" s="15" t="s">
        <v>31</v>
      </c>
      <c r="I123" s="472"/>
      <c r="K123" s="326"/>
      <c r="L123" s="133"/>
    </row>
    <row r="124" spans="1:13" s="1" customFormat="1" ht="20.25" customHeight="1" x14ac:dyDescent="0.25">
      <c r="A124" s="27"/>
      <c r="B124" s="46" t="s">
        <v>374</v>
      </c>
      <c r="C124" s="14" t="s">
        <v>23</v>
      </c>
      <c r="D124" s="33">
        <v>2500</v>
      </c>
      <c r="E124" s="43">
        <f>E122</f>
        <v>5.92</v>
      </c>
      <c r="F124" s="14">
        <v>5</v>
      </c>
      <c r="G124" s="62">
        <f t="shared" si="10"/>
        <v>74000</v>
      </c>
      <c r="H124" s="15">
        <v>54</v>
      </c>
      <c r="I124" s="472"/>
      <c r="K124" s="326"/>
      <c r="L124" s="133"/>
    </row>
    <row r="125" spans="1:13" s="1" customFormat="1" ht="20.25" customHeight="1" x14ac:dyDescent="0.25">
      <c r="A125" s="27"/>
      <c r="B125" s="49" t="s">
        <v>139</v>
      </c>
      <c r="C125" s="50" t="s">
        <v>23</v>
      </c>
      <c r="D125" s="51">
        <v>4662</v>
      </c>
      <c r="E125" s="81">
        <v>37.57</v>
      </c>
      <c r="F125" s="50">
        <v>6</v>
      </c>
      <c r="G125" s="68">
        <f t="shared" si="10"/>
        <v>1050908.04</v>
      </c>
      <c r="H125" s="54">
        <v>129</v>
      </c>
      <c r="I125" s="472"/>
      <c r="K125" s="326"/>
      <c r="L125" s="133"/>
    </row>
    <row r="126" spans="1:13" s="1" customFormat="1" ht="20.25" customHeight="1" x14ac:dyDescent="0.25">
      <c r="A126" s="27"/>
      <c r="B126" s="32" t="s">
        <v>139</v>
      </c>
      <c r="C126" s="63" t="s">
        <v>23</v>
      </c>
      <c r="D126" s="7">
        <v>13057</v>
      </c>
      <c r="E126" s="34">
        <v>37.57</v>
      </c>
      <c r="F126" s="63">
        <v>6</v>
      </c>
      <c r="G126" s="35">
        <f t="shared" si="10"/>
        <v>2943308.94</v>
      </c>
      <c r="H126" s="4">
        <v>129</v>
      </c>
      <c r="I126" s="472"/>
      <c r="K126" s="326"/>
      <c r="L126" s="133"/>
    </row>
    <row r="127" spans="1:13" s="1" customFormat="1" ht="20.25" customHeight="1" x14ac:dyDescent="0.25">
      <c r="A127" s="27"/>
      <c r="B127" s="49" t="s">
        <v>139</v>
      </c>
      <c r="C127" s="50" t="s">
        <v>23</v>
      </c>
      <c r="D127" s="51">
        <v>47926</v>
      </c>
      <c r="E127" s="81">
        <v>37.57</v>
      </c>
      <c r="F127" s="50">
        <v>6</v>
      </c>
      <c r="G127" s="68">
        <f t="shared" si="10"/>
        <v>10803478.92</v>
      </c>
      <c r="H127" s="54">
        <v>129</v>
      </c>
      <c r="I127" s="473"/>
      <c r="K127" s="326"/>
      <c r="L127" s="133"/>
    </row>
    <row r="128" spans="1:13" s="1" customFormat="1" ht="20.25" customHeight="1" x14ac:dyDescent="0.25">
      <c r="A128" s="27"/>
      <c r="B128" s="49" t="s">
        <v>143</v>
      </c>
      <c r="C128" s="50" t="s">
        <v>23</v>
      </c>
      <c r="D128" s="51">
        <v>223</v>
      </c>
      <c r="E128" s="81">
        <v>116.36</v>
      </c>
      <c r="F128" s="50">
        <v>5</v>
      </c>
      <c r="G128" s="68">
        <f t="shared" si="10"/>
        <v>129741.4</v>
      </c>
      <c r="H128" s="54">
        <v>66</v>
      </c>
      <c r="I128" s="471" t="s">
        <v>211</v>
      </c>
      <c r="K128" s="326"/>
      <c r="L128" s="133"/>
    </row>
    <row r="129" spans="1:13" s="1" customFormat="1" ht="20.25" customHeight="1" x14ac:dyDescent="0.25">
      <c r="A129" s="27"/>
      <c r="B129" s="32" t="s">
        <v>143</v>
      </c>
      <c r="C129" s="63" t="s">
        <v>23</v>
      </c>
      <c r="D129" s="7">
        <v>1250</v>
      </c>
      <c r="E129" s="34">
        <v>116.36</v>
      </c>
      <c r="F129" s="63">
        <v>5</v>
      </c>
      <c r="G129" s="35">
        <f t="shared" si="10"/>
        <v>727250</v>
      </c>
      <c r="H129" s="4">
        <v>66</v>
      </c>
      <c r="I129" s="472"/>
      <c r="K129" s="326"/>
      <c r="L129" s="133"/>
    </row>
    <row r="130" spans="1:13" s="1" customFormat="1" ht="20.25" customHeight="1" x14ac:dyDescent="0.25">
      <c r="A130" s="27"/>
      <c r="B130" s="49" t="s">
        <v>143</v>
      </c>
      <c r="C130" s="50" t="s">
        <v>23</v>
      </c>
      <c r="D130" s="51">
        <v>145</v>
      </c>
      <c r="E130" s="81">
        <v>116.36</v>
      </c>
      <c r="F130" s="50">
        <v>5</v>
      </c>
      <c r="G130" s="68">
        <f t="shared" si="10"/>
        <v>84361</v>
      </c>
      <c r="H130" s="54">
        <v>66</v>
      </c>
      <c r="I130" s="473"/>
      <c r="J130" s="25"/>
      <c r="K130" s="326"/>
      <c r="L130" s="133"/>
    </row>
    <row r="131" spans="1:13" s="1" customFormat="1" ht="21" customHeight="1" x14ac:dyDescent="0.25">
      <c r="A131" s="71" t="s">
        <v>141</v>
      </c>
      <c r="B131" s="76" t="s">
        <v>145</v>
      </c>
      <c r="C131" s="77" t="s">
        <v>23</v>
      </c>
      <c r="D131" s="78">
        <f>D132</f>
        <v>40</v>
      </c>
      <c r="E131" s="79"/>
      <c r="F131" s="78"/>
      <c r="G131" s="80">
        <f>G132+G133+G134+G135</f>
        <v>91893.6</v>
      </c>
      <c r="H131" s="15"/>
      <c r="I131" s="486" t="s">
        <v>211</v>
      </c>
      <c r="K131" s="326"/>
      <c r="L131" s="133"/>
    </row>
    <row r="132" spans="1:13" s="1" customFormat="1" ht="21" customHeight="1" x14ac:dyDescent="0.25">
      <c r="A132" s="27"/>
      <c r="B132" s="49" t="s">
        <v>146</v>
      </c>
      <c r="C132" s="50" t="s">
        <v>23</v>
      </c>
      <c r="D132" s="51">
        <v>40</v>
      </c>
      <c r="E132" s="81">
        <v>95.39</v>
      </c>
      <c r="F132" s="50">
        <v>1</v>
      </c>
      <c r="G132" s="68">
        <f>ROUND((D132*E132*F132),2)</f>
        <v>3815.6</v>
      </c>
      <c r="H132" s="54">
        <v>125</v>
      </c>
      <c r="I132" s="486"/>
      <c r="K132" s="326"/>
      <c r="L132" s="133"/>
    </row>
    <row r="133" spans="1:13" s="1" customFormat="1" ht="20.25" customHeight="1" x14ac:dyDescent="0.25">
      <c r="A133" s="27"/>
      <c r="B133" s="49" t="s">
        <v>147</v>
      </c>
      <c r="C133" s="50" t="s">
        <v>40</v>
      </c>
      <c r="D133" s="51">
        <v>960</v>
      </c>
      <c r="E133" s="66">
        <v>35</v>
      </c>
      <c r="F133" s="55">
        <v>1</v>
      </c>
      <c r="G133" s="68">
        <f>ROUND((D133*E133*F133),2)</f>
        <v>33600</v>
      </c>
      <c r="H133" s="54">
        <v>126</v>
      </c>
      <c r="I133" s="486"/>
      <c r="K133" s="326"/>
      <c r="L133" s="133"/>
    </row>
    <row r="134" spans="1:13" s="1" customFormat="1" ht="20.25" customHeight="1" x14ac:dyDescent="0.25">
      <c r="A134" s="27"/>
      <c r="B134" s="49" t="s">
        <v>148</v>
      </c>
      <c r="C134" s="50" t="s">
        <v>23</v>
      </c>
      <c r="D134" s="51">
        <v>40</v>
      </c>
      <c r="E134" s="81">
        <f>E128</f>
        <v>116.36</v>
      </c>
      <c r="F134" s="50">
        <v>5</v>
      </c>
      <c r="G134" s="68">
        <f>ROUND((D134*E134*F134),2)</f>
        <v>23272</v>
      </c>
      <c r="H134" s="54">
        <v>66</v>
      </c>
      <c r="I134" s="486"/>
      <c r="K134" s="326"/>
      <c r="L134" s="133"/>
    </row>
    <row r="135" spans="1:13" s="1" customFormat="1" ht="20.25" customHeight="1" x14ac:dyDescent="0.25">
      <c r="A135" s="83"/>
      <c r="B135" s="229" t="s">
        <v>375</v>
      </c>
      <c r="C135" s="230" t="s">
        <v>23</v>
      </c>
      <c r="D135" s="231">
        <v>40</v>
      </c>
      <c r="E135" s="232">
        <v>22.29</v>
      </c>
      <c r="F135" s="230">
        <v>35</v>
      </c>
      <c r="G135" s="68">
        <f>ROUND((D135*E135*F135),2)</f>
        <v>31206</v>
      </c>
      <c r="H135" s="54">
        <v>130</v>
      </c>
      <c r="I135" s="486"/>
      <c r="K135" s="326"/>
      <c r="L135" s="133"/>
    </row>
    <row r="136" spans="1:13" s="1" customFormat="1" ht="15.75" x14ac:dyDescent="0.25">
      <c r="A136" s="83" t="s">
        <v>149</v>
      </c>
      <c r="B136" s="84" t="s">
        <v>150</v>
      </c>
      <c r="C136" s="85" t="s">
        <v>23</v>
      </c>
      <c r="D136" s="86">
        <f>D137+D138</f>
        <v>2121</v>
      </c>
      <c r="E136" s="87"/>
      <c r="F136" s="86"/>
      <c r="G136" s="88">
        <f>SUM(G137:G139)</f>
        <v>1054065.74</v>
      </c>
      <c r="H136" s="15"/>
      <c r="I136" s="486"/>
      <c r="K136" s="326"/>
      <c r="L136" s="133"/>
    </row>
    <row r="137" spans="1:13" s="1" customFormat="1" ht="15.75" customHeight="1" x14ac:dyDescent="0.25">
      <c r="A137" s="57"/>
      <c r="B137" s="46" t="s">
        <v>151</v>
      </c>
      <c r="C137" s="14" t="s">
        <v>23</v>
      </c>
      <c r="D137" s="33">
        <v>1771</v>
      </c>
      <c r="E137" s="43">
        <f>E134</f>
        <v>116.36</v>
      </c>
      <c r="F137" s="30">
        <v>4</v>
      </c>
      <c r="G137" s="62">
        <f>ROUND((D137*E137*F137),2)</f>
        <v>824294.24</v>
      </c>
      <c r="H137" s="15">
        <v>66</v>
      </c>
      <c r="I137" s="486"/>
      <c r="K137" s="326"/>
      <c r="L137" s="133"/>
    </row>
    <row r="138" spans="1:13" s="1" customFormat="1" ht="15.75" customHeight="1" x14ac:dyDescent="0.25">
      <c r="A138" s="57"/>
      <c r="B138" s="46" t="s">
        <v>143</v>
      </c>
      <c r="C138" s="14" t="s">
        <v>23</v>
      </c>
      <c r="D138" s="33">
        <v>350</v>
      </c>
      <c r="E138" s="43">
        <f>E137</f>
        <v>116.36</v>
      </c>
      <c r="F138" s="30">
        <v>5</v>
      </c>
      <c r="G138" s="62">
        <f>ROUND((D138*E138*F138),2)</f>
        <v>203630</v>
      </c>
      <c r="H138" s="15">
        <v>66</v>
      </c>
      <c r="I138" s="486"/>
      <c r="K138" s="326"/>
      <c r="L138" s="133"/>
    </row>
    <row r="139" spans="1:13" s="1" customFormat="1" ht="15.75" x14ac:dyDescent="0.25">
      <c r="A139" s="89"/>
      <c r="B139" s="90" t="s">
        <v>152</v>
      </c>
      <c r="C139" s="91" t="s">
        <v>23</v>
      </c>
      <c r="D139" s="92">
        <v>350</v>
      </c>
      <c r="E139" s="93">
        <v>74.69</v>
      </c>
      <c r="F139" s="94"/>
      <c r="G139" s="62">
        <f>ROUND((D139*E139*1),2)</f>
        <v>26141.5</v>
      </c>
      <c r="H139" s="15">
        <v>67</v>
      </c>
      <c r="I139" s="486"/>
      <c r="K139" s="326"/>
      <c r="L139" s="133"/>
    </row>
    <row r="140" spans="1:13" s="1" customFormat="1" ht="19.5" customHeight="1" x14ac:dyDescent="0.25">
      <c r="A140" s="27" t="s">
        <v>153</v>
      </c>
      <c r="B140" s="44" t="s">
        <v>154</v>
      </c>
      <c r="C140" s="45" t="s">
        <v>23</v>
      </c>
      <c r="D140" s="29">
        <f>D141</f>
        <v>206494</v>
      </c>
      <c r="E140" s="48"/>
      <c r="F140" s="29"/>
      <c r="G140" s="56">
        <f>G141+G142</f>
        <v>7640278</v>
      </c>
      <c r="H140" s="15"/>
      <c r="I140" s="484" t="s">
        <v>176</v>
      </c>
      <c r="J140" s="10">
        <f>G140+G143</f>
        <v>8493521.8000000007</v>
      </c>
      <c r="K140" s="294">
        <v>1.356897</v>
      </c>
      <c r="L140" s="25">
        <f t="shared" ref="L140:L201" si="11">J140+(J140*K140/100)</f>
        <v>8608770.1424985472</v>
      </c>
      <c r="M140" s="3">
        <v>8608</v>
      </c>
    </row>
    <row r="141" spans="1:13" s="1" customFormat="1" ht="19.5" customHeight="1" x14ac:dyDescent="0.25">
      <c r="A141" s="27"/>
      <c r="B141" s="36" t="s">
        <v>155</v>
      </c>
      <c r="C141" s="37" t="s">
        <v>23</v>
      </c>
      <c r="D141" s="95">
        <v>206494</v>
      </c>
      <c r="E141" s="96">
        <v>6.36</v>
      </c>
      <c r="F141" s="40">
        <v>5</v>
      </c>
      <c r="G141" s="97">
        <f>ROUND((D141*E141*F141),2)</f>
        <v>6566509.2000000002</v>
      </c>
      <c r="H141" s="42">
        <v>101</v>
      </c>
      <c r="I141" s="484"/>
      <c r="J141" s="236"/>
      <c r="K141" s="294"/>
      <c r="L141" s="25"/>
      <c r="M141" s="98"/>
    </row>
    <row r="142" spans="1:13" s="1" customFormat="1" ht="23.25" customHeight="1" x14ac:dyDescent="0.25">
      <c r="A142" s="27"/>
      <c r="B142" s="36" t="s">
        <v>156</v>
      </c>
      <c r="C142" s="37" t="s">
        <v>23</v>
      </c>
      <c r="D142" s="95">
        <f>D141</f>
        <v>206494</v>
      </c>
      <c r="E142" s="96">
        <v>2.6</v>
      </c>
      <c r="F142" s="40">
        <v>2</v>
      </c>
      <c r="G142" s="97">
        <f>ROUND((D142*E142*F142),2)</f>
        <v>1073768.8</v>
      </c>
      <c r="H142" s="42">
        <v>102</v>
      </c>
      <c r="I142" s="484"/>
      <c r="K142" s="294"/>
      <c r="L142" s="25"/>
      <c r="M142" s="3"/>
    </row>
    <row r="143" spans="1:13" s="1" customFormat="1" ht="19.5" customHeight="1" x14ac:dyDescent="0.25">
      <c r="A143" s="27" t="s">
        <v>157</v>
      </c>
      <c r="B143" s="44" t="s">
        <v>158</v>
      </c>
      <c r="C143" s="45" t="s">
        <v>54</v>
      </c>
      <c r="D143" s="29">
        <f>D145</f>
        <v>1130</v>
      </c>
      <c r="E143" s="2"/>
      <c r="F143" s="29"/>
      <c r="G143" s="56">
        <f>G144+G145+G146</f>
        <v>853243.79999999993</v>
      </c>
      <c r="H143" s="15"/>
      <c r="I143" s="484"/>
      <c r="K143" s="294"/>
      <c r="L143" s="25"/>
      <c r="M143" s="3"/>
    </row>
    <row r="144" spans="1:13" s="1" customFormat="1" ht="19.5" customHeight="1" x14ac:dyDescent="0.25">
      <c r="A144" s="27"/>
      <c r="B144" s="36" t="s">
        <v>159</v>
      </c>
      <c r="C144" s="37" t="s">
        <v>40</v>
      </c>
      <c r="D144" s="99">
        <v>140</v>
      </c>
      <c r="E144" s="100">
        <v>3549.78</v>
      </c>
      <c r="F144" s="40">
        <v>1</v>
      </c>
      <c r="G144" s="97">
        <f>ROUND((D144*E144*F144),2)</f>
        <v>496969.2</v>
      </c>
      <c r="H144" s="42">
        <v>117</v>
      </c>
      <c r="I144" s="484"/>
      <c r="K144" s="294"/>
      <c r="L144" s="25"/>
      <c r="M144" s="3"/>
    </row>
    <row r="145" spans="1:13" s="1" customFormat="1" ht="19.5" customHeight="1" x14ac:dyDescent="0.25">
      <c r="A145" s="27"/>
      <c r="B145" s="36" t="s">
        <v>160</v>
      </c>
      <c r="C145" s="37" t="s">
        <v>54</v>
      </c>
      <c r="D145" s="99">
        <v>1130</v>
      </c>
      <c r="E145" s="100">
        <v>285.60000000000002</v>
      </c>
      <c r="F145" s="40">
        <v>1</v>
      </c>
      <c r="G145" s="97">
        <f>ROUND((D145*E145*F145),2)</f>
        <v>322728</v>
      </c>
      <c r="H145" s="42">
        <v>116</v>
      </c>
      <c r="I145" s="484"/>
      <c r="K145" s="294"/>
      <c r="L145" s="25"/>
      <c r="M145" s="3"/>
    </row>
    <row r="146" spans="1:13" s="1" customFormat="1" ht="19.5" customHeight="1" x14ac:dyDescent="0.25">
      <c r="A146" s="27"/>
      <c r="B146" s="36" t="s">
        <v>161</v>
      </c>
      <c r="C146" s="37" t="s">
        <v>40</v>
      </c>
      <c r="D146" s="101">
        <v>4</v>
      </c>
      <c r="E146" s="102">
        <v>8386.65</v>
      </c>
      <c r="F146" s="40">
        <v>1</v>
      </c>
      <c r="G146" s="97">
        <f>ROUND((D146*E146*F146),2)</f>
        <v>33546.6</v>
      </c>
      <c r="H146" s="42">
        <v>119</v>
      </c>
      <c r="I146" s="484"/>
      <c r="K146" s="294"/>
      <c r="L146" s="25"/>
      <c r="M146" s="3"/>
    </row>
    <row r="147" spans="1:13" s="1" customFormat="1" ht="15.75" x14ac:dyDescent="0.25">
      <c r="A147" s="27" t="s">
        <v>162</v>
      </c>
      <c r="B147" s="103" t="s">
        <v>163</v>
      </c>
      <c r="C147" s="104" t="s">
        <v>164</v>
      </c>
      <c r="D147" s="105">
        <v>20</v>
      </c>
      <c r="E147" s="106"/>
      <c r="F147" s="69"/>
      <c r="G147" s="56">
        <f>250000*1.025</f>
        <v>256249.99999999997</v>
      </c>
      <c r="H147" s="4"/>
      <c r="I147" s="237" t="s">
        <v>388</v>
      </c>
      <c r="J147" s="10">
        <f>G147</f>
        <v>256249.99999999997</v>
      </c>
      <c r="K147" s="294">
        <v>1.356897</v>
      </c>
      <c r="L147" s="25">
        <f t="shared" si="11"/>
        <v>259727.04856249996</v>
      </c>
      <c r="M147" s="3">
        <v>260</v>
      </c>
    </row>
    <row r="148" spans="1:13" s="114" customFormat="1" ht="20.100000000000001" customHeight="1" x14ac:dyDescent="0.25">
      <c r="A148" s="27" t="s">
        <v>165</v>
      </c>
      <c r="B148" s="107" t="s">
        <v>148</v>
      </c>
      <c r="C148" s="108" t="s">
        <v>23</v>
      </c>
      <c r="D148" s="109">
        <f>D149+D150+D151</f>
        <v>4379</v>
      </c>
      <c r="E148" s="110"/>
      <c r="F148" s="109"/>
      <c r="G148" s="111">
        <f>SUM(G149:G151)</f>
        <v>2547702.1999999997</v>
      </c>
      <c r="H148" s="112"/>
      <c r="I148" s="485" t="s">
        <v>411</v>
      </c>
      <c r="K148" s="294"/>
      <c r="L148" s="25"/>
    </row>
    <row r="149" spans="1:13" s="1" customFormat="1" ht="20.100000000000001" customHeight="1" x14ac:dyDescent="0.25">
      <c r="A149" s="115"/>
      <c r="B149" s="116" t="s">
        <v>166</v>
      </c>
      <c r="C149" s="117" t="s">
        <v>23</v>
      </c>
      <c r="D149" s="118">
        <f>204+1340</f>
        <v>1544</v>
      </c>
      <c r="E149" s="119">
        <f>E137</f>
        <v>116.36</v>
      </c>
      <c r="F149" s="118">
        <v>5</v>
      </c>
      <c r="G149" s="120">
        <f>ROUND((D149*E149*F149),2)</f>
        <v>898299.2</v>
      </c>
      <c r="H149" s="121">
        <v>66</v>
      </c>
      <c r="I149" s="485"/>
      <c r="K149" s="294"/>
      <c r="L149" s="25"/>
    </row>
    <row r="150" spans="1:13" s="1" customFormat="1" ht="20.100000000000001" customHeight="1" x14ac:dyDescent="0.25">
      <c r="A150" s="115"/>
      <c r="B150" s="116" t="s">
        <v>167</v>
      </c>
      <c r="C150" s="117" t="s">
        <v>23</v>
      </c>
      <c r="D150" s="118">
        <f>1621+808</f>
        <v>2429</v>
      </c>
      <c r="E150" s="119">
        <f>E149</f>
        <v>116.36</v>
      </c>
      <c r="F150" s="118">
        <v>5</v>
      </c>
      <c r="G150" s="120">
        <f>ROUND((D150*E150*F150),2)</f>
        <v>1413192.2</v>
      </c>
      <c r="H150" s="121">
        <v>66</v>
      </c>
      <c r="I150" s="485"/>
      <c r="K150" s="294"/>
      <c r="L150" s="25"/>
    </row>
    <row r="151" spans="1:13" s="1" customFormat="1" ht="20.100000000000001" customHeight="1" x14ac:dyDescent="0.25">
      <c r="A151" s="115"/>
      <c r="B151" s="116" t="s">
        <v>168</v>
      </c>
      <c r="C151" s="117" t="s">
        <v>23</v>
      </c>
      <c r="D151" s="118">
        <f>242+164</f>
        <v>406</v>
      </c>
      <c r="E151" s="119">
        <f>E150</f>
        <v>116.36</v>
      </c>
      <c r="F151" s="118">
        <v>5</v>
      </c>
      <c r="G151" s="120">
        <f>ROUND((D151*E151*F151),2)</f>
        <v>236210.8</v>
      </c>
      <c r="H151" s="121">
        <v>66</v>
      </c>
      <c r="I151" s="485"/>
      <c r="K151" s="294"/>
      <c r="L151" s="25"/>
    </row>
    <row r="152" spans="1:13" s="114" customFormat="1" ht="20.100000000000001" customHeight="1" x14ac:dyDescent="0.25">
      <c r="A152" s="122" t="s">
        <v>169</v>
      </c>
      <c r="B152" s="123" t="s">
        <v>170</v>
      </c>
      <c r="C152" s="124" t="s">
        <v>23</v>
      </c>
      <c r="D152" s="125">
        <f>D153</f>
        <v>4379</v>
      </c>
      <c r="E152" s="124"/>
      <c r="F152" s="124"/>
      <c r="G152" s="126">
        <f>G153+G157</f>
        <v>4096072.81</v>
      </c>
      <c r="H152" s="112"/>
      <c r="I152" s="485"/>
      <c r="K152" s="294"/>
      <c r="L152" s="25"/>
    </row>
    <row r="153" spans="1:13" s="114" customFormat="1" ht="20.100000000000001" customHeight="1" x14ac:dyDescent="0.25">
      <c r="A153" s="122" t="s">
        <v>171</v>
      </c>
      <c r="B153" s="107" t="s">
        <v>172</v>
      </c>
      <c r="C153" s="108" t="s">
        <v>23</v>
      </c>
      <c r="D153" s="109">
        <f>D154+D155+D156</f>
        <v>4379</v>
      </c>
      <c r="E153" s="124"/>
      <c r="F153" s="109"/>
      <c r="G153" s="111">
        <f>G154+G155+G156</f>
        <v>417712.80999999994</v>
      </c>
      <c r="H153" s="112"/>
      <c r="I153" s="485"/>
      <c r="K153" s="294"/>
      <c r="L153" s="25"/>
    </row>
    <row r="154" spans="1:13" s="1" customFormat="1" ht="20.100000000000001" customHeight="1" x14ac:dyDescent="0.25">
      <c r="A154" s="128"/>
      <c r="B154" s="116" t="s">
        <v>166</v>
      </c>
      <c r="C154" s="117" t="s">
        <v>23</v>
      </c>
      <c r="D154" s="118">
        <f>D149</f>
        <v>1544</v>
      </c>
      <c r="E154" s="233">
        <v>95.39</v>
      </c>
      <c r="F154" s="130">
        <v>1</v>
      </c>
      <c r="G154" s="120">
        <f>ROUND((D154*E154*F154),2)</f>
        <v>147282.16</v>
      </c>
      <c r="H154" s="121">
        <v>124</v>
      </c>
      <c r="I154" s="485"/>
      <c r="K154" s="294"/>
      <c r="L154" s="25"/>
    </row>
    <row r="155" spans="1:13" s="1" customFormat="1" ht="20.100000000000001" customHeight="1" x14ac:dyDescent="0.25">
      <c r="A155" s="128"/>
      <c r="B155" s="116" t="s">
        <v>167</v>
      </c>
      <c r="C155" s="117" t="s">
        <v>23</v>
      </c>
      <c r="D155" s="118">
        <f>D150</f>
        <v>2429</v>
      </c>
      <c r="E155" s="233">
        <f>E154</f>
        <v>95.39</v>
      </c>
      <c r="F155" s="130">
        <v>1</v>
      </c>
      <c r="G155" s="120">
        <f>ROUND((D155*E155*F155),2)</f>
        <v>231702.31</v>
      </c>
      <c r="H155" s="121">
        <v>124</v>
      </c>
      <c r="I155" s="485"/>
      <c r="K155" s="294"/>
      <c r="L155" s="25"/>
    </row>
    <row r="156" spans="1:13" s="1" customFormat="1" ht="20.100000000000001" customHeight="1" x14ac:dyDescent="0.25">
      <c r="A156" s="128"/>
      <c r="B156" s="116" t="s">
        <v>168</v>
      </c>
      <c r="C156" s="117" t="s">
        <v>23</v>
      </c>
      <c r="D156" s="118">
        <f>D151</f>
        <v>406</v>
      </c>
      <c r="E156" s="233">
        <f>E155</f>
        <v>95.39</v>
      </c>
      <c r="F156" s="130">
        <v>1</v>
      </c>
      <c r="G156" s="120">
        <f>ROUND((D156*E156*F156),2)</f>
        <v>38728.339999999997</v>
      </c>
      <c r="H156" s="121">
        <v>124</v>
      </c>
      <c r="I156" s="485"/>
      <c r="K156" s="294"/>
      <c r="L156" s="25"/>
    </row>
    <row r="157" spans="1:13" s="114" customFormat="1" ht="20.100000000000001" customHeight="1" x14ac:dyDescent="0.25">
      <c r="A157" s="122" t="s">
        <v>173</v>
      </c>
      <c r="B157" s="107" t="s">
        <v>174</v>
      </c>
      <c r="C157" s="108" t="s">
        <v>40</v>
      </c>
      <c r="D157" s="109">
        <f>D158+D159+D160</f>
        <v>105096</v>
      </c>
      <c r="E157" s="110"/>
      <c r="F157" s="109"/>
      <c r="G157" s="111">
        <f>G158+G159+G160</f>
        <v>3678360</v>
      </c>
      <c r="H157" s="112"/>
      <c r="I157" s="485"/>
      <c r="K157" s="294"/>
      <c r="L157" s="25"/>
    </row>
    <row r="158" spans="1:13" s="1" customFormat="1" ht="20.100000000000001" customHeight="1" x14ac:dyDescent="0.25">
      <c r="A158" s="128"/>
      <c r="B158" s="116" t="s">
        <v>166</v>
      </c>
      <c r="C158" s="117" t="s">
        <v>40</v>
      </c>
      <c r="D158" s="118">
        <f>D154*24</f>
        <v>37056</v>
      </c>
      <c r="E158" s="131">
        <v>35</v>
      </c>
      <c r="F158" s="130"/>
      <c r="G158" s="120">
        <f>ROUND((D158*E158),2)</f>
        <v>1296960</v>
      </c>
      <c r="H158" s="121" t="s">
        <v>175</v>
      </c>
      <c r="I158" s="485"/>
      <c r="K158" s="294"/>
      <c r="L158" s="25"/>
    </row>
    <row r="159" spans="1:13" s="1" customFormat="1" ht="20.100000000000001" customHeight="1" x14ac:dyDescent="0.25">
      <c r="A159" s="128"/>
      <c r="B159" s="116" t="s">
        <v>167</v>
      </c>
      <c r="C159" s="117" t="s">
        <v>40</v>
      </c>
      <c r="D159" s="118">
        <f>D155*24</f>
        <v>58296</v>
      </c>
      <c r="E159" s="131">
        <v>35</v>
      </c>
      <c r="F159" s="130"/>
      <c r="G159" s="120">
        <f>ROUND((D159*E159),2)</f>
        <v>2040360</v>
      </c>
      <c r="H159" s="121" t="s">
        <v>175</v>
      </c>
      <c r="I159" s="485"/>
      <c r="K159" s="294"/>
      <c r="L159" s="25"/>
    </row>
    <row r="160" spans="1:13" s="1" customFormat="1" ht="20.100000000000001" customHeight="1" x14ac:dyDescent="0.25">
      <c r="A160" s="128"/>
      <c r="B160" s="116" t="s">
        <v>168</v>
      </c>
      <c r="C160" s="117" t="s">
        <v>40</v>
      </c>
      <c r="D160" s="118">
        <f>D156*24</f>
        <v>9744</v>
      </c>
      <c r="E160" s="131">
        <v>35</v>
      </c>
      <c r="F160" s="130"/>
      <c r="G160" s="120">
        <f>ROUND((D160*E160),2)</f>
        <v>341040</v>
      </c>
      <c r="H160" s="121" t="s">
        <v>175</v>
      </c>
      <c r="I160" s="485"/>
      <c r="K160" s="294"/>
      <c r="L160" s="25"/>
    </row>
    <row r="161" spans="1:16" s="1" customFormat="1" ht="15.75" customHeight="1" x14ac:dyDescent="0.25">
      <c r="A161" s="27" t="s">
        <v>176</v>
      </c>
      <c r="B161" s="21" t="s">
        <v>177</v>
      </c>
      <c r="C161" s="14"/>
      <c r="D161" s="22"/>
      <c r="E161" s="22"/>
      <c r="F161" s="22"/>
      <c r="G161" s="132">
        <f>G162+G163+G164+G168+G169+G170+G171+G172+G173+G174+G175+G176+G177</f>
        <v>5600015.2432499994</v>
      </c>
      <c r="H161" s="15"/>
      <c r="K161" s="294"/>
      <c r="L161" s="25"/>
      <c r="M161" s="3"/>
    </row>
    <row r="162" spans="1:16" s="140" customFormat="1" ht="15.75" x14ac:dyDescent="0.25">
      <c r="A162" s="27" t="s">
        <v>178</v>
      </c>
      <c r="B162" s="103" t="s">
        <v>179</v>
      </c>
      <c r="C162" s="135" t="s">
        <v>40</v>
      </c>
      <c r="D162" s="136">
        <v>113</v>
      </c>
      <c r="E162" s="137"/>
      <c r="F162" s="138"/>
      <c r="G162" s="56">
        <f>527687*1.025</f>
        <v>540879.17499999993</v>
      </c>
      <c r="H162" s="139"/>
      <c r="I162" s="249" t="s">
        <v>389</v>
      </c>
      <c r="J162" s="11">
        <f>G162+G172+G181</f>
        <v>3646419.5869999994</v>
      </c>
      <c r="K162" s="294">
        <v>1.356897</v>
      </c>
      <c r="L162" s="25">
        <f t="shared" si="11"/>
        <v>3695897.7449834147</v>
      </c>
      <c r="M162" s="3">
        <v>3696</v>
      </c>
      <c r="P162" s="11"/>
    </row>
    <row r="163" spans="1:16" s="1" customFormat="1" ht="20.25" customHeight="1" x14ac:dyDescent="0.25">
      <c r="A163" s="27" t="s">
        <v>6</v>
      </c>
      <c r="B163" s="141" t="s">
        <v>180</v>
      </c>
      <c r="C163" s="142" t="s">
        <v>181</v>
      </c>
      <c r="D163" s="143">
        <v>8</v>
      </c>
      <c r="E163" s="144"/>
      <c r="F163" s="145"/>
      <c r="G163" s="146">
        <v>2093153.81</v>
      </c>
      <c r="H163" s="147" t="s">
        <v>182</v>
      </c>
      <c r="J163" s="133"/>
      <c r="K163" s="294"/>
      <c r="L163" s="25"/>
      <c r="M163" s="3"/>
    </row>
    <row r="164" spans="1:16" s="1" customFormat="1" ht="20.25" customHeight="1" x14ac:dyDescent="0.25">
      <c r="A164" s="27" t="s">
        <v>183</v>
      </c>
      <c r="B164" s="21" t="s">
        <v>184</v>
      </c>
      <c r="C164" s="28" t="s">
        <v>23</v>
      </c>
      <c r="D164" s="148">
        <f>D165+D166</f>
        <v>260</v>
      </c>
      <c r="E164" s="149"/>
      <c r="F164" s="150"/>
      <c r="G164" s="132">
        <f>G165+G166+G167</f>
        <v>326662</v>
      </c>
      <c r="H164" s="15"/>
      <c r="I164" s="485" t="s">
        <v>392</v>
      </c>
      <c r="J164" s="10">
        <f>G164+G219+G223</f>
        <v>2046543.79</v>
      </c>
      <c r="K164" s="294">
        <v>1.356897</v>
      </c>
      <c r="L164" s="25">
        <f t="shared" si="11"/>
        <v>2074313.2812901963</v>
      </c>
      <c r="M164" s="3">
        <v>2075</v>
      </c>
    </row>
    <row r="165" spans="1:16" s="1" customFormat="1" ht="24" customHeight="1" x14ac:dyDescent="0.25">
      <c r="A165" s="27"/>
      <c r="B165" s="36" t="s">
        <v>185</v>
      </c>
      <c r="C165" s="37" t="s">
        <v>23</v>
      </c>
      <c r="D165" s="101">
        <v>200</v>
      </c>
      <c r="E165" s="96">
        <v>505.88</v>
      </c>
      <c r="F165" s="40">
        <v>1</v>
      </c>
      <c r="G165" s="97">
        <f>ROUND((D165*E165*F165),2)</f>
        <v>101176</v>
      </c>
      <c r="H165" s="42">
        <v>113</v>
      </c>
      <c r="I165" s="485"/>
      <c r="J165" s="5"/>
      <c r="K165" s="294"/>
      <c r="L165" s="25"/>
      <c r="M165" s="3"/>
    </row>
    <row r="166" spans="1:16" s="1" customFormat="1" ht="21" customHeight="1" x14ac:dyDescent="0.25">
      <c r="A166" s="27"/>
      <c r="B166" s="36" t="s">
        <v>186</v>
      </c>
      <c r="C166" s="37" t="s">
        <v>23</v>
      </c>
      <c r="D166" s="101">
        <v>60</v>
      </c>
      <c r="E166" s="100">
        <v>1390.5</v>
      </c>
      <c r="F166" s="40">
        <v>1</v>
      </c>
      <c r="G166" s="97">
        <f>ROUND((D166*E166*F166),2)</f>
        <v>83430</v>
      </c>
      <c r="H166" s="42">
        <v>115</v>
      </c>
      <c r="I166" s="485"/>
      <c r="K166" s="294"/>
      <c r="L166" s="25"/>
      <c r="M166" s="3"/>
    </row>
    <row r="167" spans="1:16" s="1" customFormat="1" ht="21" customHeight="1" x14ac:dyDescent="0.25">
      <c r="A167" s="27"/>
      <c r="B167" s="36" t="s">
        <v>187</v>
      </c>
      <c r="C167" s="37" t="s">
        <v>23</v>
      </c>
      <c r="D167" s="99">
        <v>2400</v>
      </c>
      <c r="E167" s="96">
        <v>59.19</v>
      </c>
      <c r="F167" s="40">
        <v>1</v>
      </c>
      <c r="G167" s="97">
        <f>ROUND((D167*E167*F167),2)</f>
        <v>142056</v>
      </c>
      <c r="H167" s="42">
        <v>114</v>
      </c>
      <c r="I167" s="485"/>
      <c r="K167" s="294"/>
      <c r="L167" s="25"/>
      <c r="M167" s="3"/>
    </row>
    <row r="168" spans="1:16" s="140" customFormat="1" ht="20.25" customHeight="1" x14ac:dyDescent="0.25">
      <c r="A168" s="27" t="s">
        <v>188</v>
      </c>
      <c r="B168" s="103" t="s">
        <v>189</v>
      </c>
      <c r="C168" s="135" t="s">
        <v>40</v>
      </c>
      <c r="D168" s="136">
        <v>562</v>
      </c>
      <c r="E168" s="137"/>
      <c r="F168" s="138"/>
      <c r="G168" s="56">
        <f>773770*1.025</f>
        <v>793114.24999999988</v>
      </c>
      <c r="H168" s="139"/>
      <c r="I168" s="241" t="s">
        <v>393</v>
      </c>
      <c r="J168" s="11">
        <f>G168+G173+G176+G177</f>
        <v>1383725.7304999998</v>
      </c>
      <c r="K168" s="294">
        <v>1.356897</v>
      </c>
      <c r="L168" s="25">
        <f t="shared" si="11"/>
        <v>1402501.4634253825</v>
      </c>
      <c r="M168" s="3">
        <v>1402</v>
      </c>
    </row>
    <row r="169" spans="1:16" s="114" customFormat="1" ht="20.100000000000001" customHeight="1" x14ac:dyDescent="0.25">
      <c r="A169" s="122" t="s">
        <v>190</v>
      </c>
      <c r="B169" s="107" t="s">
        <v>376</v>
      </c>
      <c r="C169" s="117" t="s">
        <v>164</v>
      </c>
      <c r="D169" s="109">
        <v>1</v>
      </c>
      <c r="E169" s="152"/>
      <c r="F169" s="109"/>
      <c r="G169" s="111">
        <f>179566.34*1.025</f>
        <v>184055.49849999999</v>
      </c>
      <c r="H169" s="112"/>
      <c r="I169" s="241" t="s">
        <v>282</v>
      </c>
      <c r="J169" s="261">
        <f>G169+G174</f>
        <v>307180.5895</v>
      </c>
      <c r="K169" s="294">
        <v>1.356897</v>
      </c>
      <c r="L169" s="25">
        <f t="shared" si="11"/>
        <v>311348.71370350779</v>
      </c>
      <c r="M169" s="1">
        <v>311</v>
      </c>
    </row>
    <row r="170" spans="1:16" s="114" customFormat="1" ht="20.100000000000001" customHeight="1" x14ac:dyDescent="0.25">
      <c r="A170" s="122" t="s">
        <v>193</v>
      </c>
      <c r="B170" s="107" t="s">
        <v>194</v>
      </c>
      <c r="C170" s="117" t="s">
        <v>164</v>
      </c>
      <c r="D170" s="109">
        <v>1</v>
      </c>
      <c r="E170" s="124"/>
      <c r="F170" s="109"/>
      <c r="G170" s="111">
        <f>222355.49*1.025</f>
        <v>227914.37724999996</v>
      </c>
      <c r="H170" s="112"/>
      <c r="I170" s="487" t="s">
        <v>394</v>
      </c>
      <c r="J170" s="261">
        <f>G170+G171+G175+G272</f>
        <v>1674298.31825</v>
      </c>
      <c r="K170" s="294">
        <v>1.356897</v>
      </c>
      <c r="L170" s="25">
        <f t="shared" si="11"/>
        <v>1697016.8219013847</v>
      </c>
      <c r="M170" s="1">
        <v>1697</v>
      </c>
    </row>
    <row r="171" spans="1:16" s="114" customFormat="1" ht="20.100000000000001" customHeight="1" x14ac:dyDescent="0.25">
      <c r="A171" s="122" t="s">
        <v>195</v>
      </c>
      <c r="B171" s="107" t="s">
        <v>196</v>
      </c>
      <c r="C171" s="117" t="s">
        <v>40</v>
      </c>
      <c r="D171" s="109"/>
      <c r="E171" s="124"/>
      <c r="F171" s="109"/>
      <c r="G171" s="111">
        <f>108768.15*1.025</f>
        <v>111487.35374999998</v>
      </c>
      <c r="H171" s="112"/>
      <c r="I171" s="488"/>
      <c r="K171" s="294"/>
      <c r="L171" s="25"/>
    </row>
    <row r="172" spans="1:16" s="114" customFormat="1" ht="20.100000000000001" customHeight="1" x14ac:dyDescent="0.25">
      <c r="A172" s="122" t="s">
        <v>197</v>
      </c>
      <c r="B172" s="107" t="s">
        <v>198</v>
      </c>
      <c r="C172" s="117" t="s">
        <v>40</v>
      </c>
      <c r="D172" s="109"/>
      <c r="E172" s="124"/>
      <c r="F172" s="109"/>
      <c r="G172" s="111">
        <f>ROUND((1090140.73*0.5*1.025),2)</f>
        <v>558697.12</v>
      </c>
      <c r="H172" s="112"/>
      <c r="I172" s="241" t="s">
        <v>389</v>
      </c>
      <c r="K172" s="294"/>
      <c r="L172" s="25"/>
    </row>
    <row r="173" spans="1:16" s="114" customFormat="1" ht="18" customHeight="1" x14ac:dyDescent="0.25">
      <c r="A173" s="122" t="s">
        <v>199</v>
      </c>
      <c r="B173" s="107" t="s">
        <v>377</v>
      </c>
      <c r="C173" s="117" t="s">
        <v>164</v>
      </c>
      <c r="D173" s="125">
        <v>4</v>
      </c>
      <c r="E173" s="124"/>
      <c r="F173" s="109"/>
      <c r="G173" s="111">
        <f>373983.21*1.025</f>
        <v>383332.79024999996</v>
      </c>
      <c r="H173" s="112"/>
      <c r="I173" s="241" t="s">
        <v>393</v>
      </c>
      <c r="K173" s="294"/>
      <c r="L173" s="25"/>
    </row>
    <row r="174" spans="1:16" s="114" customFormat="1" ht="19.149999999999999" customHeight="1" x14ac:dyDescent="0.25">
      <c r="A174" s="122" t="s">
        <v>201</v>
      </c>
      <c r="B174" s="107" t="s">
        <v>202</v>
      </c>
      <c r="C174" s="117" t="s">
        <v>164</v>
      </c>
      <c r="D174" s="125">
        <v>1</v>
      </c>
      <c r="E174" s="124"/>
      <c r="F174" s="109"/>
      <c r="G174" s="111">
        <f>120122.04*1.025</f>
        <v>123125.09099999999</v>
      </c>
      <c r="H174" s="112"/>
      <c r="I174" s="241" t="s">
        <v>282</v>
      </c>
      <c r="K174" s="294"/>
      <c r="L174" s="25"/>
    </row>
    <row r="175" spans="1:16" s="114" customFormat="1" ht="20.100000000000001" customHeight="1" x14ac:dyDescent="0.25">
      <c r="A175" s="122" t="s">
        <v>204</v>
      </c>
      <c r="B175" s="107" t="s">
        <v>205</v>
      </c>
      <c r="C175" s="117" t="s">
        <v>164</v>
      </c>
      <c r="D175" s="125">
        <v>1</v>
      </c>
      <c r="E175" s="124"/>
      <c r="F175" s="109"/>
      <c r="G175" s="111">
        <f>49087.89*1.025</f>
        <v>50315.087249999997</v>
      </c>
      <c r="H175" s="112"/>
      <c r="I175" s="241" t="s">
        <v>394</v>
      </c>
      <c r="K175" s="294"/>
      <c r="L175" s="25"/>
    </row>
    <row r="176" spans="1:16" s="140" customFormat="1" ht="20.25" customHeight="1" x14ac:dyDescent="0.25">
      <c r="A176" s="27" t="s">
        <v>206</v>
      </c>
      <c r="B176" s="103" t="s">
        <v>207</v>
      </c>
      <c r="C176" s="135" t="s">
        <v>40</v>
      </c>
      <c r="D176" s="136">
        <v>1</v>
      </c>
      <c r="E176" s="137"/>
      <c r="F176" s="138"/>
      <c r="G176" s="56">
        <f>8321.61*1.025</f>
        <v>8529.6502500000006</v>
      </c>
      <c r="H176" s="139"/>
      <c r="I176" s="489" t="s">
        <v>393</v>
      </c>
      <c r="K176" s="294"/>
      <c r="L176" s="25"/>
      <c r="M176" s="98"/>
    </row>
    <row r="177" spans="1:13" s="140" customFormat="1" ht="20.25" customHeight="1" x14ac:dyDescent="0.25">
      <c r="A177" s="160" t="s">
        <v>209</v>
      </c>
      <c r="B177" s="161" t="s">
        <v>210</v>
      </c>
      <c r="C177" s="162" t="s">
        <v>40</v>
      </c>
      <c r="D177" s="163">
        <f>D178+D179+D180</f>
        <v>362</v>
      </c>
      <c r="E177" s="164"/>
      <c r="F177" s="165"/>
      <c r="G177" s="56">
        <f>G178+G179+G180</f>
        <v>198749.04</v>
      </c>
      <c r="H177" s="16"/>
      <c r="I177" s="490"/>
      <c r="K177" s="294"/>
      <c r="L177" s="25"/>
      <c r="M177" s="98"/>
    </row>
    <row r="178" spans="1:13" s="140" customFormat="1" ht="20.25" customHeight="1" x14ac:dyDescent="0.25">
      <c r="A178" s="57"/>
      <c r="B178" s="46" t="s">
        <v>166</v>
      </c>
      <c r="C178" s="14" t="s">
        <v>40</v>
      </c>
      <c r="D178" s="33">
        <v>170</v>
      </c>
      <c r="E178" s="43">
        <v>551.1</v>
      </c>
      <c r="F178" s="30"/>
      <c r="G178" s="60">
        <f>ROUND((D178*E178),2)</f>
        <v>93687</v>
      </c>
      <c r="H178" s="15">
        <v>97</v>
      </c>
      <c r="I178" s="490"/>
      <c r="K178" s="294"/>
      <c r="L178" s="25"/>
      <c r="M178" s="98"/>
    </row>
    <row r="179" spans="1:13" s="140" customFormat="1" ht="20.25" customHeight="1" x14ac:dyDescent="0.25">
      <c r="A179" s="57"/>
      <c r="B179" s="46" t="s">
        <v>168</v>
      </c>
      <c r="C179" s="14" t="s">
        <v>40</v>
      </c>
      <c r="D179" s="33">
        <v>108</v>
      </c>
      <c r="E179" s="43">
        <v>557.86</v>
      </c>
      <c r="F179" s="30"/>
      <c r="G179" s="60">
        <f>ROUND((D179*E179),2)</f>
        <v>60248.88</v>
      </c>
      <c r="H179" s="15">
        <v>98</v>
      </c>
      <c r="I179" s="490"/>
      <c r="K179" s="294"/>
      <c r="L179" s="25"/>
      <c r="M179" s="98"/>
    </row>
    <row r="180" spans="1:13" s="140" customFormat="1" ht="20.25" customHeight="1" x14ac:dyDescent="0.25">
      <c r="A180" s="89"/>
      <c r="B180" s="90" t="s">
        <v>167</v>
      </c>
      <c r="C180" s="91" t="s">
        <v>40</v>
      </c>
      <c r="D180" s="92">
        <v>84</v>
      </c>
      <c r="E180" s="93">
        <v>533.49</v>
      </c>
      <c r="F180" s="94"/>
      <c r="G180" s="60">
        <f>ROUND((D180*E180),2)</f>
        <v>44813.16</v>
      </c>
      <c r="H180" s="15">
        <v>99</v>
      </c>
      <c r="I180" s="490"/>
      <c r="K180" s="294"/>
      <c r="L180" s="25"/>
      <c r="M180" s="98"/>
    </row>
    <row r="181" spans="1:13" s="114" customFormat="1" ht="20.100000000000001" customHeight="1" x14ac:dyDescent="0.25">
      <c r="A181" s="27" t="s">
        <v>211</v>
      </c>
      <c r="B181" s="123" t="s">
        <v>212</v>
      </c>
      <c r="C181" s="124" t="s">
        <v>213</v>
      </c>
      <c r="D181" s="125">
        <v>6</v>
      </c>
      <c r="E181" s="124"/>
      <c r="F181" s="124"/>
      <c r="G181" s="126">
        <f>1572278.88*1.025+935257.44</f>
        <v>2546843.2919999994</v>
      </c>
      <c r="H181" s="112"/>
      <c r="I181" s="247" t="s">
        <v>389</v>
      </c>
      <c r="K181" s="294"/>
      <c r="L181" s="25"/>
    </row>
    <row r="182" spans="1:13" s="1" customFormat="1" ht="19.5" customHeight="1" x14ac:dyDescent="0.25">
      <c r="A182" s="27" t="s">
        <v>1</v>
      </c>
      <c r="B182" s="21" t="s">
        <v>214</v>
      </c>
      <c r="C182" s="28" t="s">
        <v>23</v>
      </c>
      <c r="D182" s="150">
        <f>D183+D199+D213+D232+D272+D257</f>
        <v>2296021</v>
      </c>
      <c r="E182" s="2"/>
      <c r="F182" s="14"/>
      <c r="G182" s="132">
        <f>G183+G199+G213+G232+G257+G272</f>
        <v>84977176.100000009</v>
      </c>
      <c r="H182" s="15"/>
      <c r="I182" s="248"/>
      <c r="K182" s="294"/>
      <c r="L182" s="25"/>
      <c r="M182" s="3"/>
    </row>
    <row r="183" spans="1:13" s="1" customFormat="1" ht="19.5" customHeight="1" x14ac:dyDescent="0.25">
      <c r="A183" s="27" t="s">
        <v>215</v>
      </c>
      <c r="B183" s="21" t="s">
        <v>216</v>
      </c>
      <c r="C183" s="28"/>
      <c r="D183" s="150">
        <f>D184+D195</f>
        <v>271443</v>
      </c>
      <c r="E183" s="2"/>
      <c r="F183" s="14"/>
      <c r="G183" s="132">
        <f>G184+G195</f>
        <v>16078682.019999998</v>
      </c>
      <c r="H183" s="15"/>
      <c r="K183" s="294"/>
      <c r="L183" s="25"/>
      <c r="M183" s="3"/>
    </row>
    <row r="184" spans="1:13" s="1" customFormat="1" ht="15.75" customHeight="1" x14ac:dyDescent="0.25">
      <c r="A184" s="27" t="s">
        <v>217</v>
      </c>
      <c r="B184" s="44" t="s">
        <v>218</v>
      </c>
      <c r="C184" s="45" t="s">
        <v>23</v>
      </c>
      <c r="D184" s="150">
        <f>SUM(D189:D194)</f>
        <v>103786</v>
      </c>
      <c r="E184" s="2"/>
      <c r="F184" s="29"/>
      <c r="G184" s="132">
        <f>SUM(G185:G194)</f>
        <v>9896085.7399999984</v>
      </c>
      <c r="H184" s="15"/>
      <c r="I184" s="243"/>
      <c r="K184" s="294"/>
      <c r="L184" s="25"/>
      <c r="M184" s="3"/>
    </row>
    <row r="185" spans="1:13" s="1" customFormat="1" ht="15.75" customHeight="1" x14ac:dyDescent="0.25">
      <c r="A185" s="27"/>
      <c r="B185" s="46" t="s">
        <v>219</v>
      </c>
      <c r="C185" s="14" t="s">
        <v>23</v>
      </c>
      <c r="D185" s="168">
        <v>87556</v>
      </c>
      <c r="E185" s="169">
        <v>7.38</v>
      </c>
      <c r="F185" s="30">
        <v>5</v>
      </c>
      <c r="G185" s="60">
        <f>ROUND((D185*E185*F185),2)</f>
        <v>3230816.4</v>
      </c>
      <c r="H185" s="15">
        <v>103</v>
      </c>
      <c r="I185" s="482" t="s">
        <v>19</v>
      </c>
      <c r="J185" s="329">
        <f>G185+G186+G188+G189+G190+G191+G193+G194+G215+G216+G220+G221+G222</f>
        <v>26663552.689999998</v>
      </c>
      <c r="K185" s="294">
        <v>1.356897</v>
      </c>
      <c r="L185" s="25">
        <f t="shared" si="11"/>
        <v>27025349.636544026</v>
      </c>
      <c r="M185" s="3">
        <v>27025</v>
      </c>
    </row>
    <row r="186" spans="1:13" s="1" customFormat="1" ht="15.75" x14ac:dyDescent="0.25">
      <c r="A186" s="27"/>
      <c r="B186" s="46" t="s">
        <v>220</v>
      </c>
      <c r="C186" s="14" t="s">
        <v>23</v>
      </c>
      <c r="D186" s="168">
        <v>11908</v>
      </c>
      <c r="E186" s="169">
        <v>59.4</v>
      </c>
      <c r="F186" s="30">
        <v>5</v>
      </c>
      <c r="G186" s="60">
        <f t="shared" ref="G186:G194" si="12">ROUND((D186*E186*F186),2)</f>
        <v>3536676</v>
      </c>
      <c r="H186" s="15" t="s">
        <v>221</v>
      </c>
      <c r="I186" s="483"/>
      <c r="J186" s="330">
        <f>D189+D190+D191+D193+D194+D220+D221+D222</f>
        <v>393214</v>
      </c>
      <c r="K186" s="331" t="s">
        <v>23</v>
      </c>
      <c r="L186" s="25"/>
      <c r="M186" s="3"/>
    </row>
    <row r="187" spans="1:13" s="1" customFormat="1" ht="15.75" x14ac:dyDescent="0.25">
      <c r="A187" s="27"/>
      <c r="B187" s="49" t="s">
        <v>220</v>
      </c>
      <c r="C187" s="50" t="s">
        <v>23</v>
      </c>
      <c r="D187" s="170">
        <v>3157</v>
      </c>
      <c r="E187" s="171">
        <f>E186</f>
        <v>59.4</v>
      </c>
      <c r="F187" s="55">
        <v>5</v>
      </c>
      <c r="G187" s="53">
        <f t="shared" si="12"/>
        <v>937629</v>
      </c>
      <c r="H187" s="54" t="s">
        <v>221</v>
      </c>
      <c r="I187" s="242" t="s">
        <v>395</v>
      </c>
      <c r="J187" s="167">
        <f>G187+G192+G203+G206+G210+G217+G218+G224+G225+G229+G257</f>
        <v>13823947.41</v>
      </c>
      <c r="K187" s="328">
        <v>1.356897</v>
      </c>
      <c r="L187" s="25">
        <f t="shared" si="11"/>
        <v>14011524.137687868</v>
      </c>
      <c r="M187" s="3">
        <v>14012</v>
      </c>
    </row>
    <row r="188" spans="1:13" s="1" customFormat="1" ht="15.75" x14ac:dyDescent="0.25">
      <c r="A188" s="27"/>
      <c r="B188" s="46" t="s">
        <v>220</v>
      </c>
      <c r="C188" s="14" t="s">
        <v>23</v>
      </c>
      <c r="D188" s="168">
        <v>500</v>
      </c>
      <c r="E188" s="169">
        <f>E187</f>
        <v>59.4</v>
      </c>
      <c r="F188" s="30">
        <v>5</v>
      </c>
      <c r="G188" s="60">
        <f t="shared" si="12"/>
        <v>148500</v>
      </c>
      <c r="H188" s="15" t="s">
        <v>221</v>
      </c>
      <c r="I188" s="491" t="s">
        <v>19</v>
      </c>
      <c r="J188" s="167">
        <f>D187+D203+D210+D217+D218+D229</f>
        <v>78899</v>
      </c>
      <c r="K188" s="331" t="s">
        <v>23</v>
      </c>
      <c r="L188" s="25"/>
    </row>
    <row r="189" spans="1:13" s="1" customFormat="1" ht="15.75" x14ac:dyDescent="0.25">
      <c r="A189" s="27"/>
      <c r="B189" s="46" t="s">
        <v>222</v>
      </c>
      <c r="C189" s="14" t="s">
        <v>23</v>
      </c>
      <c r="D189" s="168">
        <v>88263</v>
      </c>
      <c r="E189" s="169">
        <v>4.5199999999999996</v>
      </c>
      <c r="F189" s="30">
        <v>2</v>
      </c>
      <c r="G189" s="60">
        <f t="shared" si="12"/>
        <v>797897.52</v>
      </c>
      <c r="H189" s="15">
        <v>104</v>
      </c>
      <c r="I189" s="485"/>
      <c r="K189" s="294"/>
      <c r="L189" s="25"/>
      <c r="M189" s="3"/>
    </row>
    <row r="190" spans="1:13" s="1" customFormat="1" ht="15.75" x14ac:dyDescent="0.25">
      <c r="A190" s="27"/>
      <c r="B190" s="46" t="s">
        <v>223</v>
      </c>
      <c r="C190" s="14" t="s">
        <v>23</v>
      </c>
      <c r="D190" s="168">
        <v>10611</v>
      </c>
      <c r="E190" s="169">
        <v>12.09</v>
      </c>
      <c r="F190" s="30">
        <v>7</v>
      </c>
      <c r="G190" s="60">
        <f t="shared" si="12"/>
        <v>898008.93</v>
      </c>
      <c r="H190" s="15" t="s">
        <v>224</v>
      </c>
      <c r="I190" s="485"/>
      <c r="K190" s="294"/>
      <c r="L190" s="25"/>
      <c r="M190" s="3"/>
    </row>
    <row r="191" spans="1:13" s="1" customFormat="1" ht="15.75" x14ac:dyDescent="0.25">
      <c r="A191" s="27"/>
      <c r="B191" s="46" t="s">
        <v>223</v>
      </c>
      <c r="C191" s="14" t="s">
        <v>23</v>
      </c>
      <c r="D191" s="168">
        <f>D188</f>
        <v>500</v>
      </c>
      <c r="E191" s="169">
        <v>12.09</v>
      </c>
      <c r="F191" s="30">
        <v>7</v>
      </c>
      <c r="G191" s="60">
        <f>ROUND((D191*E191*F191),2)</f>
        <v>42315</v>
      </c>
      <c r="H191" s="15" t="s">
        <v>224</v>
      </c>
      <c r="I191" s="485"/>
      <c r="K191" s="294"/>
      <c r="L191" s="25"/>
      <c r="M191" s="3"/>
    </row>
    <row r="192" spans="1:13" s="1" customFormat="1" ht="15.75" x14ac:dyDescent="0.25">
      <c r="A192" s="27"/>
      <c r="B192" s="49" t="s">
        <v>223</v>
      </c>
      <c r="C192" s="50" t="s">
        <v>23</v>
      </c>
      <c r="D192" s="170">
        <v>3157</v>
      </c>
      <c r="E192" s="171">
        <f>E190</f>
        <v>12.09</v>
      </c>
      <c r="F192" s="55">
        <v>7</v>
      </c>
      <c r="G192" s="53">
        <f t="shared" si="12"/>
        <v>267176.90999999997</v>
      </c>
      <c r="H192" s="54" t="s">
        <v>224</v>
      </c>
      <c r="I192" s="242" t="s">
        <v>395</v>
      </c>
      <c r="K192" s="294"/>
      <c r="L192" s="25"/>
      <c r="M192" s="3"/>
    </row>
    <row r="193" spans="1:13" s="1" customFormat="1" ht="15.75" x14ac:dyDescent="0.25">
      <c r="A193" s="27"/>
      <c r="B193" s="46" t="s">
        <v>223</v>
      </c>
      <c r="C193" s="14" t="s">
        <v>23</v>
      </c>
      <c r="D193" s="168">
        <v>158</v>
      </c>
      <c r="E193" s="169">
        <v>7.13</v>
      </c>
      <c r="F193" s="30">
        <v>7</v>
      </c>
      <c r="G193" s="60">
        <f t="shared" si="12"/>
        <v>7885.78</v>
      </c>
      <c r="H193" s="15" t="s">
        <v>225</v>
      </c>
      <c r="I193" s="482" t="s">
        <v>19</v>
      </c>
      <c r="K193" s="294"/>
      <c r="L193" s="25"/>
      <c r="M193" s="3"/>
    </row>
    <row r="194" spans="1:13" s="1" customFormat="1" ht="15.75" x14ac:dyDescent="0.25">
      <c r="A194" s="27"/>
      <c r="B194" s="46" t="s">
        <v>223</v>
      </c>
      <c r="C194" s="14" t="s">
        <v>23</v>
      </c>
      <c r="D194" s="168">
        <v>1097</v>
      </c>
      <c r="E194" s="169">
        <v>3.8</v>
      </c>
      <c r="F194" s="30">
        <v>7</v>
      </c>
      <c r="G194" s="60">
        <f t="shared" si="12"/>
        <v>29180.2</v>
      </c>
      <c r="H194" s="15" t="s">
        <v>226</v>
      </c>
      <c r="I194" s="483"/>
      <c r="K194" s="294"/>
      <c r="L194" s="25"/>
      <c r="M194" s="3"/>
    </row>
    <row r="195" spans="1:13" s="1" customFormat="1" ht="15.75" x14ac:dyDescent="0.25">
      <c r="A195" s="27" t="s">
        <v>227</v>
      </c>
      <c r="B195" s="44" t="s">
        <v>136</v>
      </c>
      <c r="C195" s="45" t="s">
        <v>23</v>
      </c>
      <c r="D195" s="29">
        <f>D196+D197+D198</f>
        <v>167657</v>
      </c>
      <c r="E195" s="149"/>
      <c r="F195" s="29"/>
      <c r="G195" s="56">
        <f>SUM(G196:G198)</f>
        <v>6182596.2799999993</v>
      </c>
      <c r="H195" s="15"/>
      <c r="I195" s="244"/>
      <c r="K195" s="294"/>
      <c r="L195" s="25"/>
      <c r="M195" s="3"/>
    </row>
    <row r="196" spans="1:13" s="1" customFormat="1" ht="17.25" customHeight="1" x14ac:dyDescent="0.25">
      <c r="A196" s="27"/>
      <c r="B196" s="46" t="s">
        <v>228</v>
      </c>
      <c r="C196" s="14" t="s">
        <v>23</v>
      </c>
      <c r="D196" s="33">
        <v>111910</v>
      </c>
      <c r="E196" s="169">
        <v>6.58</v>
      </c>
      <c r="F196" s="30">
        <v>7</v>
      </c>
      <c r="G196" s="60">
        <f>ROUND((D196*E196*F196),2)</f>
        <v>5154574.5999999996</v>
      </c>
      <c r="H196" s="15" t="s">
        <v>229</v>
      </c>
      <c r="I196" s="482" t="s">
        <v>169</v>
      </c>
      <c r="K196" s="294"/>
      <c r="L196" s="25"/>
      <c r="M196" s="3"/>
    </row>
    <row r="197" spans="1:13" s="1" customFormat="1" ht="19.5" customHeight="1" x14ac:dyDescent="0.25">
      <c r="A197" s="27"/>
      <c r="B197" s="46" t="s">
        <v>228</v>
      </c>
      <c r="C197" s="14" t="s">
        <v>23</v>
      </c>
      <c r="D197" s="33">
        <v>23770</v>
      </c>
      <c r="E197" s="169">
        <v>3.73</v>
      </c>
      <c r="F197" s="30">
        <v>7</v>
      </c>
      <c r="G197" s="60">
        <f>ROUND((D197*E197*F197),2)</f>
        <v>620634.69999999995</v>
      </c>
      <c r="H197" s="15" t="s">
        <v>230</v>
      </c>
      <c r="I197" s="495"/>
      <c r="K197" s="294"/>
      <c r="L197" s="25"/>
      <c r="M197" s="3"/>
    </row>
    <row r="198" spans="1:13" s="1" customFormat="1" ht="18" customHeight="1" x14ac:dyDescent="0.25">
      <c r="A198" s="27"/>
      <c r="B198" s="46" t="s">
        <v>228</v>
      </c>
      <c r="C198" s="14" t="s">
        <v>23</v>
      </c>
      <c r="D198" s="33">
        <v>31977</v>
      </c>
      <c r="E198" s="169">
        <v>1.82</v>
      </c>
      <c r="F198" s="30">
        <v>7</v>
      </c>
      <c r="G198" s="60">
        <f>ROUND((D198*E198*F198),2)</f>
        <v>407386.98</v>
      </c>
      <c r="H198" s="15" t="s">
        <v>231</v>
      </c>
      <c r="I198" s="483"/>
      <c r="K198" s="294"/>
      <c r="L198" s="25"/>
      <c r="M198" s="3"/>
    </row>
    <row r="199" spans="1:13" s="1" customFormat="1" ht="18" customHeight="1" x14ac:dyDescent="0.25">
      <c r="A199" s="27" t="s">
        <v>232</v>
      </c>
      <c r="B199" s="44" t="s">
        <v>233</v>
      </c>
      <c r="C199" s="14"/>
      <c r="D199" s="150">
        <f>D200+D208</f>
        <v>212981</v>
      </c>
      <c r="E199" s="172"/>
      <c r="F199" s="30"/>
      <c r="G199" s="132">
        <f>G200+G208</f>
        <v>6755022.9699999997</v>
      </c>
      <c r="H199" s="15"/>
      <c r="K199" s="294"/>
      <c r="L199" s="25"/>
      <c r="M199" s="3"/>
    </row>
    <row r="200" spans="1:13" s="1" customFormat="1" ht="15.75" customHeight="1" x14ac:dyDescent="0.25">
      <c r="A200" s="27" t="s">
        <v>234</v>
      </c>
      <c r="B200" s="44" t="s">
        <v>218</v>
      </c>
      <c r="C200" s="45" t="s">
        <v>23</v>
      </c>
      <c r="D200" s="29">
        <f>SUM(D204:D207)</f>
        <v>42192</v>
      </c>
      <c r="E200" s="2"/>
      <c r="F200" s="29"/>
      <c r="G200" s="56">
        <f>SUM(G201:G207)</f>
        <v>3542079.88</v>
      </c>
      <c r="H200" s="15"/>
      <c r="K200" s="294"/>
      <c r="L200" s="25"/>
      <c r="M200" s="3"/>
    </row>
    <row r="201" spans="1:13" s="1" customFormat="1" ht="15.75" customHeight="1" x14ac:dyDescent="0.25">
      <c r="A201" s="27"/>
      <c r="B201" s="46" t="s">
        <v>235</v>
      </c>
      <c r="C201" s="14" t="s">
        <v>23</v>
      </c>
      <c r="D201" s="33">
        <v>15100</v>
      </c>
      <c r="E201" s="169">
        <f>E185</f>
        <v>7.38</v>
      </c>
      <c r="F201" s="69">
        <v>4</v>
      </c>
      <c r="G201" s="60">
        <f>ROUND((D201*E201*F201),2)</f>
        <v>445752</v>
      </c>
      <c r="H201" s="4">
        <v>103</v>
      </c>
      <c r="I201" s="496" t="s">
        <v>391</v>
      </c>
      <c r="J201" s="10">
        <f>G201+G202+G204+G205+G207+G209+G211+G212</f>
        <v>6045729.1299999999</v>
      </c>
      <c r="K201" s="294">
        <v>1.356897</v>
      </c>
      <c r="L201" s="25">
        <f t="shared" si="11"/>
        <v>6127763.4471930964</v>
      </c>
      <c r="M201" s="3">
        <v>6128</v>
      </c>
    </row>
    <row r="202" spans="1:13" s="1" customFormat="1" ht="14.25" customHeight="1" x14ac:dyDescent="0.25">
      <c r="A202" s="27"/>
      <c r="B202" s="46" t="s">
        <v>236</v>
      </c>
      <c r="C202" s="14" t="s">
        <v>23</v>
      </c>
      <c r="D202" s="168">
        <v>5060</v>
      </c>
      <c r="E202" s="169">
        <f>E186</f>
        <v>59.4</v>
      </c>
      <c r="F202" s="69">
        <v>5</v>
      </c>
      <c r="G202" s="60">
        <f t="shared" ref="G202:G211" si="13">ROUND((D202*E202*F202),2)</f>
        <v>1502820</v>
      </c>
      <c r="H202" s="4" t="s">
        <v>221</v>
      </c>
      <c r="I202" s="496"/>
      <c r="J202" s="293">
        <f>D204+D205+D207+D209+D211+D212</f>
        <v>209967</v>
      </c>
      <c r="K202" s="331" t="s">
        <v>23</v>
      </c>
      <c r="L202" s="25"/>
      <c r="M202" s="98"/>
    </row>
    <row r="203" spans="1:13" s="1" customFormat="1" ht="14.25" customHeight="1" x14ac:dyDescent="0.25">
      <c r="A203" s="27"/>
      <c r="B203" s="49" t="s">
        <v>236</v>
      </c>
      <c r="C203" s="50" t="s">
        <v>23</v>
      </c>
      <c r="D203" s="170">
        <v>1700</v>
      </c>
      <c r="E203" s="171">
        <f>E187</f>
        <v>59.4</v>
      </c>
      <c r="F203" s="55">
        <v>5</v>
      </c>
      <c r="G203" s="53">
        <f>ROUND((D203*E203*F203),2)</f>
        <v>504900</v>
      </c>
      <c r="H203" s="54" t="s">
        <v>221</v>
      </c>
      <c r="I203" s="245" t="s">
        <v>395</v>
      </c>
      <c r="K203" s="294"/>
      <c r="L203" s="25"/>
      <c r="M203" s="98"/>
    </row>
    <row r="204" spans="1:13" s="1" customFormat="1" ht="18" customHeight="1" x14ac:dyDescent="0.25">
      <c r="A204" s="27"/>
      <c r="B204" s="46" t="s">
        <v>237</v>
      </c>
      <c r="C204" s="14" t="s">
        <v>23</v>
      </c>
      <c r="D204" s="33">
        <v>15100</v>
      </c>
      <c r="E204" s="169">
        <f>E189</f>
        <v>4.5199999999999996</v>
      </c>
      <c r="F204" s="69">
        <v>2</v>
      </c>
      <c r="G204" s="60">
        <f t="shared" si="13"/>
        <v>136504</v>
      </c>
      <c r="H204" s="4">
        <v>104</v>
      </c>
      <c r="I204" s="497" t="s">
        <v>391</v>
      </c>
      <c r="K204" s="294"/>
      <c r="L204" s="25"/>
      <c r="M204" s="3"/>
    </row>
    <row r="205" spans="1:13" s="1" customFormat="1" ht="16.5" customHeight="1" x14ac:dyDescent="0.25">
      <c r="A205" s="27"/>
      <c r="B205" s="46" t="s">
        <v>238</v>
      </c>
      <c r="C205" s="14" t="s">
        <v>23</v>
      </c>
      <c r="D205" s="168">
        <f>D202</f>
        <v>5060</v>
      </c>
      <c r="E205" s="169">
        <f>E190</f>
        <v>12.09</v>
      </c>
      <c r="F205" s="69">
        <v>7</v>
      </c>
      <c r="G205" s="60">
        <f t="shared" si="13"/>
        <v>428227.8</v>
      </c>
      <c r="H205" s="4" t="s">
        <v>224</v>
      </c>
      <c r="I205" s="498"/>
      <c r="K205" s="294"/>
      <c r="L205" s="25"/>
      <c r="M205" s="3"/>
    </row>
    <row r="206" spans="1:13" s="1" customFormat="1" ht="16.5" customHeight="1" x14ac:dyDescent="0.25">
      <c r="A206" s="27"/>
      <c r="B206" s="49" t="s">
        <v>238</v>
      </c>
      <c r="C206" s="50" t="s">
        <v>23</v>
      </c>
      <c r="D206" s="170">
        <f>D203</f>
        <v>1700</v>
      </c>
      <c r="E206" s="171">
        <f>E192</f>
        <v>12.09</v>
      </c>
      <c r="F206" s="55">
        <v>7</v>
      </c>
      <c r="G206" s="53">
        <f>ROUND((D206*E206*F206),2)</f>
        <v>143871</v>
      </c>
      <c r="H206" s="54" t="s">
        <v>224</v>
      </c>
      <c r="I206" s="245" t="s">
        <v>395</v>
      </c>
      <c r="K206" s="294"/>
      <c r="L206" s="25"/>
      <c r="M206" s="3"/>
    </row>
    <row r="207" spans="1:13" s="1" customFormat="1" ht="15.75" x14ac:dyDescent="0.25">
      <c r="A207" s="27"/>
      <c r="B207" s="46" t="s">
        <v>238</v>
      </c>
      <c r="C207" s="14" t="s">
        <v>23</v>
      </c>
      <c r="D207" s="168">
        <v>20332</v>
      </c>
      <c r="E207" s="169">
        <v>2.67</v>
      </c>
      <c r="F207" s="69">
        <v>7</v>
      </c>
      <c r="G207" s="60">
        <f t="shared" si="13"/>
        <v>380005.08</v>
      </c>
      <c r="H207" s="4" t="s">
        <v>239</v>
      </c>
      <c r="I207" s="245" t="s">
        <v>391</v>
      </c>
      <c r="K207" s="294"/>
      <c r="L207" s="25"/>
      <c r="M207" s="3"/>
    </row>
    <row r="208" spans="1:13" s="1" customFormat="1" ht="15.75" x14ac:dyDescent="0.25">
      <c r="A208" s="27" t="s">
        <v>240</v>
      </c>
      <c r="B208" s="44" t="s">
        <v>136</v>
      </c>
      <c r="C208" s="45" t="s">
        <v>23</v>
      </c>
      <c r="D208" s="29">
        <f>SUM(D209:D212)</f>
        <v>170789</v>
      </c>
      <c r="E208" s="149"/>
      <c r="F208" s="29"/>
      <c r="G208" s="56">
        <f>SUM(G209:G212)</f>
        <v>3212943.09</v>
      </c>
      <c r="H208" s="15"/>
      <c r="I208" s="239"/>
      <c r="K208" s="294"/>
      <c r="L208" s="25"/>
      <c r="M208" s="3"/>
    </row>
    <row r="209" spans="1:13" s="1" customFormat="1" ht="17.25" customHeight="1" x14ac:dyDescent="0.25">
      <c r="A209" s="27"/>
      <c r="B209" s="46" t="s">
        <v>228</v>
      </c>
      <c r="C209" s="14" t="s">
        <v>23</v>
      </c>
      <c r="D209" s="33">
        <v>40145</v>
      </c>
      <c r="E209" s="169">
        <f>E196</f>
        <v>6.58</v>
      </c>
      <c r="F209" s="69">
        <v>7</v>
      </c>
      <c r="G209" s="60">
        <f t="shared" si="13"/>
        <v>1849078.7</v>
      </c>
      <c r="H209" s="4" t="s">
        <v>229</v>
      </c>
      <c r="I209" s="245" t="s">
        <v>391</v>
      </c>
      <c r="K209" s="294"/>
      <c r="L209" s="25"/>
      <c r="M209" s="3"/>
    </row>
    <row r="210" spans="1:13" s="1" customFormat="1" ht="17.25" customHeight="1" x14ac:dyDescent="0.25">
      <c r="A210" s="27"/>
      <c r="B210" s="49" t="s">
        <v>228</v>
      </c>
      <c r="C210" s="50" t="s">
        <v>23</v>
      </c>
      <c r="D210" s="51">
        <v>1314</v>
      </c>
      <c r="E210" s="171">
        <f>E209</f>
        <v>6.58</v>
      </c>
      <c r="F210" s="55">
        <v>7</v>
      </c>
      <c r="G210" s="53">
        <f>ROUND((D210*E210*F210),2)</f>
        <v>60522.84</v>
      </c>
      <c r="H210" s="54" t="s">
        <v>229</v>
      </c>
      <c r="I210" s="245" t="s">
        <v>395</v>
      </c>
      <c r="K210" s="294"/>
      <c r="L210" s="25"/>
      <c r="M210" s="3"/>
    </row>
    <row r="211" spans="1:13" s="1" customFormat="1" ht="16.5" customHeight="1" x14ac:dyDescent="0.25">
      <c r="A211" s="27"/>
      <c r="B211" s="46" t="s">
        <v>228</v>
      </c>
      <c r="C211" s="14" t="s">
        <v>23</v>
      </c>
      <c r="D211" s="33">
        <v>76955</v>
      </c>
      <c r="E211" s="169">
        <v>1.63</v>
      </c>
      <c r="F211" s="69">
        <v>7</v>
      </c>
      <c r="G211" s="60">
        <f t="shared" si="13"/>
        <v>878056.55</v>
      </c>
      <c r="H211" s="4" t="s">
        <v>241</v>
      </c>
      <c r="I211" s="496" t="s">
        <v>391</v>
      </c>
      <c r="K211" s="294"/>
      <c r="L211" s="25"/>
      <c r="M211" s="3"/>
    </row>
    <row r="212" spans="1:13" s="1" customFormat="1" ht="16.5" customHeight="1" x14ac:dyDescent="0.25">
      <c r="A212" s="27"/>
      <c r="B212" s="46" t="s">
        <v>228</v>
      </c>
      <c r="C212" s="14" t="s">
        <v>23</v>
      </c>
      <c r="D212" s="33">
        <v>52375</v>
      </c>
      <c r="E212" s="169">
        <v>1.1599999999999999</v>
      </c>
      <c r="F212" s="69">
        <v>7</v>
      </c>
      <c r="G212" s="60">
        <f>ROUND((D212*E212*F212),2)</f>
        <v>425285</v>
      </c>
      <c r="H212" s="4" t="s">
        <v>242</v>
      </c>
      <c r="I212" s="496"/>
      <c r="K212" s="294"/>
      <c r="L212" s="25"/>
      <c r="M212" s="3"/>
    </row>
    <row r="213" spans="1:13" s="1" customFormat="1" ht="16.5" customHeight="1" x14ac:dyDescent="0.25">
      <c r="A213" s="27" t="s">
        <v>243</v>
      </c>
      <c r="B213" s="44" t="s">
        <v>244</v>
      </c>
      <c r="C213" s="14"/>
      <c r="D213" s="150">
        <f>D214+D226</f>
        <v>1253455</v>
      </c>
      <c r="E213" s="172"/>
      <c r="F213" s="69"/>
      <c r="G213" s="132">
        <f>G214+G226</f>
        <v>33593133.649999999</v>
      </c>
      <c r="H213" s="4"/>
      <c r="K213" s="294"/>
      <c r="L213" s="25"/>
      <c r="M213" s="3"/>
    </row>
    <row r="214" spans="1:13" s="1" customFormat="1" ht="20.25" customHeight="1" x14ac:dyDescent="0.25">
      <c r="A214" s="27" t="s">
        <v>245</v>
      </c>
      <c r="B214" s="44" t="s">
        <v>246</v>
      </c>
      <c r="C214" s="14"/>
      <c r="D214" s="29">
        <f>D220+D221+D222+D223+D224+D225</f>
        <v>326174</v>
      </c>
      <c r="E214" s="175"/>
      <c r="F214" s="176"/>
      <c r="G214" s="56">
        <f>G215+G216+G217+G218+G219+G220+G221+G222+G223+G224+G225</f>
        <v>23005397.109999996</v>
      </c>
      <c r="H214" s="15"/>
      <c r="K214" s="294"/>
      <c r="L214" s="25"/>
      <c r="M214" s="3"/>
    </row>
    <row r="215" spans="1:13" s="1" customFormat="1" ht="24" customHeight="1" x14ac:dyDescent="0.25">
      <c r="A215" s="27"/>
      <c r="B215" s="36" t="s">
        <v>219</v>
      </c>
      <c r="C215" s="37" t="s">
        <v>23</v>
      </c>
      <c r="D215" s="101">
        <v>263327</v>
      </c>
      <c r="E215" s="96">
        <f>E185</f>
        <v>7.38</v>
      </c>
      <c r="F215" s="40">
        <v>5</v>
      </c>
      <c r="G215" s="97">
        <f>ROUND((D215*E215*F215),2)</f>
        <v>9716766.3000000007</v>
      </c>
      <c r="H215" s="42">
        <v>103</v>
      </c>
      <c r="I215" s="481" t="s">
        <v>19</v>
      </c>
      <c r="K215" s="294"/>
      <c r="L215" s="25"/>
      <c r="M215" s="177"/>
    </row>
    <row r="216" spans="1:13" s="1" customFormat="1" ht="20.25" customHeight="1" x14ac:dyDescent="0.25">
      <c r="A216" s="27"/>
      <c r="B216" s="36" t="s">
        <v>220</v>
      </c>
      <c r="C216" s="37" t="s">
        <v>23</v>
      </c>
      <c r="D216" s="101">
        <v>29258</v>
      </c>
      <c r="E216" s="96">
        <v>44.68</v>
      </c>
      <c r="F216" s="40">
        <v>4</v>
      </c>
      <c r="G216" s="97">
        <f t="shared" ref="G216:G225" si="14">ROUND((D216*E216*F216),2)</f>
        <v>5228989.76</v>
      </c>
      <c r="H216" s="42">
        <v>106</v>
      </c>
      <c r="I216" s="481"/>
      <c r="K216" s="294"/>
      <c r="L216" s="25"/>
      <c r="M216" s="3"/>
    </row>
    <row r="217" spans="1:13" s="1" customFormat="1" ht="22.5" customHeight="1" x14ac:dyDescent="0.25">
      <c r="A217" s="27"/>
      <c r="B217" s="36" t="s">
        <v>219</v>
      </c>
      <c r="C217" s="37" t="s">
        <v>23</v>
      </c>
      <c r="D217" s="101">
        <v>8901</v>
      </c>
      <c r="E217" s="96">
        <f>E185</f>
        <v>7.38</v>
      </c>
      <c r="F217" s="40">
        <v>5</v>
      </c>
      <c r="G217" s="97">
        <f t="shared" si="14"/>
        <v>328446.90000000002</v>
      </c>
      <c r="H217" s="42">
        <v>103</v>
      </c>
      <c r="I217" s="452" t="s">
        <v>395</v>
      </c>
      <c r="K217" s="294"/>
      <c r="L217" s="25"/>
      <c r="M217" s="178"/>
    </row>
    <row r="218" spans="1:13" s="1" customFormat="1" ht="20.25" customHeight="1" x14ac:dyDescent="0.25">
      <c r="A218" s="27"/>
      <c r="B218" s="36" t="s">
        <v>220</v>
      </c>
      <c r="C218" s="37" t="s">
        <v>23</v>
      </c>
      <c r="D218" s="101">
        <v>8372</v>
      </c>
      <c r="E218" s="96">
        <f>E186</f>
        <v>59.4</v>
      </c>
      <c r="F218" s="40">
        <v>5</v>
      </c>
      <c r="G218" s="97">
        <f t="shared" si="14"/>
        <v>2486484</v>
      </c>
      <c r="H218" s="42" t="s">
        <v>221</v>
      </c>
      <c r="I218" s="452"/>
      <c r="K218" s="294"/>
      <c r="L218" s="25"/>
      <c r="M218" s="3"/>
    </row>
    <row r="219" spans="1:13" s="1" customFormat="1" ht="21" customHeight="1" x14ac:dyDescent="0.25">
      <c r="A219" s="27"/>
      <c r="B219" s="36" t="s">
        <v>247</v>
      </c>
      <c r="C219" s="37" t="s">
        <v>23</v>
      </c>
      <c r="D219" s="101">
        <v>7383</v>
      </c>
      <c r="E219" s="96">
        <v>67.75</v>
      </c>
      <c r="F219" s="40">
        <v>3</v>
      </c>
      <c r="G219" s="97">
        <f t="shared" si="14"/>
        <v>1500594.75</v>
      </c>
      <c r="H219" s="42">
        <v>112</v>
      </c>
      <c r="I219" s="241" t="s">
        <v>392</v>
      </c>
      <c r="K219" s="294"/>
      <c r="L219" s="25"/>
      <c r="M219" s="98"/>
    </row>
    <row r="220" spans="1:13" s="1" customFormat="1" ht="21" customHeight="1" x14ac:dyDescent="0.25">
      <c r="A220" s="27"/>
      <c r="B220" s="36" t="s">
        <v>222</v>
      </c>
      <c r="C220" s="37" t="s">
        <v>23</v>
      </c>
      <c r="D220" s="101">
        <v>243994</v>
      </c>
      <c r="E220" s="96">
        <f>E189</f>
        <v>4.5199999999999996</v>
      </c>
      <c r="F220" s="40">
        <v>2</v>
      </c>
      <c r="G220" s="97">
        <f t="shared" si="14"/>
        <v>2205705.7599999998</v>
      </c>
      <c r="H220" s="42">
        <v>104</v>
      </c>
      <c r="I220" s="481" t="s">
        <v>19</v>
      </c>
      <c r="K220" s="294"/>
      <c r="L220" s="25"/>
      <c r="M220" s="178"/>
    </row>
    <row r="221" spans="1:13" s="1" customFormat="1" ht="21" customHeight="1" x14ac:dyDescent="0.25">
      <c r="A221" s="27"/>
      <c r="B221" s="36" t="s">
        <v>223</v>
      </c>
      <c r="C221" s="37" t="s">
        <v>23</v>
      </c>
      <c r="D221" s="101">
        <v>31952</v>
      </c>
      <c r="E221" s="96">
        <v>2.67</v>
      </c>
      <c r="F221" s="40">
        <v>7</v>
      </c>
      <c r="G221" s="97">
        <f t="shared" si="14"/>
        <v>597182.88</v>
      </c>
      <c r="H221" s="42" t="s">
        <v>239</v>
      </c>
      <c r="I221" s="481"/>
      <c r="K221" s="294"/>
      <c r="L221" s="25"/>
      <c r="M221" s="98"/>
    </row>
    <row r="222" spans="1:13" s="1" customFormat="1" ht="18.75" customHeight="1" x14ac:dyDescent="0.25">
      <c r="A222" s="27"/>
      <c r="B222" s="36" t="s">
        <v>223</v>
      </c>
      <c r="C222" s="37" t="s">
        <v>23</v>
      </c>
      <c r="D222" s="101">
        <v>16639</v>
      </c>
      <c r="E222" s="96">
        <v>1.92</v>
      </c>
      <c r="F222" s="40">
        <v>7</v>
      </c>
      <c r="G222" s="97">
        <f t="shared" si="14"/>
        <v>223628.16</v>
      </c>
      <c r="H222" s="42" t="s">
        <v>248</v>
      </c>
      <c r="I222" s="481"/>
      <c r="K222" s="294"/>
      <c r="L222" s="25"/>
      <c r="M222" s="98"/>
    </row>
    <row r="223" spans="1:13" s="1" customFormat="1" ht="22.5" customHeight="1" x14ac:dyDescent="0.25">
      <c r="A223" s="27"/>
      <c r="B223" s="36" t="s">
        <v>223</v>
      </c>
      <c r="C223" s="37" t="s">
        <v>23</v>
      </c>
      <c r="D223" s="101">
        <v>16316</v>
      </c>
      <c r="E223" s="96">
        <f>E222</f>
        <v>1.92</v>
      </c>
      <c r="F223" s="40">
        <v>7</v>
      </c>
      <c r="G223" s="97">
        <f t="shared" si="14"/>
        <v>219287.04000000001</v>
      </c>
      <c r="H223" s="42" t="s">
        <v>248</v>
      </c>
      <c r="I223" s="241" t="s">
        <v>392</v>
      </c>
      <c r="K223" s="294"/>
      <c r="L223" s="25"/>
      <c r="M223" s="3"/>
    </row>
    <row r="224" spans="1:13" s="1" customFormat="1" ht="24" customHeight="1" x14ac:dyDescent="0.25">
      <c r="A224" s="27"/>
      <c r="B224" s="36" t="s">
        <v>222</v>
      </c>
      <c r="C224" s="37" t="s">
        <v>23</v>
      </c>
      <c r="D224" s="101">
        <f>D217</f>
        <v>8901</v>
      </c>
      <c r="E224" s="96">
        <f>E189</f>
        <v>4.5199999999999996</v>
      </c>
      <c r="F224" s="40">
        <v>2</v>
      </c>
      <c r="G224" s="97">
        <f t="shared" si="14"/>
        <v>80465.039999999994</v>
      </c>
      <c r="H224" s="42">
        <v>104</v>
      </c>
      <c r="I224" s="452" t="s">
        <v>395</v>
      </c>
      <c r="K224" s="294"/>
      <c r="L224" s="25"/>
      <c r="M224" s="3"/>
    </row>
    <row r="225" spans="1:13" s="1" customFormat="1" ht="21" customHeight="1" x14ac:dyDescent="0.25">
      <c r="A225" s="27"/>
      <c r="B225" s="36" t="s">
        <v>223</v>
      </c>
      <c r="C225" s="37" t="s">
        <v>23</v>
      </c>
      <c r="D225" s="101">
        <f>D218</f>
        <v>8372</v>
      </c>
      <c r="E225" s="96">
        <f>E193</f>
        <v>7.13</v>
      </c>
      <c r="F225" s="40">
        <v>7</v>
      </c>
      <c r="G225" s="97">
        <f t="shared" si="14"/>
        <v>417846.52</v>
      </c>
      <c r="H225" s="42" t="s">
        <v>225</v>
      </c>
      <c r="I225" s="452"/>
      <c r="K225" s="294"/>
      <c r="L225" s="25"/>
      <c r="M225" s="3"/>
    </row>
    <row r="226" spans="1:13" s="1" customFormat="1" ht="15.75" x14ac:dyDescent="0.25">
      <c r="A226" s="27" t="s">
        <v>249</v>
      </c>
      <c r="B226" s="44" t="s">
        <v>250</v>
      </c>
      <c r="C226" s="28" t="s">
        <v>23</v>
      </c>
      <c r="D226" s="179">
        <f>D227+D228+D229</f>
        <v>927281</v>
      </c>
      <c r="E226" s="172"/>
      <c r="F226" s="30"/>
      <c r="G226" s="56">
        <f>SUM(G227:G231)</f>
        <v>10587736.540000001</v>
      </c>
      <c r="H226" s="15"/>
      <c r="I226" s="239"/>
      <c r="K226" s="294"/>
      <c r="L226" s="25"/>
      <c r="M226" s="3"/>
    </row>
    <row r="227" spans="1:13" s="1" customFormat="1" ht="23.25" customHeight="1" x14ac:dyDescent="0.25">
      <c r="A227" s="27"/>
      <c r="B227" s="36" t="s">
        <v>228</v>
      </c>
      <c r="C227" s="37" t="s">
        <v>23</v>
      </c>
      <c r="D227" s="101">
        <v>523064</v>
      </c>
      <c r="E227" s="96">
        <v>1.63</v>
      </c>
      <c r="F227" s="40">
        <v>7</v>
      </c>
      <c r="G227" s="97">
        <f>ROUND((D227*E227*F227),2)</f>
        <v>5968160.2400000002</v>
      </c>
      <c r="H227" s="42" t="s">
        <v>241</v>
      </c>
      <c r="I227" s="452" t="s">
        <v>169</v>
      </c>
      <c r="K227" s="294"/>
      <c r="L227" s="25"/>
      <c r="M227" s="3"/>
    </row>
    <row r="228" spans="1:13" s="1" customFormat="1" ht="21.75" customHeight="1" x14ac:dyDescent="0.25">
      <c r="A228" s="27"/>
      <c r="B228" s="36" t="s">
        <v>228</v>
      </c>
      <c r="C228" s="37" t="s">
        <v>23</v>
      </c>
      <c r="D228" s="101">
        <v>348762</v>
      </c>
      <c r="E228" s="96">
        <v>1.1599999999999999</v>
      </c>
      <c r="F228" s="40">
        <v>7</v>
      </c>
      <c r="G228" s="97">
        <f>ROUND((D228*E228*F228),2)</f>
        <v>2831947.44</v>
      </c>
      <c r="H228" s="42" t="s">
        <v>242</v>
      </c>
      <c r="I228" s="452"/>
      <c r="K228" s="294"/>
      <c r="L228" s="25"/>
      <c r="M228" s="3"/>
    </row>
    <row r="229" spans="1:13" s="1" customFormat="1" ht="21.75" customHeight="1" x14ac:dyDescent="0.25">
      <c r="A229" s="27"/>
      <c r="B229" s="36" t="s">
        <v>228</v>
      </c>
      <c r="C229" s="37" t="s">
        <v>23</v>
      </c>
      <c r="D229" s="101">
        <v>55455</v>
      </c>
      <c r="E229" s="96">
        <v>3.73</v>
      </c>
      <c r="F229" s="40">
        <v>7</v>
      </c>
      <c r="G229" s="97">
        <f>ROUND((D229*E229*F229),2)</f>
        <v>1447930.05</v>
      </c>
      <c r="H229" s="42" t="s">
        <v>230</v>
      </c>
      <c r="I229" s="246" t="s">
        <v>395</v>
      </c>
      <c r="K229" s="294"/>
      <c r="L229" s="25"/>
      <c r="M229" s="3"/>
    </row>
    <row r="230" spans="1:13" s="1" customFormat="1" ht="33.75" customHeight="1" x14ac:dyDescent="0.25">
      <c r="A230" s="57"/>
      <c r="B230" s="180" t="s">
        <v>251</v>
      </c>
      <c r="C230" s="37" t="s">
        <v>23</v>
      </c>
      <c r="D230" s="181">
        <v>352282.45</v>
      </c>
      <c r="E230" s="182">
        <v>0.78</v>
      </c>
      <c r="F230" s="37"/>
      <c r="G230" s="97">
        <f>ROUND((D230*E230*1),2)</f>
        <v>274780.31</v>
      </c>
      <c r="H230" s="42">
        <v>78</v>
      </c>
      <c r="I230" s="493" t="s">
        <v>169</v>
      </c>
      <c r="K230" s="294"/>
      <c r="L230" s="25"/>
      <c r="M230" s="3"/>
    </row>
    <row r="231" spans="1:13" s="1" customFormat="1" ht="29.25" customHeight="1" x14ac:dyDescent="0.25">
      <c r="A231" s="57"/>
      <c r="B231" s="180" t="s">
        <v>252</v>
      </c>
      <c r="C231" s="37" t="s">
        <v>72</v>
      </c>
      <c r="D231" s="38">
        <v>150</v>
      </c>
      <c r="E231" s="182">
        <v>432.79</v>
      </c>
      <c r="F231" s="37"/>
      <c r="G231" s="97">
        <f>ROUND((D231*E231*1),2)</f>
        <v>64918.5</v>
      </c>
      <c r="H231" s="42">
        <v>81</v>
      </c>
      <c r="I231" s="494"/>
      <c r="K231" s="294"/>
      <c r="L231" s="25"/>
      <c r="M231" s="3"/>
    </row>
    <row r="232" spans="1:13" s="114" customFormat="1" ht="20.100000000000001" customHeight="1" x14ac:dyDescent="0.25">
      <c r="A232" s="27" t="s">
        <v>253</v>
      </c>
      <c r="B232" s="107" t="s">
        <v>254</v>
      </c>
      <c r="C232" s="108" t="s">
        <v>23</v>
      </c>
      <c r="D232" s="109">
        <f>D233+D238+D241+D246+D249+D254</f>
        <v>393856</v>
      </c>
      <c r="E232" s="152"/>
      <c r="F232" s="109"/>
      <c r="G232" s="111">
        <f>G233+G238+G241+G246+G249+G254</f>
        <v>20117080.809999999</v>
      </c>
      <c r="H232" s="112"/>
      <c r="I232" s="452" t="s">
        <v>390</v>
      </c>
      <c r="J232" s="261">
        <f>G232</f>
        <v>20117080.809999999</v>
      </c>
      <c r="K232" s="294">
        <v>1.356897</v>
      </c>
      <c r="L232" s="25">
        <f t="shared" ref="L232" si="15">J232+(J232*K232/100)</f>
        <v>20390048.875998463</v>
      </c>
      <c r="M232" s="1">
        <v>20390</v>
      </c>
    </row>
    <row r="233" spans="1:13" s="114" customFormat="1" ht="19.5" customHeight="1" x14ac:dyDescent="0.25">
      <c r="A233" s="27" t="s">
        <v>255</v>
      </c>
      <c r="B233" s="107" t="s">
        <v>256</v>
      </c>
      <c r="C233" s="108" t="s">
        <v>23</v>
      </c>
      <c r="D233" s="109">
        <v>54766</v>
      </c>
      <c r="E233" s="183"/>
      <c r="F233" s="109"/>
      <c r="G233" s="111">
        <f>G234+G235+G236+G237</f>
        <v>5495900.2300000004</v>
      </c>
      <c r="H233" s="112"/>
      <c r="I233" s="452"/>
      <c r="K233" s="294"/>
      <c r="L233" s="25"/>
    </row>
    <row r="234" spans="1:13" s="1" customFormat="1" ht="20.100000000000001" customHeight="1" x14ac:dyDescent="0.25">
      <c r="A234" s="115"/>
      <c r="B234" s="116" t="s">
        <v>257</v>
      </c>
      <c r="C234" s="117" t="s">
        <v>23</v>
      </c>
      <c r="D234" s="185">
        <f>ROUND((D233*85%),0)</f>
        <v>46551</v>
      </c>
      <c r="E234" s="186">
        <v>7.38</v>
      </c>
      <c r="F234" s="118">
        <v>5</v>
      </c>
      <c r="G234" s="120">
        <f>ROUND((D234*E234*F234),2)</f>
        <v>1717731.9</v>
      </c>
      <c r="H234" s="121">
        <v>103</v>
      </c>
      <c r="I234" s="452"/>
      <c r="K234" s="294"/>
      <c r="L234" s="25"/>
    </row>
    <row r="235" spans="1:13" s="1" customFormat="1" ht="18" customHeight="1" x14ac:dyDescent="0.25">
      <c r="A235" s="115"/>
      <c r="B235" s="116" t="s">
        <v>258</v>
      </c>
      <c r="C235" s="117" t="s">
        <v>23</v>
      </c>
      <c r="D235" s="185">
        <f>D233-D234</f>
        <v>8215</v>
      </c>
      <c r="E235" s="186">
        <f>E218</f>
        <v>59.4</v>
      </c>
      <c r="F235" s="118">
        <v>5</v>
      </c>
      <c r="G235" s="120">
        <f>ROUND((D235*E235*F235),2)</f>
        <v>2439855</v>
      </c>
      <c r="H235" s="121" t="s">
        <v>221</v>
      </c>
      <c r="I235" s="452"/>
      <c r="K235" s="294"/>
      <c r="L235" s="25"/>
    </row>
    <row r="236" spans="1:13" s="1" customFormat="1" ht="20.100000000000001" customHeight="1" x14ac:dyDescent="0.25">
      <c r="A236" s="115"/>
      <c r="B236" s="116" t="s">
        <v>259</v>
      </c>
      <c r="C236" s="117" t="s">
        <v>23</v>
      </c>
      <c r="D236" s="185">
        <f>ROUND((D233*75%),0)</f>
        <v>41075</v>
      </c>
      <c r="E236" s="186">
        <f>E220</f>
        <v>4.5199999999999996</v>
      </c>
      <c r="F236" s="118">
        <v>2</v>
      </c>
      <c r="G236" s="120">
        <f>ROUND((D236*E236*F236),2)</f>
        <v>371318</v>
      </c>
      <c r="H236" s="121">
        <v>104</v>
      </c>
      <c r="I236" s="452"/>
      <c r="K236" s="294"/>
      <c r="L236" s="25"/>
    </row>
    <row r="237" spans="1:13" s="1" customFormat="1" ht="20.100000000000001" customHeight="1" x14ac:dyDescent="0.25">
      <c r="A237" s="115"/>
      <c r="B237" s="116" t="s">
        <v>260</v>
      </c>
      <c r="C237" s="117" t="s">
        <v>23</v>
      </c>
      <c r="D237" s="185">
        <f>D233-D236</f>
        <v>13691</v>
      </c>
      <c r="E237" s="186">
        <v>10.09</v>
      </c>
      <c r="F237" s="118">
        <v>7</v>
      </c>
      <c r="G237" s="120">
        <f>ROUND((D237*E237*F237),2)</f>
        <v>966995.33</v>
      </c>
      <c r="H237" s="121" t="s">
        <v>261</v>
      </c>
      <c r="I237" s="452"/>
      <c r="K237" s="294"/>
      <c r="L237" s="25"/>
    </row>
    <row r="238" spans="1:13" s="114" customFormat="1" ht="20.100000000000001" customHeight="1" x14ac:dyDescent="0.25">
      <c r="A238" s="27" t="s">
        <v>262</v>
      </c>
      <c r="B238" s="107" t="s">
        <v>263</v>
      </c>
      <c r="C238" s="108" t="s">
        <v>23</v>
      </c>
      <c r="D238" s="109">
        <v>149695</v>
      </c>
      <c r="E238" s="110"/>
      <c r="F238" s="109"/>
      <c r="G238" s="111">
        <f>SUM(G239:G240)</f>
        <v>5401793.9500000002</v>
      </c>
      <c r="H238" s="112"/>
      <c r="I238" s="452"/>
      <c r="K238" s="294"/>
      <c r="L238" s="25"/>
    </row>
    <row r="239" spans="1:13" s="1" customFormat="1" ht="20.25" customHeight="1" x14ac:dyDescent="0.25">
      <c r="A239" s="115"/>
      <c r="B239" s="116" t="s">
        <v>264</v>
      </c>
      <c r="C239" s="117" t="s">
        <v>23</v>
      </c>
      <c r="D239" s="118">
        <v>74850</v>
      </c>
      <c r="E239" s="186">
        <f>E196</f>
        <v>6.58</v>
      </c>
      <c r="F239" s="118">
        <v>7</v>
      </c>
      <c r="G239" s="120">
        <f>ROUND((D239*E239*F239),2)</f>
        <v>3447591</v>
      </c>
      <c r="H239" s="121" t="s">
        <v>229</v>
      </c>
      <c r="I239" s="452"/>
      <c r="K239" s="294"/>
      <c r="L239" s="25"/>
    </row>
    <row r="240" spans="1:13" s="1" customFormat="1" ht="19.5" customHeight="1" x14ac:dyDescent="0.25">
      <c r="A240" s="57"/>
      <c r="B240" s="116" t="s">
        <v>265</v>
      </c>
      <c r="C240" s="117" t="s">
        <v>23</v>
      </c>
      <c r="D240" s="118">
        <f>D238-D239</f>
        <v>74845</v>
      </c>
      <c r="E240" s="186">
        <f>E197</f>
        <v>3.73</v>
      </c>
      <c r="F240" s="118">
        <v>7</v>
      </c>
      <c r="G240" s="120">
        <f>ROUND((D240*E240*F240),2)</f>
        <v>1954202.95</v>
      </c>
      <c r="H240" s="121" t="s">
        <v>230</v>
      </c>
      <c r="I240" s="452"/>
      <c r="K240" s="294"/>
      <c r="L240" s="25"/>
      <c r="M240" s="3"/>
    </row>
    <row r="241" spans="1:13" s="114" customFormat="1" ht="20.100000000000001" customHeight="1" x14ac:dyDescent="0.25">
      <c r="A241" s="27" t="s">
        <v>266</v>
      </c>
      <c r="B241" s="107" t="s">
        <v>267</v>
      </c>
      <c r="C241" s="108" t="s">
        <v>23</v>
      </c>
      <c r="D241" s="109">
        <v>29523</v>
      </c>
      <c r="E241" s="124"/>
      <c r="F241" s="109"/>
      <c r="G241" s="111">
        <f>SUM(G242:G245)</f>
        <v>2962605.21</v>
      </c>
      <c r="H241" s="112"/>
      <c r="I241" s="452"/>
      <c r="K241" s="294"/>
      <c r="L241" s="25"/>
    </row>
    <row r="242" spans="1:13" s="1" customFormat="1" ht="19.149999999999999" customHeight="1" x14ac:dyDescent="0.25">
      <c r="A242" s="115"/>
      <c r="B242" s="116" t="s">
        <v>257</v>
      </c>
      <c r="C242" s="117" t="s">
        <v>23</v>
      </c>
      <c r="D242" s="185">
        <f>ROUND((D241*85%),0)</f>
        <v>25095</v>
      </c>
      <c r="E242" s="186">
        <f>E234</f>
        <v>7.38</v>
      </c>
      <c r="F242" s="118">
        <v>5</v>
      </c>
      <c r="G242" s="120">
        <f>ROUND((D242*E242*F242),2)</f>
        <v>926005.5</v>
      </c>
      <c r="H242" s="121">
        <v>103</v>
      </c>
      <c r="I242" s="452"/>
      <c r="K242" s="294"/>
      <c r="L242" s="25"/>
    </row>
    <row r="243" spans="1:13" s="1" customFormat="1" ht="20.100000000000001" customHeight="1" x14ac:dyDescent="0.25">
      <c r="A243" s="115"/>
      <c r="B243" s="116" t="s">
        <v>258</v>
      </c>
      <c r="C243" s="117" t="s">
        <v>23</v>
      </c>
      <c r="D243" s="185">
        <f>D241-D242</f>
        <v>4428</v>
      </c>
      <c r="E243" s="186">
        <f>E235</f>
        <v>59.4</v>
      </c>
      <c r="F243" s="118">
        <v>5</v>
      </c>
      <c r="G243" s="120">
        <f>ROUND((D243*E243*F243),2)</f>
        <v>1315116</v>
      </c>
      <c r="H243" s="121" t="s">
        <v>221</v>
      </c>
      <c r="I243" s="452"/>
      <c r="K243" s="294"/>
      <c r="L243" s="25"/>
    </row>
    <row r="244" spans="1:13" s="1" customFormat="1" ht="19.149999999999999" customHeight="1" x14ac:dyDescent="0.25">
      <c r="A244" s="115"/>
      <c r="B244" s="116" t="s">
        <v>259</v>
      </c>
      <c r="C244" s="117" t="s">
        <v>23</v>
      </c>
      <c r="D244" s="185">
        <f>ROUND((D241*75%),0)</f>
        <v>22142</v>
      </c>
      <c r="E244" s="186">
        <f>E236</f>
        <v>4.5199999999999996</v>
      </c>
      <c r="F244" s="118">
        <v>2</v>
      </c>
      <c r="G244" s="120">
        <f>ROUND((D244*E244*F244),2)</f>
        <v>200163.68</v>
      </c>
      <c r="H244" s="121">
        <v>104</v>
      </c>
      <c r="I244" s="452"/>
      <c r="K244" s="294"/>
      <c r="L244" s="25"/>
    </row>
    <row r="245" spans="1:13" s="1" customFormat="1" ht="20.100000000000001" customHeight="1" x14ac:dyDescent="0.25">
      <c r="A245" s="115"/>
      <c r="B245" s="116" t="s">
        <v>260</v>
      </c>
      <c r="C245" s="117" t="s">
        <v>23</v>
      </c>
      <c r="D245" s="185">
        <f>D241-D244</f>
        <v>7381</v>
      </c>
      <c r="E245" s="186">
        <f>E237</f>
        <v>10.09</v>
      </c>
      <c r="F245" s="118">
        <v>7</v>
      </c>
      <c r="G245" s="120">
        <f>ROUND((D245*E245*F245),2)</f>
        <v>521320.03</v>
      </c>
      <c r="H245" s="121" t="s">
        <v>261</v>
      </c>
      <c r="I245" s="452"/>
      <c r="K245" s="294"/>
      <c r="L245" s="25"/>
    </row>
    <row r="246" spans="1:13" s="114" customFormat="1" ht="20.100000000000001" customHeight="1" x14ac:dyDescent="0.25">
      <c r="A246" s="27" t="s">
        <v>268</v>
      </c>
      <c r="B246" s="107" t="s">
        <v>269</v>
      </c>
      <c r="C246" s="108" t="s">
        <v>23</v>
      </c>
      <c r="D246" s="109">
        <v>93242</v>
      </c>
      <c r="E246" s="110"/>
      <c r="F246" s="109"/>
      <c r="G246" s="111">
        <f>SUM(G247:G248)</f>
        <v>3423130.97</v>
      </c>
      <c r="H246" s="112"/>
      <c r="I246" s="452"/>
      <c r="K246" s="294"/>
      <c r="L246" s="25"/>
    </row>
    <row r="247" spans="1:13" s="1" customFormat="1" ht="21.75" customHeight="1" x14ac:dyDescent="0.25">
      <c r="A247" s="115"/>
      <c r="B247" s="116" t="s">
        <v>264</v>
      </c>
      <c r="C247" s="117" t="s">
        <v>23</v>
      </c>
      <c r="D247" s="118">
        <v>49553</v>
      </c>
      <c r="E247" s="186">
        <f>E239</f>
        <v>6.58</v>
      </c>
      <c r="F247" s="118">
        <v>7</v>
      </c>
      <c r="G247" s="120">
        <f>ROUND((D247*E247*F247),2)</f>
        <v>2282411.1800000002</v>
      </c>
      <c r="H247" s="121" t="s">
        <v>229</v>
      </c>
      <c r="I247" s="452"/>
      <c r="K247" s="294"/>
      <c r="L247" s="25"/>
    </row>
    <row r="248" spans="1:13" s="1" customFormat="1" ht="19.5" customHeight="1" x14ac:dyDescent="0.25">
      <c r="A248" s="57"/>
      <c r="B248" s="116" t="s">
        <v>265</v>
      </c>
      <c r="C248" s="117" t="s">
        <v>23</v>
      </c>
      <c r="D248" s="118">
        <f>D246-D247</f>
        <v>43689</v>
      </c>
      <c r="E248" s="186">
        <f>E240</f>
        <v>3.73</v>
      </c>
      <c r="F248" s="118">
        <v>7</v>
      </c>
      <c r="G248" s="120">
        <f>ROUND((D248*E248*F248),2)</f>
        <v>1140719.79</v>
      </c>
      <c r="H248" s="121" t="s">
        <v>230</v>
      </c>
      <c r="I248" s="452"/>
      <c r="K248" s="294"/>
      <c r="L248" s="25"/>
      <c r="M248" s="3"/>
    </row>
    <row r="249" spans="1:13" s="114" customFormat="1" ht="20.100000000000001" customHeight="1" x14ac:dyDescent="0.25">
      <c r="A249" s="27" t="s">
        <v>270</v>
      </c>
      <c r="B249" s="107" t="s">
        <v>271</v>
      </c>
      <c r="C249" s="108" t="s">
        <v>23</v>
      </c>
      <c r="D249" s="109">
        <v>6680</v>
      </c>
      <c r="E249" s="124"/>
      <c r="F249" s="109"/>
      <c r="G249" s="111">
        <f>SUM(G250:G253)</f>
        <v>670354.69999999995</v>
      </c>
      <c r="H249" s="112"/>
      <c r="I249" s="452"/>
      <c r="K249" s="294"/>
      <c r="L249" s="25"/>
    </row>
    <row r="250" spans="1:13" s="1" customFormat="1" ht="20.100000000000001" customHeight="1" x14ac:dyDescent="0.25">
      <c r="A250" s="115"/>
      <c r="B250" s="116" t="s">
        <v>257</v>
      </c>
      <c r="C250" s="117" t="s">
        <v>23</v>
      </c>
      <c r="D250" s="185">
        <f>ROUND((D249*85%),0)</f>
        <v>5678</v>
      </c>
      <c r="E250" s="186">
        <f>E242</f>
        <v>7.38</v>
      </c>
      <c r="F250" s="118">
        <v>5</v>
      </c>
      <c r="G250" s="120">
        <f>ROUND((D250*E250*F250),2)</f>
        <v>209518.2</v>
      </c>
      <c r="H250" s="121">
        <v>103</v>
      </c>
      <c r="I250" s="452"/>
      <c r="K250" s="294"/>
      <c r="L250" s="25"/>
    </row>
    <row r="251" spans="1:13" s="1" customFormat="1" ht="20.100000000000001" customHeight="1" x14ac:dyDescent="0.25">
      <c r="A251" s="115"/>
      <c r="B251" s="116" t="s">
        <v>258</v>
      </c>
      <c r="C251" s="117" t="s">
        <v>23</v>
      </c>
      <c r="D251" s="185">
        <f>D249-D250</f>
        <v>1002</v>
      </c>
      <c r="E251" s="186">
        <f>E243</f>
        <v>59.4</v>
      </c>
      <c r="F251" s="118">
        <v>5</v>
      </c>
      <c r="G251" s="120">
        <f>ROUND((D251*E251*F251),2)</f>
        <v>297594</v>
      </c>
      <c r="H251" s="121" t="s">
        <v>221</v>
      </c>
      <c r="I251" s="452"/>
      <c r="K251" s="294"/>
      <c r="L251" s="25"/>
    </row>
    <row r="252" spans="1:13" s="1" customFormat="1" ht="20.100000000000001" customHeight="1" x14ac:dyDescent="0.25">
      <c r="A252" s="115"/>
      <c r="B252" s="116" t="s">
        <v>259</v>
      </c>
      <c r="C252" s="117" t="s">
        <v>23</v>
      </c>
      <c r="D252" s="185">
        <f>ROUND((D249*75%),0)</f>
        <v>5010</v>
      </c>
      <c r="E252" s="186">
        <f>E244</f>
        <v>4.5199999999999996</v>
      </c>
      <c r="F252" s="118">
        <v>2</v>
      </c>
      <c r="G252" s="120">
        <f>ROUND((D252*E252*F252),2)</f>
        <v>45290.400000000001</v>
      </c>
      <c r="H252" s="121">
        <v>104</v>
      </c>
      <c r="I252" s="452"/>
      <c r="K252" s="294"/>
      <c r="L252" s="25"/>
    </row>
    <row r="253" spans="1:13" s="1" customFormat="1" ht="20.100000000000001" customHeight="1" x14ac:dyDescent="0.25">
      <c r="A253" s="115"/>
      <c r="B253" s="116" t="s">
        <v>260</v>
      </c>
      <c r="C253" s="117" t="s">
        <v>23</v>
      </c>
      <c r="D253" s="185">
        <f>D249-D252</f>
        <v>1670</v>
      </c>
      <c r="E253" s="186">
        <f>E245</f>
        <v>10.09</v>
      </c>
      <c r="F253" s="118">
        <v>7</v>
      </c>
      <c r="G253" s="120">
        <f>ROUND((D253*E253*F253),2)</f>
        <v>117952.1</v>
      </c>
      <c r="H253" s="121" t="s">
        <v>261</v>
      </c>
      <c r="I253" s="452"/>
      <c r="K253" s="294"/>
      <c r="L253" s="25"/>
    </row>
    <row r="254" spans="1:13" s="114" customFormat="1" ht="20.100000000000001" customHeight="1" x14ac:dyDescent="0.25">
      <c r="A254" s="27" t="s">
        <v>272</v>
      </c>
      <c r="B254" s="107" t="s">
        <v>273</v>
      </c>
      <c r="C254" s="108" t="s">
        <v>23</v>
      </c>
      <c r="D254" s="109">
        <v>59950</v>
      </c>
      <c r="E254" s="110"/>
      <c r="F254" s="109"/>
      <c r="G254" s="111">
        <f>SUM(G255:G256)</f>
        <v>2163295.75</v>
      </c>
      <c r="H254" s="112"/>
      <c r="I254" s="452"/>
      <c r="K254" s="294"/>
      <c r="L254" s="25"/>
    </row>
    <row r="255" spans="1:13" s="1" customFormat="1" ht="21" customHeight="1" x14ac:dyDescent="0.25">
      <c r="A255" s="115"/>
      <c r="B255" s="116" t="s">
        <v>264</v>
      </c>
      <c r="C255" s="117" t="s">
        <v>23</v>
      </c>
      <c r="D255" s="118">
        <f>D254*50%</f>
        <v>29975</v>
      </c>
      <c r="E255" s="186">
        <f>E247</f>
        <v>6.58</v>
      </c>
      <c r="F255" s="118">
        <v>7</v>
      </c>
      <c r="G255" s="120">
        <f>ROUND((D255*E255*F255),2)</f>
        <v>1380648.5</v>
      </c>
      <c r="H255" s="121" t="s">
        <v>229</v>
      </c>
      <c r="I255" s="452"/>
      <c r="K255" s="294"/>
      <c r="L255" s="25"/>
    </row>
    <row r="256" spans="1:13" s="1" customFormat="1" ht="19.5" customHeight="1" x14ac:dyDescent="0.25">
      <c r="A256" s="57"/>
      <c r="B256" s="116" t="s">
        <v>265</v>
      </c>
      <c r="C256" s="117" t="s">
        <v>23</v>
      </c>
      <c r="D256" s="118">
        <f>D254-D255</f>
        <v>29975</v>
      </c>
      <c r="E256" s="186">
        <f>E248</f>
        <v>3.73</v>
      </c>
      <c r="F256" s="118">
        <v>7</v>
      </c>
      <c r="G256" s="120">
        <f>ROUND((D256*E256*F256),2)</f>
        <v>782647.25</v>
      </c>
      <c r="H256" s="121" t="s">
        <v>230</v>
      </c>
      <c r="I256" s="452"/>
      <c r="K256" s="294"/>
      <c r="L256" s="25"/>
      <c r="M256" s="3"/>
    </row>
    <row r="257" spans="1:12" s="1" customFormat="1" ht="19.5" customHeight="1" x14ac:dyDescent="0.25">
      <c r="A257" s="27" t="s">
        <v>274</v>
      </c>
      <c r="B257" s="21" t="s">
        <v>378</v>
      </c>
      <c r="C257" s="28"/>
      <c r="D257" s="150">
        <f>D258+D268</f>
        <v>96776</v>
      </c>
      <c r="E257" s="2"/>
      <c r="F257" s="14"/>
      <c r="G257" s="132">
        <f>G258+G268</f>
        <v>7148675.1500000004</v>
      </c>
      <c r="H257" s="15"/>
      <c r="I257" s="492" t="s">
        <v>395</v>
      </c>
      <c r="K257" s="294"/>
      <c r="L257" s="25"/>
    </row>
    <row r="258" spans="1:12" s="1" customFormat="1" ht="15.75" customHeight="1" x14ac:dyDescent="0.25">
      <c r="A258" s="27" t="s">
        <v>379</v>
      </c>
      <c r="B258" s="44" t="s">
        <v>218</v>
      </c>
      <c r="C258" s="45" t="s">
        <v>23</v>
      </c>
      <c r="D258" s="150">
        <f>D263+D264+D265+D266+D267</f>
        <v>35793</v>
      </c>
      <c r="E258" s="2"/>
      <c r="F258" s="29"/>
      <c r="G258" s="132">
        <f>SUM(G259:G267)</f>
        <v>5306275.92</v>
      </c>
      <c r="H258" s="15"/>
      <c r="I258" s="492"/>
      <c r="K258" s="294"/>
      <c r="L258" s="25"/>
    </row>
    <row r="259" spans="1:12" s="1" customFormat="1" ht="15.75" customHeight="1" x14ac:dyDescent="0.25">
      <c r="A259" s="27"/>
      <c r="B259" s="46" t="s">
        <v>219</v>
      </c>
      <c r="C259" s="14" t="s">
        <v>23</v>
      </c>
      <c r="D259" s="168">
        <v>6056</v>
      </c>
      <c r="E259" s="169">
        <v>7.38</v>
      </c>
      <c r="F259" s="30">
        <v>5</v>
      </c>
      <c r="G259" s="60">
        <f>ROUND((D259*E259*F259),2)</f>
        <v>223466.4</v>
      </c>
      <c r="H259" s="15">
        <v>103</v>
      </c>
      <c r="I259" s="492"/>
      <c r="K259" s="294"/>
      <c r="L259" s="25"/>
    </row>
    <row r="260" spans="1:12" s="1" customFormat="1" ht="15.75" customHeight="1" x14ac:dyDescent="0.25">
      <c r="A260" s="27"/>
      <c r="B260" s="49" t="s">
        <v>219</v>
      </c>
      <c r="C260" s="50" t="s">
        <v>23</v>
      </c>
      <c r="D260" s="170">
        <f>3323+17970</f>
        <v>21293</v>
      </c>
      <c r="E260" s="171">
        <v>7.38</v>
      </c>
      <c r="F260" s="55">
        <v>5</v>
      </c>
      <c r="G260" s="53">
        <f>ROUND((D260*E260*F260),2)</f>
        <v>785711.7</v>
      </c>
      <c r="H260" s="54">
        <v>103</v>
      </c>
      <c r="I260" s="492"/>
      <c r="K260" s="294"/>
      <c r="L260" s="25"/>
    </row>
    <row r="261" spans="1:12" s="1" customFormat="1" ht="15.75" x14ac:dyDescent="0.25">
      <c r="A261" s="27"/>
      <c r="B261" s="46" t="s">
        <v>220</v>
      </c>
      <c r="C261" s="14" t="s">
        <v>23</v>
      </c>
      <c r="D261" s="168">
        <v>3428</v>
      </c>
      <c r="E261" s="169">
        <v>59.4</v>
      </c>
      <c r="F261" s="30">
        <v>5</v>
      </c>
      <c r="G261" s="60">
        <f t="shared" ref="G261:G267" si="16">ROUND((D261*E261*F261),2)</f>
        <v>1018116</v>
      </c>
      <c r="H261" s="15" t="s">
        <v>221</v>
      </c>
      <c r="I261" s="492"/>
      <c r="K261" s="294"/>
      <c r="L261" s="25"/>
    </row>
    <row r="262" spans="1:12" s="1" customFormat="1" ht="15.75" x14ac:dyDescent="0.25">
      <c r="A262" s="27"/>
      <c r="B262" s="49" t="s">
        <v>220</v>
      </c>
      <c r="C262" s="50" t="s">
        <v>23</v>
      </c>
      <c r="D262" s="170">
        <v>5016</v>
      </c>
      <c r="E262" s="171">
        <v>59.4</v>
      </c>
      <c r="F262" s="55">
        <v>5</v>
      </c>
      <c r="G262" s="53">
        <f t="shared" si="16"/>
        <v>1489752</v>
      </c>
      <c r="H262" s="54" t="s">
        <v>221</v>
      </c>
      <c r="I262" s="492"/>
      <c r="K262" s="294"/>
      <c r="L262" s="25"/>
    </row>
    <row r="263" spans="1:12" s="1" customFormat="1" ht="15.75" x14ac:dyDescent="0.25">
      <c r="A263" s="27"/>
      <c r="B263" s="46" t="s">
        <v>380</v>
      </c>
      <c r="C263" s="14" t="s">
        <v>23</v>
      </c>
      <c r="D263" s="168">
        <f>D259</f>
        <v>6056</v>
      </c>
      <c r="E263" s="169">
        <v>4.5199999999999996</v>
      </c>
      <c r="F263" s="30">
        <v>7</v>
      </c>
      <c r="G263" s="60">
        <f t="shared" si="16"/>
        <v>191611.84</v>
      </c>
      <c r="H263" s="15">
        <v>104</v>
      </c>
      <c r="I263" s="492"/>
      <c r="J263" s="239"/>
      <c r="K263" s="294"/>
      <c r="L263" s="25"/>
    </row>
    <row r="264" spans="1:12" s="1" customFormat="1" ht="15.75" x14ac:dyDescent="0.25">
      <c r="A264" s="27"/>
      <c r="B264" s="49" t="s">
        <v>380</v>
      </c>
      <c r="C264" s="50" t="s">
        <v>23</v>
      </c>
      <c r="D264" s="170">
        <v>3323</v>
      </c>
      <c r="E264" s="171">
        <v>4.5199999999999996</v>
      </c>
      <c r="F264" s="55">
        <v>7</v>
      </c>
      <c r="G264" s="53">
        <f t="shared" si="16"/>
        <v>105139.72</v>
      </c>
      <c r="H264" s="54">
        <v>104</v>
      </c>
      <c r="I264" s="492"/>
      <c r="J264" s="239"/>
      <c r="K264" s="294"/>
      <c r="L264" s="25"/>
    </row>
    <row r="265" spans="1:12" s="1" customFormat="1" ht="15.75" x14ac:dyDescent="0.25">
      <c r="A265" s="27"/>
      <c r="B265" s="46" t="s">
        <v>223</v>
      </c>
      <c r="C265" s="14" t="s">
        <v>23</v>
      </c>
      <c r="D265" s="168">
        <f>D261</f>
        <v>3428</v>
      </c>
      <c r="E265" s="169">
        <v>7.13</v>
      </c>
      <c r="F265" s="30">
        <v>7</v>
      </c>
      <c r="G265" s="60">
        <f t="shared" si="16"/>
        <v>171091.48</v>
      </c>
      <c r="H265" s="15" t="s">
        <v>225</v>
      </c>
      <c r="I265" s="492"/>
      <c r="J265" s="239"/>
      <c r="K265" s="294"/>
      <c r="L265" s="25"/>
    </row>
    <row r="266" spans="1:12" s="1" customFormat="1" ht="15.75" x14ac:dyDescent="0.25">
      <c r="A266" s="27"/>
      <c r="B266" s="49" t="s">
        <v>223</v>
      </c>
      <c r="C266" s="50" t="s">
        <v>23</v>
      </c>
      <c r="D266" s="170">
        <v>5016</v>
      </c>
      <c r="E266" s="171">
        <v>12.09</v>
      </c>
      <c r="F266" s="55">
        <v>7</v>
      </c>
      <c r="G266" s="53">
        <f t="shared" si="16"/>
        <v>424504.08</v>
      </c>
      <c r="H266" s="54" t="s">
        <v>225</v>
      </c>
      <c r="I266" s="492"/>
      <c r="J266" s="239"/>
      <c r="K266" s="294"/>
      <c r="L266" s="25"/>
    </row>
    <row r="267" spans="1:12" s="1" customFormat="1" ht="15.75" x14ac:dyDescent="0.25">
      <c r="A267" s="27"/>
      <c r="B267" s="49" t="s">
        <v>223</v>
      </c>
      <c r="C267" s="50" t="s">
        <v>23</v>
      </c>
      <c r="D267" s="170">
        <v>17970</v>
      </c>
      <c r="E267" s="171">
        <f>E265</f>
        <v>7.13</v>
      </c>
      <c r="F267" s="55">
        <v>7</v>
      </c>
      <c r="G267" s="53">
        <f t="shared" si="16"/>
        <v>896882.7</v>
      </c>
      <c r="H267" s="54" t="s">
        <v>225</v>
      </c>
      <c r="I267" s="492"/>
      <c r="J267" s="239"/>
      <c r="K267" s="294"/>
      <c r="L267" s="25"/>
    </row>
    <row r="268" spans="1:12" s="1" customFormat="1" ht="15.75" x14ac:dyDescent="0.25">
      <c r="A268" s="27" t="s">
        <v>381</v>
      </c>
      <c r="B268" s="44" t="s">
        <v>136</v>
      </c>
      <c r="C268" s="45" t="s">
        <v>23</v>
      </c>
      <c r="D268" s="29">
        <f>D269+D270+D271</f>
        <v>60983</v>
      </c>
      <c r="E268" s="149"/>
      <c r="F268" s="29"/>
      <c r="G268" s="56">
        <f>SUM(G269:G271)</f>
        <v>1842399.23</v>
      </c>
      <c r="H268" s="15"/>
      <c r="I268" s="492"/>
      <c r="J268" s="239"/>
      <c r="K268" s="294"/>
      <c r="L268" s="25"/>
    </row>
    <row r="269" spans="1:12" s="1" customFormat="1" ht="17.25" customHeight="1" x14ac:dyDescent="0.25">
      <c r="A269" s="27"/>
      <c r="B269" s="46" t="s">
        <v>228</v>
      </c>
      <c r="C269" s="14" t="s">
        <v>23</v>
      </c>
      <c r="D269" s="33">
        <v>13057</v>
      </c>
      <c r="E269" s="169">
        <v>3.73</v>
      </c>
      <c r="F269" s="30">
        <v>7</v>
      </c>
      <c r="G269" s="60">
        <f>ROUND((D269*E269*F269),2)</f>
        <v>340918.27</v>
      </c>
      <c r="H269" s="15" t="s">
        <v>229</v>
      </c>
      <c r="I269" s="492"/>
      <c r="J269" s="240"/>
      <c r="K269" s="294"/>
      <c r="L269" s="25"/>
    </row>
    <row r="270" spans="1:12" s="1" customFormat="1" ht="17.25" customHeight="1" x14ac:dyDescent="0.25">
      <c r="A270" s="27"/>
      <c r="B270" s="49" t="s">
        <v>228</v>
      </c>
      <c r="C270" s="50" t="s">
        <v>23</v>
      </c>
      <c r="D270" s="51">
        <v>12538</v>
      </c>
      <c r="E270" s="171">
        <v>6.58</v>
      </c>
      <c r="F270" s="55">
        <v>7</v>
      </c>
      <c r="G270" s="53">
        <f>ROUND((D270*E270*F270),2)</f>
        <v>577500.28</v>
      </c>
      <c r="H270" s="54" t="s">
        <v>229</v>
      </c>
      <c r="I270" s="492"/>
      <c r="J270" s="195"/>
      <c r="K270" s="294"/>
      <c r="L270" s="25"/>
    </row>
    <row r="271" spans="1:12" s="1" customFormat="1" ht="17.25" customHeight="1" x14ac:dyDescent="0.25">
      <c r="A271" s="27"/>
      <c r="B271" s="49" t="s">
        <v>228</v>
      </c>
      <c r="C271" s="50" t="s">
        <v>23</v>
      </c>
      <c r="D271" s="51">
        <v>35388</v>
      </c>
      <c r="E271" s="171">
        <f>E269</f>
        <v>3.73</v>
      </c>
      <c r="F271" s="55">
        <v>7</v>
      </c>
      <c r="G271" s="53">
        <f>ROUND((D271*E271*F271),2)</f>
        <v>923980.68</v>
      </c>
      <c r="H271" s="54" t="s">
        <v>229</v>
      </c>
      <c r="I271" s="492"/>
      <c r="J271" s="25"/>
      <c r="K271" s="294"/>
      <c r="L271" s="25"/>
    </row>
    <row r="272" spans="1:12" s="114" customFormat="1" ht="17.25" customHeight="1" x14ac:dyDescent="0.25">
      <c r="A272" s="27" t="s">
        <v>274</v>
      </c>
      <c r="B272" s="107" t="s">
        <v>275</v>
      </c>
      <c r="C272" s="108" t="s">
        <v>23</v>
      </c>
      <c r="D272" s="109">
        <v>67510</v>
      </c>
      <c r="E272" s="152"/>
      <c r="F272" s="109"/>
      <c r="G272" s="111">
        <f>G273+G274</f>
        <v>1284581.5</v>
      </c>
      <c r="H272" s="112"/>
      <c r="I272" s="452" t="s">
        <v>394</v>
      </c>
      <c r="J272" s="26"/>
      <c r="K272" s="294"/>
      <c r="L272" s="25"/>
    </row>
    <row r="273" spans="1:13" s="114" customFormat="1" ht="17.25" customHeight="1" x14ac:dyDescent="0.25">
      <c r="A273" s="27"/>
      <c r="B273" s="116" t="s">
        <v>276</v>
      </c>
      <c r="C273" s="117" t="s">
        <v>23</v>
      </c>
      <c r="D273" s="118">
        <v>12500</v>
      </c>
      <c r="E273" s="189">
        <v>13.38</v>
      </c>
      <c r="F273" s="130">
        <v>5</v>
      </c>
      <c r="G273" s="120">
        <f>D273*E273*F273</f>
        <v>836250</v>
      </c>
      <c r="H273" s="121">
        <v>96</v>
      </c>
      <c r="I273" s="452"/>
      <c r="J273" s="26"/>
      <c r="K273" s="294"/>
      <c r="L273" s="25"/>
    </row>
    <row r="274" spans="1:13" s="114" customFormat="1" ht="17.25" customHeight="1" x14ac:dyDescent="0.25">
      <c r="A274" s="27"/>
      <c r="B274" s="116" t="s">
        <v>277</v>
      </c>
      <c r="C274" s="117" t="s">
        <v>23</v>
      </c>
      <c r="D274" s="118">
        <f>D272-D273</f>
        <v>55010</v>
      </c>
      <c r="E274" s="189">
        <v>1.63</v>
      </c>
      <c r="F274" s="130">
        <v>5</v>
      </c>
      <c r="G274" s="120">
        <f>D274*E274*F274</f>
        <v>448331.49999999994</v>
      </c>
      <c r="H274" s="121" t="s">
        <v>241</v>
      </c>
      <c r="I274" s="452"/>
      <c r="J274" s="26"/>
      <c r="K274" s="294"/>
      <c r="L274" s="25"/>
    </row>
    <row r="275" spans="1:13" s="1" customFormat="1" ht="19.5" customHeight="1" x14ac:dyDescent="0.25">
      <c r="A275" s="27" t="s">
        <v>0</v>
      </c>
      <c r="B275" s="21" t="s">
        <v>4</v>
      </c>
      <c r="C275" s="45" t="s">
        <v>278</v>
      </c>
      <c r="D275" s="190">
        <f>D276</f>
        <v>40</v>
      </c>
      <c r="E275" s="2"/>
      <c r="F275" s="29"/>
      <c r="G275" s="56">
        <f>G276</f>
        <v>38651.199999999997</v>
      </c>
      <c r="H275" s="15"/>
      <c r="I275" s="25"/>
      <c r="J275" s="26"/>
      <c r="K275" s="25"/>
      <c r="L275" s="25"/>
      <c r="M275" s="3"/>
    </row>
    <row r="276" spans="1:13" s="3" customFormat="1" ht="19.5" customHeight="1" x14ac:dyDescent="0.25">
      <c r="A276" s="122" t="s">
        <v>279</v>
      </c>
      <c r="B276" s="32" t="s">
        <v>280</v>
      </c>
      <c r="C276" s="63" t="s">
        <v>278</v>
      </c>
      <c r="D276" s="173">
        <v>40</v>
      </c>
      <c r="E276" s="106">
        <v>966.28</v>
      </c>
      <c r="F276" s="69"/>
      <c r="G276" s="60">
        <f>ROUND((D276*E276),2)</f>
        <v>38651.199999999997</v>
      </c>
      <c r="H276" s="4">
        <v>121</v>
      </c>
      <c r="I276" s="25"/>
      <c r="J276" s="26"/>
      <c r="K276" s="25"/>
      <c r="L276" s="25"/>
    </row>
    <row r="277" spans="1:13" s="3" customFormat="1" ht="19.5" customHeight="1" x14ac:dyDescent="0.25">
      <c r="A277" s="122" t="s">
        <v>281</v>
      </c>
      <c r="B277" s="191" t="s">
        <v>4</v>
      </c>
      <c r="C277" s="135" t="s">
        <v>278</v>
      </c>
      <c r="D277" s="192">
        <v>180</v>
      </c>
      <c r="E277" s="8"/>
      <c r="F277" s="138"/>
      <c r="G277" s="56">
        <f>SUM(G278:G280)</f>
        <v>124304.40000000001</v>
      </c>
      <c r="H277" s="4"/>
      <c r="I277" s="25"/>
      <c r="J277" s="26"/>
      <c r="K277" s="25"/>
      <c r="L277" s="25"/>
    </row>
    <row r="278" spans="1:13" s="3" customFormat="1" ht="19.5" customHeight="1" x14ac:dyDescent="0.25">
      <c r="A278" s="122" t="s">
        <v>282</v>
      </c>
      <c r="B278" s="32" t="s">
        <v>283</v>
      </c>
      <c r="C278" s="63" t="s">
        <v>278</v>
      </c>
      <c r="D278" s="234">
        <v>160.05199999999999</v>
      </c>
      <c r="E278" s="106">
        <v>386.52</v>
      </c>
      <c r="F278" s="69">
        <v>1</v>
      </c>
      <c r="G278" s="60">
        <f>ROUND((D278*E278*F278),2)</f>
        <v>61863.3</v>
      </c>
      <c r="H278" s="4">
        <v>122</v>
      </c>
      <c r="I278" s="25"/>
      <c r="J278" s="26"/>
      <c r="K278" s="25"/>
      <c r="L278" s="25"/>
    </row>
    <row r="279" spans="1:13" s="3" customFormat="1" ht="19.5" customHeight="1" x14ac:dyDescent="0.25">
      <c r="A279" s="122"/>
      <c r="B279" s="32" t="s">
        <v>284</v>
      </c>
      <c r="C279" s="63" t="s">
        <v>278</v>
      </c>
      <c r="D279" s="234">
        <v>19.948</v>
      </c>
      <c r="E279" s="106">
        <f>E278</f>
        <v>386.52</v>
      </c>
      <c r="F279" s="69">
        <v>2</v>
      </c>
      <c r="G279" s="60">
        <f>ROUND((D279*E279*F279),2)</f>
        <v>15420.6</v>
      </c>
      <c r="H279" s="4">
        <v>122</v>
      </c>
      <c r="I279" s="25"/>
      <c r="J279" s="26"/>
      <c r="K279" s="25"/>
      <c r="L279" s="25"/>
    </row>
    <row r="280" spans="1:13" s="3" customFormat="1" ht="19.5" customHeight="1" x14ac:dyDescent="0.25">
      <c r="A280" s="122" t="s">
        <v>285</v>
      </c>
      <c r="B280" s="32" t="s">
        <v>286</v>
      </c>
      <c r="C280" s="63" t="s">
        <v>72</v>
      </c>
      <c r="D280" s="173">
        <v>50</v>
      </c>
      <c r="E280" s="106">
        <v>940.41</v>
      </c>
      <c r="F280" s="69">
        <v>1</v>
      </c>
      <c r="G280" s="60">
        <f>ROUND((D280*E280*F280),2)</f>
        <v>47020.5</v>
      </c>
      <c r="H280" s="4">
        <v>123</v>
      </c>
      <c r="I280" s="25"/>
      <c r="J280" s="26"/>
      <c r="K280" s="25"/>
      <c r="L280" s="25"/>
    </row>
    <row r="281" spans="1:13" s="197" customFormat="1" ht="32.25" customHeight="1" x14ac:dyDescent="0.25">
      <c r="A281" s="122" t="s">
        <v>5</v>
      </c>
      <c r="B281" s="191" t="s">
        <v>287</v>
      </c>
      <c r="C281" s="104"/>
      <c r="D281" s="194">
        <f>D282</f>
        <v>1728</v>
      </c>
      <c r="E281" s="8"/>
      <c r="F281" s="63"/>
      <c r="G281" s="132">
        <f>G282</f>
        <v>1767640.32</v>
      </c>
      <c r="H281" s="4"/>
      <c r="I281" s="195"/>
      <c r="J281" s="196"/>
      <c r="K281" s="195"/>
      <c r="L281" s="195"/>
    </row>
    <row r="282" spans="1:13" s="197" customFormat="1" ht="21.75" customHeight="1" x14ac:dyDescent="0.25">
      <c r="A282" s="122" t="s">
        <v>288</v>
      </c>
      <c r="B282" s="32" t="s">
        <v>289</v>
      </c>
      <c r="C282" s="104" t="s">
        <v>290</v>
      </c>
      <c r="D282" s="7">
        <v>1728</v>
      </c>
      <c r="E282" s="35"/>
      <c r="F282" s="63"/>
      <c r="G282" s="60">
        <v>1767640.32</v>
      </c>
      <c r="H282" s="4" t="s">
        <v>182</v>
      </c>
      <c r="I282" s="195">
        <f>G152+G161+G181+G182+G275+G277+G281</f>
        <v>99150703.365250006</v>
      </c>
      <c r="J282" s="196"/>
      <c r="K282" s="195"/>
      <c r="L282" s="196"/>
    </row>
    <row r="283" spans="1:13" s="197" customFormat="1" ht="24.75" customHeight="1" x14ac:dyDescent="0.25">
      <c r="A283" s="198"/>
      <c r="B283" s="199"/>
      <c r="C283" s="200"/>
      <c r="D283" s="201"/>
      <c r="E283" s="202"/>
      <c r="F283" s="203"/>
      <c r="G283" s="204"/>
      <c r="H283" s="205"/>
      <c r="I283" s="195">
        <f>G8</f>
        <v>59933241.840000011</v>
      </c>
      <c r="J283" s="196"/>
      <c r="K283" s="195"/>
      <c r="L283" s="196"/>
    </row>
    <row r="284" spans="1:13" s="197" customFormat="1" ht="24.75" customHeight="1" x14ac:dyDescent="0.25">
      <c r="A284" s="198"/>
      <c r="B284" s="199"/>
      <c r="C284" s="200"/>
      <c r="D284" s="9"/>
      <c r="E284" s="202"/>
      <c r="F284" s="203"/>
      <c r="G284" s="204"/>
      <c r="H284" s="205"/>
      <c r="I284" s="195">
        <f>I282+I283</f>
        <v>159083945.20525002</v>
      </c>
      <c r="J284" s="196"/>
      <c r="K284" s="195"/>
      <c r="L284" s="196"/>
    </row>
    <row r="285" spans="1:13" ht="21" customHeight="1" x14ac:dyDescent="0.25">
      <c r="B285" s="206"/>
      <c r="D285" s="212"/>
      <c r="E285" s="212"/>
      <c r="F285" s="212"/>
      <c r="G285" s="206"/>
      <c r="I285" s="195"/>
      <c r="J285" s="196"/>
      <c r="K285" s="195"/>
      <c r="L285" s="196"/>
    </row>
    <row r="286" spans="1:13" ht="22.5" customHeight="1" x14ac:dyDescent="0.25">
      <c r="I286" s="208">
        <f>G12+G13+G19+G20+G140+G143+G164+G214+G226</f>
        <v>48373933.099999994</v>
      </c>
      <c r="L286" s="207"/>
    </row>
    <row r="287" spans="1:13" x14ac:dyDescent="0.25">
      <c r="B287" s="209"/>
      <c r="C287" t="s">
        <v>291</v>
      </c>
      <c r="G287" s="208"/>
      <c r="L287" s="207"/>
    </row>
    <row r="288" spans="1:13" x14ac:dyDescent="0.25">
      <c r="B288" s="210"/>
      <c r="C288" t="s">
        <v>292</v>
      </c>
      <c r="G288" s="208"/>
      <c r="L288" s="207"/>
    </row>
    <row r="289" spans="2:12" x14ac:dyDescent="0.25">
      <c r="B289" s="211"/>
      <c r="C289" t="s">
        <v>382</v>
      </c>
      <c r="G289" s="208"/>
      <c r="L289" s="207"/>
    </row>
    <row r="290" spans="2:12" s="197" customFormat="1" x14ac:dyDescent="0.25">
      <c r="G290" s="195"/>
      <c r="I290" s="195"/>
      <c r="J290" s="196"/>
      <c r="K290" s="195"/>
      <c r="L290" s="196"/>
    </row>
    <row r="292" spans="2:12" ht="15.75" x14ac:dyDescent="0.25">
      <c r="B292" t="s">
        <v>294</v>
      </c>
      <c r="D292" s="212"/>
      <c r="G292" s="213">
        <f>G8+G152+G161-G163+G181+G182</f>
        <v>155060195.47525001</v>
      </c>
      <c r="I292" s="215">
        <f>157164-154672</f>
        <v>2492</v>
      </c>
      <c r="J292" s="214"/>
      <c r="K292" s="215"/>
      <c r="L292" s="195"/>
    </row>
    <row r="293" spans="2:12" ht="15.75" x14ac:dyDescent="0.25">
      <c r="B293" t="s">
        <v>295</v>
      </c>
      <c r="G293" s="213">
        <f>G163</f>
        <v>2093153.81</v>
      </c>
      <c r="I293" s="195"/>
      <c r="J293" s="196"/>
      <c r="K293" s="197"/>
      <c r="L293" s="195"/>
    </row>
    <row r="294" spans="2:12" ht="15.75" x14ac:dyDescent="0.25">
      <c r="B294" t="s">
        <v>296</v>
      </c>
      <c r="G294" s="213">
        <f>G275+G277</f>
        <v>162955.6</v>
      </c>
      <c r="I294" s="195"/>
      <c r="J294" s="196"/>
      <c r="K294" s="197"/>
      <c r="L294" s="195"/>
    </row>
    <row r="295" spans="2:12" ht="15.75" x14ac:dyDescent="0.25">
      <c r="B295" t="s">
        <v>297</v>
      </c>
      <c r="G295" s="213">
        <f>G281</f>
        <v>1767640.32</v>
      </c>
      <c r="I295" s="195"/>
      <c r="J295" s="196"/>
      <c r="K295" s="197"/>
      <c r="L295" s="195"/>
    </row>
    <row r="296" spans="2:12" ht="15.75" x14ac:dyDescent="0.25">
      <c r="B296" t="s">
        <v>298</v>
      </c>
      <c r="G296" s="213">
        <f>SUM(G292:G295)</f>
        <v>159083945.20524999</v>
      </c>
      <c r="I296" s="215"/>
      <c r="J296" s="196"/>
      <c r="K296" s="197"/>
      <c r="L296" s="195"/>
    </row>
    <row r="297" spans="2:12" ht="15.75" x14ac:dyDescent="0.25">
      <c r="B297" t="s">
        <v>299</v>
      </c>
      <c r="G297" s="213">
        <v>2126052</v>
      </c>
      <c r="I297" s="197"/>
      <c r="J297" s="196"/>
      <c r="K297" s="197"/>
      <c r="L297" s="195"/>
    </row>
    <row r="298" spans="2:12" ht="15.75" x14ac:dyDescent="0.25">
      <c r="G298" s="213"/>
      <c r="I298" s="195"/>
      <c r="J298" s="196"/>
      <c r="K298" s="197"/>
      <c r="L298" s="195"/>
    </row>
    <row r="299" spans="2:12" ht="15.75" x14ac:dyDescent="0.25">
      <c r="B299" t="s">
        <v>300</v>
      </c>
      <c r="G299" s="213">
        <f>G296+G297+G298</f>
        <v>161209997.20524999</v>
      </c>
      <c r="H299" s="208"/>
      <c r="I299" s="195"/>
      <c r="J299" s="196"/>
      <c r="K299" s="197"/>
      <c r="L299" s="195"/>
    </row>
    <row r="302" spans="2:12" x14ac:dyDescent="0.25">
      <c r="G302" s="208">
        <v>166000</v>
      </c>
    </row>
    <row r="303" spans="2:12" x14ac:dyDescent="0.25">
      <c r="G303" s="208">
        <v>1785000</v>
      </c>
    </row>
    <row r="304" spans="2:12" x14ac:dyDescent="0.25">
      <c r="G304" s="208">
        <v>2095000</v>
      </c>
    </row>
    <row r="305" spans="7:7" ht="19.5" customHeight="1" x14ac:dyDescent="0.25">
      <c r="G305" s="208">
        <v>157164000</v>
      </c>
    </row>
    <row r="306" spans="7:7" ht="21.75" customHeight="1" x14ac:dyDescent="0.25">
      <c r="G306" s="235">
        <f>SUM(G302:G305)</f>
        <v>161210000</v>
      </c>
    </row>
    <row r="307" spans="7:7" ht="20.25" customHeight="1" x14ac:dyDescent="0.25">
      <c r="G307" s="208"/>
    </row>
    <row r="319" spans="7:7" x14ac:dyDescent="0.25">
      <c r="G319" s="208"/>
    </row>
    <row r="320" spans="7:7" x14ac:dyDescent="0.25">
      <c r="G320" s="208"/>
    </row>
    <row r="321" spans="7:7" x14ac:dyDescent="0.25">
      <c r="G321" s="208"/>
    </row>
  </sheetData>
  <mergeCells count="29">
    <mergeCell ref="I232:I256"/>
    <mergeCell ref="I272:I274"/>
    <mergeCell ref="I131:I139"/>
    <mergeCell ref="I170:I171"/>
    <mergeCell ref="I176:I180"/>
    <mergeCell ref="I188:I191"/>
    <mergeCell ref="I257:I271"/>
    <mergeCell ref="I217:I218"/>
    <mergeCell ref="I220:I222"/>
    <mergeCell ref="I224:I225"/>
    <mergeCell ref="I227:I228"/>
    <mergeCell ref="I230:I231"/>
    <mergeCell ref="I196:I198"/>
    <mergeCell ref="I201:I202"/>
    <mergeCell ref="I204:I205"/>
    <mergeCell ref="I211:I212"/>
    <mergeCell ref="I215:I216"/>
    <mergeCell ref="I185:I186"/>
    <mergeCell ref="I193:I194"/>
    <mergeCell ref="I140:I146"/>
    <mergeCell ref="I148:I160"/>
    <mergeCell ref="I164:I167"/>
    <mergeCell ref="I122:I127"/>
    <mergeCell ref="I128:I130"/>
    <mergeCell ref="A1:H1"/>
    <mergeCell ref="A2:G2"/>
    <mergeCell ref="I9:I20"/>
    <mergeCell ref="I21:I76"/>
    <mergeCell ref="I79:I120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1"/>
  <sheetViews>
    <sheetView zoomScale="75" zoomScaleNormal="75" workbookViewId="0">
      <selection activeCell="K29" sqref="K29"/>
    </sheetView>
  </sheetViews>
  <sheetFormatPr defaultRowHeight="15" x14ac:dyDescent="0.25"/>
  <cols>
    <col min="1" max="1" width="10.85546875" customWidth="1"/>
    <col min="2" max="2" width="73" customWidth="1"/>
    <col min="3" max="3" width="13.42578125" customWidth="1"/>
    <col min="4" max="4" width="15" customWidth="1"/>
    <col min="5" max="5" width="13.5703125" customWidth="1"/>
    <col min="6" max="6" width="12.85546875" customWidth="1"/>
    <col min="7" max="7" width="19.5703125" customWidth="1"/>
    <col min="9" max="9" width="20" style="289" customWidth="1"/>
    <col min="10" max="10" width="18.28515625" style="207" customWidth="1"/>
    <col min="11" max="11" width="18.28515625" style="208" customWidth="1"/>
    <col min="12" max="12" width="17" style="208" customWidth="1"/>
    <col min="13" max="13" width="21.7109375" customWidth="1"/>
    <col min="15" max="15" width="15.42578125" bestFit="1" customWidth="1"/>
    <col min="16" max="16" width="10.7109375" bestFit="1" customWidth="1"/>
    <col min="17" max="17" width="18.140625" customWidth="1"/>
    <col min="18" max="18" width="10.5703125" customWidth="1"/>
    <col min="19" max="19" width="10.7109375" customWidth="1"/>
  </cols>
  <sheetData>
    <row r="1" spans="1:18" s="1" customFormat="1" ht="18.75" x14ac:dyDescent="0.3">
      <c r="A1" s="451" t="s">
        <v>7</v>
      </c>
      <c r="B1" s="451"/>
      <c r="C1" s="451"/>
      <c r="D1" s="451"/>
      <c r="E1" s="451"/>
      <c r="F1" s="451"/>
      <c r="G1" s="451"/>
      <c r="H1" s="451"/>
      <c r="I1" s="284"/>
      <c r="J1" s="11"/>
      <c r="K1" s="10"/>
      <c r="L1" s="10"/>
    </row>
    <row r="2" spans="1:18" s="1" customFormat="1" ht="18.75" x14ac:dyDescent="0.3">
      <c r="A2" s="451" t="s">
        <v>359</v>
      </c>
      <c r="B2" s="451"/>
      <c r="C2" s="451"/>
      <c r="D2" s="451"/>
      <c r="E2" s="451"/>
      <c r="F2" s="451"/>
      <c r="G2" s="451"/>
      <c r="H2" s="12"/>
      <c r="I2" s="284"/>
      <c r="J2" s="11"/>
      <c r="K2" s="10"/>
      <c r="L2" s="10"/>
    </row>
    <row r="3" spans="1:18" s="1" customFormat="1" ht="15.75" x14ac:dyDescent="0.25">
      <c r="G3" s="13"/>
      <c r="H3" s="13" t="s">
        <v>360</v>
      </c>
      <c r="I3" s="284"/>
      <c r="J3" s="11"/>
      <c r="K3" s="10"/>
      <c r="L3" s="10"/>
    </row>
    <row r="4" spans="1:18" s="1" customFormat="1" ht="76.5" customHeight="1" x14ac:dyDescent="0.25">
      <c r="A4" s="2" t="s">
        <v>9</v>
      </c>
      <c r="B4" s="14" t="s">
        <v>10</v>
      </c>
      <c r="C4" s="14" t="s">
        <v>11</v>
      </c>
      <c r="D4" s="14" t="s">
        <v>12</v>
      </c>
      <c r="E4" s="14" t="s">
        <v>13</v>
      </c>
      <c r="F4" s="14" t="s">
        <v>14</v>
      </c>
      <c r="G4" s="14" t="s">
        <v>15</v>
      </c>
      <c r="H4" s="259" t="s">
        <v>16</v>
      </c>
      <c r="I4" s="284"/>
      <c r="J4" s="11" t="s">
        <v>17</v>
      </c>
      <c r="K4" s="10"/>
      <c r="L4" s="10"/>
    </row>
    <row r="5" spans="1:18" s="1" customFormat="1" ht="15.75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275">
        <v>8</v>
      </c>
      <c r="I5" s="284">
        <v>175030000</v>
      </c>
      <c r="J5" s="11"/>
      <c r="K5" s="10"/>
      <c r="L5" s="10"/>
    </row>
    <row r="6" spans="1:18" s="1" customFormat="1" ht="15.75" x14ac:dyDescent="0.25">
      <c r="A6" s="15"/>
      <c r="B6" s="16" t="s">
        <v>18</v>
      </c>
      <c r="C6" s="15"/>
      <c r="D6" s="15"/>
      <c r="E6" s="15"/>
      <c r="F6" s="15"/>
      <c r="G6" s="17">
        <f>G7+G182+G275+G277+G281</f>
        <v>172903947.07525</v>
      </c>
      <c r="H6" s="275"/>
      <c r="I6" s="285">
        <f>G6+G297+G298</f>
        <v>175029999.07525</v>
      </c>
      <c r="J6" s="19"/>
      <c r="K6" s="18"/>
      <c r="L6" s="10"/>
    </row>
    <row r="7" spans="1:18" s="1" customFormat="1" ht="15.75" customHeight="1" x14ac:dyDescent="0.25">
      <c r="A7" s="20">
        <v>1</v>
      </c>
      <c r="B7" s="21" t="s">
        <v>2</v>
      </c>
      <c r="C7" s="14"/>
      <c r="D7" s="22"/>
      <c r="E7" s="23"/>
      <c r="F7" s="22"/>
      <c r="G7" s="24">
        <f>G8+G152+G161+G181</f>
        <v>80432366.865249991</v>
      </c>
      <c r="H7" s="275"/>
      <c r="I7" s="273">
        <f>I5-I6</f>
        <v>0.92475000023841858</v>
      </c>
      <c r="J7" s="26" t="s">
        <v>413</v>
      </c>
      <c r="K7" s="26"/>
      <c r="L7" s="25" t="s">
        <v>414</v>
      </c>
      <c r="M7" s="1" t="s">
        <v>412</v>
      </c>
    </row>
    <row r="8" spans="1:18" s="1" customFormat="1" ht="15.75" customHeight="1" x14ac:dyDescent="0.25">
      <c r="A8" s="27" t="s">
        <v>19</v>
      </c>
      <c r="B8" s="21" t="s">
        <v>20</v>
      </c>
      <c r="C8" s="14"/>
      <c r="D8" s="22"/>
      <c r="E8" s="23"/>
      <c r="F8" s="22"/>
      <c r="G8" s="24">
        <f>G9+G21+G39+G41+G51+G79+G136+G140+G143+G147+G148</f>
        <v>68189435.519999996</v>
      </c>
      <c r="H8" s="275"/>
      <c r="I8" s="273"/>
      <c r="J8" s="26">
        <f>J9+J21+J140+J147+J162+J164+J168+J169+J170+J185+J187+J201+J232</f>
        <v>168880197.34525001</v>
      </c>
      <c r="K8" s="26"/>
      <c r="L8" s="26">
        <f t="shared" ref="L8" si="0">L9+L21+L140+L147+L162+L164+L168+L169+L170+L185+L187+L201+L232</f>
        <v>170984199.80388176</v>
      </c>
      <c r="M8" s="1">
        <f>M9+M21+M140+M147+M162+M164+M168+M169+M170+M185+M187+M201+M232</f>
        <v>170984</v>
      </c>
      <c r="N8" s="1">
        <v>2104</v>
      </c>
      <c r="O8" s="295">
        <f>N8*O9/N9</f>
        <v>1.2458550450023687</v>
      </c>
      <c r="Q8" s="10">
        <f>168880+2104</f>
        <v>170984</v>
      </c>
      <c r="R8" s="10">
        <f>171063-Q8</f>
        <v>79</v>
      </c>
    </row>
    <row r="9" spans="1:18" s="1" customFormat="1" ht="15.75" x14ac:dyDescent="0.25">
      <c r="A9" s="27" t="s">
        <v>21</v>
      </c>
      <c r="B9" s="21" t="s">
        <v>22</v>
      </c>
      <c r="C9" s="28" t="s">
        <v>23</v>
      </c>
      <c r="D9" s="29">
        <f>D10+D12+D14+D15+D17+D18+D19</f>
        <v>1887595</v>
      </c>
      <c r="E9" s="14"/>
      <c r="F9" s="30"/>
      <c r="G9" s="31">
        <f>SUM(G10:G20)</f>
        <v>15197839.290000003</v>
      </c>
      <c r="H9" s="275"/>
      <c r="I9" s="505" t="s">
        <v>169</v>
      </c>
      <c r="J9" s="26">
        <f>G9+G122+G123+G124+G125+G126+G127+G195+G227+G228+G230+G231</f>
        <v>49939551.020000011</v>
      </c>
      <c r="K9" s="271">
        <v>1.2458550450000001</v>
      </c>
      <c r="L9" s="26">
        <f>J9+(J9*K9/100)</f>
        <v>50561725.435833029</v>
      </c>
      <c r="M9" s="1">
        <v>50562</v>
      </c>
      <c r="N9" s="1">
        <v>168880</v>
      </c>
      <c r="O9" s="1">
        <v>100</v>
      </c>
    </row>
    <row r="10" spans="1:18" s="1" customFormat="1" ht="21.75" customHeight="1" x14ac:dyDescent="0.25">
      <c r="A10" s="27"/>
      <c r="B10" s="32" t="s">
        <v>24</v>
      </c>
      <c r="C10" s="14" t="s">
        <v>23</v>
      </c>
      <c r="D10" s="33">
        <v>250420</v>
      </c>
      <c r="E10" s="34">
        <v>3.5</v>
      </c>
      <c r="F10" s="30">
        <v>1</v>
      </c>
      <c r="G10" s="35">
        <f>ROUND((D10*E10*F10),2)</f>
        <v>876470</v>
      </c>
      <c r="H10" s="275">
        <v>53</v>
      </c>
      <c r="I10" s="505"/>
      <c r="J10" s="26">
        <f>D9+D122+D123+D124+D125+D126+D127-D122+D195+D227+D228+D230</f>
        <v>3405405.45</v>
      </c>
      <c r="K10" s="332" t="s">
        <v>23</v>
      </c>
      <c r="L10" s="26"/>
    </row>
    <row r="11" spans="1:18" s="1" customFormat="1" ht="21.75" customHeight="1" x14ac:dyDescent="0.25">
      <c r="A11" s="27"/>
      <c r="B11" s="32" t="s">
        <v>25</v>
      </c>
      <c r="C11" s="14" t="s">
        <v>23</v>
      </c>
      <c r="D11" s="33">
        <v>390619</v>
      </c>
      <c r="E11" s="34">
        <v>0.91</v>
      </c>
      <c r="F11" s="30">
        <v>1</v>
      </c>
      <c r="G11" s="35">
        <f t="shared" ref="G11:G20" si="1">ROUND((D11*E11*F11),2)</f>
        <v>355463.29</v>
      </c>
      <c r="H11" s="275">
        <v>55</v>
      </c>
      <c r="I11" s="505"/>
      <c r="J11" s="26"/>
      <c r="K11" s="271"/>
      <c r="L11" s="26"/>
    </row>
    <row r="12" spans="1:18" s="1" customFormat="1" ht="36.75" customHeight="1" x14ac:dyDescent="0.25">
      <c r="A12" s="27"/>
      <c r="B12" s="36" t="s">
        <v>361</v>
      </c>
      <c r="C12" s="37" t="s">
        <v>23</v>
      </c>
      <c r="D12" s="38">
        <v>488269</v>
      </c>
      <c r="E12" s="39">
        <v>3.5</v>
      </c>
      <c r="F12" s="40">
        <v>1</v>
      </c>
      <c r="G12" s="41">
        <f t="shared" si="1"/>
        <v>1708941.5</v>
      </c>
      <c r="H12" s="276">
        <v>53</v>
      </c>
      <c r="I12" s="505"/>
      <c r="J12" s="26"/>
      <c r="K12" s="271"/>
      <c r="L12" s="26"/>
    </row>
    <row r="13" spans="1:18" s="1" customFormat="1" ht="33" customHeight="1" x14ac:dyDescent="0.25">
      <c r="A13" s="27"/>
      <c r="B13" s="36" t="s">
        <v>27</v>
      </c>
      <c r="C13" s="37" t="s">
        <v>23</v>
      </c>
      <c r="D13" s="38">
        <f>D12</f>
        <v>488269</v>
      </c>
      <c r="E13" s="39">
        <v>0.91</v>
      </c>
      <c r="F13" s="40">
        <v>1</v>
      </c>
      <c r="G13" s="41">
        <f t="shared" si="1"/>
        <v>444324.79</v>
      </c>
      <c r="H13" s="276">
        <v>55</v>
      </c>
      <c r="I13" s="505"/>
      <c r="J13" s="26"/>
      <c r="K13" s="271"/>
      <c r="L13" s="26"/>
    </row>
    <row r="14" spans="1:18" s="1" customFormat="1" ht="22.5" customHeight="1" x14ac:dyDescent="0.25">
      <c r="A14" s="27"/>
      <c r="B14" s="32" t="s">
        <v>28</v>
      </c>
      <c r="C14" s="14" t="s">
        <v>23</v>
      </c>
      <c r="D14" s="33">
        <f>140199+45744</f>
        <v>185943</v>
      </c>
      <c r="E14" s="34">
        <f>E10</f>
        <v>3.5</v>
      </c>
      <c r="F14" s="30">
        <v>2</v>
      </c>
      <c r="G14" s="35">
        <f t="shared" si="1"/>
        <v>1301601</v>
      </c>
      <c r="H14" s="275">
        <v>53</v>
      </c>
      <c r="I14" s="505"/>
      <c r="J14" s="26"/>
      <c r="K14" s="271"/>
      <c r="L14" s="26"/>
    </row>
    <row r="15" spans="1:18" s="1" customFormat="1" ht="21" customHeight="1" x14ac:dyDescent="0.25">
      <c r="A15" s="27"/>
      <c r="B15" s="32" t="s">
        <v>29</v>
      </c>
      <c r="C15" s="14" t="s">
        <v>23</v>
      </c>
      <c r="D15" s="33">
        <v>274212</v>
      </c>
      <c r="E15" s="43">
        <v>5.92</v>
      </c>
      <c r="F15" s="30">
        <v>1</v>
      </c>
      <c r="G15" s="35">
        <f t="shared" si="1"/>
        <v>1623335.04</v>
      </c>
      <c r="H15" s="275">
        <v>54</v>
      </c>
      <c r="I15" s="505"/>
      <c r="J15" s="26"/>
      <c r="K15" s="271"/>
      <c r="L15" s="26"/>
    </row>
    <row r="16" spans="1:18" s="1" customFormat="1" ht="21.75" customHeight="1" x14ac:dyDescent="0.25">
      <c r="A16" s="27"/>
      <c r="B16" s="32" t="s">
        <v>30</v>
      </c>
      <c r="C16" s="14" t="s">
        <v>23</v>
      </c>
      <c r="D16" s="33">
        <v>424031</v>
      </c>
      <c r="E16" s="43">
        <v>3.61</v>
      </c>
      <c r="F16" s="30">
        <v>1</v>
      </c>
      <c r="G16" s="35">
        <f t="shared" si="1"/>
        <v>1530751.91</v>
      </c>
      <c r="H16" s="275" t="s">
        <v>31</v>
      </c>
      <c r="I16" s="505"/>
      <c r="J16" s="26"/>
      <c r="K16" s="271"/>
      <c r="L16" s="26"/>
    </row>
    <row r="17" spans="1:13" s="1" customFormat="1" ht="23.25" customHeight="1" x14ac:dyDescent="0.25">
      <c r="A17" s="27"/>
      <c r="B17" s="32" t="s">
        <v>32</v>
      </c>
      <c r="C17" s="14" t="s">
        <v>23</v>
      </c>
      <c r="D17" s="33">
        <f>251504+30696</f>
        <v>282200</v>
      </c>
      <c r="E17" s="43">
        <f>E15</f>
        <v>5.92</v>
      </c>
      <c r="F17" s="30">
        <v>2</v>
      </c>
      <c r="G17" s="35">
        <f t="shared" si="1"/>
        <v>3341248</v>
      </c>
      <c r="H17" s="275">
        <v>54</v>
      </c>
      <c r="I17" s="505"/>
      <c r="J17" s="26"/>
      <c r="K17" s="271"/>
      <c r="L17" s="26"/>
    </row>
    <row r="18" spans="1:13" s="1" customFormat="1" ht="20.25" customHeight="1" x14ac:dyDescent="0.25">
      <c r="A18" s="27"/>
      <c r="B18" s="32" t="s">
        <v>33</v>
      </c>
      <c r="C18" s="14" t="s">
        <v>23</v>
      </c>
      <c r="D18" s="33">
        <v>7039</v>
      </c>
      <c r="E18" s="43">
        <f>E17</f>
        <v>5.92</v>
      </c>
      <c r="F18" s="30">
        <v>5</v>
      </c>
      <c r="G18" s="35">
        <f t="shared" si="1"/>
        <v>208354.4</v>
      </c>
      <c r="H18" s="275">
        <v>54</v>
      </c>
      <c r="I18" s="505"/>
      <c r="J18" s="26"/>
      <c r="K18" s="271"/>
      <c r="L18" s="26"/>
    </row>
    <row r="19" spans="1:13" s="1" customFormat="1" ht="34.5" customHeight="1" x14ac:dyDescent="0.25">
      <c r="A19" s="27"/>
      <c r="B19" s="36" t="s">
        <v>362</v>
      </c>
      <c r="C19" s="37" t="s">
        <v>23</v>
      </c>
      <c r="D19" s="38">
        <v>399512</v>
      </c>
      <c r="E19" s="39">
        <v>5.92</v>
      </c>
      <c r="F19" s="40">
        <v>1</v>
      </c>
      <c r="G19" s="41">
        <f t="shared" si="1"/>
        <v>2365111.04</v>
      </c>
      <c r="H19" s="276">
        <v>54</v>
      </c>
      <c r="I19" s="505"/>
      <c r="J19" s="26"/>
      <c r="K19" s="271"/>
      <c r="L19" s="26"/>
    </row>
    <row r="20" spans="1:13" s="1" customFormat="1" ht="34.5" customHeight="1" x14ac:dyDescent="0.25">
      <c r="A20" s="27"/>
      <c r="B20" s="36" t="s">
        <v>35</v>
      </c>
      <c r="C20" s="37" t="s">
        <v>23</v>
      </c>
      <c r="D20" s="38">
        <f>D19</f>
        <v>399512</v>
      </c>
      <c r="E20" s="39">
        <v>3.61</v>
      </c>
      <c r="F20" s="40">
        <v>1</v>
      </c>
      <c r="G20" s="41">
        <f t="shared" si="1"/>
        <v>1442238.32</v>
      </c>
      <c r="H20" s="276" t="s">
        <v>31</v>
      </c>
      <c r="I20" s="505"/>
      <c r="J20" s="26"/>
      <c r="K20" s="271"/>
      <c r="L20" s="26"/>
    </row>
    <row r="21" spans="1:13" s="1" customFormat="1" ht="18" customHeight="1" x14ac:dyDescent="0.25">
      <c r="A21" s="27" t="s">
        <v>36</v>
      </c>
      <c r="B21" s="21" t="s">
        <v>37</v>
      </c>
      <c r="C21" s="14"/>
      <c r="D21" s="14"/>
      <c r="E21" s="2"/>
      <c r="F21" s="14"/>
      <c r="G21" s="31">
        <f>G22+G29+G36</f>
        <v>2046896.2000000002</v>
      </c>
      <c r="H21" s="275"/>
      <c r="I21" s="505" t="s">
        <v>211</v>
      </c>
      <c r="J21" s="26">
        <f>G21+G39+G41+G51+G80+G101+G108+G128+G129+G130+G131+G136+G148+G152</f>
        <v>28918588.279999994</v>
      </c>
      <c r="K21" s="271">
        <v>1.2458550450000001</v>
      </c>
      <c r="L21" s="26">
        <f t="shared" ref="L21" si="2">J21+(J21*K21/100)</f>
        <v>29278871.971029151</v>
      </c>
      <c r="M21" s="1">
        <v>29200</v>
      </c>
    </row>
    <row r="22" spans="1:13" s="1" customFormat="1" ht="18" customHeight="1" x14ac:dyDescent="0.25">
      <c r="A22" s="27" t="s">
        <v>38</v>
      </c>
      <c r="B22" s="44" t="s">
        <v>39</v>
      </c>
      <c r="C22" s="45" t="s">
        <v>40</v>
      </c>
      <c r="D22" s="29">
        <f>D23</f>
        <v>1251</v>
      </c>
      <c r="E22" s="2"/>
      <c r="F22" s="29"/>
      <c r="G22" s="31">
        <f>SUM(G23:G28)</f>
        <v>1497854.07</v>
      </c>
      <c r="H22" s="275"/>
      <c r="I22" s="505"/>
      <c r="J22" s="26"/>
      <c r="K22" s="271"/>
      <c r="L22" s="26"/>
    </row>
    <row r="23" spans="1:13" s="1" customFormat="1" ht="18" customHeight="1" x14ac:dyDescent="0.25">
      <c r="A23" s="27"/>
      <c r="B23" s="46" t="s">
        <v>41</v>
      </c>
      <c r="C23" s="14" t="s">
        <v>40</v>
      </c>
      <c r="D23" s="33">
        <f>1062+189</f>
        <v>1251</v>
      </c>
      <c r="E23" s="43">
        <v>47.37</v>
      </c>
      <c r="F23" s="14">
        <v>1</v>
      </c>
      <c r="G23" s="47">
        <f t="shared" ref="G23:G28" si="3">ROUND((D23*E23*F23),2)</f>
        <v>59259.87</v>
      </c>
      <c r="H23" s="275">
        <v>56</v>
      </c>
      <c r="I23" s="505"/>
      <c r="J23" s="26"/>
      <c r="K23" s="271"/>
      <c r="L23" s="26"/>
    </row>
    <row r="24" spans="1:13" s="1" customFormat="1" ht="18" customHeight="1" x14ac:dyDescent="0.25">
      <c r="A24" s="27"/>
      <c r="B24" s="46" t="s">
        <v>42</v>
      </c>
      <c r="C24" s="14" t="s">
        <v>40</v>
      </c>
      <c r="D24" s="33">
        <v>918</v>
      </c>
      <c r="E24" s="43">
        <v>135.19999999999999</v>
      </c>
      <c r="F24" s="30">
        <v>6</v>
      </c>
      <c r="G24" s="47">
        <f t="shared" si="3"/>
        <v>744681.6</v>
      </c>
      <c r="H24" s="275">
        <v>59</v>
      </c>
      <c r="I24" s="505"/>
      <c r="J24" s="26"/>
      <c r="K24" s="271"/>
      <c r="L24" s="26"/>
    </row>
    <row r="25" spans="1:13" s="1" customFormat="1" ht="18" customHeight="1" x14ac:dyDescent="0.25">
      <c r="A25" s="27"/>
      <c r="B25" s="46" t="s">
        <v>43</v>
      </c>
      <c r="C25" s="14" t="s">
        <v>40</v>
      </c>
      <c r="D25" s="33">
        <v>144</v>
      </c>
      <c r="E25" s="43">
        <v>135.19999999999999</v>
      </c>
      <c r="F25" s="30">
        <v>10</v>
      </c>
      <c r="G25" s="47">
        <f t="shared" si="3"/>
        <v>194688</v>
      </c>
      <c r="H25" s="275">
        <v>59</v>
      </c>
      <c r="I25" s="505"/>
      <c r="J25" s="26"/>
      <c r="K25" s="271"/>
      <c r="L25" s="26"/>
    </row>
    <row r="26" spans="1:13" s="1" customFormat="1" ht="18" customHeight="1" x14ac:dyDescent="0.25">
      <c r="A26" s="27"/>
      <c r="B26" s="46" t="s">
        <v>363</v>
      </c>
      <c r="C26" s="14" t="s">
        <v>40</v>
      </c>
      <c r="D26" s="33">
        <v>189</v>
      </c>
      <c r="E26" s="43">
        <v>135.19999999999999</v>
      </c>
      <c r="F26" s="30">
        <v>16</v>
      </c>
      <c r="G26" s="47">
        <f t="shared" si="3"/>
        <v>408844.79999999999</v>
      </c>
      <c r="H26" s="275">
        <v>59</v>
      </c>
      <c r="I26" s="505"/>
      <c r="J26" s="25"/>
      <c r="K26" s="271"/>
      <c r="L26" s="26"/>
    </row>
    <row r="27" spans="1:13" s="1" customFormat="1" ht="18" customHeight="1" x14ac:dyDescent="0.25">
      <c r="A27" s="27"/>
      <c r="B27" s="46" t="s">
        <v>49</v>
      </c>
      <c r="C27" s="14" t="s">
        <v>40</v>
      </c>
      <c r="D27" s="33">
        <f>D26</f>
        <v>189</v>
      </c>
      <c r="E27" s="43">
        <v>38.049999999999997</v>
      </c>
      <c r="F27" s="30">
        <v>4</v>
      </c>
      <c r="G27" s="47">
        <f t="shared" si="3"/>
        <v>28765.8</v>
      </c>
      <c r="H27" s="275">
        <v>62</v>
      </c>
      <c r="I27" s="505"/>
      <c r="J27" s="25"/>
      <c r="K27" s="271"/>
      <c r="L27" s="26"/>
    </row>
    <row r="28" spans="1:13" s="1" customFormat="1" ht="18" customHeight="1" x14ac:dyDescent="0.25">
      <c r="A28" s="27"/>
      <c r="B28" s="46" t="s">
        <v>124</v>
      </c>
      <c r="C28" s="14" t="s">
        <v>40</v>
      </c>
      <c r="D28" s="33">
        <f>D27</f>
        <v>189</v>
      </c>
      <c r="E28" s="43">
        <v>163</v>
      </c>
      <c r="F28" s="30">
        <v>2</v>
      </c>
      <c r="G28" s="47">
        <f t="shared" si="3"/>
        <v>61614</v>
      </c>
      <c r="H28" s="275">
        <v>68</v>
      </c>
      <c r="I28" s="505"/>
      <c r="J28" s="25"/>
      <c r="K28" s="271"/>
      <c r="L28" s="26"/>
    </row>
    <row r="29" spans="1:13" s="1" customFormat="1" ht="18" customHeight="1" x14ac:dyDescent="0.25">
      <c r="A29" s="27" t="s">
        <v>44</v>
      </c>
      <c r="B29" s="44" t="s">
        <v>45</v>
      </c>
      <c r="C29" s="45" t="s">
        <v>40</v>
      </c>
      <c r="D29" s="29">
        <f>D30</f>
        <v>1385</v>
      </c>
      <c r="E29" s="2"/>
      <c r="F29" s="29"/>
      <c r="G29" s="31">
        <f>SUM(G30:G35)</f>
        <v>511863.38</v>
      </c>
      <c r="H29" s="275"/>
      <c r="I29" s="505"/>
      <c r="J29" s="26"/>
      <c r="K29" s="271"/>
      <c r="L29" s="26"/>
    </row>
    <row r="30" spans="1:13" s="1" customFormat="1" ht="18" customHeight="1" x14ac:dyDescent="0.25">
      <c r="A30" s="27"/>
      <c r="B30" s="46" t="s">
        <v>46</v>
      </c>
      <c r="C30" s="14" t="s">
        <v>40</v>
      </c>
      <c r="D30" s="33">
        <f>318+1067</f>
        <v>1385</v>
      </c>
      <c r="E30" s="48">
        <v>8.1999999999999993</v>
      </c>
      <c r="F30" s="14">
        <v>1</v>
      </c>
      <c r="G30" s="47">
        <f t="shared" ref="G30:G35" si="4">ROUND((D30*E30*F30),2)</f>
        <v>11357</v>
      </c>
      <c r="H30" s="275">
        <v>57</v>
      </c>
      <c r="I30" s="505"/>
      <c r="J30" s="26"/>
      <c r="K30" s="271"/>
      <c r="L30" s="26"/>
    </row>
    <row r="31" spans="1:13" s="1" customFormat="1" ht="18" customHeight="1" x14ac:dyDescent="0.25">
      <c r="A31" s="27"/>
      <c r="B31" s="46" t="s">
        <v>47</v>
      </c>
      <c r="C31" s="14" t="s">
        <v>40</v>
      </c>
      <c r="D31" s="33">
        <v>300</v>
      </c>
      <c r="E31" s="48">
        <v>21.63</v>
      </c>
      <c r="F31" s="30">
        <v>6</v>
      </c>
      <c r="G31" s="47">
        <f t="shared" si="4"/>
        <v>38934</v>
      </c>
      <c r="H31" s="275">
        <v>60</v>
      </c>
      <c r="I31" s="505"/>
      <c r="J31" s="26"/>
      <c r="K31" s="271"/>
      <c r="L31" s="26"/>
    </row>
    <row r="32" spans="1:13" s="1" customFormat="1" ht="18" customHeight="1" x14ac:dyDescent="0.25">
      <c r="A32" s="27"/>
      <c r="B32" s="46" t="s">
        <v>364</v>
      </c>
      <c r="C32" s="14" t="s">
        <v>40</v>
      </c>
      <c r="D32" s="33">
        <v>18</v>
      </c>
      <c r="E32" s="48">
        <v>21.63</v>
      </c>
      <c r="F32" s="30">
        <v>10</v>
      </c>
      <c r="G32" s="47">
        <f t="shared" si="4"/>
        <v>3893.4</v>
      </c>
      <c r="H32" s="275">
        <v>60</v>
      </c>
      <c r="I32" s="505"/>
      <c r="J32" s="26"/>
      <c r="K32" s="271"/>
      <c r="L32" s="26"/>
    </row>
    <row r="33" spans="1:13" s="1" customFormat="1" ht="18" customHeight="1" x14ac:dyDescent="0.25">
      <c r="A33" s="27"/>
      <c r="B33" s="46" t="s">
        <v>48</v>
      </c>
      <c r="C33" s="14" t="s">
        <v>40</v>
      </c>
      <c r="D33" s="33">
        <v>1067</v>
      </c>
      <c r="E33" s="48">
        <v>21.63</v>
      </c>
      <c r="F33" s="30">
        <v>16</v>
      </c>
      <c r="G33" s="47">
        <f t="shared" si="4"/>
        <v>369267.36</v>
      </c>
      <c r="H33" s="275">
        <v>60</v>
      </c>
      <c r="I33" s="505"/>
      <c r="J33" s="25"/>
      <c r="K33" s="271"/>
      <c r="L33" s="26"/>
    </row>
    <row r="34" spans="1:13" s="1" customFormat="1" ht="18" customHeight="1" x14ac:dyDescent="0.25">
      <c r="A34" s="27"/>
      <c r="B34" s="46" t="s">
        <v>49</v>
      </c>
      <c r="C34" s="14" t="s">
        <v>40</v>
      </c>
      <c r="D34" s="33">
        <f>D33</f>
        <v>1067</v>
      </c>
      <c r="E34" s="48">
        <v>6.66</v>
      </c>
      <c r="F34" s="30">
        <v>4</v>
      </c>
      <c r="G34" s="47">
        <f t="shared" si="4"/>
        <v>28424.880000000001</v>
      </c>
      <c r="H34" s="275">
        <v>63</v>
      </c>
      <c r="I34" s="505"/>
      <c r="J34" s="25"/>
      <c r="K34" s="271"/>
      <c r="L34" s="26"/>
    </row>
    <row r="35" spans="1:13" s="1" customFormat="1" ht="18" customHeight="1" x14ac:dyDescent="0.25">
      <c r="A35" s="27"/>
      <c r="B35" s="46" t="s">
        <v>50</v>
      </c>
      <c r="C35" s="14" t="s">
        <v>40</v>
      </c>
      <c r="D35" s="33">
        <f>D34</f>
        <v>1067</v>
      </c>
      <c r="E35" s="48">
        <v>28.11</v>
      </c>
      <c r="F35" s="30">
        <v>2</v>
      </c>
      <c r="G35" s="47">
        <f t="shared" si="4"/>
        <v>59986.74</v>
      </c>
      <c r="H35" s="275">
        <v>69</v>
      </c>
      <c r="I35" s="505"/>
      <c r="J35" s="25"/>
      <c r="K35" s="271"/>
      <c r="L35" s="26"/>
    </row>
    <row r="36" spans="1:13" s="1" customFormat="1" ht="18" customHeight="1" x14ac:dyDescent="0.25">
      <c r="A36" s="27" t="s">
        <v>51</v>
      </c>
      <c r="B36" s="44" t="s">
        <v>52</v>
      </c>
      <c r="C36" s="28"/>
      <c r="D36" s="29">
        <f>D37</f>
        <v>175</v>
      </c>
      <c r="E36" s="2"/>
      <c r="F36" s="45"/>
      <c r="G36" s="31">
        <f>SUM(G37:G38)</f>
        <v>37178.75</v>
      </c>
      <c r="H36" s="275"/>
      <c r="I36" s="505"/>
      <c r="J36" s="26"/>
      <c r="K36" s="271"/>
      <c r="L36" s="26"/>
    </row>
    <row r="37" spans="1:13" s="1" customFormat="1" ht="18" customHeight="1" x14ac:dyDescent="0.25">
      <c r="A37" s="27"/>
      <c r="B37" s="46" t="s">
        <v>53</v>
      </c>
      <c r="C37" s="14" t="s">
        <v>54</v>
      </c>
      <c r="D37" s="33">
        <v>175</v>
      </c>
      <c r="E37" s="43">
        <v>17.75</v>
      </c>
      <c r="F37" s="14">
        <v>1</v>
      </c>
      <c r="G37" s="47">
        <f>ROUND((D37*E37*F37),2)</f>
        <v>3106.25</v>
      </c>
      <c r="H37" s="275">
        <v>58</v>
      </c>
      <c r="I37" s="505"/>
      <c r="J37" s="26"/>
      <c r="K37" s="271"/>
      <c r="L37" s="26"/>
    </row>
    <row r="38" spans="1:13" s="1" customFormat="1" ht="18" customHeight="1" x14ac:dyDescent="0.25">
      <c r="A38" s="27"/>
      <c r="B38" s="46" t="s">
        <v>55</v>
      </c>
      <c r="C38" s="14" t="s">
        <v>54</v>
      </c>
      <c r="D38" s="33">
        <f>D37</f>
        <v>175</v>
      </c>
      <c r="E38" s="48">
        <v>32.450000000000003</v>
      </c>
      <c r="F38" s="30">
        <v>6</v>
      </c>
      <c r="G38" s="47">
        <f>ROUND((D38*E38*F38),2)</f>
        <v>34072.5</v>
      </c>
      <c r="H38" s="275">
        <v>61</v>
      </c>
      <c r="I38" s="505"/>
      <c r="J38" s="26"/>
      <c r="K38" s="271"/>
      <c r="L38" s="26"/>
    </row>
    <row r="39" spans="1:13" s="1" customFormat="1" ht="15.75" x14ac:dyDescent="0.25">
      <c r="A39" s="27" t="s">
        <v>56</v>
      </c>
      <c r="B39" s="21" t="s">
        <v>57</v>
      </c>
      <c r="C39" s="14"/>
      <c r="D39" s="29">
        <f>D40</f>
        <v>140</v>
      </c>
      <c r="E39" s="2"/>
      <c r="F39" s="14"/>
      <c r="G39" s="56">
        <f>G40</f>
        <v>27045.200000000001</v>
      </c>
      <c r="H39" s="275"/>
      <c r="I39" s="505"/>
      <c r="J39" s="26"/>
      <c r="K39" s="271"/>
      <c r="L39" s="26"/>
      <c r="M39" s="3"/>
    </row>
    <row r="40" spans="1:13" s="1" customFormat="1" ht="23.25" customHeight="1" x14ac:dyDescent="0.25">
      <c r="A40" s="57"/>
      <c r="B40" s="46" t="s">
        <v>58</v>
      </c>
      <c r="C40" s="14" t="s">
        <v>40</v>
      </c>
      <c r="D40" s="58">
        <v>140</v>
      </c>
      <c r="E40" s="59">
        <v>96.59</v>
      </c>
      <c r="F40" s="30">
        <v>2</v>
      </c>
      <c r="G40" s="47">
        <f>ROUND((D40*E40*F40),2)</f>
        <v>27045.200000000001</v>
      </c>
      <c r="H40" s="275">
        <v>40</v>
      </c>
      <c r="I40" s="505"/>
      <c r="J40" s="26"/>
      <c r="K40" s="271"/>
      <c r="L40" s="26"/>
      <c r="M40" s="3"/>
    </row>
    <row r="41" spans="1:13" s="1" customFormat="1" ht="18" customHeight="1" x14ac:dyDescent="0.25">
      <c r="A41" s="27" t="s">
        <v>59</v>
      </c>
      <c r="B41" s="21" t="s">
        <v>60</v>
      </c>
      <c r="C41" s="14"/>
      <c r="D41" s="29">
        <f>D42+D43+D44+D45+D46+D47+D48+D49+D50</f>
        <v>31849</v>
      </c>
      <c r="E41" s="2"/>
      <c r="F41" s="14"/>
      <c r="G41" s="56">
        <f>SUM(G42:G50)</f>
        <v>5592858.7999999998</v>
      </c>
      <c r="H41" s="275"/>
      <c r="I41" s="505"/>
      <c r="J41" s="26"/>
      <c r="K41" s="271"/>
      <c r="L41" s="26"/>
      <c r="M41" s="3"/>
    </row>
    <row r="42" spans="1:13" s="1" customFormat="1" ht="31.5" customHeight="1" x14ac:dyDescent="0.25">
      <c r="A42" s="57"/>
      <c r="B42" s="46" t="s">
        <v>61</v>
      </c>
      <c r="C42" s="14" t="s">
        <v>54</v>
      </c>
      <c r="D42" s="33">
        <f>220+594</f>
        <v>814</v>
      </c>
      <c r="E42" s="59">
        <v>26.55</v>
      </c>
      <c r="F42" s="30">
        <v>2</v>
      </c>
      <c r="G42" s="60">
        <f>ROUND((D42*E42*F42),2)</f>
        <v>43223.4</v>
      </c>
      <c r="H42" s="275">
        <v>41</v>
      </c>
      <c r="I42" s="505"/>
      <c r="J42" s="26"/>
      <c r="K42" s="271"/>
      <c r="L42" s="26"/>
      <c r="M42" s="3"/>
    </row>
    <row r="43" spans="1:13" s="1" customFormat="1" ht="34.5" customHeight="1" x14ac:dyDescent="0.25">
      <c r="A43" s="57"/>
      <c r="B43" s="46" t="s">
        <v>62</v>
      </c>
      <c r="C43" s="14" t="s">
        <v>54</v>
      </c>
      <c r="D43" s="33">
        <v>2500</v>
      </c>
      <c r="E43" s="48">
        <v>55.32</v>
      </c>
      <c r="F43" s="30">
        <v>1</v>
      </c>
      <c r="G43" s="60">
        <f t="shared" ref="G43:G50" si="5">ROUND((D43*E43*F43),2)</f>
        <v>138300</v>
      </c>
      <c r="H43" s="275">
        <v>42</v>
      </c>
      <c r="I43" s="505"/>
      <c r="J43" s="26"/>
      <c r="K43" s="271"/>
      <c r="L43" s="26"/>
      <c r="M43" s="3"/>
    </row>
    <row r="44" spans="1:13" s="1" customFormat="1" ht="32.25" customHeight="1" x14ac:dyDescent="0.25">
      <c r="A44" s="57"/>
      <c r="B44" s="46" t="s">
        <v>63</v>
      </c>
      <c r="C44" s="14" t="s">
        <v>54</v>
      </c>
      <c r="D44" s="33">
        <v>2230</v>
      </c>
      <c r="E44" s="48">
        <f>E43</f>
        <v>55.32</v>
      </c>
      <c r="F44" s="30">
        <v>2</v>
      </c>
      <c r="G44" s="60">
        <f t="shared" si="5"/>
        <v>246727.2</v>
      </c>
      <c r="H44" s="275">
        <v>42</v>
      </c>
      <c r="I44" s="505"/>
      <c r="J44" s="26"/>
      <c r="K44" s="271"/>
      <c r="L44" s="26"/>
      <c r="M44" s="3"/>
    </row>
    <row r="45" spans="1:13" s="1" customFormat="1" ht="33" customHeight="1" x14ac:dyDescent="0.25">
      <c r="A45" s="57"/>
      <c r="B45" s="46" t="s">
        <v>64</v>
      </c>
      <c r="C45" s="14" t="s">
        <v>54</v>
      </c>
      <c r="D45" s="33">
        <v>250</v>
      </c>
      <c r="E45" s="48">
        <f>E44</f>
        <v>55.32</v>
      </c>
      <c r="F45" s="30">
        <v>3</v>
      </c>
      <c r="G45" s="60">
        <f t="shared" si="5"/>
        <v>41490</v>
      </c>
      <c r="H45" s="275">
        <v>42</v>
      </c>
      <c r="I45" s="505"/>
      <c r="J45" s="26"/>
      <c r="K45" s="271"/>
      <c r="L45" s="26"/>
      <c r="M45" s="3"/>
    </row>
    <row r="46" spans="1:13" s="1" customFormat="1" ht="30.75" customHeight="1" x14ac:dyDescent="0.25">
      <c r="A46" s="57"/>
      <c r="B46" s="46" t="s">
        <v>65</v>
      </c>
      <c r="C46" s="14" t="s">
        <v>54</v>
      </c>
      <c r="D46" s="33">
        <v>13297</v>
      </c>
      <c r="E46" s="43">
        <v>92</v>
      </c>
      <c r="F46" s="30">
        <v>2</v>
      </c>
      <c r="G46" s="60">
        <f t="shared" si="5"/>
        <v>2446648</v>
      </c>
      <c r="H46" s="275">
        <v>43</v>
      </c>
      <c r="I46" s="505"/>
      <c r="J46" s="26"/>
      <c r="K46" s="271"/>
      <c r="L46" s="26"/>
      <c r="M46" s="3"/>
    </row>
    <row r="47" spans="1:13" s="1" customFormat="1" ht="32.25" customHeight="1" x14ac:dyDescent="0.25">
      <c r="A47" s="57"/>
      <c r="B47" s="46" t="s">
        <v>66</v>
      </c>
      <c r="C47" s="14" t="s">
        <v>54</v>
      </c>
      <c r="D47" s="33">
        <v>1510</v>
      </c>
      <c r="E47" s="43">
        <f>E46</f>
        <v>92</v>
      </c>
      <c r="F47" s="30">
        <v>3</v>
      </c>
      <c r="G47" s="60">
        <f t="shared" si="5"/>
        <v>416760</v>
      </c>
      <c r="H47" s="275">
        <v>43</v>
      </c>
      <c r="I47" s="505"/>
      <c r="J47" s="26"/>
      <c r="K47" s="271"/>
      <c r="L47" s="26"/>
      <c r="M47" s="3"/>
    </row>
    <row r="48" spans="1:13" s="1" customFormat="1" ht="30.75" customHeight="1" x14ac:dyDescent="0.25">
      <c r="A48" s="57"/>
      <c r="B48" s="46" t="s">
        <v>67</v>
      </c>
      <c r="C48" s="14" t="s">
        <v>54</v>
      </c>
      <c r="D48" s="33">
        <v>737</v>
      </c>
      <c r="E48" s="43">
        <f>E47</f>
        <v>92</v>
      </c>
      <c r="F48" s="30">
        <v>4</v>
      </c>
      <c r="G48" s="60">
        <f t="shared" si="5"/>
        <v>271216</v>
      </c>
      <c r="H48" s="275">
        <v>43</v>
      </c>
      <c r="I48" s="505"/>
      <c r="J48" s="26"/>
      <c r="K48" s="271"/>
      <c r="L48" s="26"/>
      <c r="M48" s="3"/>
    </row>
    <row r="49" spans="1:13" s="1" customFormat="1" ht="35.25" customHeight="1" x14ac:dyDescent="0.25">
      <c r="A49" s="57"/>
      <c r="B49" s="46" t="s">
        <v>68</v>
      </c>
      <c r="C49" s="14" t="s">
        <v>54</v>
      </c>
      <c r="D49" s="33">
        <v>354</v>
      </c>
      <c r="E49" s="48">
        <v>57.61</v>
      </c>
      <c r="F49" s="30">
        <v>2</v>
      </c>
      <c r="G49" s="60">
        <f t="shared" si="5"/>
        <v>40787.879999999997</v>
      </c>
      <c r="H49" s="275">
        <v>45</v>
      </c>
      <c r="I49" s="505"/>
      <c r="J49" s="26"/>
      <c r="K49" s="271"/>
      <c r="L49" s="26"/>
      <c r="M49" s="3"/>
    </row>
    <row r="50" spans="1:13" s="1" customFormat="1" ht="33" customHeight="1" x14ac:dyDescent="0.25">
      <c r="A50" s="57"/>
      <c r="B50" s="46" t="s">
        <v>69</v>
      </c>
      <c r="C50" s="14" t="s">
        <v>54</v>
      </c>
      <c r="D50" s="33">
        <v>10157</v>
      </c>
      <c r="E50" s="48">
        <v>95.88</v>
      </c>
      <c r="F50" s="30">
        <v>2</v>
      </c>
      <c r="G50" s="60">
        <f t="shared" si="5"/>
        <v>1947706.32</v>
      </c>
      <c r="H50" s="275">
        <v>46</v>
      </c>
      <c r="I50" s="505"/>
      <c r="J50" s="26"/>
      <c r="K50" s="271"/>
      <c r="L50" s="26"/>
      <c r="M50" s="3"/>
    </row>
    <row r="51" spans="1:13" s="1" customFormat="1" ht="22.5" customHeight="1" x14ac:dyDescent="0.25">
      <c r="A51" s="27" t="s">
        <v>70</v>
      </c>
      <c r="B51" s="21" t="s">
        <v>71</v>
      </c>
      <c r="C51" s="45" t="s">
        <v>72</v>
      </c>
      <c r="D51" s="29">
        <f>D78</f>
        <v>1682</v>
      </c>
      <c r="E51" s="2"/>
      <c r="F51" s="14"/>
      <c r="G51" s="31">
        <f>G52+G53+G54+G55+G56+G57+G58+G59+G60+G61+G62+G63+G64+G65+G66+G67+G68+G69+G70+G71+G72+G73+G74+G75+G76+G78+G77</f>
        <v>3775610.0199999996</v>
      </c>
      <c r="H51" s="275"/>
      <c r="I51" s="505"/>
      <c r="J51" s="26"/>
      <c r="K51" s="271"/>
      <c r="L51" s="26"/>
    </row>
    <row r="52" spans="1:13" s="1" customFormat="1" ht="33" customHeight="1" x14ac:dyDescent="0.25">
      <c r="A52" s="57"/>
      <c r="B52" s="61" t="s">
        <v>73</v>
      </c>
      <c r="C52" s="14" t="s">
        <v>72</v>
      </c>
      <c r="D52" s="7">
        <v>24</v>
      </c>
      <c r="E52" s="59">
        <v>865.07</v>
      </c>
      <c r="F52" s="14"/>
      <c r="G52" s="62">
        <f>ROUND((D52*E52*1),2)</f>
        <v>20761.68</v>
      </c>
      <c r="H52" s="275">
        <v>20</v>
      </c>
      <c r="I52" s="505"/>
      <c r="J52" s="26"/>
      <c r="K52" s="271"/>
      <c r="L52" s="26"/>
    </row>
    <row r="53" spans="1:13" s="1" customFormat="1" ht="33" customHeight="1" x14ac:dyDescent="0.25">
      <c r="A53" s="57"/>
      <c r="B53" s="61" t="s">
        <v>74</v>
      </c>
      <c r="C53" s="14" t="s">
        <v>72</v>
      </c>
      <c r="D53" s="7">
        <v>25</v>
      </c>
      <c r="E53" s="59">
        <v>1304.03</v>
      </c>
      <c r="F53" s="14"/>
      <c r="G53" s="62">
        <f>ROUND((D53*E53*1),2)</f>
        <v>32600.75</v>
      </c>
      <c r="H53" s="275">
        <v>21</v>
      </c>
      <c r="I53" s="505"/>
      <c r="J53" s="223"/>
      <c r="K53" s="271"/>
      <c r="L53" s="26"/>
    </row>
    <row r="54" spans="1:13" s="1" customFormat="1" ht="35.25" customHeight="1" x14ac:dyDescent="0.25">
      <c r="A54" s="57"/>
      <c r="B54" s="61" t="s">
        <v>75</v>
      </c>
      <c r="C54" s="14" t="s">
        <v>72</v>
      </c>
      <c r="D54" s="7">
        <v>15</v>
      </c>
      <c r="E54" s="59">
        <v>990.71</v>
      </c>
      <c r="F54" s="14"/>
      <c r="G54" s="62">
        <f t="shared" ref="G54:G78" si="6">ROUND((D54*E54*1),2)</f>
        <v>14860.65</v>
      </c>
      <c r="H54" s="275">
        <v>22</v>
      </c>
      <c r="I54" s="505"/>
      <c r="J54" s="26"/>
      <c r="K54" s="271"/>
      <c r="L54" s="26"/>
    </row>
    <row r="55" spans="1:13" s="1" customFormat="1" ht="29.25" customHeight="1" x14ac:dyDescent="0.25">
      <c r="A55" s="57"/>
      <c r="B55" s="61" t="s">
        <v>76</v>
      </c>
      <c r="C55" s="14" t="s">
        <v>72</v>
      </c>
      <c r="D55" s="7">
        <v>54</v>
      </c>
      <c r="E55" s="59">
        <v>1710.7</v>
      </c>
      <c r="F55" s="14"/>
      <c r="G55" s="62">
        <f t="shared" si="6"/>
        <v>92377.8</v>
      </c>
      <c r="H55" s="275">
        <v>23</v>
      </c>
      <c r="I55" s="505"/>
      <c r="J55" s="26"/>
      <c r="K55" s="271"/>
      <c r="L55" s="26"/>
    </row>
    <row r="56" spans="1:13" s="1" customFormat="1" ht="27.75" customHeight="1" x14ac:dyDescent="0.25">
      <c r="A56" s="57"/>
      <c r="B56" s="61" t="s">
        <v>77</v>
      </c>
      <c r="C56" s="14" t="s">
        <v>72</v>
      </c>
      <c r="D56" s="7">
        <v>34</v>
      </c>
      <c r="E56" s="59">
        <v>1184.08</v>
      </c>
      <c r="F56" s="14"/>
      <c r="G56" s="62">
        <f t="shared" si="6"/>
        <v>40258.720000000001</v>
      </c>
      <c r="H56" s="275">
        <v>24</v>
      </c>
      <c r="I56" s="505"/>
      <c r="J56" s="26"/>
      <c r="K56" s="271"/>
      <c r="L56" s="26"/>
    </row>
    <row r="57" spans="1:13" s="1" customFormat="1" ht="27.75" customHeight="1" x14ac:dyDescent="0.25">
      <c r="A57" s="57"/>
      <c r="B57" s="61" t="s">
        <v>78</v>
      </c>
      <c r="C57" s="14" t="s">
        <v>72</v>
      </c>
      <c r="D57" s="7">
        <v>60</v>
      </c>
      <c r="E57" s="59">
        <v>1996.83</v>
      </c>
      <c r="F57" s="14"/>
      <c r="G57" s="62">
        <f t="shared" si="6"/>
        <v>119809.8</v>
      </c>
      <c r="H57" s="275">
        <v>25</v>
      </c>
      <c r="I57" s="505"/>
      <c r="J57" s="26"/>
      <c r="K57" s="271"/>
      <c r="L57" s="26"/>
    </row>
    <row r="58" spans="1:13" s="1" customFormat="1" ht="32.25" customHeight="1" x14ac:dyDescent="0.25">
      <c r="A58" s="57"/>
      <c r="B58" s="61" t="s">
        <v>79</v>
      </c>
      <c r="C58" s="14" t="s">
        <v>72</v>
      </c>
      <c r="D58" s="7">
        <v>103</v>
      </c>
      <c r="E58" s="59">
        <v>4251.59</v>
      </c>
      <c r="F58" s="14"/>
      <c r="G58" s="62">
        <f t="shared" si="6"/>
        <v>437913.77</v>
      </c>
      <c r="H58" s="275">
        <v>26</v>
      </c>
      <c r="I58" s="505"/>
      <c r="J58" s="26"/>
      <c r="K58" s="271"/>
      <c r="L58" s="26"/>
    </row>
    <row r="59" spans="1:13" s="1" customFormat="1" ht="33" customHeight="1" x14ac:dyDescent="0.25">
      <c r="A59" s="57"/>
      <c r="B59" s="61" t="s">
        <v>80</v>
      </c>
      <c r="C59" s="14" t="s">
        <v>72</v>
      </c>
      <c r="D59" s="7">
        <v>145</v>
      </c>
      <c r="E59" s="59">
        <v>3444.58</v>
      </c>
      <c r="F59" s="14"/>
      <c r="G59" s="62">
        <f t="shared" si="6"/>
        <v>499464.1</v>
      </c>
      <c r="H59" s="275">
        <v>27</v>
      </c>
      <c r="I59" s="505"/>
      <c r="J59" s="26"/>
      <c r="K59" s="271"/>
      <c r="L59" s="26"/>
    </row>
    <row r="60" spans="1:13" s="1" customFormat="1" ht="29.25" customHeight="1" x14ac:dyDescent="0.25">
      <c r="A60" s="57"/>
      <c r="B60" s="61" t="s">
        <v>81</v>
      </c>
      <c r="C60" s="14" t="s">
        <v>72</v>
      </c>
      <c r="D60" s="7">
        <v>170</v>
      </c>
      <c r="E60" s="59">
        <v>1684.22</v>
      </c>
      <c r="F60" s="14"/>
      <c r="G60" s="62">
        <f t="shared" si="6"/>
        <v>286317.40000000002</v>
      </c>
      <c r="H60" s="275">
        <v>28</v>
      </c>
      <c r="I60" s="505"/>
      <c r="J60" s="26"/>
      <c r="K60" s="271"/>
      <c r="L60" s="26"/>
    </row>
    <row r="61" spans="1:13" s="1" customFormat="1" ht="29.25" customHeight="1" x14ac:dyDescent="0.25">
      <c r="A61" s="57"/>
      <c r="B61" s="61" t="s">
        <v>82</v>
      </c>
      <c r="C61" s="14" t="s">
        <v>72</v>
      </c>
      <c r="D61" s="7">
        <v>218</v>
      </c>
      <c r="E61" s="59">
        <v>1422.53</v>
      </c>
      <c r="F61" s="14"/>
      <c r="G61" s="62">
        <f t="shared" si="6"/>
        <v>310111.53999999998</v>
      </c>
      <c r="H61" s="275">
        <v>29</v>
      </c>
      <c r="I61" s="505"/>
      <c r="J61" s="26"/>
      <c r="K61" s="271"/>
      <c r="L61" s="26"/>
    </row>
    <row r="62" spans="1:13" s="1" customFormat="1" ht="29.25" customHeight="1" x14ac:dyDescent="0.25">
      <c r="A62" s="57"/>
      <c r="B62" s="61" t="s">
        <v>83</v>
      </c>
      <c r="C62" s="14" t="s">
        <v>72</v>
      </c>
      <c r="D62" s="7">
        <v>84</v>
      </c>
      <c r="E62" s="59">
        <v>1252.08</v>
      </c>
      <c r="F62" s="14"/>
      <c r="G62" s="62">
        <f t="shared" si="6"/>
        <v>105174.72</v>
      </c>
      <c r="H62" s="275">
        <v>30</v>
      </c>
      <c r="I62" s="505"/>
      <c r="J62" s="26"/>
      <c r="K62" s="271"/>
      <c r="L62" s="26"/>
    </row>
    <row r="63" spans="1:13" s="1" customFormat="1" ht="29.25" customHeight="1" x14ac:dyDescent="0.25">
      <c r="A63" s="57"/>
      <c r="B63" s="61" t="s">
        <v>84</v>
      </c>
      <c r="C63" s="14" t="s">
        <v>72</v>
      </c>
      <c r="D63" s="7">
        <v>38</v>
      </c>
      <c r="E63" s="59">
        <v>1083.5899999999999</v>
      </c>
      <c r="F63" s="14"/>
      <c r="G63" s="62">
        <f t="shared" si="6"/>
        <v>41176.42</v>
      </c>
      <c r="H63" s="275">
        <v>31</v>
      </c>
      <c r="I63" s="505"/>
      <c r="J63" s="26"/>
      <c r="K63" s="271"/>
      <c r="L63" s="26"/>
    </row>
    <row r="64" spans="1:13" s="1" customFormat="1" ht="34.5" customHeight="1" x14ac:dyDescent="0.25">
      <c r="A64" s="57"/>
      <c r="B64" s="46" t="s">
        <v>85</v>
      </c>
      <c r="C64" s="14" t="s">
        <v>40</v>
      </c>
      <c r="D64" s="33">
        <v>10</v>
      </c>
      <c r="E64" s="59">
        <v>277.27</v>
      </c>
      <c r="F64" s="14"/>
      <c r="G64" s="62">
        <f t="shared" si="6"/>
        <v>2772.7</v>
      </c>
      <c r="H64" s="275">
        <v>1</v>
      </c>
      <c r="I64" s="505"/>
      <c r="J64" s="26"/>
      <c r="K64" s="271"/>
      <c r="L64" s="26"/>
    </row>
    <row r="65" spans="1:12" s="1" customFormat="1" ht="36" customHeight="1" x14ac:dyDescent="0.25">
      <c r="A65" s="57"/>
      <c r="B65" s="32" t="s">
        <v>86</v>
      </c>
      <c r="C65" s="63" t="s">
        <v>40</v>
      </c>
      <c r="D65" s="33">
        <v>20</v>
      </c>
      <c r="E65" s="64">
        <v>446.22</v>
      </c>
      <c r="F65" s="63"/>
      <c r="G65" s="35">
        <f t="shared" si="6"/>
        <v>8924.4</v>
      </c>
      <c r="H65" s="277">
        <v>2</v>
      </c>
      <c r="I65" s="505"/>
      <c r="J65" s="26"/>
      <c r="K65" s="271"/>
      <c r="L65" s="26"/>
    </row>
    <row r="66" spans="1:12" s="1" customFormat="1" ht="31.5" customHeight="1" x14ac:dyDescent="0.25">
      <c r="A66" s="57"/>
      <c r="B66" s="46" t="s">
        <v>87</v>
      </c>
      <c r="C66" s="14" t="s">
        <v>40</v>
      </c>
      <c r="D66" s="33">
        <f>10+29</f>
        <v>39</v>
      </c>
      <c r="E66" s="59">
        <v>984.02</v>
      </c>
      <c r="F66" s="14"/>
      <c r="G66" s="62">
        <f t="shared" si="6"/>
        <v>38376.78</v>
      </c>
      <c r="H66" s="275">
        <v>3</v>
      </c>
      <c r="I66" s="505"/>
      <c r="J66" s="26"/>
      <c r="K66" s="271"/>
      <c r="L66" s="26"/>
    </row>
    <row r="67" spans="1:12" s="1" customFormat="1" ht="31.5" customHeight="1" x14ac:dyDescent="0.25">
      <c r="A67" s="57"/>
      <c r="B67" s="32" t="s">
        <v>88</v>
      </c>
      <c r="C67" s="63" t="s">
        <v>40</v>
      </c>
      <c r="D67" s="33">
        <f>20+27</f>
        <v>47</v>
      </c>
      <c r="E67" s="64">
        <v>1652.77</v>
      </c>
      <c r="F67" s="63"/>
      <c r="G67" s="35">
        <f t="shared" si="6"/>
        <v>77680.19</v>
      </c>
      <c r="H67" s="277">
        <v>4</v>
      </c>
      <c r="I67" s="505"/>
      <c r="J67" s="26"/>
      <c r="K67" s="271"/>
      <c r="L67" s="26"/>
    </row>
    <row r="68" spans="1:12" s="1" customFormat="1" ht="31.5" customHeight="1" x14ac:dyDescent="0.25">
      <c r="A68" s="57"/>
      <c r="B68" s="32" t="s">
        <v>89</v>
      </c>
      <c r="C68" s="63" t="s">
        <v>40</v>
      </c>
      <c r="D68" s="33">
        <v>25</v>
      </c>
      <c r="E68" s="64">
        <v>2319.54</v>
      </c>
      <c r="F68" s="63"/>
      <c r="G68" s="35">
        <f t="shared" si="6"/>
        <v>57988.5</v>
      </c>
      <c r="H68" s="277">
        <v>5</v>
      </c>
      <c r="I68" s="505"/>
      <c r="J68" s="26"/>
      <c r="K68" s="271"/>
      <c r="L68" s="26"/>
    </row>
    <row r="69" spans="1:12" s="1" customFormat="1" ht="36.75" customHeight="1" x14ac:dyDescent="0.25">
      <c r="A69" s="57"/>
      <c r="B69" s="46" t="s">
        <v>90</v>
      </c>
      <c r="C69" s="14" t="s">
        <v>40</v>
      </c>
      <c r="D69" s="33">
        <v>92</v>
      </c>
      <c r="E69" s="59">
        <v>2979.84</v>
      </c>
      <c r="F69" s="14"/>
      <c r="G69" s="62">
        <f t="shared" si="6"/>
        <v>274145.28000000003</v>
      </c>
      <c r="H69" s="275">
        <v>6</v>
      </c>
      <c r="I69" s="505"/>
      <c r="J69" s="26"/>
      <c r="K69" s="271"/>
      <c r="L69" s="26"/>
    </row>
    <row r="70" spans="1:12" s="1" customFormat="1" ht="35.25" customHeight="1" x14ac:dyDescent="0.25">
      <c r="A70" s="57"/>
      <c r="B70" s="46" t="s">
        <v>91</v>
      </c>
      <c r="C70" s="14" t="s">
        <v>40</v>
      </c>
      <c r="D70" s="33">
        <f>40-1</f>
        <v>39</v>
      </c>
      <c r="E70" s="59">
        <v>3781.77</v>
      </c>
      <c r="F70" s="14"/>
      <c r="G70" s="62">
        <f t="shared" si="6"/>
        <v>147489.03</v>
      </c>
      <c r="H70" s="275">
        <v>7</v>
      </c>
      <c r="I70" s="505"/>
      <c r="J70" s="26"/>
      <c r="K70" s="271"/>
      <c r="L70" s="26"/>
    </row>
    <row r="71" spans="1:12" s="1" customFormat="1" ht="35.25" customHeight="1" x14ac:dyDescent="0.25">
      <c r="A71" s="57"/>
      <c r="B71" s="61" t="s">
        <v>92</v>
      </c>
      <c r="C71" s="14" t="s">
        <v>40</v>
      </c>
      <c r="D71" s="33">
        <v>15</v>
      </c>
      <c r="E71" s="59">
        <v>4113.1000000000004</v>
      </c>
      <c r="F71" s="14"/>
      <c r="G71" s="62">
        <f t="shared" si="6"/>
        <v>61696.5</v>
      </c>
      <c r="H71" s="275">
        <v>8</v>
      </c>
      <c r="I71" s="505"/>
      <c r="J71" s="26"/>
      <c r="K71" s="271"/>
      <c r="L71" s="26"/>
    </row>
    <row r="72" spans="1:12" s="1" customFormat="1" ht="34.5" customHeight="1" x14ac:dyDescent="0.25">
      <c r="A72" s="57"/>
      <c r="B72" s="61" t="s">
        <v>93</v>
      </c>
      <c r="C72" s="14" t="s">
        <v>40</v>
      </c>
      <c r="D72" s="33">
        <v>16</v>
      </c>
      <c r="E72" s="59">
        <v>9916.5499999999993</v>
      </c>
      <c r="F72" s="14"/>
      <c r="G72" s="62">
        <f t="shared" si="6"/>
        <v>158664.79999999999</v>
      </c>
      <c r="H72" s="275">
        <v>10</v>
      </c>
      <c r="I72" s="505"/>
      <c r="J72" s="26"/>
      <c r="K72" s="271"/>
      <c r="L72" s="26"/>
    </row>
    <row r="73" spans="1:12" s="1" customFormat="1" ht="30.75" customHeight="1" x14ac:dyDescent="0.25">
      <c r="A73" s="57"/>
      <c r="B73" s="61" t="s">
        <v>94</v>
      </c>
      <c r="C73" s="14" t="s">
        <v>40</v>
      </c>
      <c r="D73" s="33">
        <v>15</v>
      </c>
      <c r="E73" s="59">
        <v>13910.72</v>
      </c>
      <c r="F73" s="14"/>
      <c r="G73" s="62">
        <f t="shared" si="6"/>
        <v>208660.8</v>
      </c>
      <c r="H73" s="275">
        <v>12</v>
      </c>
      <c r="I73" s="505"/>
      <c r="J73" s="26"/>
      <c r="K73" s="271"/>
      <c r="L73" s="26"/>
    </row>
    <row r="74" spans="1:12" s="1" customFormat="1" ht="31.5" customHeight="1" x14ac:dyDescent="0.25">
      <c r="A74" s="57"/>
      <c r="B74" s="61" t="s">
        <v>95</v>
      </c>
      <c r="C74" s="14" t="s">
        <v>40</v>
      </c>
      <c r="D74" s="33">
        <v>10</v>
      </c>
      <c r="E74" s="59">
        <v>5254.28</v>
      </c>
      <c r="F74" s="14"/>
      <c r="G74" s="62">
        <f t="shared" si="6"/>
        <v>52542.8</v>
      </c>
      <c r="H74" s="275">
        <v>14</v>
      </c>
      <c r="I74" s="505"/>
      <c r="J74" s="26"/>
      <c r="K74" s="271"/>
      <c r="L74" s="26"/>
    </row>
    <row r="75" spans="1:12" s="1" customFormat="1" ht="31.5" customHeight="1" x14ac:dyDescent="0.25">
      <c r="A75" s="57"/>
      <c r="B75" s="61" t="s">
        <v>96</v>
      </c>
      <c r="C75" s="14" t="s">
        <v>40</v>
      </c>
      <c r="D75" s="33">
        <v>10</v>
      </c>
      <c r="E75" s="59">
        <v>13135.74</v>
      </c>
      <c r="F75" s="14"/>
      <c r="G75" s="62">
        <f t="shared" si="6"/>
        <v>131357.4</v>
      </c>
      <c r="H75" s="275">
        <v>16</v>
      </c>
      <c r="I75" s="505"/>
      <c r="J75" s="26"/>
      <c r="K75" s="271"/>
      <c r="L75" s="26"/>
    </row>
    <row r="76" spans="1:12" s="1" customFormat="1" ht="31.5" customHeight="1" x14ac:dyDescent="0.25">
      <c r="A76" s="57"/>
      <c r="B76" s="61" t="s">
        <v>97</v>
      </c>
      <c r="C76" s="14" t="s">
        <v>40</v>
      </c>
      <c r="D76" s="33">
        <v>5</v>
      </c>
      <c r="E76" s="59">
        <v>22862.05</v>
      </c>
      <c r="F76" s="14"/>
      <c r="G76" s="62">
        <f t="shared" si="6"/>
        <v>114310.25</v>
      </c>
      <c r="H76" s="275">
        <v>18</v>
      </c>
      <c r="I76" s="505"/>
      <c r="J76" s="26"/>
      <c r="K76" s="271"/>
      <c r="L76" s="26"/>
    </row>
    <row r="77" spans="1:12" s="1" customFormat="1" ht="16.5" customHeight="1" x14ac:dyDescent="0.25">
      <c r="A77" s="57"/>
      <c r="B77" s="46" t="s">
        <v>98</v>
      </c>
      <c r="C77" s="14" t="s">
        <v>72</v>
      </c>
      <c r="D77" s="33">
        <v>50</v>
      </c>
      <c r="E77" s="59">
        <v>1038.68</v>
      </c>
      <c r="F77" s="14"/>
      <c r="G77" s="62">
        <f t="shared" si="6"/>
        <v>51934</v>
      </c>
      <c r="H77" s="275">
        <v>36</v>
      </c>
      <c r="I77" s="505"/>
      <c r="J77" s="26"/>
      <c r="K77" s="271"/>
      <c r="L77" s="26"/>
    </row>
    <row r="78" spans="1:12" s="1" customFormat="1" ht="16.5" customHeight="1" x14ac:dyDescent="0.25">
      <c r="A78" s="57"/>
      <c r="B78" s="46" t="s">
        <v>99</v>
      </c>
      <c r="C78" s="14" t="s">
        <v>72</v>
      </c>
      <c r="D78" s="33">
        <v>1682</v>
      </c>
      <c r="E78" s="59">
        <v>230.82</v>
      </c>
      <c r="F78" s="14"/>
      <c r="G78" s="62">
        <f t="shared" si="6"/>
        <v>388239.24</v>
      </c>
      <c r="H78" s="275">
        <v>83</v>
      </c>
      <c r="I78" s="505"/>
      <c r="J78" s="26"/>
      <c r="K78" s="271"/>
      <c r="L78" s="26"/>
    </row>
    <row r="79" spans="1:12" s="1" customFormat="1" ht="16.5" customHeight="1" x14ac:dyDescent="0.25">
      <c r="A79" s="27" t="s">
        <v>100</v>
      </c>
      <c r="B79" s="21" t="s">
        <v>101</v>
      </c>
      <c r="C79" s="65"/>
      <c r="D79" s="14"/>
      <c r="E79" s="2"/>
      <c r="F79" s="14"/>
      <c r="G79" s="24">
        <f>G80+G101+G108+G121+G131</f>
        <v>29197646.27</v>
      </c>
      <c r="H79" s="275"/>
      <c r="I79" s="505"/>
      <c r="J79" s="26"/>
      <c r="K79" s="271"/>
      <c r="L79" s="26"/>
    </row>
    <row r="80" spans="1:12" s="1" customFormat="1" ht="17.25" customHeight="1" x14ac:dyDescent="0.25">
      <c r="A80" s="27" t="s">
        <v>102</v>
      </c>
      <c r="B80" s="44" t="s">
        <v>103</v>
      </c>
      <c r="C80" s="45" t="s">
        <v>104</v>
      </c>
      <c r="D80" s="29">
        <f>D84+D85+D86+D87+D88+D89</f>
        <v>3366</v>
      </c>
      <c r="E80" s="2"/>
      <c r="F80" s="45"/>
      <c r="G80" s="31">
        <f>SUM(G81:G100)</f>
        <v>5032943.879999999</v>
      </c>
      <c r="H80" s="275"/>
      <c r="I80" s="505"/>
      <c r="J80" s="26"/>
      <c r="K80" s="271"/>
      <c r="L80" s="26"/>
    </row>
    <row r="81" spans="1:13" s="1" customFormat="1" ht="18" customHeight="1" x14ac:dyDescent="0.25">
      <c r="A81" s="27"/>
      <c r="B81" s="46" t="s">
        <v>41</v>
      </c>
      <c r="C81" s="14" t="s">
        <v>40</v>
      </c>
      <c r="D81" s="33">
        <v>294</v>
      </c>
      <c r="E81" s="43">
        <v>47.37</v>
      </c>
      <c r="F81" s="14">
        <v>1</v>
      </c>
      <c r="G81" s="47">
        <f>ROUND((D81*E81*F81),2)</f>
        <v>13926.78</v>
      </c>
      <c r="H81" s="275">
        <v>56</v>
      </c>
      <c r="I81" s="505"/>
      <c r="J81" s="26"/>
      <c r="K81" s="271"/>
      <c r="L81" s="26"/>
    </row>
    <row r="82" spans="1:13" s="1" customFormat="1" ht="18" customHeight="1" x14ac:dyDescent="0.25">
      <c r="A82" s="27"/>
      <c r="B82" s="49" t="s">
        <v>41</v>
      </c>
      <c r="C82" s="50" t="s">
        <v>40</v>
      </c>
      <c r="D82" s="51">
        <f>396+502</f>
        <v>898</v>
      </c>
      <c r="E82" s="81">
        <f>E23</f>
        <v>47.37</v>
      </c>
      <c r="F82" s="50">
        <v>1</v>
      </c>
      <c r="G82" s="53">
        <f>ROUND((D82*E82*F82),2)</f>
        <v>42538.26</v>
      </c>
      <c r="H82" s="278">
        <v>56</v>
      </c>
      <c r="I82" s="505"/>
      <c r="J82" s="25"/>
      <c r="K82" s="271"/>
      <c r="L82" s="26"/>
    </row>
    <row r="83" spans="1:13" s="1" customFormat="1" ht="18" customHeight="1" x14ac:dyDescent="0.25">
      <c r="A83" s="27"/>
      <c r="B83" s="49" t="s">
        <v>365</v>
      </c>
      <c r="C83" s="50" t="s">
        <v>40</v>
      </c>
      <c r="D83" s="51">
        <f>832+750</f>
        <v>1582</v>
      </c>
      <c r="E83" s="81">
        <v>12.95</v>
      </c>
      <c r="F83" s="50">
        <v>1</v>
      </c>
      <c r="G83" s="53">
        <f>ROUND((D83*E83*F83),2)</f>
        <v>20486.900000000001</v>
      </c>
      <c r="H83" s="278" t="s">
        <v>366</v>
      </c>
      <c r="I83" s="505"/>
      <c r="J83" s="25"/>
      <c r="K83" s="271"/>
      <c r="L83" s="26"/>
    </row>
    <row r="84" spans="1:13" s="1" customFormat="1" ht="23.25" customHeight="1" x14ac:dyDescent="0.25">
      <c r="A84" s="27"/>
      <c r="B84" s="46" t="s">
        <v>105</v>
      </c>
      <c r="C84" s="14" t="s">
        <v>40</v>
      </c>
      <c r="D84" s="58">
        <f>161+31</f>
        <v>192</v>
      </c>
      <c r="E84" s="43">
        <v>135.19999999999999</v>
      </c>
      <c r="F84" s="14">
        <v>6</v>
      </c>
      <c r="G84" s="62">
        <f t="shared" ref="G84:G100" si="7">ROUND((D84*E84*F84),2)</f>
        <v>155750.39999999999</v>
      </c>
      <c r="H84" s="275">
        <v>59</v>
      </c>
      <c r="I84" s="505"/>
      <c r="J84" s="26"/>
      <c r="K84" s="271"/>
      <c r="L84" s="26"/>
    </row>
    <row r="85" spans="1:13" s="1" customFormat="1" ht="23.25" customHeight="1" x14ac:dyDescent="0.25">
      <c r="A85" s="27"/>
      <c r="B85" s="46" t="s">
        <v>109</v>
      </c>
      <c r="C85" s="14" t="s">
        <v>40</v>
      </c>
      <c r="D85" s="33">
        <f>D81</f>
        <v>294</v>
      </c>
      <c r="E85" s="43">
        <v>135.19999999999999</v>
      </c>
      <c r="F85" s="14">
        <v>16</v>
      </c>
      <c r="G85" s="62">
        <f>ROUND((D85*E85*F85),2)</f>
        <v>635980.80000000005</v>
      </c>
      <c r="H85" s="275">
        <v>59</v>
      </c>
      <c r="I85" s="505"/>
      <c r="J85" s="26"/>
      <c r="K85" s="271"/>
      <c r="L85" s="26"/>
    </row>
    <row r="86" spans="1:13" s="1" customFormat="1" ht="27" customHeight="1" x14ac:dyDescent="0.25">
      <c r="A86" s="27"/>
      <c r="B86" s="49" t="s">
        <v>106</v>
      </c>
      <c r="C86" s="50" t="s">
        <v>40</v>
      </c>
      <c r="D86" s="67">
        <f>257+14</f>
        <v>271</v>
      </c>
      <c r="E86" s="81">
        <v>135.19999999999999</v>
      </c>
      <c r="F86" s="50">
        <v>12</v>
      </c>
      <c r="G86" s="68">
        <f t="shared" si="7"/>
        <v>439670.4</v>
      </c>
      <c r="H86" s="278">
        <v>59</v>
      </c>
      <c r="I86" s="505"/>
      <c r="J86" s="26"/>
      <c r="K86" s="271"/>
      <c r="L86" s="26"/>
    </row>
    <row r="87" spans="1:13" s="1" customFormat="1" ht="25.5" customHeight="1" x14ac:dyDescent="0.25">
      <c r="A87" s="27"/>
      <c r="B87" s="49" t="s">
        <v>367</v>
      </c>
      <c r="C87" s="50" t="s">
        <v>40</v>
      </c>
      <c r="D87" s="67">
        <v>129</v>
      </c>
      <c r="E87" s="81">
        <v>32.450000000000003</v>
      </c>
      <c r="F87" s="50">
        <v>12</v>
      </c>
      <c r="G87" s="68">
        <f t="shared" si="7"/>
        <v>50232.6</v>
      </c>
      <c r="H87" s="278" t="s">
        <v>108</v>
      </c>
      <c r="I87" s="505"/>
      <c r="J87" s="26"/>
      <c r="K87" s="271"/>
      <c r="L87" s="26"/>
    </row>
    <row r="88" spans="1:13" s="1" customFormat="1" ht="21.75" customHeight="1" x14ac:dyDescent="0.25">
      <c r="A88" s="27"/>
      <c r="B88" s="49" t="s">
        <v>109</v>
      </c>
      <c r="C88" s="50" t="s">
        <v>40</v>
      </c>
      <c r="D88" s="51">
        <f>D82</f>
        <v>898</v>
      </c>
      <c r="E88" s="81">
        <f>E84</f>
        <v>135.19999999999999</v>
      </c>
      <c r="F88" s="50">
        <v>16</v>
      </c>
      <c r="G88" s="68">
        <f>ROUND((D88*E88*F88),2)</f>
        <v>1942553.6000000001</v>
      </c>
      <c r="H88" s="278">
        <v>59</v>
      </c>
      <c r="I88" s="505"/>
      <c r="J88" s="25"/>
      <c r="K88" s="271"/>
      <c r="L88" s="26"/>
    </row>
    <row r="89" spans="1:13" s="1" customFormat="1" ht="21.75" customHeight="1" x14ac:dyDescent="0.25">
      <c r="A89" s="27"/>
      <c r="B89" s="49" t="s">
        <v>368</v>
      </c>
      <c r="C89" s="50" t="s">
        <v>40</v>
      </c>
      <c r="D89" s="51">
        <f>D83</f>
        <v>1582</v>
      </c>
      <c r="E89" s="81">
        <v>32.450000000000003</v>
      </c>
      <c r="F89" s="50">
        <v>16</v>
      </c>
      <c r="G89" s="68">
        <f>ROUND((D89*E89*F89),2)</f>
        <v>821374.4</v>
      </c>
      <c r="H89" s="278" t="s">
        <v>108</v>
      </c>
      <c r="I89" s="505"/>
      <c r="J89" s="25"/>
      <c r="K89" s="271"/>
      <c r="L89" s="26"/>
    </row>
    <row r="90" spans="1:13" s="1" customFormat="1" ht="21" customHeight="1" x14ac:dyDescent="0.25">
      <c r="A90" s="27"/>
      <c r="B90" s="46" t="s">
        <v>110</v>
      </c>
      <c r="C90" s="14" t="s">
        <v>40</v>
      </c>
      <c r="D90" s="58">
        <v>192</v>
      </c>
      <c r="E90" s="59">
        <v>38.049999999999997</v>
      </c>
      <c r="F90" s="30">
        <v>1</v>
      </c>
      <c r="G90" s="62">
        <f t="shared" si="7"/>
        <v>7305.6</v>
      </c>
      <c r="H90" s="275">
        <v>62</v>
      </c>
      <c r="I90" s="505"/>
      <c r="J90" s="26"/>
      <c r="K90" s="271"/>
      <c r="L90" s="26"/>
      <c r="M90" s="3"/>
    </row>
    <row r="91" spans="1:13" s="1" customFormat="1" ht="21" customHeight="1" x14ac:dyDescent="0.25">
      <c r="A91" s="27"/>
      <c r="B91" s="46" t="s">
        <v>114</v>
      </c>
      <c r="C91" s="14" t="s">
        <v>40</v>
      </c>
      <c r="D91" s="33">
        <f>D81</f>
        <v>294</v>
      </c>
      <c r="E91" s="59">
        <v>38.049999999999997</v>
      </c>
      <c r="F91" s="30">
        <v>4</v>
      </c>
      <c r="G91" s="62">
        <f>ROUND((D91*E91*F91),2)</f>
        <v>44746.8</v>
      </c>
      <c r="H91" s="275">
        <v>62</v>
      </c>
      <c r="I91" s="505"/>
      <c r="J91" s="26"/>
      <c r="K91" s="271"/>
      <c r="L91" s="26"/>
      <c r="M91" s="3"/>
    </row>
    <row r="92" spans="1:13" s="1" customFormat="1" ht="28.5" customHeight="1" x14ac:dyDescent="0.25">
      <c r="A92" s="27"/>
      <c r="B92" s="49" t="s">
        <v>111</v>
      </c>
      <c r="C92" s="50" t="s">
        <v>40</v>
      </c>
      <c r="D92" s="67">
        <f>257+14</f>
        <v>271</v>
      </c>
      <c r="E92" s="224">
        <f>E90</f>
        <v>38.049999999999997</v>
      </c>
      <c r="F92" s="55">
        <v>2</v>
      </c>
      <c r="G92" s="68">
        <f t="shared" si="7"/>
        <v>20623.099999999999</v>
      </c>
      <c r="H92" s="278">
        <v>62</v>
      </c>
      <c r="I92" s="505"/>
      <c r="J92" s="26"/>
      <c r="K92" s="271"/>
      <c r="L92" s="26"/>
      <c r="M92" s="3"/>
    </row>
    <row r="93" spans="1:13" s="1" customFormat="1" ht="21" customHeight="1" x14ac:dyDescent="0.25">
      <c r="A93" s="27"/>
      <c r="B93" s="49" t="s">
        <v>112</v>
      </c>
      <c r="C93" s="50" t="s">
        <v>40</v>
      </c>
      <c r="D93" s="67">
        <v>129</v>
      </c>
      <c r="E93" s="224">
        <v>10.4</v>
      </c>
      <c r="F93" s="55">
        <v>2</v>
      </c>
      <c r="G93" s="68">
        <f t="shared" si="7"/>
        <v>2683.2</v>
      </c>
      <c r="H93" s="278" t="s">
        <v>113</v>
      </c>
      <c r="I93" s="505"/>
      <c r="J93" s="26"/>
      <c r="K93" s="271"/>
      <c r="L93" s="26"/>
      <c r="M93" s="3"/>
    </row>
    <row r="94" spans="1:13" s="1" customFormat="1" ht="21" customHeight="1" x14ac:dyDescent="0.25">
      <c r="A94" s="27"/>
      <c r="B94" s="49" t="s">
        <v>114</v>
      </c>
      <c r="C94" s="50" t="s">
        <v>40</v>
      </c>
      <c r="D94" s="51">
        <f>D88</f>
        <v>898</v>
      </c>
      <c r="E94" s="224">
        <f>E92</f>
        <v>38.049999999999997</v>
      </c>
      <c r="F94" s="55">
        <v>4</v>
      </c>
      <c r="G94" s="68">
        <f t="shared" si="7"/>
        <v>136675.6</v>
      </c>
      <c r="H94" s="278">
        <v>62</v>
      </c>
      <c r="I94" s="505"/>
      <c r="J94" s="25"/>
      <c r="K94" s="271"/>
      <c r="L94" s="26"/>
    </row>
    <row r="95" spans="1:13" s="1" customFormat="1" ht="21" customHeight="1" x14ac:dyDescent="0.25">
      <c r="A95" s="27"/>
      <c r="B95" s="49" t="s">
        <v>369</v>
      </c>
      <c r="C95" s="50" t="s">
        <v>40</v>
      </c>
      <c r="D95" s="51">
        <f>D89</f>
        <v>1582</v>
      </c>
      <c r="E95" s="224">
        <v>10.4</v>
      </c>
      <c r="F95" s="55">
        <v>4</v>
      </c>
      <c r="G95" s="68">
        <f t="shared" si="7"/>
        <v>65811.199999999997</v>
      </c>
      <c r="H95" s="278" t="s">
        <v>113</v>
      </c>
      <c r="I95" s="505"/>
      <c r="J95" s="25"/>
      <c r="K95" s="271"/>
      <c r="L95" s="26"/>
    </row>
    <row r="96" spans="1:13" s="1" customFormat="1" ht="21.75" customHeight="1" x14ac:dyDescent="0.25">
      <c r="A96" s="27"/>
      <c r="B96" s="32" t="s">
        <v>118</v>
      </c>
      <c r="C96" s="63" t="s">
        <v>40</v>
      </c>
      <c r="D96" s="6">
        <f>D85</f>
        <v>294</v>
      </c>
      <c r="E96" s="64">
        <v>163</v>
      </c>
      <c r="F96" s="69">
        <v>2</v>
      </c>
      <c r="G96" s="35">
        <f>ROUND((D96*E96*F96),2)</f>
        <v>95844</v>
      </c>
      <c r="H96" s="277">
        <v>68</v>
      </c>
      <c r="I96" s="505"/>
      <c r="J96" s="70"/>
      <c r="K96" s="271"/>
      <c r="L96" s="26"/>
      <c r="M96" s="3"/>
    </row>
    <row r="97" spans="1:13" s="1" customFormat="1" ht="32.25" customHeight="1" x14ac:dyDescent="0.25">
      <c r="A97" s="27"/>
      <c r="B97" s="49" t="s">
        <v>115</v>
      </c>
      <c r="C97" s="50" t="s">
        <v>40</v>
      </c>
      <c r="D97" s="67">
        <f>D86</f>
        <v>271</v>
      </c>
      <c r="E97" s="224">
        <v>163</v>
      </c>
      <c r="F97" s="55">
        <v>1</v>
      </c>
      <c r="G97" s="68">
        <f t="shared" si="7"/>
        <v>44173</v>
      </c>
      <c r="H97" s="278">
        <v>68</v>
      </c>
      <c r="I97" s="505"/>
      <c r="J97" s="70"/>
      <c r="K97" s="271"/>
      <c r="L97" s="26"/>
      <c r="M97" s="3"/>
    </row>
    <row r="98" spans="1:13" s="1" customFormat="1" ht="23.25" customHeight="1" x14ac:dyDescent="0.25">
      <c r="A98" s="27"/>
      <c r="B98" s="49" t="s">
        <v>116</v>
      </c>
      <c r="C98" s="50" t="s">
        <v>40</v>
      </c>
      <c r="D98" s="67">
        <f>D87</f>
        <v>129</v>
      </c>
      <c r="E98" s="224">
        <v>60.68</v>
      </c>
      <c r="F98" s="55">
        <v>1</v>
      </c>
      <c r="G98" s="68">
        <f t="shared" si="7"/>
        <v>7827.72</v>
      </c>
      <c r="H98" s="278" t="s">
        <v>117</v>
      </c>
      <c r="I98" s="505"/>
      <c r="J98" s="70"/>
      <c r="K98" s="271"/>
      <c r="L98" s="26"/>
      <c r="M98" s="3"/>
    </row>
    <row r="99" spans="1:13" s="1" customFormat="1" ht="22.5" customHeight="1" x14ac:dyDescent="0.25">
      <c r="A99" s="27"/>
      <c r="B99" s="49" t="s">
        <v>118</v>
      </c>
      <c r="C99" s="50" t="s">
        <v>40</v>
      </c>
      <c r="D99" s="51">
        <f>D88</f>
        <v>898</v>
      </c>
      <c r="E99" s="224">
        <f>E97</f>
        <v>163</v>
      </c>
      <c r="F99" s="55">
        <v>2</v>
      </c>
      <c r="G99" s="68">
        <f t="shared" si="7"/>
        <v>292748</v>
      </c>
      <c r="H99" s="278">
        <v>68</v>
      </c>
      <c r="I99" s="505"/>
      <c r="J99" s="25"/>
      <c r="K99" s="271"/>
      <c r="L99" s="26"/>
    </row>
    <row r="100" spans="1:13" s="1" customFormat="1" ht="22.5" customHeight="1" x14ac:dyDescent="0.25">
      <c r="A100" s="27"/>
      <c r="B100" s="49" t="s">
        <v>370</v>
      </c>
      <c r="C100" s="50" t="s">
        <v>40</v>
      </c>
      <c r="D100" s="51">
        <f>D89</f>
        <v>1582</v>
      </c>
      <c r="E100" s="224">
        <v>60.68</v>
      </c>
      <c r="F100" s="55">
        <v>2</v>
      </c>
      <c r="G100" s="68">
        <f t="shared" si="7"/>
        <v>191991.52</v>
      </c>
      <c r="H100" s="278" t="s">
        <v>117</v>
      </c>
      <c r="I100" s="505"/>
      <c r="J100" s="25"/>
      <c r="K100" s="271"/>
      <c r="L100" s="26"/>
    </row>
    <row r="101" spans="1:13" s="1" customFormat="1" ht="21" customHeight="1" x14ac:dyDescent="0.25">
      <c r="A101" s="27" t="s">
        <v>119</v>
      </c>
      <c r="B101" s="44" t="s">
        <v>45</v>
      </c>
      <c r="C101" s="45" t="s">
        <v>40</v>
      </c>
      <c r="D101" s="29">
        <f>D103+D105</f>
        <v>2784</v>
      </c>
      <c r="E101" s="2"/>
      <c r="F101" s="45"/>
      <c r="G101" s="31">
        <f>SUM(G102:G107)</f>
        <v>1175801.8600000001</v>
      </c>
      <c r="H101" s="275"/>
      <c r="I101" s="505"/>
      <c r="J101" s="26"/>
      <c r="K101" s="271"/>
      <c r="L101" s="26"/>
    </row>
    <row r="102" spans="1:13" s="1" customFormat="1" ht="18" customHeight="1" x14ac:dyDescent="0.25">
      <c r="A102" s="27"/>
      <c r="B102" s="46" t="s">
        <v>46</v>
      </c>
      <c r="C102" s="14" t="s">
        <v>40</v>
      </c>
      <c r="D102" s="33">
        <f>1247+1400</f>
        <v>2647</v>
      </c>
      <c r="E102" s="48">
        <v>8.1999999999999993</v>
      </c>
      <c r="F102" s="14">
        <v>1</v>
      </c>
      <c r="G102" s="47">
        <f t="shared" ref="G102:G107" si="8">ROUND((D102*E102*F102),2)</f>
        <v>21705.4</v>
      </c>
      <c r="H102" s="275">
        <v>57</v>
      </c>
      <c r="I102" s="505"/>
      <c r="J102" s="25"/>
      <c r="K102" s="271"/>
      <c r="L102" s="26"/>
    </row>
    <row r="103" spans="1:13" s="1" customFormat="1" ht="21" customHeight="1" x14ac:dyDescent="0.25">
      <c r="A103" s="27"/>
      <c r="B103" s="46" t="s">
        <v>47</v>
      </c>
      <c r="C103" s="14" t="s">
        <v>40</v>
      </c>
      <c r="D103" s="58">
        <v>137</v>
      </c>
      <c r="E103" s="59">
        <v>21.63</v>
      </c>
      <c r="F103" s="14">
        <v>6</v>
      </c>
      <c r="G103" s="62">
        <f t="shared" si="8"/>
        <v>17779.86</v>
      </c>
      <c r="H103" s="275">
        <v>60</v>
      </c>
      <c r="I103" s="505"/>
      <c r="J103" s="26"/>
      <c r="K103" s="271"/>
      <c r="L103" s="26"/>
    </row>
    <row r="104" spans="1:13" s="1" customFormat="1" ht="21" customHeight="1" x14ac:dyDescent="0.25">
      <c r="A104" s="27"/>
      <c r="B104" s="46" t="s">
        <v>122</v>
      </c>
      <c r="C104" s="14" t="s">
        <v>40</v>
      </c>
      <c r="D104" s="58">
        <v>137</v>
      </c>
      <c r="E104" s="59">
        <v>6.66</v>
      </c>
      <c r="F104" s="30">
        <v>1</v>
      </c>
      <c r="G104" s="62">
        <f t="shared" si="8"/>
        <v>912.42</v>
      </c>
      <c r="H104" s="275">
        <v>63</v>
      </c>
      <c r="I104" s="505"/>
      <c r="J104" s="26"/>
      <c r="K104" s="271"/>
      <c r="L104" s="26"/>
      <c r="M104" s="3"/>
    </row>
    <row r="105" spans="1:13" s="1" customFormat="1" ht="21" customHeight="1" x14ac:dyDescent="0.25">
      <c r="A105" s="27"/>
      <c r="B105" s="46" t="s">
        <v>121</v>
      </c>
      <c r="C105" s="14" t="s">
        <v>40</v>
      </c>
      <c r="D105" s="33">
        <f>D102</f>
        <v>2647</v>
      </c>
      <c r="E105" s="59">
        <f>E103</f>
        <v>21.63</v>
      </c>
      <c r="F105" s="14">
        <v>16</v>
      </c>
      <c r="G105" s="62">
        <f t="shared" si="8"/>
        <v>916073.76</v>
      </c>
      <c r="H105" s="275">
        <v>60</v>
      </c>
      <c r="I105" s="505"/>
      <c r="J105" s="25"/>
      <c r="K105" s="271"/>
      <c r="L105" s="26"/>
    </row>
    <row r="106" spans="1:13" s="1" customFormat="1" ht="21" customHeight="1" x14ac:dyDescent="0.25">
      <c r="A106" s="27"/>
      <c r="B106" s="46" t="s">
        <v>123</v>
      </c>
      <c r="C106" s="14" t="s">
        <v>40</v>
      </c>
      <c r="D106" s="33">
        <f>D105</f>
        <v>2647</v>
      </c>
      <c r="E106" s="59">
        <f>E104</f>
        <v>6.66</v>
      </c>
      <c r="F106" s="30">
        <v>4</v>
      </c>
      <c r="G106" s="62">
        <f t="shared" si="8"/>
        <v>70516.08</v>
      </c>
      <c r="H106" s="275">
        <v>63</v>
      </c>
      <c r="I106" s="505"/>
      <c r="J106" s="25"/>
      <c r="K106" s="271"/>
      <c r="L106" s="26"/>
    </row>
    <row r="107" spans="1:13" s="1" customFormat="1" ht="21" customHeight="1" x14ac:dyDescent="0.25">
      <c r="A107" s="27"/>
      <c r="B107" s="46" t="s">
        <v>124</v>
      </c>
      <c r="C107" s="14" t="s">
        <v>40</v>
      </c>
      <c r="D107" s="33">
        <f>D106</f>
        <v>2647</v>
      </c>
      <c r="E107" s="59">
        <v>28.11</v>
      </c>
      <c r="F107" s="30">
        <v>2</v>
      </c>
      <c r="G107" s="62">
        <f t="shared" si="8"/>
        <v>148814.34</v>
      </c>
      <c r="H107" s="275">
        <v>69</v>
      </c>
      <c r="I107" s="505"/>
      <c r="J107" s="25"/>
      <c r="K107" s="271"/>
      <c r="L107" s="26"/>
    </row>
    <row r="108" spans="1:13" s="1" customFormat="1" ht="21" customHeight="1" x14ac:dyDescent="0.25">
      <c r="A108" s="27" t="s">
        <v>125</v>
      </c>
      <c r="B108" s="44" t="s">
        <v>126</v>
      </c>
      <c r="C108" s="14" t="s">
        <v>54</v>
      </c>
      <c r="D108" s="29">
        <f>D111+D112+D113</f>
        <v>2421</v>
      </c>
      <c r="E108" s="2"/>
      <c r="F108" s="45"/>
      <c r="G108" s="31">
        <f>SUM(G109:G120)</f>
        <v>1663645.5699999998</v>
      </c>
      <c r="H108" s="275"/>
      <c r="I108" s="505"/>
      <c r="J108" s="26"/>
      <c r="K108" s="271"/>
      <c r="L108" s="26"/>
    </row>
    <row r="109" spans="1:13" s="1" customFormat="1" ht="18" customHeight="1" x14ac:dyDescent="0.25">
      <c r="A109" s="27"/>
      <c r="B109" s="49" t="s">
        <v>53</v>
      </c>
      <c r="C109" s="50" t="s">
        <v>54</v>
      </c>
      <c r="D109" s="51">
        <v>766</v>
      </c>
      <c r="E109" s="81">
        <v>17.75</v>
      </c>
      <c r="F109" s="50">
        <v>1</v>
      </c>
      <c r="G109" s="53">
        <f t="shared" ref="G109:G120" si="9">ROUND((D109*E109*F109),2)</f>
        <v>13596.5</v>
      </c>
      <c r="H109" s="278">
        <v>58</v>
      </c>
      <c r="I109" s="505"/>
      <c r="J109" s="26"/>
      <c r="K109" s="271"/>
      <c r="L109" s="26"/>
    </row>
    <row r="110" spans="1:13" s="1" customFormat="1" ht="18" customHeight="1" x14ac:dyDescent="0.25">
      <c r="A110" s="27"/>
      <c r="B110" s="32" t="s">
        <v>53</v>
      </c>
      <c r="C110" s="63" t="s">
        <v>54</v>
      </c>
      <c r="D110" s="7">
        <f>355+1250</f>
        <v>1605</v>
      </c>
      <c r="E110" s="34">
        <v>17.75</v>
      </c>
      <c r="F110" s="63">
        <v>1</v>
      </c>
      <c r="G110" s="60">
        <f>ROUND((D110*E110*F110),2)</f>
        <v>28488.75</v>
      </c>
      <c r="H110" s="277">
        <v>58</v>
      </c>
      <c r="I110" s="505"/>
      <c r="J110" s="25"/>
      <c r="K110" s="271"/>
      <c r="L110" s="26"/>
    </row>
    <row r="111" spans="1:13" s="1" customFormat="1" ht="20.25" customHeight="1" x14ac:dyDescent="0.25">
      <c r="A111" s="27"/>
      <c r="B111" s="46" t="s">
        <v>55</v>
      </c>
      <c r="C111" s="14" t="s">
        <v>54</v>
      </c>
      <c r="D111" s="58">
        <v>50</v>
      </c>
      <c r="E111" s="59">
        <v>32.450000000000003</v>
      </c>
      <c r="F111" s="14">
        <v>6</v>
      </c>
      <c r="G111" s="62">
        <f t="shared" si="9"/>
        <v>9735</v>
      </c>
      <c r="H111" s="275">
        <v>61</v>
      </c>
      <c r="I111" s="505"/>
      <c r="J111" s="26"/>
      <c r="K111" s="271"/>
      <c r="L111" s="26"/>
    </row>
    <row r="112" spans="1:13" s="1" customFormat="1" ht="20.25" customHeight="1" x14ac:dyDescent="0.25">
      <c r="A112" s="27"/>
      <c r="B112" s="49" t="s">
        <v>127</v>
      </c>
      <c r="C112" s="50" t="s">
        <v>54</v>
      </c>
      <c r="D112" s="67">
        <v>766</v>
      </c>
      <c r="E112" s="224">
        <f>E111</f>
        <v>32.450000000000003</v>
      </c>
      <c r="F112" s="50">
        <v>12</v>
      </c>
      <c r="G112" s="68">
        <f t="shared" si="9"/>
        <v>298280.40000000002</v>
      </c>
      <c r="H112" s="278">
        <v>61</v>
      </c>
      <c r="I112" s="505"/>
      <c r="J112" s="26"/>
      <c r="K112" s="271"/>
      <c r="L112" s="26"/>
    </row>
    <row r="113" spans="1:13" s="1" customFormat="1" ht="20.25" customHeight="1" x14ac:dyDescent="0.25">
      <c r="A113" s="27"/>
      <c r="B113" s="46" t="s">
        <v>371</v>
      </c>
      <c r="C113" s="14" t="s">
        <v>54</v>
      </c>
      <c r="D113" s="33">
        <f>D110</f>
        <v>1605</v>
      </c>
      <c r="E113" s="59">
        <v>32.450000000000003</v>
      </c>
      <c r="F113" s="14">
        <v>16</v>
      </c>
      <c r="G113" s="62">
        <f>ROUND((D113*E113*F113),2)</f>
        <v>833316</v>
      </c>
      <c r="H113" s="275">
        <v>61</v>
      </c>
      <c r="I113" s="505"/>
      <c r="J113" s="25"/>
      <c r="K113" s="271"/>
      <c r="L113" s="26"/>
    </row>
    <row r="114" spans="1:13" s="1" customFormat="1" ht="18" customHeight="1" x14ac:dyDescent="0.25">
      <c r="A114" s="27"/>
      <c r="B114" s="46" t="s">
        <v>129</v>
      </c>
      <c r="C114" s="14" t="s">
        <v>54</v>
      </c>
      <c r="D114" s="33">
        <v>50</v>
      </c>
      <c r="E114" s="59">
        <v>18.399999999999999</v>
      </c>
      <c r="F114" s="30">
        <v>1</v>
      </c>
      <c r="G114" s="62">
        <f t="shared" si="9"/>
        <v>920</v>
      </c>
      <c r="H114" s="275">
        <v>64</v>
      </c>
      <c r="I114" s="505"/>
      <c r="J114" s="26"/>
      <c r="K114" s="271"/>
      <c r="L114" s="26"/>
      <c r="M114" s="3"/>
    </row>
    <row r="115" spans="1:13" s="1" customFormat="1" ht="18" customHeight="1" x14ac:dyDescent="0.25">
      <c r="A115" s="27"/>
      <c r="B115" s="46" t="s">
        <v>131</v>
      </c>
      <c r="C115" s="14" t="s">
        <v>54</v>
      </c>
      <c r="D115" s="33">
        <f>D113</f>
        <v>1605</v>
      </c>
      <c r="E115" s="59">
        <v>18.399999999999999</v>
      </c>
      <c r="F115" s="30">
        <v>4</v>
      </c>
      <c r="G115" s="62">
        <f t="shared" si="9"/>
        <v>118128</v>
      </c>
      <c r="H115" s="275">
        <v>64</v>
      </c>
      <c r="I115" s="505"/>
      <c r="J115" s="25"/>
      <c r="K115" s="271"/>
      <c r="L115" s="26"/>
    </row>
    <row r="116" spans="1:13" s="1" customFormat="1" ht="18.75" customHeight="1" x14ac:dyDescent="0.25">
      <c r="A116" s="27"/>
      <c r="B116" s="49" t="s">
        <v>130</v>
      </c>
      <c r="C116" s="50" t="s">
        <v>54</v>
      </c>
      <c r="D116" s="51">
        <v>766</v>
      </c>
      <c r="E116" s="224">
        <f>E114</f>
        <v>18.399999999999999</v>
      </c>
      <c r="F116" s="55">
        <v>2</v>
      </c>
      <c r="G116" s="68">
        <f t="shared" si="9"/>
        <v>28188.799999999999</v>
      </c>
      <c r="H116" s="278">
        <v>64</v>
      </c>
      <c r="I116" s="505"/>
      <c r="J116" s="26"/>
      <c r="K116" s="271"/>
      <c r="L116" s="26"/>
      <c r="M116" s="3"/>
    </row>
    <row r="117" spans="1:13" s="1" customFormat="1" ht="21" customHeight="1" x14ac:dyDescent="0.25">
      <c r="A117" s="27"/>
      <c r="B117" s="49" t="s">
        <v>132</v>
      </c>
      <c r="C117" s="50" t="s">
        <v>40</v>
      </c>
      <c r="D117" s="51">
        <f>D109</f>
        <v>766</v>
      </c>
      <c r="E117" s="224">
        <v>66.87</v>
      </c>
      <c r="F117" s="55">
        <v>1</v>
      </c>
      <c r="G117" s="68">
        <f t="shared" si="9"/>
        <v>51222.42</v>
      </c>
      <c r="H117" s="278">
        <v>70</v>
      </c>
      <c r="I117" s="505"/>
      <c r="J117" s="70"/>
      <c r="K117" s="271"/>
      <c r="L117" s="26"/>
      <c r="M117" s="3"/>
    </row>
    <row r="118" spans="1:13" s="1" customFormat="1" ht="21" customHeight="1" x14ac:dyDescent="0.25">
      <c r="A118" s="27"/>
      <c r="B118" s="32" t="s">
        <v>133</v>
      </c>
      <c r="C118" s="63" t="s">
        <v>54</v>
      </c>
      <c r="D118" s="7">
        <f>D115</f>
        <v>1605</v>
      </c>
      <c r="E118" s="64">
        <v>66.87</v>
      </c>
      <c r="F118" s="69">
        <v>2</v>
      </c>
      <c r="G118" s="35">
        <f t="shared" si="9"/>
        <v>214652.7</v>
      </c>
      <c r="H118" s="277">
        <v>70</v>
      </c>
      <c r="I118" s="505"/>
      <c r="J118" s="25"/>
      <c r="K118" s="271"/>
      <c r="L118" s="26"/>
    </row>
    <row r="119" spans="1:13" s="1" customFormat="1" ht="21" customHeight="1" x14ac:dyDescent="0.25">
      <c r="A119" s="71"/>
      <c r="B119" s="225" t="s">
        <v>61</v>
      </c>
      <c r="C119" s="63" t="s">
        <v>54</v>
      </c>
      <c r="D119" s="226">
        <v>900</v>
      </c>
      <c r="E119" s="227">
        <v>26.55</v>
      </c>
      <c r="F119" s="228">
        <v>2</v>
      </c>
      <c r="G119" s="35">
        <f t="shared" si="9"/>
        <v>47790</v>
      </c>
      <c r="H119" s="277">
        <v>41</v>
      </c>
      <c r="I119" s="505"/>
      <c r="J119" s="25"/>
      <c r="K119" s="271"/>
      <c r="L119" s="26"/>
    </row>
    <row r="120" spans="1:13" s="1" customFormat="1" ht="28.5" customHeight="1" x14ac:dyDescent="0.25">
      <c r="A120" s="71"/>
      <c r="B120" s="225" t="s">
        <v>134</v>
      </c>
      <c r="C120" s="63" t="s">
        <v>54</v>
      </c>
      <c r="D120" s="226">
        <v>350</v>
      </c>
      <c r="E120" s="227">
        <v>27.61</v>
      </c>
      <c r="F120" s="228">
        <v>2</v>
      </c>
      <c r="G120" s="35">
        <f t="shared" si="9"/>
        <v>19327</v>
      </c>
      <c r="H120" s="277">
        <v>44</v>
      </c>
      <c r="I120" s="505"/>
      <c r="J120" s="25"/>
      <c r="K120" s="271"/>
      <c r="L120" s="26"/>
    </row>
    <row r="121" spans="1:13" s="1" customFormat="1" ht="15.75" x14ac:dyDescent="0.25">
      <c r="A121" s="71" t="s">
        <v>135</v>
      </c>
      <c r="B121" s="76" t="s">
        <v>372</v>
      </c>
      <c r="C121" s="77" t="s">
        <v>23</v>
      </c>
      <c r="D121" s="78">
        <f>D122+D124+D125+D126+D127+D128+D129+D130</f>
        <v>129163</v>
      </c>
      <c r="E121" s="79"/>
      <c r="F121" s="78"/>
      <c r="G121" s="80">
        <f>SUM(G122:G130)</f>
        <v>21233361.359999999</v>
      </c>
      <c r="H121" s="275"/>
      <c r="I121" s="286"/>
      <c r="J121" s="26"/>
      <c r="K121" s="271"/>
      <c r="L121" s="26"/>
    </row>
    <row r="122" spans="1:13" s="1" customFormat="1" ht="21" customHeight="1" x14ac:dyDescent="0.25">
      <c r="A122" s="27"/>
      <c r="B122" s="46" t="s">
        <v>373</v>
      </c>
      <c r="C122" s="14" t="s">
        <v>23</v>
      </c>
      <c r="D122" s="33">
        <f>40422+80</f>
        <v>40502</v>
      </c>
      <c r="E122" s="43">
        <v>5.92</v>
      </c>
      <c r="F122" s="14">
        <v>2</v>
      </c>
      <c r="G122" s="62">
        <f t="shared" ref="G122:G130" si="10">ROUND((D122*E122*F122),2)</f>
        <v>479543.68</v>
      </c>
      <c r="H122" s="275">
        <v>54</v>
      </c>
      <c r="I122" s="505" t="s">
        <v>169</v>
      </c>
      <c r="J122" s="26"/>
      <c r="K122" s="271"/>
      <c r="L122" s="26"/>
    </row>
    <row r="123" spans="1:13" s="1" customFormat="1" ht="21" customHeight="1" x14ac:dyDescent="0.25">
      <c r="A123" s="27"/>
      <c r="B123" s="32" t="s">
        <v>30</v>
      </c>
      <c r="C123" s="14" t="s">
        <v>23</v>
      </c>
      <c r="D123" s="33">
        <f>D122</f>
        <v>40502</v>
      </c>
      <c r="E123" s="43">
        <v>3.61</v>
      </c>
      <c r="F123" s="30">
        <v>1</v>
      </c>
      <c r="G123" s="35">
        <f t="shared" si="10"/>
        <v>146212.22</v>
      </c>
      <c r="H123" s="275" t="s">
        <v>31</v>
      </c>
      <c r="I123" s="505"/>
      <c r="J123" s="26"/>
      <c r="K123" s="271"/>
      <c r="L123" s="26"/>
    </row>
    <row r="124" spans="1:13" s="1" customFormat="1" ht="20.25" customHeight="1" x14ac:dyDescent="0.25">
      <c r="A124" s="27"/>
      <c r="B124" s="46" t="s">
        <v>374</v>
      </c>
      <c r="C124" s="14" t="s">
        <v>23</v>
      </c>
      <c r="D124" s="33">
        <v>2500</v>
      </c>
      <c r="E124" s="43">
        <f>E122</f>
        <v>5.92</v>
      </c>
      <c r="F124" s="14">
        <v>5</v>
      </c>
      <c r="G124" s="62">
        <f t="shared" si="10"/>
        <v>74000</v>
      </c>
      <c r="H124" s="275">
        <v>54</v>
      </c>
      <c r="I124" s="505"/>
      <c r="J124" s="26"/>
      <c r="K124" s="271"/>
      <c r="L124" s="26"/>
    </row>
    <row r="125" spans="1:13" s="1" customFormat="1" ht="20.25" customHeight="1" x14ac:dyDescent="0.25">
      <c r="A125" s="27"/>
      <c r="B125" s="49" t="s">
        <v>139</v>
      </c>
      <c r="C125" s="50" t="s">
        <v>23</v>
      </c>
      <c r="D125" s="51">
        <v>4662</v>
      </c>
      <c r="E125" s="81">
        <v>37.57</v>
      </c>
      <c r="F125" s="50">
        <v>6</v>
      </c>
      <c r="G125" s="68">
        <f t="shared" si="10"/>
        <v>1050908.04</v>
      </c>
      <c r="H125" s="278">
        <v>129</v>
      </c>
      <c r="I125" s="505"/>
      <c r="J125" s="70"/>
      <c r="K125" s="271"/>
      <c r="L125" s="26"/>
    </row>
    <row r="126" spans="1:13" s="1" customFormat="1" ht="20.25" customHeight="1" x14ac:dyDescent="0.25">
      <c r="A126" s="27"/>
      <c r="B126" s="32" t="s">
        <v>139</v>
      </c>
      <c r="C126" s="63" t="s">
        <v>23</v>
      </c>
      <c r="D126" s="7">
        <f>13057+17398</f>
        <v>30455</v>
      </c>
      <c r="E126" s="34">
        <v>37.57</v>
      </c>
      <c r="F126" s="63">
        <v>6</v>
      </c>
      <c r="G126" s="35">
        <f t="shared" si="10"/>
        <v>6865166.0999999996</v>
      </c>
      <c r="H126" s="277">
        <v>129</v>
      </c>
      <c r="I126" s="505"/>
      <c r="J126" s="25"/>
      <c r="K126" s="271"/>
      <c r="L126" s="26"/>
    </row>
    <row r="127" spans="1:13" s="1" customFormat="1" ht="20.25" customHeight="1" x14ac:dyDescent="0.25">
      <c r="A127" s="27"/>
      <c r="B127" s="49" t="s">
        <v>139</v>
      </c>
      <c r="C127" s="50" t="s">
        <v>23</v>
      </c>
      <c r="D127" s="51">
        <v>47926</v>
      </c>
      <c r="E127" s="81">
        <v>37.57</v>
      </c>
      <c r="F127" s="50">
        <v>6</v>
      </c>
      <c r="G127" s="68">
        <f t="shared" si="10"/>
        <v>10803478.92</v>
      </c>
      <c r="H127" s="278">
        <v>129</v>
      </c>
      <c r="I127" s="505"/>
      <c r="J127" s="70"/>
      <c r="K127" s="271"/>
      <c r="L127" s="26"/>
    </row>
    <row r="128" spans="1:13" s="1" customFormat="1" ht="20.25" customHeight="1" x14ac:dyDescent="0.25">
      <c r="A128" s="27"/>
      <c r="B128" s="49" t="s">
        <v>143</v>
      </c>
      <c r="C128" s="50" t="s">
        <v>23</v>
      </c>
      <c r="D128" s="51">
        <v>223</v>
      </c>
      <c r="E128" s="81">
        <v>116.36</v>
      </c>
      <c r="F128" s="50">
        <v>5</v>
      </c>
      <c r="G128" s="68">
        <f t="shared" si="10"/>
        <v>129741.4</v>
      </c>
      <c r="H128" s="278">
        <v>66</v>
      </c>
      <c r="I128" s="505" t="s">
        <v>211</v>
      </c>
      <c r="J128" s="70"/>
      <c r="K128" s="271"/>
      <c r="L128" s="26"/>
    </row>
    <row r="129" spans="1:13" s="1" customFormat="1" ht="20.25" customHeight="1" x14ac:dyDescent="0.25">
      <c r="A129" s="27"/>
      <c r="B129" s="32" t="s">
        <v>143</v>
      </c>
      <c r="C129" s="63" t="s">
        <v>23</v>
      </c>
      <c r="D129" s="7">
        <f>1250+1500</f>
        <v>2750</v>
      </c>
      <c r="E129" s="34">
        <v>116.36</v>
      </c>
      <c r="F129" s="63">
        <v>5</v>
      </c>
      <c r="G129" s="35">
        <f t="shared" si="10"/>
        <v>1599950</v>
      </c>
      <c r="H129" s="277">
        <v>66</v>
      </c>
      <c r="I129" s="505"/>
      <c r="J129" s="25"/>
      <c r="K129" s="271"/>
      <c r="L129" s="26"/>
    </row>
    <row r="130" spans="1:13" s="1" customFormat="1" ht="20.25" customHeight="1" x14ac:dyDescent="0.25">
      <c r="A130" s="27"/>
      <c r="B130" s="49" t="s">
        <v>143</v>
      </c>
      <c r="C130" s="50" t="s">
        <v>23</v>
      </c>
      <c r="D130" s="51">
        <v>145</v>
      </c>
      <c r="E130" s="81">
        <v>116.36</v>
      </c>
      <c r="F130" s="50">
        <v>5</v>
      </c>
      <c r="G130" s="68">
        <f t="shared" si="10"/>
        <v>84361</v>
      </c>
      <c r="H130" s="278">
        <v>66</v>
      </c>
      <c r="I130" s="505"/>
      <c r="J130" s="70"/>
      <c r="K130" s="271"/>
      <c r="L130" s="26"/>
    </row>
    <row r="131" spans="1:13" s="1" customFormat="1" ht="21" customHeight="1" x14ac:dyDescent="0.25">
      <c r="A131" s="71" t="s">
        <v>141</v>
      </c>
      <c r="B131" s="76" t="s">
        <v>145</v>
      </c>
      <c r="C131" s="77" t="s">
        <v>23</v>
      </c>
      <c r="D131" s="78">
        <f>D132</f>
        <v>40</v>
      </c>
      <c r="E131" s="79"/>
      <c r="F131" s="78"/>
      <c r="G131" s="80">
        <f>G132+G133+G134+G135</f>
        <v>91893.6</v>
      </c>
      <c r="H131" s="275"/>
      <c r="I131" s="505"/>
      <c r="J131" s="26"/>
      <c r="K131" s="271"/>
      <c r="L131" s="26"/>
    </row>
    <row r="132" spans="1:13" s="1" customFormat="1" ht="21" customHeight="1" x14ac:dyDescent="0.25">
      <c r="A132" s="27"/>
      <c r="B132" s="49" t="s">
        <v>146</v>
      </c>
      <c r="C132" s="50" t="s">
        <v>23</v>
      </c>
      <c r="D132" s="51">
        <v>40</v>
      </c>
      <c r="E132" s="81">
        <v>95.39</v>
      </c>
      <c r="F132" s="50">
        <v>1</v>
      </c>
      <c r="G132" s="68">
        <f>ROUND((D132*E132*F132),2)</f>
        <v>3815.6</v>
      </c>
      <c r="H132" s="278">
        <v>125</v>
      </c>
      <c r="I132" s="505"/>
      <c r="J132" s="26"/>
      <c r="K132" s="271"/>
      <c r="L132" s="26"/>
    </row>
    <row r="133" spans="1:13" s="1" customFormat="1" ht="20.25" customHeight="1" x14ac:dyDescent="0.25">
      <c r="A133" s="27"/>
      <c r="B133" s="49" t="s">
        <v>147</v>
      </c>
      <c r="C133" s="50" t="s">
        <v>40</v>
      </c>
      <c r="D133" s="51">
        <v>960</v>
      </c>
      <c r="E133" s="66">
        <v>35</v>
      </c>
      <c r="F133" s="55">
        <v>1</v>
      </c>
      <c r="G133" s="68">
        <f>ROUND((D133*E133*F133),2)</f>
        <v>33600</v>
      </c>
      <c r="H133" s="278">
        <v>126</v>
      </c>
      <c r="I133" s="505"/>
      <c r="J133" s="26"/>
      <c r="K133" s="271"/>
      <c r="L133" s="26"/>
    </row>
    <row r="134" spans="1:13" s="1" customFormat="1" ht="20.25" customHeight="1" x14ac:dyDescent="0.25">
      <c r="A134" s="27"/>
      <c r="B134" s="49" t="s">
        <v>148</v>
      </c>
      <c r="C134" s="50" t="s">
        <v>23</v>
      </c>
      <c r="D134" s="51">
        <v>40</v>
      </c>
      <c r="E134" s="81">
        <f>E128</f>
        <v>116.36</v>
      </c>
      <c r="F134" s="50">
        <v>5</v>
      </c>
      <c r="G134" s="68">
        <f>ROUND((D134*E134*F134),2)</f>
        <v>23272</v>
      </c>
      <c r="H134" s="278">
        <v>66</v>
      </c>
      <c r="I134" s="505"/>
      <c r="J134" s="70"/>
      <c r="K134" s="271"/>
      <c r="L134" s="26"/>
    </row>
    <row r="135" spans="1:13" s="1" customFormat="1" ht="20.25" customHeight="1" x14ac:dyDescent="0.25">
      <c r="A135" s="83"/>
      <c r="B135" s="229" t="s">
        <v>375</v>
      </c>
      <c r="C135" s="230" t="s">
        <v>23</v>
      </c>
      <c r="D135" s="231">
        <v>40</v>
      </c>
      <c r="E135" s="232">
        <v>22.29</v>
      </c>
      <c r="F135" s="230">
        <v>35</v>
      </c>
      <c r="G135" s="68">
        <f>ROUND((D135*E135*F135),2)</f>
        <v>31206</v>
      </c>
      <c r="H135" s="278">
        <v>130</v>
      </c>
      <c r="I135" s="505"/>
      <c r="J135" s="70"/>
      <c r="K135" s="271"/>
      <c r="L135" s="26"/>
    </row>
    <row r="136" spans="1:13" s="1" customFormat="1" ht="15.75" x14ac:dyDescent="0.25">
      <c r="A136" s="83" t="s">
        <v>149</v>
      </c>
      <c r="B136" s="84" t="s">
        <v>150</v>
      </c>
      <c r="C136" s="85" t="s">
        <v>23</v>
      </c>
      <c r="D136" s="86">
        <f>D137+D138</f>
        <v>2121</v>
      </c>
      <c r="E136" s="87"/>
      <c r="F136" s="86"/>
      <c r="G136" s="88">
        <f>SUM(G137:G139)</f>
        <v>1054065.74</v>
      </c>
      <c r="H136" s="275"/>
      <c r="I136" s="505"/>
      <c r="J136" s="26"/>
      <c r="K136" s="271"/>
      <c r="L136" s="26"/>
    </row>
    <row r="137" spans="1:13" s="1" customFormat="1" ht="15.75" customHeight="1" x14ac:dyDescent="0.25">
      <c r="A137" s="57"/>
      <c r="B137" s="46" t="s">
        <v>151</v>
      </c>
      <c r="C137" s="14" t="s">
        <v>23</v>
      </c>
      <c r="D137" s="33">
        <v>1771</v>
      </c>
      <c r="E137" s="43">
        <f>E134</f>
        <v>116.36</v>
      </c>
      <c r="F137" s="30">
        <v>4</v>
      </c>
      <c r="G137" s="62">
        <f>ROUND((D137*E137*F137),2)</f>
        <v>824294.24</v>
      </c>
      <c r="H137" s="275">
        <v>66</v>
      </c>
      <c r="I137" s="505"/>
      <c r="J137" s="26"/>
      <c r="K137" s="271"/>
      <c r="L137" s="26"/>
    </row>
    <row r="138" spans="1:13" s="1" customFormat="1" ht="15.75" customHeight="1" x14ac:dyDescent="0.25">
      <c r="A138" s="57"/>
      <c r="B138" s="46" t="s">
        <v>143</v>
      </c>
      <c r="C138" s="14" t="s">
        <v>23</v>
      </c>
      <c r="D138" s="33">
        <v>350</v>
      </c>
      <c r="E138" s="43">
        <f>E137</f>
        <v>116.36</v>
      </c>
      <c r="F138" s="30">
        <v>5</v>
      </c>
      <c r="G138" s="62">
        <f>ROUND((D138*E138*F138),2)</f>
        <v>203630</v>
      </c>
      <c r="H138" s="275">
        <v>66</v>
      </c>
      <c r="I138" s="505"/>
      <c r="J138" s="26"/>
      <c r="K138" s="271"/>
      <c r="L138" s="26"/>
    </row>
    <row r="139" spans="1:13" s="1" customFormat="1" ht="15.75" x14ac:dyDescent="0.25">
      <c r="A139" s="89"/>
      <c r="B139" s="90" t="s">
        <v>152</v>
      </c>
      <c r="C139" s="91" t="s">
        <v>23</v>
      </c>
      <c r="D139" s="92">
        <v>350</v>
      </c>
      <c r="E139" s="93">
        <v>74.69</v>
      </c>
      <c r="F139" s="94"/>
      <c r="G139" s="62">
        <f>ROUND((D139*E139*1),2)</f>
        <v>26141.5</v>
      </c>
      <c r="H139" s="275">
        <v>67</v>
      </c>
      <c r="I139" s="505"/>
      <c r="J139" s="26"/>
      <c r="K139" s="271"/>
      <c r="L139" s="26"/>
    </row>
    <row r="140" spans="1:13" s="1" customFormat="1" ht="19.5" customHeight="1" x14ac:dyDescent="0.25">
      <c r="A140" s="27" t="s">
        <v>153</v>
      </c>
      <c r="B140" s="44" t="s">
        <v>154</v>
      </c>
      <c r="C140" s="45" t="s">
        <v>23</v>
      </c>
      <c r="D140" s="29">
        <f>D141</f>
        <v>206494</v>
      </c>
      <c r="E140" s="48"/>
      <c r="F140" s="29"/>
      <c r="G140" s="56">
        <f>G141+G142</f>
        <v>7640278</v>
      </c>
      <c r="H140" s="275"/>
      <c r="I140" s="505" t="s">
        <v>176</v>
      </c>
      <c r="J140" s="26">
        <f>G140+G143</f>
        <v>8493521.8000000007</v>
      </c>
      <c r="K140" s="271">
        <v>1.2458550450000001</v>
      </c>
      <c r="L140" s="26">
        <f t="shared" ref="L140:L201" si="11">J140+(J140*K140/100)</f>
        <v>8599338.7698434759</v>
      </c>
      <c r="M140" s="3">
        <v>8608</v>
      </c>
    </row>
    <row r="141" spans="1:13" s="1" customFormat="1" ht="19.5" customHeight="1" x14ac:dyDescent="0.25">
      <c r="A141" s="27"/>
      <c r="B141" s="36" t="s">
        <v>155</v>
      </c>
      <c r="C141" s="37" t="s">
        <v>23</v>
      </c>
      <c r="D141" s="95">
        <v>206494</v>
      </c>
      <c r="E141" s="96">
        <v>6.36</v>
      </c>
      <c r="F141" s="40">
        <v>5</v>
      </c>
      <c r="G141" s="97">
        <f>ROUND((D141*E141*F141),2)</f>
        <v>6566509.2000000002</v>
      </c>
      <c r="H141" s="276">
        <v>101</v>
      </c>
      <c r="I141" s="505"/>
      <c r="J141" s="26"/>
      <c r="K141" s="271"/>
      <c r="L141" s="26"/>
      <c r="M141" s="98"/>
    </row>
    <row r="142" spans="1:13" s="1" customFormat="1" ht="23.25" customHeight="1" x14ac:dyDescent="0.25">
      <c r="A142" s="27"/>
      <c r="B142" s="36" t="s">
        <v>156</v>
      </c>
      <c r="C142" s="37" t="s">
        <v>23</v>
      </c>
      <c r="D142" s="95">
        <f>D141</f>
        <v>206494</v>
      </c>
      <c r="E142" s="96">
        <v>2.6</v>
      </c>
      <c r="F142" s="40">
        <v>2</v>
      </c>
      <c r="G142" s="97">
        <f>ROUND((D142*E142*F142),2)</f>
        <v>1073768.8</v>
      </c>
      <c r="H142" s="276">
        <v>102</v>
      </c>
      <c r="I142" s="505"/>
      <c r="J142" s="26"/>
      <c r="K142" s="271"/>
      <c r="L142" s="26"/>
      <c r="M142" s="3"/>
    </row>
    <row r="143" spans="1:13" s="1" customFormat="1" ht="19.5" customHeight="1" x14ac:dyDescent="0.25">
      <c r="A143" s="27" t="s">
        <v>157</v>
      </c>
      <c r="B143" s="44" t="s">
        <v>158</v>
      </c>
      <c r="C143" s="45" t="s">
        <v>54</v>
      </c>
      <c r="D143" s="29">
        <f>D145</f>
        <v>1130</v>
      </c>
      <c r="E143" s="2"/>
      <c r="F143" s="29"/>
      <c r="G143" s="56">
        <f>G144+G145+G146</f>
        <v>853243.79999999993</v>
      </c>
      <c r="H143" s="275"/>
      <c r="I143" s="505"/>
      <c r="J143" s="26"/>
      <c r="K143" s="271"/>
      <c r="L143" s="26"/>
      <c r="M143" s="3"/>
    </row>
    <row r="144" spans="1:13" s="1" customFormat="1" ht="19.5" customHeight="1" x14ac:dyDescent="0.25">
      <c r="A144" s="27"/>
      <c r="B144" s="36" t="s">
        <v>159</v>
      </c>
      <c r="C144" s="37" t="s">
        <v>40</v>
      </c>
      <c r="D144" s="99">
        <v>140</v>
      </c>
      <c r="E144" s="100">
        <v>3549.78</v>
      </c>
      <c r="F144" s="40">
        <v>1</v>
      </c>
      <c r="G144" s="97">
        <f>ROUND((D144*E144*F144),2)</f>
        <v>496969.2</v>
      </c>
      <c r="H144" s="276">
        <v>117</v>
      </c>
      <c r="I144" s="505"/>
      <c r="J144" s="26"/>
      <c r="K144" s="271"/>
      <c r="L144" s="26"/>
      <c r="M144" s="3"/>
    </row>
    <row r="145" spans="1:13" s="1" customFormat="1" ht="19.5" customHeight="1" x14ac:dyDescent="0.25">
      <c r="A145" s="27"/>
      <c r="B145" s="36" t="s">
        <v>160</v>
      </c>
      <c r="C145" s="37" t="s">
        <v>54</v>
      </c>
      <c r="D145" s="99">
        <v>1130</v>
      </c>
      <c r="E145" s="100">
        <v>285.60000000000002</v>
      </c>
      <c r="F145" s="40">
        <v>1</v>
      </c>
      <c r="G145" s="97">
        <f>ROUND((D145*E145*F145),2)</f>
        <v>322728</v>
      </c>
      <c r="H145" s="276">
        <v>116</v>
      </c>
      <c r="I145" s="505"/>
      <c r="J145" s="26"/>
      <c r="K145" s="271"/>
      <c r="L145" s="26"/>
      <c r="M145" s="3"/>
    </row>
    <row r="146" spans="1:13" s="1" customFormat="1" ht="19.5" customHeight="1" x14ac:dyDescent="0.25">
      <c r="A146" s="27"/>
      <c r="B146" s="36" t="s">
        <v>161</v>
      </c>
      <c r="C146" s="37" t="s">
        <v>40</v>
      </c>
      <c r="D146" s="101">
        <v>4</v>
      </c>
      <c r="E146" s="102">
        <v>8386.65</v>
      </c>
      <c r="F146" s="40">
        <v>1</v>
      </c>
      <c r="G146" s="97">
        <f>ROUND((D146*E146*F146),2)</f>
        <v>33546.6</v>
      </c>
      <c r="H146" s="276">
        <v>119</v>
      </c>
      <c r="I146" s="505"/>
      <c r="J146" s="26"/>
      <c r="K146" s="271"/>
      <c r="L146" s="26"/>
      <c r="M146" s="3"/>
    </row>
    <row r="147" spans="1:13" s="1" customFormat="1" ht="15.75" x14ac:dyDescent="0.25">
      <c r="A147" s="27" t="s">
        <v>162</v>
      </c>
      <c r="B147" s="103" t="s">
        <v>163</v>
      </c>
      <c r="C147" s="104" t="s">
        <v>164</v>
      </c>
      <c r="D147" s="105">
        <v>20</v>
      </c>
      <c r="E147" s="106"/>
      <c r="F147" s="69"/>
      <c r="G147" s="56">
        <f>250000*1.025</f>
        <v>256249.99999999997</v>
      </c>
      <c r="H147" s="277"/>
      <c r="I147" s="274" t="s">
        <v>388</v>
      </c>
      <c r="J147" s="26">
        <f>G147</f>
        <v>256249.99999999997</v>
      </c>
      <c r="K147" s="271">
        <v>1.2458550450000001</v>
      </c>
      <c r="L147" s="26">
        <f t="shared" si="11"/>
        <v>259442.50355281247</v>
      </c>
      <c r="M147" s="3">
        <v>260</v>
      </c>
    </row>
    <row r="148" spans="1:13" s="114" customFormat="1" ht="20.100000000000001" customHeight="1" x14ac:dyDescent="0.25">
      <c r="A148" s="27" t="s">
        <v>165</v>
      </c>
      <c r="B148" s="107" t="s">
        <v>148</v>
      </c>
      <c r="C148" s="108" t="s">
        <v>23</v>
      </c>
      <c r="D148" s="109">
        <f>D149+D150+D151</f>
        <v>4379</v>
      </c>
      <c r="E148" s="110"/>
      <c r="F148" s="109"/>
      <c r="G148" s="111">
        <f>SUM(G149:G151)</f>
        <v>2547702.1999999997</v>
      </c>
      <c r="H148" s="279"/>
      <c r="I148" s="505" t="s">
        <v>211</v>
      </c>
      <c r="J148" s="26"/>
      <c r="K148" s="271"/>
      <c r="L148" s="26"/>
    </row>
    <row r="149" spans="1:13" s="1" customFormat="1" ht="20.100000000000001" customHeight="1" x14ac:dyDescent="0.25">
      <c r="A149" s="115"/>
      <c r="B149" s="116" t="s">
        <v>166</v>
      </c>
      <c r="C149" s="117" t="s">
        <v>23</v>
      </c>
      <c r="D149" s="118">
        <f>204+1340</f>
        <v>1544</v>
      </c>
      <c r="E149" s="119">
        <f>E137</f>
        <v>116.36</v>
      </c>
      <c r="F149" s="118">
        <v>5</v>
      </c>
      <c r="G149" s="120">
        <f>ROUND((D149*E149*F149),2)</f>
        <v>898299.2</v>
      </c>
      <c r="H149" s="280">
        <v>66</v>
      </c>
      <c r="I149" s="505"/>
      <c r="J149" s="26"/>
      <c r="K149" s="271"/>
      <c r="L149" s="26"/>
    </row>
    <row r="150" spans="1:13" s="1" customFormat="1" ht="20.100000000000001" customHeight="1" x14ac:dyDescent="0.25">
      <c r="A150" s="115"/>
      <c r="B150" s="116" t="s">
        <v>167</v>
      </c>
      <c r="C150" s="117" t="s">
        <v>23</v>
      </c>
      <c r="D150" s="118">
        <f>1621+808</f>
        <v>2429</v>
      </c>
      <c r="E150" s="119">
        <f>E149</f>
        <v>116.36</v>
      </c>
      <c r="F150" s="118">
        <v>5</v>
      </c>
      <c r="G150" s="120">
        <f>ROUND((D150*E150*F150),2)</f>
        <v>1413192.2</v>
      </c>
      <c r="H150" s="280">
        <v>66</v>
      </c>
      <c r="I150" s="505"/>
      <c r="J150" s="26"/>
      <c r="K150" s="271"/>
      <c r="L150" s="26"/>
    </row>
    <row r="151" spans="1:13" s="1" customFormat="1" ht="20.100000000000001" customHeight="1" x14ac:dyDescent="0.25">
      <c r="A151" s="115"/>
      <c r="B151" s="116" t="s">
        <v>168</v>
      </c>
      <c r="C151" s="117" t="s">
        <v>23</v>
      </c>
      <c r="D151" s="118">
        <f>242+164</f>
        <v>406</v>
      </c>
      <c r="E151" s="119">
        <f>E150</f>
        <v>116.36</v>
      </c>
      <c r="F151" s="118">
        <v>5</v>
      </c>
      <c r="G151" s="120">
        <f>ROUND((D151*E151*F151),2)</f>
        <v>236210.8</v>
      </c>
      <c r="H151" s="280">
        <v>66</v>
      </c>
      <c r="I151" s="505"/>
      <c r="J151" s="26"/>
      <c r="K151" s="271"/>
      <c r="L151" s="26"/>
    </row>
    <row r="152" spans="1:13" s="114" customFormat="1" ht="20.100000000000001" customHeight="1" x14ac:dyDescent="0.25">
      <c r="A152" s="122" t="s">
        <v>169</v>
      </c>
      <c r="B152" s="123" t="s">
        <v>170</v>
      </c>
      <c r="C152" s="124" t="s">
        <v>23</v>
      </c>
      <c r="D152" s="125">
        <f>D153</f>
        <v>4379</v>
      </c>
      <c r="E152" s="124"/>
      <c r="F152" s="124"/>
      <c r="G152" s="126">
        <f>G153+G157</f>
        <v>4096072.81</v>
      </c>
      <c r="H152" s="279"/>
      <c r="I152" s="505"/>
      <c r="J152" s="127"/>
      <c r="K152" s="271"/>
      <c r="L152" s="26"/>
    </row>
    <row r="153" spans="1:13" s="114" customFormat="1" ht="20.100000000000001" customHeight="1" x14ac:dyDescent="0.25">
      <c r="A153" s="122" t="s">
        <v>171</v>
      </c>
      <c r="B153" s="107" t="s">
        <v>172</v>
      </c>
      <c r="C153" s="108" t="s">
        <v>23</v>
      </c>
      <c r="D153" s="109">
        <f>D154+D155+D156</f>
        <v>4379</v>
      </c>
      <c r="E153" s="124"/>
      <c r="F153" s="109"/>
      <c r="G153" s="111">
        <f>G154+G155+G156</f>
        <v>417712.80999999994</v>
      </c>
      <c r="H153" s="279"/>
      <c r="I153" s="505"/>
      <c r="J153" s="26"/>
      <c r="K153" s="271"/>
      <c r="L153" s="26"/>
    </row>
    <row r="154" spans="1:13" s="1" customFormat="1" ht="20.100000000000001" customHeight="1" x14ac:dyDescent="0.25">
      <c r="A154" s="128"/>
      <c r="B154" s="116" t="s">
        <v>166</v>
      </c>
      <c r="C154" s="117" t="s">
        <v>23</v>
      </c>
      <c r="D154" s="118">
        <f>D149</f>
        <v>1544</v>
      </c>
      <c r="E154" s="233">
        <v>95.39</v>
      </c>
      <c r="F154" s="130">
        <v>1</v>
      </c>
      <c r="G154" s="120">
        <f>ROUND((D154*E154*F154),2)</f>
        <v>147282.16</v>
      </c>
      <c r="H154" s="280">
        <v>124</v>
      </c>
      <c r="I154" s="505"/>
      <c r="J154" s="26"/>
      <c r="K154" s="271"/>
      <c r="L154" s="26"/>
    </row>
    <row r="155" spans="1:13" s="1" customFormat="1" ht="20.100000000000001" customHeight="1" x14ac:dyDescent="0.25">
      <c r="A155" s="128"/>
      <c r="B155" s="116" t="s">
        <v>167</v>
      </c>
      <c r="C155" s="117" t="s">
        <v>23</v>
      </c>
      <c r="D155" s="118">
        <f>D150</f>
        <v>2429</v>
      </c>
      <c r="E155" s="233">
        <f>E154</f>
        <v>95.39</v>
      </c>
      <c r="F155" s="130">
        <v>1</v>
      </c>
      <c r="G155" s="120">
        <f>ROUND((D155*E155*F155),2)</f>
        <v>231702.31</v>
      </c>
      <c r="H155" s="280">
        <v>124</v>
      </c>
      <c r="I155" s="505"/>
      <c r="J155" s="26"/>
      <c r="K155" s="271"/>
      <c r="L155" s="26"/>
    </row>
    <row r="156" spans="1:13" s="1" customFormat="1" ht="20.100000000000001" customHeight="1" x14ac:dyDescent="0.25">
      <c r="A156" s="128"/>
      <c r="B156" s="116" t="s">
        <v>168</v>
      </c>
      <c r="C156" s="117" t="s">
        <v>23</v>
      </c>
      <c r="D156" s="118">
        <f>D151</f>
        <v>406</v>
      </c>
      <c r="E156" s="233">
        <f>E155</f>
        <v>95.39</v>
      </c>
      <c r="F156" s="130">
        <v>1</v>
      </c>
      <c r="G156" s="120">
        <f>ROUND((D156*E156*F156),2)</f>
        <v>38728.339999999997</v>
      </c>
      <c r="H156" s="280">
        <v>124</v>
      </c>
      <c r="I156" s="505"/>
      <c r="J156" s="26"/>
      <c r="K156" s="271"/>
      <c r="L156" s="26"/>
    </row>
    <row r="157" spans="1:13" s="114" customFormat="1" ht="20.100000000000001" customHeight="1" x14ac:dyDescent="0.25">
      <c r="A157" s="122" t="s">
        <v>173</v>
      </c>
      <c r="B157" s="107" t="s">
        <v>174</v>
      </c>
      <c r="C157" s="108" t="s">
        <v>40</v>
      </c>
      <c r="D157" s="109">
        <f>D158+D159+D160</f>
        <v>105096</v>
      </c>
      <c r="E157" s="110"/>
      <c r="F157" s="109"/>
      <c r="G157" s="111">
        <f>G158+G159+G160</f>
        <v>3678360</v>
      </c>
      <c r="H157" s="279"/>
      <c r="I157" s="505"/>
      <c r="J157" s="26"/>
      <c r="K157" s="271"/>
      <c r="L157" s="26"/>
    </row>
    <row r="158" spans="1:13" s="1" customFormat="1" ht="20.100000000000001" customHeight="1" x14ac:dyDescent="0.25">
      <c r="A158" s="128"/>
      <c r="B158" s="116" t="s">
        <v>166</v>
      </c>
      <c r="C158" s="117" t="s">
        <v>40</v>
      </c>
      <c r="D158" s="118">
        <f>D154*24</f>
        <v>37056</v>
      </c>
      <c r="E158" s="131">
        <v>35</v>
      </c>
      <c r="F158" s="130"/>
      <c r="G158" s="120">
        <f>ROUND((D158*E158),2)</f>
        <v>1296960</v>
      </c>
      <c r="H158" s="280" t="s">
        <v>175</v>
      </c>
      <c r="I158" s="505"/>
      <c r="J158" s="26"/>
      <c r="K158" s="271"/>
      <c r="L158" s="26"/>
    </row>
    <row r="159" spans="1:13" s="1" customFormat="1" ht="20.100000000000001" customHeight="1" x14ac:dyDescent="0.25">
      <c r="A159" s="128"/>
      <c r="B159" s="116" t="s">
        <v>167</v>
      </c>
      <c r="C159" s="117" t="s">
        <v>40</v>
      </c>
      <c r="D159" s="118">
        <f>D155*24</f>
        <v>58296</v>
      </c>
      <c r="E159" s="131">
        <v>35</v>
      </c>
      <c r="F159" s="130"/>
      <c r="G159" s="120">
        <f>ROUND((D159*E159),2)</f>
        <v>2040360</v>
      </c>
      <c r="H159" s="280" t="s">
        <v>175</v>
      </c>
      <c r="I159" s="505"/>
      <c r="J159" s="26"/>
      <c r="K159" s="271"/>
      <c r="L159" s="26"/>
    </row>
    <row r="160" spans="1:13" s="1" customFormat="1" ht="20.100000000000001" customHeight="1" x14ac:dyDescent="0.25">
      <c r="A160" s="128"/>
      <c r="B160" s="116" t="s">
        <v>168</v>
      </c>
      <c r="C160" s="117" t="s">
        <v>40</v>
      </c>
      <c r="D160" s="118">
        <f>D156*24</f>
        <v>9744</v>
      </c>
      <c r="E160" s="131">
        <v>35</v>
      </c>
      <c r="F160" s="130"/>
      <c r="G160" s="120">
        <f>ROUND((D160*E160),2)</f>
        <v>341040</v>
      </c>
      <c r="H160" s="280" t="s">
        <v>175</v>
      </c>
      <c r="I160" s="505"/>
      <c r="J160" s="26"/>
      <c r="K160" s="271"/>
      <c r="L160" s="26"/>
    </row>
    <row r="161" spans="1:16" s="1" customFormat="1" ht="15.75" customHeight="1" x14ac:dyDescent="0.25">
      <c r="A161" s="27" t="s">
        <v>176</v>
      </c>
      <c r="B161" s="21" t="s">
        <v>177</v>
      </c>
      <c r="C161" s="14"/>
      <c r="D161" s="22"/>
      <c r="E161" s="22"/>
      <c r="F161" s="22"/>
      <c r="G161" s="132">
        <f>G162+G163+G164+G168+G169+G170+G171+G172+G173+G174+G175+G176+G177</f>
        <v>5600015.2432499994</v>
      </c>
      <c r="H161" s="275"/>
      <c r="I161" s="286"/>
      <c r="J161" s="134"/>
      <c r="K161" s="271"/>
      <c r="L161" s="26"/>
      <c r="M161" s="3"/>
    </row>
    <row r="162" spans="1:16" s="140" customFormat="1" ht="15.75" x14ac:dyDescent="0.25">
      <c r="A162" s="27" t="s">
        <v>178</v>
      </c>
      <c r="B162" s="103" t="s">
        <v>179</v>
      </c>
      <c r="C162" s="135" t="s">
        <v>40</v>
      </c>
      <c r="D162" s="136">
        <v>113</v>
      </c>
      <c r="E162" s="137"/>
      <c r="F162" s="138"/>
      <c r="G162" s="56">
        <f>527687*1.025</f>
        <v>540879.17499999993</v>
      </c>
      <c r="H162" s="281"/>
      <c r="I162" s="286" t="s">
        <v>389</v>
      </c>
      <c r="J162" s="134">
        <f>G162+G172+G181</f>
        <v>3646419.5869999994</v>
      </c>
      <c r="K162" s="271">
        <v>1.2458550450000001</v>
      </c>
      <c r="L162" s="26">
        <f t="shared" si="11"/>
        <v>3691848.689386507</v>
      </c>
      <c r="M162" s="98">
        <v>3696</v>
      </c>
      <c r="P162" s="11"/>
    </row>
    <row r="163" spans="1:16" s="1" customFormat="1" ht="20.25" customHeight="1" x14ac:dyDescent="0.25">
      <c r="A163" s="27" t="s">
        <v>6</v>
      </c>
      <c r="B163" s="141" t="s">
        <v>180</v>
      </c>
      <c r="C163" s="142" t="s">
        <v>181</v>
      </c>
      <c r="D163" s="143">
        <v>8</v>
      </c>
      <c r="E163" s="144"/>
      <c r="F163" s="145"/>
      <c r="G163" s="146">
        <v>2093153.81</v>
      </c>
      <c r="H163" s="282" t="s">
        <v>182</v>
      </c>
      <c r="I163" s="286"/>
      <c r="J163" s="134"/>
      <c r="K163" s="271"/>
      <c r="L163" s="26"/>
      <c r="M163" s="3"/>
    </row>
    <row r="164" spans="1:16" s="1" customFormat="1" ht="20.25" customHeight="1" x14ac:dyDescent="0.25">
      <c r="A164" s="27" t="s">
        <v>183</v>
      </c>
      <c r="B164" s="21" t="s">
        <v>184</v>
      </c>
      <c r="C164" s="28" t="s">
        <v>23</v>
      </c>
      <c r="D164" s="148">
        <f>D165+D166</f>
        <v>260</v>
      </c>
      <c r="E164" s="149"/>
      <c r="F164" s="150"/>
      <c r="G164" s="132">
        <f>G165+G166+G167</f>
        <v>326662</v>
      </c>
      <c r="H164" s="275"/>
      <c r="I164" s="505" t="s">
        <v>392</v>
      </c>
      <c r="J164" s="134">
        <f>G164+G219+G223</f>
        <v>2046543.79</v>
      </c>
      <c r="K164" s="271">
        <v>1.2458550450000001</v>
      </c>
      <c r="L164" s="26">
        <f t="shared" si="11"/>
        <v>2072040.7590558492</v>
      </c>
      <c r="M164" s="3">
        <v>2075</v>
      </c>
    </row>
    <row r="165" spans="1:16" s="1" customFormat="1" ht="24" customHeight="1" x14ac:dyDescent="0.25">
      <c r="A165" s="27"/>
      <c r="B165" s="36" t="s">
        <v>185</v>
      </c>
      <c r="C165" s="37" t="s">
        <v>23</v>
      </c>
      <c r="D165" s="101">
        <v>200</v>
      </c>
      <c r="E165" s="96">
        <v>505.88</v>
      </c>
      <c r="F165" s="40">
        <v>1</v>
      </c>
      <c r="G165" s="97">
        <f>ROUND((D165*E165*F165),2)</f>
        <v>101176</v>
      </c>
      <c r="H165" s="276">
        <v>113</v>
      </c>
      <c r="I165" s="505"/>
      <c r="J165" s="151"/>
      <c r="K165" s="271"/>
      <c r="L165" s="26"/>
      <c r="M165" s="3"/>
    </row>
    <row r="166" spans="1:16" s="1" customFormat="1" ht="21" customHeight="1" x14ac:dyDescent="0.25">
      <c r="A166" s="27"/>
      <c r="B166" s="36" t="s">
        <v>186</v>
      </c>
      <c r="C166" s="37" t="s">
        <v>23</v>
      </c>
      <c r="D166" s="101">
        <v>60</v>
      </c>
      <c r="E166" s="100">
        <v>1390.5</v>
      </c>
      <c r="F166" s="40">
        <v>1</v>
      </c>
      <c r="G166" s="97">
        <f>ROUND((D166*E166*F166),2)</f>
        <v>83430</v>
      </c>
      <c r="H166" s="276">
        <v>115</v>
      </c>
      <c r="I166" s="505"/>
      <c r="J166" s="134"/>
      <c r="K166" s="271"/>
      <c r="L166" s="26"/>
      <c r="M166" s="3"/>
    </row>
    <row r="167" spans="1:16" s="1" customFormat="1" ht="21" customHeight="1" x14ac:dyDescent="0.25">
      <c r="A167" s="27"/>
      <c r="B167" s="36" t="s">
        <v>187</v>
      </c>
      <c r="C167" s="37" t="s">
        <v>23</v>
      </c>
      <c r="D167" s="99">
        <v>2400</v>
      </c>
      <c r="E167" s="96">
        <v>59.19</v>
      </c>
      <c r="F167" s="40">
        <v>1</v>
      </c>
      <c r="G167" s="97">
        <f>ROUND((D167*E167*F167),2)</f>
        <v>142056</v>
      </c>
      <c r="H167" s="276">
        <v>114</v>
      </c>
      <c r="I167" s="505"/>
      <c r="J167" s="134"/>
      <c r="K167" s="271"/>
      <c r="L167" s="26"/>
      <c r="M167" s="3"/>
    </row>
    <row r="168" spans="1:16" s="140" customFormat="1" ht="20.25" customHeight="1" x14ac:dyDescent="0.25">
      <c r="A168" s="27" t="s">
        <v>188</v>
      </c>
      <c r="B168" s="103" t="s">
        <v>189</v>
      </c>
      <c r="C168" s="135" t="s">
        <v>40</v>
      </c>
      <c r="D168" s="136">
        <v>562</v>
      </c>
      <c r="E168" s="137"/>
      <c r="F168" s="138"/>
      <c r="G168" s="56">
        <f>773770*1.025</f>
        <v>793114.24999999988</v>
      </c>
      <c r="H168" s="281"/>
      <c r="I168" s="286" t="s">
        <v>393</v>
      </c>
      <c r="J168" s="134">
        <f>G168+G173+G176+G177</f>
        <v>1383725.7304999998</v>
      </c>
      <c r="K168" s="271">
        <v>1.2458550450000001</v>
      </c>
      <c r="L168" s="26">
        <f t="shared" si="11"/>
        <v>1400964.9473223973</v>
      </c>
      <c r="M168" s="98">
        <v>1402</v>
      </c>
    </row>
    <row r="169" spans="1:16" s="114" customFormat="1" ht="20.100000000000001" customHeight="1" x14ac:dyDescent="0.25">
      <c r="A169" s="122" t="s">
        <v>190</v>
      </c>
      <c r="B169" s="107" t="s">
        <v>376</v>
      </c>
      <c r="C169" s="117" t="s">
        <v>164</v>
      </c>
      <c r="D169" s="109">
        <v>1</v>
      </c>
      <c r="E169" s="152"/>
      <c r="F169" s="109"/>
      <c r="G169" s="111">
        <f>179566.34*1.025</f>
        <v>184055.49849999999</v>
      </c>
      <c r="H169" s="279"/>
      <c r="I169" s="286" t="s">
        <v>282</v>
      </c>
      <c r="J169" s="26">
        <f>G169+G174</f>
        <v>307180.5895</v>
      </c>
      <c r="K169" s="271">
        <v>1.2458550450000001</v>
      </c>
      <c r="L169" s="26">
        <f t="shared" si="11"/>
        <v>311007.61437154649</v>
      </c>
      <c r="M169" s="114">
        <v>311</v>
      </c>
    </row>
    <row r="170" spans="1:16" s="114" customFormat="1" ht="20.100000000000001" customHeight="1" x14ac:dyDescent="0.25">
      <c r="A170" s="122" t="s">
        <v>193</v>
      </c>
      <c r="B170" s="107" t="s">
        <v>194</v>
      </c>
      <c r="C170" s="117" t="s">
        <v>164</v>
      </c>
      <c r="D170" s="109">
        <v>1</v>
      </c>
      <c r="E170" s="124"/>
      <c r="F170" s="109"/>
      <c r="G170" s="111">
        <f>222355.49*1.025</f>
        <v>227914.37724999996</v>
      </c>
      <c r="H170" s="279"/>
      <c r="I170" s="499" t="s">
        <v>394</v>
      </c>
      <c r="J170" s="26">
        <f>G170+G171+G175+G272</f>
        <v>1674298.31825</v>
      </c>
      <c r="K170" s="271">
        <v>1.2458550450000001</v>
      </c>
      <c r="L170" s="26">
        <f t="shared" si="11"/>
        <v>1695157.6483162679</v>
      </c>
      <c r="M170" s="114">
        <v>1697</v>
      </c>
    </row>
    <row r="171" spans="1:16" s="114" customFormat="1" ht="20.100000000000001" customHeight="1" x14ac:dyDescent="0.25">
      <c r="A171" s="122" t="s">
        <v>195</v>
      </c>
      <c r="B171" s="107" t="s">
        <v>196</v>
      </c>
      <c r="C171" s="117" t="s">
        <v>40</v>
      </c>
      <c r="D171" s="109"/>
      <c r="E171" s="124"/>
      <c r="F171" s="109"/>
      <c r="G171" s="111">
        <f>108768.15*1.025</f>
        <v>111487.35374999998</v>
      </c>
      <c r="H171" s="279"/>
      <c r="I171" s="500"/>
      <c r="J171" s="26"/>
      <c r="K171" s="271"/>
      <c r="L171" s="26"/>
    </row>
    <row r="172" spans="1:16" s="114" customFormat="1" ht="20.100000000000001" customHeight="1" x14ac:dyDescent="0.25">
      <c r="A172" s="122" t="s">
        <v>197</v>
      </c>
      <c r="B172" s="107" t="s">
        <v>198</v>
      </c>
      <c r="C172" s="117" t="s">
        <v>40</v>
      </c>
      <c r="D172" s="109"/>
      <c r="E172" s="124"/>
      <c r="F172" s="109"/>
      <c r="G172" s="111">
        <f>ROUND((1090140.73*0.5*1.025),2)</f>
        <v>558697.12</v>
      </c>
      <c r="H172" s="279"/>
      <c r="I172" s="286" t="s">
        <v>389</v>
      </c>
      <c r="J172" s="26"/>
      <c r="K172" s="271"/>
      <c r="L172" s="26"/>
    </row>
    <row r="173" spans="1:16" s="114" customFormat="1" ht="18" customHeight="1" x14ac:dyDescent="0.25">
      <c r="A173" s="122" t="s">
        <v>199</v>
      </c>
      <c r="B173" s="107" t="s">
        <v>377</v>
      </c>
      <c r="C173" s="117" t="s">
        <v>164</v>
      </c>
      <c r="D173" s="125">
        <v>4</v>
      </c>
      <c r="E173" s="124"/>
      <c r="F173" s="109"/>
      <c r="G173" s="111">
        <f>373983.21*1.025</f>
        <v>383332.79024999996</v>
      </c>
      <c r="H173" s="279"/>
      <c r="I173" s="286" t="s">
        <v>393</v>
      </c>
      <c r="J173" s="26"/>
      <c r="K173" s="271"/>
      <c r="L173" s="26"/>
    </row>
    <row r="174" spans="1:16" s="114" customFormat="1" ht="19.149999999999999" customHeight="1" x14ac:dyDescent="0.25">
      <c r="A174" s="122" t="s">
        <v>201</v>
      </c>
      <c r="B174" s="107" t="s">
        <v>202</v>
      </c>
      <c r="C174" s="117" t="s">
        <v>164</v>
      </c>
      <c r="D174" s="125">
        <v>1</v>
      </c>
      <c r="E174" s="124"/>
      <c r="F174" s="109"/>
      <c r="G174" s="111">
        <f>120122.04*1.025</f>
        <v>123125.09099999999</v>
      </c>
      <c r="H174" s="279"/>
      <c r="I174" s="286" t="s">
        <v>282</v>
      </c>
      <c r="J174" s="26"/>
      <c r="K174" s="271"/>
      <c r="L174" s="26"/>
    </row>
    <row r="175" spans="1:16" s="114" customFormat="1" ht="20.100000000000001" customHeight="1" x14ac:dyDescent="0.25">
      <c r="A175" s="122" t="s">
        <v>204</v>
      </c>
      <c r="B175" s="107" t="s">
        <v>205</v>
      </c>
      <c r="C175" s="117" t="s">
        <v>164</v>
      </c>
      <c r="D175" s="125">
        <v>1</v>
      </c>
      <c r="E175" s="124"/>
      <c r="F175" s="109"/>
      <c r="G175" s="111">
        <f>49087.89*1.025</f>
        <v>50315.087249999997</v>
      </c>
      <c r="H175" s="279"/>
      <c r="I175" s="286" t="s">
        <v>394</v>
      </c>
      <c r="J175" s="26"/>
      <c r="K175" s="271"/>
      <c r="L175" s="26"/>
    </row>
    <row r="176" spans="1:16" s="140" customFormat="1" ht="20.25" customHeight="1" x14ac:dyDescent="0.25">
      <c r="A176" s="27" t="s">
        <v>206</v>
      </c>
      <c r="B176" s="103" t="s">
        <v>207</v>
      </c>
      <c r="C176" s="135" t="s">
        <v>40</v>
      </c>
      <c r="D176" s="136">
        <v>1</v>
      </c>
      <c r="E176" s="137"/>
      <c r="F176" s="138"/>
      <c r="G176" s="56">
        <f>8321.61*1.025</f>
        <v>8529.6502500000006</v>
      </c>
      <c r="H176" s="281"/>
      <c r="I176" s="499" t="s">
        <v>393</v>
      </c>
      <c r="J176" s="134"/>
      <c r="K176" s="271"/>
      <c r="L176" s="26"/>
      <c r="M176" s="98"/>
    </row>
    <row r="177" spans="1:13" s="140" customFormat="1" ht="20.25" customHeight="1" x14ac:dyDescent="0.25">
      <c r="A177" s="160" t="s">
        <v>209</v>
      </c>
      <c r="B177" s="161" t="s">
        <v>210</v>
      </c>
      <c r="C177" s="162" t="s">
        <v>40</v>
      </c>
      <c r="D177" s="163">
        <f>D178+D179+D180</f>
        <v>362</v>
      </c>
      <c r="E177" s="164"/>
      <c r="F177" s="165"/>
      <c r="G177" s="56">
        <f>G178+G179+G180</f>
        <v>198749.04</v>
      </c>
      <c r="H177" s="283"/>
      <c r="I177" s="501"/>
      <c r="J177" s="134"/>
      <c r="K177" s="271"/>
      <c r="L177" s="26"/>
      <c r="M177" s="98"/>
    </row>
    <row r="178" spans="1:13" s="140" customFormat="1" ht="20.25" customHeight="1" x14ac:dyDescent="0.25">
      <c r="A178" s="57"/>
      <c r="B178" s="46" t="s">
        <v>166</v>
      </c>
      <c r="C178" s="14" t="s">
        <v>40</v>
      </c>
      <c r="D178" s="33">
        <v>170</v>
      </c>
      <c r="E178" s="43">
        <v>551.1</v>
      </c>
      <c r="F178" s="30"/>
      <c r="G178" s="60">
        <f>ROUND((D178*E178),2)</f>
        <v>93687</v>
      </c>
      <c r="H178" s="275">
        <v>97</v>
      </c>
      <c r="I178" s="501"/>
      <c r="J178" s="134"/>
      <c r="K178" s="271"/>
      <c r="L178" s="26"/>
      <c r="M178" s="98"/>
    </row>
    <row r="179" spans="1:13" s="140" customFormat="1" ht="20.25" customHeight="1" x14ac:dyDescent="0.25">
      <c r="A179" s="57"/>
      <c r="B179" s="46" t="s">
        <v>168</v>
      </c>
      <c r="C179" s="14" t="s">
        <v>40</v>
      </c>
      <c r="D179" s="33">
        <v>108</v>
      </c>
      <c r="E179" s="43">
        <v>557.86</v>
      </c>
      <c r="F179" s="30"/>
      <c r="G179" s="60">
        <f>ROUND((D179*E179),2)</f>
        <v>60248.88</v>
      </c>
      <c r="H179" s="275">
        <v>98</v>
      </c>
      <c r="I179" s="501"/>
      <c r="J179" s="134"/>
      <c r="K179" s="271"/>
      <c r="L179" s="26"/>
      <c r="M179" s="98"/>
    </row>
    <row r="180" spans="1:13" s="140" customFormat="1" ht="20.25" customHeight="1" x14ac:dyDescent="0.25">
      <c r="A180" s="89"/>
      <c r="B180" s="90" t="s">
        <v>167</v>
      </c>
      <c r="C180" s="91" t="s">
        <v>40</v>
      </c>
      <c r="D180" s="92">
        <v>84</v>
      </c>
      <c r="E180" s="93">
        <v>533.49</v>
      </c>
      <c r="F180" s="94"/>
      <c r="G180" s="60">
        <f>ROUND((D180*E180),2)</f>
        <v>44813.16</v>
      </c>
      <c r="H180" s="275">
        <v>99</v>
      </c>
      <c r="I180" s="500"/>
      <c r="J180" s="134"/>
      <c r="K180" s="271"/>
      <c r="L180" s="26"/>
      <c r="M180" s="98"/>
    </row>
    <row r="181" spans="1:13" s="114" customFormat="1" ht="20.100000000000001" customHeight="1" x14ac:dyDescent="0.25">
      <c r="A181" s="27" t="s">
        <v>211</v>
      </c>
      <c r="B181" s="123" t="s">
        <v>212</v>
      </c>
      <c r="C181" s="124" t="s">
        <v>213</v>
      </c>
      <c r="D181" s="125">
        <v>6</v>
      </c>
      <c r="E181" s="124"/>
      <c r="F181" s="124"/>
      <c r="G181" s="126">
        <f>1572278.88*1.025+935257.44</f>
        <v>2546843.2919999994</v>
      </c>
      <c r="H181" s="279"/>
      <c r="I181" s="287" t="s">
        <v>389</v>
      </c>
      <c r="J181" s="166"/>
      <c r="K181" s="271"/>
      <c r="L181" s="26"/>
    </row>
    <row r="182" spans="1:13" s="1" customFormat="1" ht="19.5" customHeight="1" x14ac:dyDescent="0.25">
      <c r="A182" s="27" t="s">
        <v>1</v>
      </c>
      <c r="B182" s="21" t="s">
        <v>214</v>
      </c>
      <c r="C182" s="28" t="s">
        <v>23</v>
      </c>
      <c r="D182" s="150">
        <f>D183+D199+D213+D232+D272+D257</f>
        <v>2321419</v>
      </c>
      <c r="E182" s="2"/>
      <c r="F182" s="14"/>
      <c r="G182" s="132">
        <f>G183+G199+G213+G232+G257+G272</f>
        <v>90540984.290000007</v>
      </c>
      <c r="H182" s="275"/>
      <c r="I182" s="287"/>
      <c r="J182" s="166"/>
      <c r="K182" s="271"/>
      <c r="L182" s="26"/>
      <c r="M182" s="3"/>
    </row>
    <row r="183" spans="1:13" s="1" customFormat="1" ht="19.5" customHeight="1" x14ac:dyDescent="0.25">
      <c r="A183" s="27" t="s">
        <v>215</v>
      </c>
      <c r="B183" s="21" t="s">
        <v>216</v>
      </c>
      <c r="C183" s="28"/>
      <c r="D183" s="150">
        <f>D184+D195</f>
        <v>271443</v>
      </c>
      <c r="E183" s="2"/>
      <c r="F183" s="14"/>
      <c r="G183" s="132">
        <f>G184+G195</f>
        <v>16078682.019999998</v>
      </c>
      <c r="H183" s="275"/>
      <c r="I183" s="287"/>
      <c r="J183" s="166"/>
      <c r="K183" s="271"/>
      <c r="L183" s="26"/>
      <c r="M183" s="3"/>
    </row>
    <row r="184" spans="1:13" s="1" customFormat="1" ht="15.75" customHeight="1" x14ac:dyDescent="0.25">
      <c r="A184" s="27" t="s">
        <v>217</v>
      </c>
      <c r="B184" s="44" t="s">
        <v>218</v>
      </c>
      <c r="C184" s="45" t="s">
        <v>23</v>
      </c>
      <c r="D184" s="150">
        <f>SUM(D189:D194)</f>
        <v>103786</v>
      </c>
      <c r="E184" s="2"/>
      <c r="F184" s="29"/>
      <c r="G184" s="132">
        <f>SUM(G185:G194)</f>
        <v>9896085.7399999984</v>
      </c>
      <c r="H184" s="275"/>
      <c r="I184" s="286"/>
      <c r="J184" s="26"/>
      <c r="K184" s="271"/>
      <c r="L184" s="26"/>
      <c r="M184" s="3"/>
    </row>
    <row r="185" spans="1:13" s="1" customFormat="1" ht="15.75" customHeight="1" x14ac:dyDescent="0.25">
      <c r="A185" s="27"/>
      <c r="B185" s="46" t="s">
        <v>219</v>
      </c>
      <c r="C185" s="14" t="s">
        <v>23</v>
      </c>
      <c r="D185" s="168">
        <v>87556</v>
      </c>
      <c r="E185" s="169">
        <v>7.38</v>
      </c>
      <c r="F185" s="30">
        <v>5</v>
      </c>
      <c r="G185" s="60">
        <f>ROUND((D185*E185*F185),2)</f>
        <v>3230816.4</v>
      </c>
      <c r="H185" s="275">
        <v>103</v>
      </c>
      <c r="I185" s="499" t="s">
        <v>19</v>
      </c>
      <c r="J185" s="26">
        <f>G185+G186+G188+G189+G190+G191+G193+G194+G215+G216+G220+G221+G222</f>
        <v>26663552.689999998</v>
      </c>
      <c r="K185" s="271">
        <v>1.2458550450000001</v>
      </c>
      <c r="L185" s="26">
        <f t="shared" si="11"/>
        <v>26995741.906364597</v>
      </c>
      <c r="M185" s="98">
        <v>27025</v>
      </c>
    </row>
    <row r="186" spans="1:13" s="1" customFormat="1" ht="15.75" x14ac:dyDescent="0.25">
      <c r="A186" s="27"/>
      <c r="B186" s="46" t="s">
        <v>220</v>
      </c>
      <c r="C186" s="14" t="s">
        <v>23</v>
      </c>
      <c r="D186" s="168">
        <v>11908</v>
      </c>
      <c r="E186" s="169">
        <v>59.4</v>
      </c>
      <c r="F186" s="30">
        <v>5</v>
      </c>
      <c r="G186" s="60">
        <f t="shared" ref="G186:G194" si="12">ROUND((D186*E186*F186),2)</f>
        <v>3536676</v>
      </c>
      <c r="H186" s="275" t="s">
        <v>221</v>
      </c>
      <c r="I186" s="500"/>
      <c r="J186" s="26">
        <f>D189+D190+D191+D193+D194+D220+D221+D222</f>
        <v>393214</v>
      </c>
      <c r="K186" s="271" t="s">
        <v>23</v>
      </c>
      <c r="L186" s="26"/>
      <c r="M186" s="3"/>
    </row>
    <row r="187" spans="1:13" s="1" customFormat="1" ht="15.75" x14ac:dyDescent="0.25">
      <c r="A187" s="27"/>
      <c r="B187" s="49" t="s">
        <v>220</v>
      </c>
      <c r="C187" s="50" t="s">
        <v>23</v>
      </c>
      <c r="D187" s="170">
        <v>3157</v>
      </c>
      <c r="E187" s="171">
        <f>E186</f>
        <v>59.4</v>
      </c>
      <c r="F187" s="55">
        <v>5</v>
      </c>
      <c r="G187" s="53">
        <f t="shared" si="12"/>
        <v>937629</v>
      </c>
      <c r="H187" s="278" t="s">
        <v>221</v>
      </c>
      <c r="I187" s="286" t="s">
        <v>395</v>
      </c>
      <c r="J187" s="26">
        <f>G187+G192+G203+G206+G210+G217+G218+G224+G225+G229+G258+G268</f>
        <v>19387755.599999998</v>
      </c>
      <c r="K187" s="271">
        <v>1.2458550450000001</v>
      </c>
      <c r="L187" s="26">
        <f t="shared" si="11"/>
        <v>19629298.931254867</v>
      </c>
      <c r="M187" s="113">
        <v>19630</v>
      </c>
    </row>
    <row r="188" spans="1:13" s="1" customFormat="1" ht="15.75" x14ac:dyDescent="0.25">
      <c r="A188" s="27"/>
      <c r="B188" s="46" t="s">
        <v>220</v>
      </c>
      <c r="C188" s="14" t="s">
        <v>23</v>
      </c>
      <c r="D188" s="168">
        <v>500</v>
      </c>
      <c r="E188" s="169">
        <f>E187</f>
        <v>59.4</v>
      </c>
      <c r="F188" s="30">
        <v>5</v>
      </c>
      <c r="G188" s="60">
        <f t="shared" si="12"/>
        <v>148500</v>
      </c>
      <c r="H188" s="275" t="s">
        <v>221</v>
      </c>
      <c r="I188" s="499" t="s">
        <v>19</v>
      </c>
      <c r="J188" s="25">
        <f>D187+D203+D210+D217+D218+D229</f>
        <v>78899</v>
      </c>
      <c r="K188" s="271" t="s">
        <v>23</v>
      </c>
      <c r="L188" s="26"/>
    </row>
    <row r="189" spans="1:13" s="1" customFormat="1" ht="15.75" x14ac:dyDescent="0.25">
      <c r="A189" s="27"/>
      <c r="B189" s="46" t="s">
        <v>222</v>
      </c>
      <c r="C189" s="14" t="s">
        <v>23</v>
      </c>
      <c r="D189" s="168">
        <v>88263</v>
      </c>
      <c r="E189" s="169">
        <v>4.5199999999999996</v>
      </c>
      <c r="F189" s="30">
        <v>2</v>
      </c>
      <c r="G189" s="60">
        <f t="shared" si="12"/>
        <v>797897.52</v>
      </c>
      <c r="H189" s="275">
        <v>104</v>
      </c>
      <c r="I189" s="501"/>
      <c r="J189" s="26"/>
      <c r="K189" s="271"/>
      <c r="L189" s="26"/>
      <c r="M189" s="3"/>
    </row>
    <row r="190" spans="1:13" s="1" customFormat="1" ht="15.75" x14ac:dyDescent="0.25">
      <c r="A190" s="27"/>
      <c r="B190" s="46" t="s">
        <v>223</v>
      </c>
      <c r="C190" s="14" t="s">
        <v>23</v>
      </c>
      <c r="D190" s="168">
        <v>10611</v>
      </c>
      <c r="E190" s="169">
        <v>12.09</v>
      </c>
      <c r="F190" s="30">
        <v>7</v>
      </c>
      <c r="G190" s="60">
        <f t="shared" si="12"/>
        <v>898008.93</v>
      </c>
      <c r="H190" s="275" t="s">
        <v>224</v>
      </c>
      <c r="I190" s="501"/>
      <c r="J190" s="26"/>
      <c r="K190" s="271"/>
      <c r="L190" s="26"/>
      <c r="M190" s="3"/>
    </row>
    <row r="191" spans="1:13" s="1" customFormat="1" ht="15.75" x14ac:dyDescent="0.25">
      <c r="A191" s="27"/>
      <c r="B191" s="46" t="s">
        <v>223</v>
      </c>
      <c r="C191" s="14" t="s">
        <v>23</v>
      </c>
      <c r="D191" s="168">
        <f>D188</f>
        <v>500</v>
      </c>
      <c r="E191" s="169">
        <v>12.09</v>
      </c>
      <c r="F191" s="30">
        <v>7</v>
      </c>
      <c r="G191" s="60">
        <f>ROUND((D191*E191*F191),2)</f>
        <v>42315</v>
      </c>
      <c r="H191" s="275" t="s">
        <v>224</v>
      </c>
      <c r="I191" s="500"/>
      <c r="J191" s="26"/>
      <c r="K191" s="271"/>
      <c r="L191" s="26"/>
      <c r="M191" s="3"/>
    </row>
    <row r="192" spans="1:13" s="1" customFormat="1" ht="15.75" x14ac:dyDescent="0.25">
      <c r="A192" s="27"/>
      <c r="B192" s="49" t="s">
        <v>223</v>
      </c>
      <c r="C192" s="50" t="s">
        <v>23</v>
      </c>
      <c r="D192" s="170">
        <v>3157</v>
      </c>
      <c r="E192" s="171">
        <f>E190</f>
        <v>12.09</v>
      </c>
      <c r="F192" s="55">
        <v>7</v>
      </c>
      <c r="G192" s="53">
        <f t="shared" si="12"/>
        <v>267176.90999999997</v>
      </c>
      <c r="H192" s="278" t="s">
        <v>224</v>
      </c>
      <c r="I192" s="290" t="s">
        <v>395</v>
      </c>
      <c r="J192" s="70"/>
      <c r="K192" s="271"/>
      <c r="L192" s="26"/>
      <c r="M192" s="3"/>
    </row>
    <row r="193" spans="1:13" s="1" customFormat="1" ht="15.75" x14ac:dyDescent="0.25">
      <c r="A193" s="27"/>
      <c r="B193" s="46" t="s">
        <v>223</v>
      </c>
      <c r="C193" s="14" t="s">
        <v>23</v>
      </c>
      <c r="D193" s="168">
        <v>158</v>
      </c>
      <c r="E193" s="169">
        <v>7.13</v>
      </c>
      <c r="F193" s="30">
        <v>7</v>
      </c>
      <c r="G193" s="60">
        <f t="shared" si="12"/>
        <v>7885.78</v>
      </c>
      <c r="H193" s="275" t="s">
        <v>225</v>
      </c>
      <c r="I193" s="499" t="s">
        <v>19</v>
      </c>
      <c r="J193" s="26"/>
      <c r="K193" s="271"/>
      <c r="L193" s="26"/>
      <c r="M193" s="3"/>
    </row>
    <row r="194" spans="1:13" s="1" customFormat="1" ht="15.75" x14ac:dyDescent="0.25">
      <c r="A194" s="27"/>
      <c r="B194" s="46" t="s">
        <v>223</v>
      </c>
      <c r="C194" s="14" t="s">
        <v>23</v>
      </c>
      <c r="D194" s="168">
        <v>1097</v>
      </c>
      <c r="E194" s="169">
        <v>3.8</v>
      </c>
      <c r="F194" s="30">
        <v>7</v>
      </c>
      <c r="G194" s="60">
        <f t="shared" si="12"/>
        <v>29180.2</v>
      </c>
      <c r="H194" s="275" t="s">
        <v>226</v>
      </c>
      <c r="I194" s="500"/>
      <c r="J194" s="26"/>
      <c r="K194" s="271"/>
      <c r="L194" s="26"/>
      <c r="M194" s="3"/>
    </row>
    <row r="195" spans="1:13" s="1" customFormat="1" ht="15.75" x14ac:dyDescent="0.25">
      <c r="A195" s="27" t="s">
        <v>227</v>
      </c>
      <c r="B195" s="44" t="s">
        <v>136</v>
      </c>
      <c r="C195" s="45" t="s">
        <v>23</v>
      </c>
      <c r="D195" s="29">
        <f>D196+D197+D198</f>
        <v>167657</v>
      </c>
      <c r="E195" s="149"/>
      <c r="F195" s="29"/>
      <c r="G195" s="56">
        <f>SUM(G196:G198)</f>
        <v>6182596.2799999993</v>
      </c>
      <c r="H195" s="275"/>
      <c r="I195" s="499" t="s">
        <v>169</v>
      </c>
      <c r="J195" s="26"/>
      <c r="K195" s="271"/>
      <c r="L195" s="26"/>
      <c r="M195" s="3"/>
    </row>
    <row r="196" spans="1:13" s="1" customFormat="1" ht="17.25" customHeight="1" x14ac:dyDescent="0.25">
      <c r="A196" s="27"/>
      <c r="B196" s="46" t="s">
        <v>228</v>
      </c>
      <c r="C196" s="14" t="s">
        <v>23</v>
      </c>
      <c r="D196" s="33">
        <v>111910</v>
      </c>
      <c r="E196" s="169">
        <v>6.58</v>
      </c>
      <c r="F196" s="30">
        <v>7</v>
      </c>
      <c r="G196" s="60">
        <f>ROUND((D196*E196*F196),2)</f>
        <v>5154574.5999999996</v>
      </c>
      <c r="H196" s="275" t="s">
        <v>229</v>
      </c>
      <c r="I196" s="501"/>
      <c r="J196" s="26"/>
      <c r="K196" s="271"/>
      <c r="L196" s="26"/>
      <c r="M196" s="3"/>
    </row>
    <row r="197" spans="1:13" s="1" customFormat="1" ht="19.5" customHeight="1" x14ac:dyDescent="0.25">
      <c r="A197" s="27"/>
      <c r="B197" s="46" t="s">
        <v>228</v>
      </c>
      <c r="C197" s="14" t="s">
        <v>23</v>
      </c>
      <c r="D197" s="33">
        <v>23770</v>
      </c>
      <c r="E197" s="169">
        <v>3.73</v>
      </c>
      <c r="F197" s="30">
        <v>7</v>
      </c>
      <c r="G197" s="60">
        <f>ROUND((D197*E197*F197),2)</f>
        <v>620634.69999999995</v>
      </c>
      <c r="H197" s="275" t="s">
        <v>230</v>
      </c>
      <c r="I197" s="501"/>
      <c r="J197" s="26"/>
      <c r="K197" s="271"/>
      <c r="L197" s="26"/>
      <c r="M197" s="3"/>
    </row>
    <row r="198" spans="1:13" s="1" customFormat="1" ht="18" customHeight="1" x14ac:dyDescent="0.25">
      <c r="A198" s="27"/>
      <c r="B198" s="46" t="s">
        <v>228</v>
      </c>
      <c r="C198" s="14" t="s">
        <v>23</v>
      </c>
      <c r="D198" s="33">
        <v>31977</v>
      </c>
      <c r="E198" s="169">
        <v>1.82</v>
      </c>
      <c r="F198" s="30">
        <v>7</v>
      </c>
      <c r="G198" s="60">
        <f>ROUND((D198*E198*F198),2)</f>
        <v>407386.98</v>
      </c>
      <c r="H198" s="275" t="s">
        <v>231</v>
      </c>
      <c r="I198" s="500"/>
      <c r="J198" s="26"/>
      <c r="K198" s="271"/>
      <c r="L198" s="26"/>
      <c r="M198" s="3"/>
    </row>
    <row r="199" spans="1:13" s="1" customFormat="1" ht="18" customHeight="1" x14ac:dyDescent="0.25">
      <c r="A199" s="27" t="s">
        <v>232</v>
      </c>
      <c r="B199" s="44" t="s">
        <v>233</v>
      </c>
      <c r="C199" s="14"/>
      <c r="D199" s="150">
        <f>D200+D208</f>
        <v>212981</v>
      </c>
      <c r="E199" s="172"/>
      <c r="F199" s="30"/>
      <c r="G199" s="132">
        <f>G200+G208</f>
        <v>6755022.9699999997</v>
      </c>
      <c r="H199" s="275"/>
      <c r="I199" s="286"/>
      <c r="J199" s="26"/>
      <c r="K199" s="271"/>
      <c r="L199" s="26"/>
      <c r="M199" s="3"/>
    </row>
    <row r="200" spans="1:13" s="1" customFormat="1" ht="15.75" customHeight="1" x14ac:dyDescent="0.25">
      <c r="A200" s="27" t="s">
        <v>234</v>
      </c>
      <c r="B200" s="44" t="s">
        <v>218</v>
      </c>
      <c r="C200" s="45" t="s">
        <v>23</v>
      </c>
      <c r="D200" s="29">
        <f>SUM(D204:D207)</f>
        <v>42192</v>
      </c>
      <c r="E200" s="2"/>
      <c r="F200" s="29"/>
      <c r="G200" s="56">
        <f>SUM(G201:G207)</f>
        <v>3542079.88</v>
      </c>
      <c r="H200" s="275"/>
      <c r="I200" s="286"/>
      <c r="J200" s="26"/>
      <c r="K200" s="271"/>
      <c r="L200" s="26"/>
      <c r="M200" s="3"/>
    </row>
    <row r="201" spans="1:13" s="1" customFormat="1" ht="15.75" customHeight="1" x14ac:dyDescent="0.25">
      <c r="A201" s="27"/>
      <c r="B201" s="46" t="s">
        <v>235</v>
      </c>
      <c r="C201" s="14" t="s">
        <v>23</v>
      </c>
      <c r="D201" s="33">
        <v>15100</v>
      </c>
      <c r="E201" s="169">
        <f>E185</f>
        <v>7.38</v>
      </c>
      <c r="F201" s="69">
        <v>4</v>
      </c>
      <c r="G201" s="60">
        <f>ROUND((D201*E201*F201),2)</f>
        <v>445752</v>
      </c>
      <c r="H201" s="277">
        <v>103</v>
      </c>
      <c r="I201" s="499" t="s">
        <v>391</v>
      </c>
      <c r="J201" s="26">
        <f>G201+G202+G204+G205+G207+G209+G211+G212</f>
        <v>6045729.1299999999</v>
      </c>
      <c r="K201" s="271">
        <v>1.2458550450000001</v>
      </c>
      <c r="L201" s="26">
        <f t="shared" si="11"/>
        <v>6121050.1513731396</v>
      </c>
      <c r="M201" s="113">
        <v>6128</v>
      </c>
    </row>
    <row r="202" spans="1:13" s="1" customFormat="1" ht="14.25" customHeight="1" x14ac:dyDescent="0.25">
      <c r="A202" s="27"/>
      <c r="B202" s="46" t="s">
        <v>236</v>
      </c>
      <c r="C202" s="14" t="s">
        <v>23</v>
      </c>
      <c r="D202" s="168">
        <v>5060</v>
      </c>
      <c r="E202" s="169">
        <f>E186</f>
        <v>59.4</v>
      </c>
      <c r="F202" s="69">
        <v>5</v>
      </c>
      <c r="G202" s="60">
        <f t="shared" ref="G202:G211" si="13">ROUND((D202*E202*F202),2)</f>
        <v>1502820</v>
      </c>
      <c r="H202" s="277" t="s">
        <v>221</v>
      </c>
      <c r="I202" s="500"/>
      <c r="J202" s="26"/>
      <c r="K202" s="271"/>
      <c r="L202" s="26"/>
      <c r="M202" s="98"/>
    </row>
    <row r="203" spans="1:13" s="1" customFormat="1" ht="14.25" customHeight="1" x14ac:dyDescent="0.25">
      <c r="A203" s="27"/>
      <c r="B203" s="49" t="s">
        <v>236</v>
      </c>
      <c r="C203" s="50" t="s">
        <v>23</v>
      </c>
      <c r="D203" s="170">
        <v>1700</v>
      </c>
      <c r="E203" s="171">
        <f>E187</f>
        <v>59.4</v>
      </c>
      <c r="F203" s="55">
        <v>5</v>
      </c>
      <c r="G203" s="53">
        <f>ROUND((D203*E203*F203),2)</f>
        <v>504900</v>
      </c>
      <c r="H203" s="278" t="s">
        <v>221</v>
      </c>
      <c r="I203" s="286" t="s">
        <v>395</v>
      </c>
      <c r="J203" s="26"/>
      <c r="K203" s="271"/>
      <c r="L203" s="26"/>
      <c r="M203" s="98"/>
    </row>
    <row r="204" spans="1:13" s="1" customFormat="1" ht="18" customHeight="1" x14ac:dyDescent="0.25">
      <c r="A204" s="27"/>
      <c r="B204" s="46" t="s">
        <v>237</v>
      </c>
      <c r="C204" s="14" t="s">
        <v>23</v>
      </c>
      <c r="D204" s="33">
        <v>15100</v>
      </c>
      <c r="E204" s="169">
        <f>E189</f>
        <v>4.5199999999999996</v>
      </c>
      <c r="F204" s="69">
        <v>2</v>
      </c>
      <c r="G204" s="60">
        <f t="shared" si="13"/>
        <v>136504</v>
      </c>
      <c r="H204" s="277">
        <v>104</v>
      </c>
      <c r="I204" s="499" t="s">
        <v>391</v>
      </c>
      <c r="J204" s="26"/>
      <c r="K204" s="271"/>
      <c r="L204" s="26"/>
      <c r="M204" s="3"/>
    </row>
    <row r="205" spans="1:13" s="1" customFormat="1" ht="16.5" customHeight="1" x14ac:dyDescent="0.25">
      <c r="A205" s="27"/>
      <c r="B205" s="46" t="s">
        <v>238</v>
      </c>
      <c r="C205" s="14" t="s">
        <v>23</v>
      </c>
      <c r="D205" s="168">
        <f>D202</f>
        <v>5060</v>
      </c>
      <c r="E205" s="169">
        <f>E190</f>
        <v>12.09</v>
      </c>
      <c r="F205" s="69">
        <v>7</v>
      </c>
      <c r="G205" s="60">
        <f t="shared" si="13"/>
        <v>428227.8</v>
      </c>
      <c r="H205" s="277" t="s">
        <v>224</v>
      </c>
      <c r="I205" s="500"/>
      <c r="J205" s="26"/>
      <c r="K205" s="271"/>
      <c r="L205" s="26"/>
      <c r="M205" s="3"/>
    </row>
    <row r="206" spans="1:13" s="1" customFormat="1" ht="16.5" customHeight="1" x14ac:dyDescent="0.25">
      <c r="A206" s="27"/>
      <c r="B206" s="49" t="s">
        <v>238</v>
      </c>
      <c r="C206" s="50" t="s">
        <v>23</v>
      </c>
      <c r="D206" s="170">
        <f>D203</f>
        <v>1700</v>
      </c>
      <c r="E206" s="171">
        <f>E192</f>
        <v>12.09</v>
      </c>
      <c r="F206" s="55">
        <v>7</v>
      </c>
      <c r="G206" s="53">
        <f>ROUND((D206*E206*F206),2)</f>
        <v>143871</v>
      </c>
      <c r="H206" s="278" t="s">
        <v>224</v>
      </c>
      <c r="I206" s="286" t="s">
        <v>395</v>
      </c>
      <c r="J206" s="26"/>
      <c r="K206" s="271"/>
      <c r="L206" s="26"/>
      <c r="M206" s="3"/>
    </row>
    <row r="207" spans="1:13" s="1" customFormat="1" ht="15.75" x14ac:dyDescent="0.25">
      <c r="A207" s="27"/>
      <c r="B207" s="46" t="s">
        <v>238</v>
      </c>
      <c r="C207" s="14" t="s">
        <v>23</v>
      </c>
      <c r="D207" s="168">
        <v>20332</v>
      </c>
      <c r="E207" s="169">
        <v>2.67</v>
      </c>
      <c r="F207" s="69">
        <v>7</v>
      </c>
      <c r="G207" s="60">
        <f t="shared" si="13"/>
        <v>380005.08</v>
      </c>
      <c r="H207" s="277" t="s">
        <v>239</v>
      </c>
      <c r="I207" s="499" t="s">
        <v>391</v>
      </c>
      <c r="J207" s="26"/>
      <c r="K207" s="271"/>
      <c r="L207" s="26"/>
      <c r="M207" s="3"/>
    </row>
    <row r="208" spans="1:13" s="1" customFormat="1" ht="15.75" x14ac:dyDescent="0.25">
      <c r="A208" s="27" t="s">
        <v>240</v>
      </c>
      <c r="B208" s="44" t="s">
        <v>136</v>
      </c>
      <c r="C208" s="45" t="s">
        <v>23</v>
      </c>
      <c r="D208" s="29">
        <f>SUM(D209:D212)</f>
        <v>170789</v>
      </c>
      <c r="E208" s="149"/>
      <c r="F208" s="29"/>
      <c r="G208" s="56">
        <f>SUM(G209:G212)</f>
        <v>3212943.09</v>
      </c>
      <c r="H208" s="275"/>
      <c r="I208" s="501"/>
      <c r="J208" s="26"/>
      <c r="K208" s="271"/>
      <c r="L208" s="26"/>
      <c r="M208" s="3"/>
    </row>
    <row r="209" spans="1:13" s="1" customFormat="1" ht="17.25" customHeight="1" x14ac:dyDescent="0.25">
      <c r="A209" s="27"/>
      <c r="B209" s="46" t="s">
        <v>228</v>
      </c>
      <c r="C209" s="14" t="s">
        <v>23</v>
      </c>
      <c r="D209" s="33">
        <v>40145</v>
      </c>
      <c r="E209" s="169">
        <f>E196</f>
        <v>6.58</v>
      </c>
      <c r="F209" s="69">
        <v>7</v>
      </c>
      <c r="G209" s="60">
        <f t="shared" si="13"/>
        <v>1849078.7</v>
      </c>
      <c r="H209" s="277" t="s">
        <v>229</v>
      </c>
      <c r="I209" s="500"/>
      <c r="J209" s="26"/>
      <c r="K209" s="271"/>
      <c r="L209" s="26"/>
      <c r="M209" s="3"/>
    </row>
    <row r="210" spans="1:13" s="1" customFormat="1" ht="17.25" customHeight="1" x14ac:dyDescent="0.25">
      <c r="A210" s="27"/>
      <c r="B210" s="49" t="s">
        <v>228</v>
      </c>
      <c r="C210" s="50" t="s">
        <v>23</v>
      </c>
      <c r="D210" s="51">
        <v>1314</v>
      </c>
      <c r="E210" s="171">
        <f>E209</f>
        <v>6.58</v>
      </c>
      <c r="F210" s="55">
        <v>7</v>
      </c>
      <c r="G210" s="53">
        <f>ROUND((D210*E210*F210),2)</f>
        <v>60522.84</v>
      </c>
      <c r="H210" s="278" t="s">
        <v>229</v>
      </c>
      <c r="I210" s="286" t="s">
        <v>395</v>
      </c>
      <c r="J210" s="26"/>
      <c r="K210" s="271"/>
      <c r="L210" s="26"/>
      <c r="M210" s="3"/>
    </row>
    <row r="211" spans="1:13" s="1" customFormat="1" ht="16.5" customHeight="1" x14ac:dyDescent="0.25">
      <c r="A211" s="27"/>
      <c r="B211" s="46" t="s">
        <v>228</v>
      </c>
      <c r="C211" s="14" t="s">
        <v>23</v>
      </c>
      <c r="D211" s="33">
        <v>76955</v>
      </c>
      <c r="E211" s="169">
        <v>1.63</v>
      </c>
      <c r="F211" s="69">
        <v>7</v>
      </c>
      <c r="G211" s="60">
        <f t="shared" si="13"/>
        <v>878056.55</v>
      </c>
      <c r="H211" s="277" t="s">
        <v>241</v>
      </c>
      <c r="I211" s="499" t="s">
        <v>391</v>
      </c>
      <c r="J211" s="26"/>
      <c r="K211" s="271"/>
      <c r="L211" s="26"/>
      <c r="M211" s="3"/>
    </row>
    <row r="212" spans="1:13" s="1" customFormat="1" ht="16.5" customHeight="1" x14ac:dyDescent="0.25">
      <c r="A212" s="27"/>
      <c r="B212" s="46" t="s">
        <v>228</v>
      </c>
      <c r="C212" s="14" t="s">
        <v>23</v>
      </c>
      <c r="D212" s="33">
        <v>52375</v>
      </c>
      <c r="E212" s="169">
        <v>1.1599999999999999</v>
      </c>
      <c r="F212" s="69">
        <v>7</v>
      </c>
      <c r="G212" s="60">
        <f>ROUND((D212*E212*F212),2)</f>
        <v>425285</v>
      </c>
      <c r="H212" s="277" t="s">
        <v>242</v>
      </c>
      <c r="I212" s="500"/>
      <c r="J212" s="26"/>
      <c r="K212" s="271"/>
      <c r="L212" s="26"/>
      <c r="M212" s="3"/>
    </row>
    <row r="213" spans="1:13" s="1" customFormat="1" ht="16.5" customHeight="1" x14ac:dyDescent="0.25">
      <c r="A213" s="27" t="s">
        <v>243</v>
      </c>
      <c r="B213" s="44" t="s">
        <v>244</v>
      </c>
      <c r="C213" s="14"/>
      <c r="D213" s="150">
        <f>D214+D226</f>
        <v>1253455</v>
      </c>
      <c r="E213" s="172"/>
      <c r="F213" s="69"/>
      <c r="G213" s="132">
        <f>G214+G226</f>
        <v>33593133.649999999</v>
      </c>
      <c r="H213" s="277"/>
      <c r="I213" s="286"/>
      <c r="J213" s="26"/>
      <c r="K213" s="271"/>
      <c r="L213" s="26"/>
      <c r="M213" s="3"/>
    </row>
    <row r="214" spans="1:13" s="1" customFormat="1" ht="20.25" customHeight="1" x14ac:dyDescent="0.25">
      <c r="A214" s="27" t="s">
        <v>245</v>
      </c>
      <c r="B214" s="44" t="s">
        <v>246</v>
      </c>
      <c r="C214" s="14"/>
      <c r="D214" s="29">
        <f>D220+D221+D222+D223+D224+D225</f>
        <v>326174</v>
      </c>
      <c r="E214" s="175"/>
      <c r="F214" s="176"/>
      <c r="G214" s="56">
        <f>G215+G216+G217+G218+G219+G220+G221+G222+G223+G224+G225</f>
        <v>23005397.109999996</v>
      </c>
      <c r="H214" s="275"/>
      <c r="I214" s="286"/>
      <c r="J214" s="26"/>
      <c r="K214" s="271"/>
      <c r="L214" s="26"/>
      <c r="M214" s="3"/>
    </row>
    <row r="215" spans="1:13" s="1" customFormat="1" ht="24" customHeight="1" x14ac:dyDescent="0.25">
      <c r="A215" s="27"/>
      <c r="B215" s="36" t="s">
        <v>219</v>
      </c>
      <c r="C215" s="37" t="s">
        <v>23</v>
      </c>
      <c r="D215" s="101">
        <v>263327</v>
      </c>
      <c r="E215" s="96">
        <f>E185</f>
        <v>7.38</v>
      </c>
      <c r="F215" s="40">
        <v>5</v>
      </c>
      <c r="G215" s="97">
        <f>ROUND((D215*E215*F215),2)</f>
        <v>9716766.3000000007</v>
      </c>
      <c r="H215" s="276">
        <v>103</v>
      </c>
      <c r="I215" s="499" t="s">
        <v>19</v>
      </c>
      <c r="J215" s="26"/>
      <c r="K215" s="271"/>
      <c r="L215" s="26"/>
      <c r="M215" s="177"/>
    </row>
    <row r="216" spans="1:13" s="1" customFormat="1" ht="20.25" customHeight="1" x14ac:dyDescent="0.25">
      <c r="A216" s="27"/>
      <c r="B216" s="36" t="s">
        <v>220</v>
      </c>
      <c r="C216" s="37" t="s">
        <v>23</v>
      </c>
      <c r="D216" s="101">
        <v>29258</v>
      </c>
      <c r="E216" s="96">
        <v>44.68</v>
      </c>
      <c r="F216" s="40">
        <v>4</v>
      </c>
      <c r="G216" s="97">
        <f t="shared" ref="G216:G225" si="14">ROUND((D216*E216*F216),2)</f>
        <v>5228989.76</v>
      </c>
      <c r="H216" s="276">
        <v>106</v>
      </c>
      <c r="I216" s="500"/>
      <c r="J216" s="26"/>
      <c r="K216" s="271"/>
      <c r="L216" s="26"/>
      <c r="M216" s="3"/>
    </row>
    <row r="217" spans="1:13" s="1" customFormat="1" ht="22.5" customHeight="1" x14ac:dyDescent="0.25">
      <c r="A217" s="27"/>
      <c r="B217" s="36" t="s">
        <v>219</v>
      </c>
      <c r="C217" s="37" t="s">
        <v>23</v>
      </c>
      <c r="D217" s="101">
        <v>8901</v>
      </c>
      <c r="E217" s="96">
        <f>E185</f>
        <v>7.38</v>
      </c>
      <c r="F217" s="40">
        <v>5</v>
      </c>
      <c r="G217" s="97">
        <f t="shared" si="14"/>
        <v>328446.90000000002</v>
      </c>
      <c r="H217" s="276">
        <v>103</v>
      </c>
      <c r="I217" s="499" t="s">
        <v>395</v>
      </c>
      <c r="J217" s="26"/>
      <c r="K217" s="271"/>
      <c r="L217" s="26"/>
      <c r="M217" s="178"/>
    </row>
    <row r="218" spans="1:13" s="1" customFormat="1" ht="20.25" customHeight="1" x14ac:dyDescent="0.25">
      <c r="A218" s="27"/>
      <c r="B218" s="36" t="s">
        <v>220</v>
      </c>
      <c r="C218" s="37" t="s">
        <v>23</v>
      </c>
      <c r="D218" s="101">
        <v>8372</v>
      </c>
      <c r="E218" s="96">
        <f>E186</f>
        <v>59.4</v>
      </c>
      <c r="F218" s="40">
        <v>5</v>
      </c>
      <c r="G218" s="97">
        <f t="shared" si="14"/>
        <v>2486484</v>
      </c>
      <c r="H218" s="276" t="s">
        <v>221</v>
      </c>
      <c r="I218" s="500"/>
      <c r="J218" s="26"/>
      <c r="K218" s="271"/>
      <c r="L218" s="26"/>
      <c r="M218" s="3"/>
    </row>
    <row r="219" spans="1:13" s="1" customFormat="1" ht="21" customHeight="1" x14ac:dyDescent="0.25">
      <c r="A219" s="27"/>
      <c r="B219" s="36" t="s">
        <v>247</v>
      </c>
      <c r="C219" s="37" t="s">
        <v>23</v>
      </c>
      <c r="D219" s="101">
        <v>7383</v>
      </c>
      <c r="E219" s="96">
        <v>67.75</v>
      </c>
      <c r="F219" s="40">
        <v>3</v>
      </c>
      <c r="G219" s="97">
        <f t="shared" si="14"/>
        <v>1500594.75</v>
      </c>
      <c r="H219" s="276">
        <v>112</v>
      </c>
      <c r="I219" s="286" t="s">
        <v>392</v>
      </c>
      <c r="J219" s="26"/>
      <c r="K219" s="271"/>
      <c r="L219" s="26"/>
      <c r="M219" s="98"/>
    </row>
    <row r="220" spans="1:13" s="1" customFormat="1" ht="21" customHeight="1" x14ac:dyDescent="0.25">
      <c r="A220" s="27"/>
      <c r="B220" s="36" t="s">
        <v>222</v>
      </c>
      <c r="C220" s="37" t="s">
        <v>23</v>
      </c>
      <c r="D220" s="101">
        <v>243994</v>
      </c>
      <c r="E220" s="96">
        <f>E189</f>
        <v>4.5199999999999996</v>
      </c>
      <c r="F220" s="40">
        <v>2</v>
      </c>
      <c r="G220" s="97">
        <f t="shared" si="14"/>
        <v>2205705.7599999998</v>
      </c>
      <c r="H220" s="276">
        <v>104</v>
      </c>
      <c r="I220" s="499" t="s">
        <v>19</v>
      </c>
      <c r="J220" s="26"/>
      <c r="K220" s="271"/>
      <c r="L220" s="26"/>
      <c r="M220" s="178"/>
    </row>
    <row r="221" spans="1:13" s="1" customFormat="1" ht="21" customHeight="1" x14ac:dyDescent="0.25">
      <c r="A221" s="27"/>
      <c r="B221" s="36" t="s">
        <v>223</v>
      </c>
      <c r="C221" s="37" t="s">
        <v>23</v>
      </c>
      <c r="D221" s="101">
        <v>31952</v>
      </c>
      <c r="E221" s="96">
        <v>2.67</v>
      </c>
      <c r="F221" s="40">
        <v>7</v>
      </c>
      <c r="G221" s="97">
        <f t="shared" si="14"/>
        <v>597182.88</v>
      </c>
      <c r="H221" s="276" t="s">
        <v>239</v>
      </c>
      <c r="I221" s="501"/>
      <c r="J221" s="26"/>
      <c r="K221" s="271"/>
      <c r="L221" s="26"/>
      <c r="M221" s="98"/>
    </row>
    <row r="222" spans="1:13" s="1" customFormat="1" ht="18.75" customHeight="1" x14ac:dyDescent="0.25">
      <c r="A222" s="27"/>
      <c r="B222" s="36" t="s">
        <v>223</v>
      </c>
      <c r="C222" s="37" t="s">
        <v>23</v>
      </c>
      <c r="D222" s="101">
        <v>16639</v>
      </c>
      <c r="E222" s="96">
        <v>1.92</v>
      </c>
      <c r="F222" s="40">
        <v>7</v>
      </c>
      <c r="G222" s="97">
        <f t="shared" si="14"/>
        <v>223628.16</v>
      </c>
      <c r="H222" s="276" t="s">
        <v>248</v>
      </c>
      <c r="I222" s="500"/>
      <c r="J222" s="26"/>
      <c r="K222" s="271"/>
      <c r="L222" s="26"/>
      <c r="M222" s="98"/>
    </row>
    <row r="223" spans="1:13" s="1" customFormat="1" ht="22.5" customHeight="1" x14ac:dyDescent="0.25">
      <c r="A223" s="27"/>
      <c r="B223" s="36" t="s">
        <v>223</v>
      </c>
      <c r="C223" s="37" t="s">
        <v>23</v>
      </c>
      <c r="D223" s="101">
        <v>16316</v>
      </c>
      <c r="E223" s="96">
        <f>E222</f>
        <v>1.92</v>
      </c>
      <c r="F223" s="40">
        <v>7</v>
      </c>
      <c r="G223" s="97">
        <f t="shared" si="14"/>
        <v>219287.04000000001</v>
      </c>
      <c r="H223" s="276" t="s">
        <v>248</v>
      </c>
      <c r="I223" s="286" t="s">
        <v>392</v>
      </c>
      <c r="J223" s="26"/>
      <c r="K223" s="271"/>
      <c r="L223" s="26"/>
      <c r="M223" s="3"/>
    </row>
    <row r="224" spans="1:13" s="1" customFormat="1" ht="24" customHeight="1" x14ac:dyDescent="0.25">
      <c r="A224" s="27"/>
      <c r="B224" s="36" t="s">
        <v>222</v>
      </c>
      <c r="C224" s="37" t="s">
        <v>23</v>
      </c>
      <c r="D224" s="101">
        <f>D217</f>
        <v>8901</v>
      </c>
      <c r="E224" s="96">
        <f>E189</f>
        <v>4.5199999999999996</v>
      </c>
      <c r="F224" s="40">
        <v>2</v>
      </c>
      <c r="G224" s="97">
        <f t="shared" si="14"/>
        <v>80465.039999999994</v>
      </c>
      <c r="H224" s="276">
        <v>104</v>
      </c>
      <c r="I224" s="499" t="s">
        <v>395</v>
      </c>
      <c r="J224" s="26"/>
      <c r="K224" s="271"/>
      <c r="L224" s="26"/>
      <c r="M224" s="3"/>
    </row>
    <row r="225" spans="1:13" s="1" customFormat="1" ht="21" customHeight="1" x14ac:dyDescent="0.25">
      <c r="A225" s="27"/>
      <c r="B225" s="36" t="s">
        <v>223</v>
      </c>
      <c r="C225" s="37" t="s">
        <v>23</v>
      </c>
      <c r="D225" s="101">
        <f>D218</f>
        <v>8372</v>
      </c>
      <c r="E225" s="96">
        <f>E193</f>
        <v>7.13</v>
      </c>
      <c r="F225" s="40">
        <v>7</v>
      </c>
      <c r="G225" s="97">
        <f t="shared" si="14"/>
        <v>417846.52</v>
      </c>
      <c r="H225" s="276" t="s">
        <v>225</v>
      </c>
      <c r="I225" s="500"/>
      <c r="J225" s="26"/>
      <c r="K225" s="271"/>
      <c r="L225" s="26"/>
      <c r="M225" s="3"/>
    </row>
    <row r="226" spans="1:13" s="1" customFormat="1" ht="15.75" x14ac:dyDescent="0.25">
      <c r="A226" s="27" t="s">
        <v>249</v>
      </c>
      <c r="B226" s="44" t="s">
        <v>250</v>
      </c>
      <c r="C226" s="28" t="s">
        <v>23</v>
      </c>
      <c r="D226" s="179">
        <f>D227+D228+D229</f>
        <v>927281</v>
      </c>
      <c r="E226" s="172"/>
      <c r="F226" s="30"/>
      <c r="G226" s="56">
        <f>SUM(G227:G231)</f>
        <v>10587736.540000001</v>
      </c>
      <c r="H226" s="275"/>
      <c r="I226" s="286"/>
      <c r="J226" s="26"/>
      <c r="K226" s="271"/>
      <c r="L226" s="26"/>
      <c r="M226" s="3"/>
    </row>
    <row r="227" spans="1:13" s="1" customFormat="1" ht="23.25" customHeight="1" x14ac:dyDescent="0.25">
      <c r="A227" s="27"/>
      <c r="B227" s="36" t="s">
        <v>228</v>
      </c>
      <c r="C227" s="37" t="s">
        <v>23</v>
      </c>
      <c r="D227" s="101">
        <v>523064</v>
      </c>
      <c r="E227" s="96">
        <v>1.63</v>
      </c>
      <c r="F227" s="40">
        <v>7</v>
      </c>
      <c r="G227" s="97">
        <f>ROUND((D227*E227*F227),2)</f>
        <v>5968160.2400000002</v>
      </c>
      <c r="H227" s="276" t="s">
        <v>241</v>
      </c>
      <c r="I227" s="499" t="s">
        <v>169</v>
      </c>
      <c r="J227" s="26"/>
      <c r="K227" s="271"/>
      <c r="L227" s="26"/>
      <c r="M227" s="3"/>
    </row>
    <row r="228" spans="1:13" s="1" customFormat="1" ht="21.75" customHeight="1" x14ac:dyDescent="0.25">
      <c r="A228" s="27"/>
      <c r="B228" s="36" t="s">
        <v>228</v>
      </c>
      <c r="C228" s="37" t="s">
        <v>23</v>
      </c>
      <c r="D228" s="101">
        <v>348762</v>
      </c>
      <c r="E228" s="96">
        <v>1.1599999999999999</v>
      </c>
      <c r="F228" s="40">
        <v>7</v>
      </c>
      <c r="G228" s="97">
        <f>ROUND((D228*E228*F228),2)</f>
        <v>2831947.44</v>
      </c>
      <c r="H228" s="276" t="s">
        <v>242</v>
      </c>
      <c r="I228" s="500"/>
      <c r="J228" s="26"/>
      <c r="K228" s="271"/>
      <c r="L228" s="26"/>
      <c r="M228" s="3"/>
    </row>
    <row r="229" spans="1:13" s="1" customFormat="1" ht="21.75" customHeight="1" x14ac:dyDescent="0.25">
      <c r="A229" s="27"/>
      <c r="B229" s="36" t="s">
        <v>228</v>
      </c>
      <c r="C229" s="37" t="s">
        <v>23</v>
      </c>
      <c r="D229" s="101">
        <v>55455</v>
      </c>
      <c r="E229" s="96">
        <v>3.73</v>
      </c>
      <c r="F229" s="40">
        <v>7</v>
      </c>
      <c r="G229" s="97">
        <f>ROUND((D229*E229*F229),2)</f>
        <v>1447930.05</v>
      </c>
      <c r="H229" s="276" t="s">
        <v>230</v>
      </c>
      <c r="I229" s="286" t="s">
        <v>395</v>
      </c>
      <c r="J229" s="26"/>
      <c r="K229" s="271"/>
      <c r="L229" s="26"/>
      <c r="M229" s="3"/>
    </row>
    <row r="230" spans="1:13" s="1" customFormat="1" ht="33.75" customHeight="1" x14ac:dyDescent="0.25">
      <c r="A230" s="57"/>
      <c r="B230" s="180" t="s">
        <v>251</v>
      </c>
      <c r="C230" s="37" t="s">
        <v>23</v>
      </c>
      <c r="D230" s="181">
        <v>352282.45</v>
      </c>
      <c r="E230" s="182">
        <v>0.78</v>
      </c>
      <c r="F230" s="37"/>
      <c r="G230" s="97">
        <f>ROUND((D230*E230*1),2)</f>
        <v>274780.31</v>
      </c>
      <c r="H230" s="276">
        <v>78</v>
      </c>
      <c r="I230" s="499" t="s">
        <v>169</v>
      </c>
      <c r="J230" s="26"/>
      <c r="K230" s="271"/>
      <c r="L230" s="26"/>
      <c r="M230" s="3"/>
    </row>
    <row r="231" spans="1:13" s="1" customFormat="1" ht="29.25" customHeight="1" x14ac:dyDescent="0.25">
      <c r="A231" s="57"/>
      <c r="B231" s="180" t="s">
        <v>252</v>
      </c>
      <c r="C231" s="37" t="s">
        <v>72</v>
      </c>
      <c r="D231" s="38">
        <v>150</v>
      </c>
      <c r="E231" s="182">
        <v>432.79</v>
      </c>
      <c r="F231" s="37"/>
      <c r="G231" s="97">
        <f>ROUND((D231*E231*1),2)</f>
        <v>64918.5</v>
      </c>
      <c r="H231" s="276">
        <v>81</v>
      </c>
      <c r="I231" s="500"/>
      <c r="J231" s="26"/>
      <c r="K231" s="271"/>
      <c r="L231" s="26"/>
      <c r="M231" s="3"/>
    </row>
    <row r="232" spans="1:13" s="114" customFormat="1" ht="20.100000000000001" customHeight="1" x14ac:dyDescent="0.25">
      <c r="A232" s="27" t="s">
        <v>253</v>
      </c>
      <c r="B232" s="107" t="s">
        <v>254</v>
      </c>
      <c r="C232" s="108" t="s">
        <v>23</v>
      </c>
      <c r="D232" s="109">
        <f>D233+D238+D241+D246+D249+D254</f>
        <v>393856</v>
      </c>
      <c r="E232" s="152"/>
      <c r="F232" s="109"/>
      <c r="G232" s="111">
        <f>G233+G238+G241+G246+G249+G254</f>
        <v>20117080.809999999</v>
      </c>
      <c r="H232" s="279"/>
      <c r="I232" s="499" t="s">
        <v>390</v>
      </c>
      <c r="J232" s="26">
        <f>G232</f>
        <v>20117080.809999999</v>
      </c>
      <c r="K232" s="271">
        <v>1.2458550450000001</v>
      </c>
      <c r="L232" s="26">
        <f t="shared" ref="L232" si="15">J232+(J232*K232/100)</f>
        <v>20367710.47617811</v>
      </c>
      <c r="M232" s="114">
        <v>20390</v>
      </c>
    </row>
    <row r="233" spans="1:13" s="114" customFormat="1" ht="19.5" customHeight="1" x14ac:dyDescent="0.25">
      <c r="A233" s="27" t="s">
        <v>255</v>
      </c>
      <c r="B233" s="107" t="s">
        <v>256</v>
      </c>
      <c r="C233" s="108" t="s">
        <v>23</v>
      </c>
      <c r="D233" s="109">
        <v>54766</v>
      </c>
      <c r="E233" s="183"/>
      <c r="F233" s="109"/>
      <c r="G233" s="111">
        <f>G234+G235+G236+G237</f>
        <v>5495900.2300000004</v>
      </c>
      <c r="H233" s="279"/>
      <c r="I233" s="501"/>
      <c r="J233" s="26"/>
      <c r="K233" s="271"/>
      <c r="L233" s="26"/>
    </row>
    <row r="234" spans="1:13" s="1" customFormat="1" ht="20.100000000000001" customHeight="1" x14ac:dyDescent="0.25">
      <c r="A234" s="115"/>
      <c r="B234" s="116" t="s">
        <v>257</v>
      </c>
      <c r="C234" s="117" t="s">
        <v>23</v>
      </c>
      <c r="D234" s="185">
        <f>ROUND((D233*85%),0)</f>
        <v>46551</v>
      </c>
      <c r="E234" s="186">
        <v>7.38</v>
      </c>
      <c r="F234" s="118">
        <v>5</v>
      </c>
      <c r="G234" s="120">
        <f>ROUND((D234*E234*F234),2)</f>
        <v>1717731.9</v>
      </c>
      <c r="H234" s="280">
        <v>103</v>
      </c>
      <c r="I234" s="501"/>
      <c r="J234" s="26"/>
      <c r="K234" s="271"/>
      <c r="L234" s="26"/>
    </row>
    <row r="235" spans="1:13" s="1" customFormat="1" ht="18" customHeight="1" x14ac:dyDescent="0.25">
      <c r="A235" s="115"/>
      <c r="B235" s="116" t="s">
        <v>258</v>
      </c>
      <c r="C235" s="117" t="s">
        <v>23</v>
      </c>
      <c r="D235" s="185">
        <f>D233-D234</f>
        <v>8215</v>
      </c>
      <c r="E235" s="186">
        <f>E218</f>
        <v>59.4</v>
      </c>
      <c r="F235" s="118">
        <v>5</v>
      </c>
      <c r="G235" s="120">
        <f>ROUND((D235*E235*F235),2)</f>
        <v>2439855</v>
      </c>
      <c r="H235" s="280" t="s">
        <v>221</v>
      </c>
      <c r="I235" s="501"/>
      <c r="J235" s="26"/>
      <c r="K235" s="271"/>
      <c r="L235" s="26"/>
    </row>
    <row r="236" spans="1:13" s="1" customFormat="1" ht="20.100000000000001" customHeight="1" x14ac:dyDescent="0.25">
      <c r="A236" s="115"/>
      <c r="B236" s="116" t="s">
        <v>259</v>
      </c>
      <c r="C236" s="117" t="s">
        <v>23</v>
      </c>
      <c r="D236" s="185">
        <f>ROUND((D233*75%),0)</f>
        <v>41075</v>
      </c>
      <c r="E236" s="186">
        <f>E220</f>
        <v>4.5199999999999996</v>
      </c>
      <c r="F236" s="118">
        <v>2</v>
      </c>
      <c r="G236" s="120">
        <f>ROUND((D236*E236*F236),2)</f>
        <v>371318</v>
      </c>
      <c r="H236" s="280">
        <v>104</v>
      </c>
      <c r="I236" s="501"/>
      <c r="J236" s="26"/>
      <c r="K236" s="271"/>
      <c r="L236" s="26"/>
    </row>
    <row r="237" spans="1:13" s="1" customFormat="1" ht="20.100000000000001" customHeight="1" x14ac:dyDescent="0.25">
      <c r="A237" s="115"/>
      <c r="B237" s="116" t="s">
        <v>260</v>
      </c>
      <c r="C237" s="117" t="s">
        <v>23</v>
      </c>
      <c r="D237" s="185">
        <f>D233-D236</f>
        <v>13691</v>
      </c>
      <c r="E237" s="186">
        <v>10.09</v>
      </c>
      <c r="F237" s="118">
        <v>7</v>
      </c>
      <c r="G237" s="120">
        <f>ROUND((D237*E237*F237),2)</f>
        <v>966995.33</v>
      </c>
      <c r="H237" s="280" t="s">
        <v>261</v>
      </c>
      <c r="I237" s="501"/>
      <c r="J237" s="26"/>
      <c r="K237" s="271"/>
      <c r="L237" s="26"/>
    </row>
    <row r="238" spans="1:13" s="114" customFormat="1" ht="20.100000000000001" customHeight="1" x14ac:dyDescent="0.25">
      <c r="A238" s="27" t="s">
        <v>262</v>
      </c>
      <c r="B238" s="107" t="s">
        <v>263</v>
      </c>
      <c r="C238" s="108" t="s">
        <v>23</v>
      </c>
      <c r="D238" s="109">
        <v>149695</v>
      </c>
      <c r="E238" s="110"/>
      <c r="F238" s="109"/>
      <c r="G238" s="111">
        <f>SUM(G239:G240)</f>
        <v>5401793.9500000002</v>
      </c>
      <c r="H238" s="279"/>
      <c r="I238" s="501"/>
      <c r="J238" s="26"/>
      <c r="K238" s="271"/>
      <c r="L238" s="26"/>
    </row>
    <row r="239" spans="1:13" s="1" customFormat="1" ht="20.25" customHeight="1" x14ac:dyDescent="0.25">
      <c r="A239" s="115"/>
      <c r="B239" s="116" t="s">
        <v>264</v>
      </c>
      <c r="C239" s="117" t="s">
        <v>23</v>
      </c>
      <c r="D239" s="118">
        <v>74850</v>
      </c>
      <c r="E239" s="186">
        <f>E196</f>
        <v>6.58</v>
      </c>
      <c r="F239" s="118">
        <v>7</v>
      </c>
      <c r="G239" s="120">
        <f>ROUND((D239*E239*F239),2)</f>
        <v>3447591</v>
      </c>
      <c r="H239" s="280" t="s">
        <v>229</v>
      </c>
      <c r="I239" s="501"/>
      <c r="J239" s="26"/>
      <c r="K239" s="271"/>
      <c r="L239" s="26"/>
    </row>
    <row r="240" spans="1:13" s="1" customFormat="1" ht="19.5" customHeight="1" x14ac:dyDescent="0.25">
      <c r="A240" s="57"/>
      <c r="B240" s="116" t="s">
        <v>265</v>
      </c>
      <c r="C240" s="117" t="s">
        <v>23</v>
      </c>
      <c r="D240" s="118">
        <f>D238-D239</f>
        <v>74845</v>
      </c>
      <c r="E240" s="186">
        <f>E197</f>
        <v>3.73</v>
      </c>
      <c r="F240" s="118">
        <v>7</v>
      </c>
      <c r="G240" s="120">
        <f>ROUND((D240*E240*F240),2)</f>
        <v>1954202.95</v>
      </c>
      <c r="H240" s="280" t="s">
        <v>230</v>
      </c>
      <c r="I240" s="501"/>
      <c r="J240" s="26"/>
      <c r="K240" s="271"/>
      <c r="L240" s="26"/>
      <c r="M240" s="3"/>
    </row>
    <row r="241" spans="1:13" s="114" customFormat="1" ht="20.100000000000001" customHeight="1" x14ac:dyDescent="0.25">
      <c r="A241" s="27" t="s">
        <v>266</v>
      </c>
      <c r="B241" s="107" t="s">
        <v>267</v>
      </c>
      <c r="C241" s="108" t="s">
        <v>23</v>
      </c>
      <c r="D241" s="109">
        <v>29523</v>
      </c>
      <c r="E241" s="124"/>
      <c r="F241" s="109"/>
      <c r="G241" s="111">
        <f>SUM(G242:G245)</f>
        <v>2962605.21</v>
      </c>
      <c r="H241" s="279"/>
      <c r="I241" s="501"/>
      <c r="J241" s="26"/>
      <c r="K241" s="271"/>
      <c r="L241" s="26"/>
    </row>
    <row r="242" spans="1:13" s="1" customFormat="1" ht="19.149999999999999" customHeight="1" x14ac:dyDescent="0.25">
      <c r="A242" s="115"/>
      <c r="B242" s="116" t="s">
        <v>257</v>
      </c>
      <c r="C242" s="117" t="s">
        <v>23</v>
      </c>
      <c r="D242" s="185">
        <f>ROUND((D241*85%),0)</f>
        <v>25095</v>
      </c>
      <c r="E242" s="186">
        <f>E234</f>
        <v>7.38</v>
      </c>
      <c r="F242" s="118">
        <v>5</v>
      </c>
      <c r="G242" s="120">
        <f>ROUND((D242*E242*F242),2)</f>
        <v>926005.5</v>
      </c>
      <c r="H242" s="280">
        <v>103</v>
      </c>
      <c r="I242" s="501"/>
      <c r="J242" s="26"/>
      <c r="K242" s="271"/>
      <c r="L242" s="26"/>
    </row>
    <row r="243" spans="1:13" s="1" customFormat="1" ht="20.100000000000001" customHeight="1" x14ac:dyDescent="0.25">
      <c r="A243" s="115"/>
      <c r="B243" s="116" t="s">
        <v>258</v>
      </c>
      <c r="C243" s="117" t="s">
        <v>23</v>
      </c>
      <c r="D243" s="185">
        <f>D241-D242</f>
        <v>4428</v>
      </c>
      <c r="E243" s="186">
        <f>E235</f>
        <v>59.4</v>
      </c>
      <c r="F243" s="118">
        <v>5</v>
      </c>
      <c r="G243" s="120">
        <f>ROUND((D243*E243*F243),2)</f>
        <v>1315116</v>
      </c>
      <c r="H243" s="280" t="s">
        <v>221</v>
      </c>
      <c r="I243" s="501"/>
      <c r="J243" s="26"/>
      <c r="K243" s="271"/>
      <c r="L243" s="26"/>
    </row>
    <row r="244" spans="1:13" s="1" customFormat="1" ht="19.149999999999999" customHeight="1" x14ac:dyDescent="0.25">
      <c r="A244" s="115"/>
      <c r="B244" s="116" t="s">
        <v>259</v>
      </c>
      <c r="C244" s="117" t="s">
        <v>23</v>
      </c>
      <c r="D244" s="185">
        <f>ROUND((D241*75%),0)</f>
        <v>22142</v>
      </c>
      <c r="E244" s="186">
        <f>E236</f>
        <v>4.5199999999999996</v>
      </c>
      <c r="F244" s="118">
        <v>2</v>
      </c>
      <c r="G244" s="120">
        <f>ROUND((D244*E244*F244),2)</f>
        <v>200163.68</v>
      </c>
      <c r="H244" s="280">
        <v>104</v>
      </c>
      <c r="I244" s="501"/>
      <c r="J244" s="26"/>
      <c r="K244" s="271"/>
      <c r="L244" s="26"/>
    </row>
    <row r="245" spans="1:13" s="1" customFormat="1" ht="20.100000000000001" customHeight="1" x14ac:dyDescent="0.25">
      <c r="A245" s="115"/>
      <c r="B245" s="116" t="s">
        <v>260</v>
      </c>
      <c r="C245" s="117" t="s">
        <v>23</v>
      </c>
      <c r="D245" s="185">
        <f>D241-D244</f>
        <v>7381</v>
      </c>
      <c r="E245" s="186">
        <f>E237</f>
        <v>10.09</v>
      </c>
      <c r="F245" s="118">
        <v>7</v>
      </c>
      <c r="G245" s="120">
        <f>ROUND((D245*E245*F245),2)</f>
        <v>521320.03</v>
      </c>
      <c r="H245" s="280" t="s">
        <v>261</v>
      </c>
      <c r="I245" s="501"/>
      <c r="J245" s="26"/>
      <c r="K245" s="271"/>
      <c r="L245" s="26"/>
    </row>
    <row r="246" spans="1:13" s="114" customFormat="1" ht="20.100000000000001" customHeight="1" x14ac:dyDescent="0.25">
      <c r="A246" s="27" t="s">
        <v>268</v>
      </c>
      <c r="B246" s="107" t="s">
        <v>269</v>
      </c>
      <c r="C246" s="108" t="s">
        <v>23</v>
      </c>
      <c r="D246" s="109">
        <v>93242</v>
      </c>
      <c r="E246" s="110"/>
      <c r="F246" s="109"/>
      <c r="G246" s="111">
        <f>SUM(G247:G248)</f>
        <v>3423130.97</v>
      </c>
      <c r="H246" s="279"/>
      <c r="I246" s="501"/>
      <c r="J246" s="26"/>
      <c r="K246" s="271"/>
      <c r="L246" s="26"/>
    </row>
    <row r="247" spans="1:13" s="1" customFormat="1" ht="21.75" customHeight="1" x14ac:dyDescent="0.25">
      <c r="A247" s="115"/>
      <c r="B247" s="116" t="s">
        <v>264</v>
      </c>
      <c r="C247" s="117" t="s">
        <v>23</v>
      </c>
      <c r="D247" s="118">
        <v>49553</v>
      </c>
      <c r="E247" s="186">
        <f>E239</f>
        <v>6.58</v>
      </c>
      <c r="F247" s="118">
        <v>7</v>
      </c>
      <c r="G247" s="120">
        <f>ROUND((D247*E247*F247),2)</f>
        <v>2282411.1800000002</v>
      </c>
      <c r="H247" s="280" t="s">
        <v>229</v>
      </c>
      <c r="I247" s="501"/>
      <c r="J247" s="26"/>
      <c r="K247" s="271"/>
      <c r="L247" s="26"/>
    </row>
    <row r="248" spans="1:13" s="1" customFormat="1" ht="19.5" customHeight="1" x14ac:dyDescent="0.25">
      <c r="A248" s="57"/>
      <c r="B248" s="116" t="s">
        <v>265</v>
      </c>
      <c r="C248" s="117" t="s">
        <v>23</v>
      </c>
      <c r="D248" s="118">
        <f>D246-D247</f>
        <v>43689</v>
      </c>
      <c r="E248" s="186">
        <f>E240</f>
        <v>3.73</v>
      </c>
      <c r="F248" s="118">
        <v>7</v>
      </c>
      <c r="G248" s="120">
        <f>ROUND((D248*E248*F248),2)</f>
        <v>1140719.79</v>
      </c>
      <c r="H248" s="280" t="s">
        <v>230</v>
      </c>
      <c r="I248" s="501"/>
      <c r="J248" s="26"/>
      <c r="K248" s="271"/>
      <c r="L248" s="26"/>
      <c r="M248" s="3"/>
    </row>
    <row r="249" spans="1:13" s="114" customFormat="1" ht="20.100000000000001" customHeight="1" x14ac:dyDescent="0.25">
      <c r="A249" s="27" t="s">
        <v>270</v>
      </c>
      <c r="B249" s="107" t="s">
        <v>271</v>
      </c>
      <c r="C249" s="108" t="s">
        <v>23</v>
      </c>
      <c r="D249" s="109">
        <v>6680</v>
      </c>
      <c r="E249" s="124"/>
      <c r="F249" s="109"/>
      <c r="G249" s="111">
        <f>SUM(G250:G253)</f>
        <v>670354.69999999995</v>
      </c>
      <c r="H249" s="279"/>
      <c r="I249" s="501"/>
      <c r="J249" s="26"/>
      <c r="K249" s="271"/>
      <c r="L249" s="26"/>
    </row>
    <row r="250" spans="1:13" s="1" customFormat="1" ht="20.100000000000001" customHeight="1" x14ac:dyDescent="0.25">
      <c r="A250" s="115"/>
      <c r="B250" s="116" t="s">
        <v>257</v>
      </c>
      <c r="C250" s="117" t="s">
        <v>23</v>
      </c>
      <c r="D250" s="185">
        <f>ROUND((D249*85%),0)</f>
        <v>5678</v>
      </c>
      <c r="E250" s="186">
        <f>E242</f>
        <v>7.38</v>
      </c>
      <c r="F250" s="118">
        <v>5</v>
      </c>
      <c r="G250" s="120">
        <f>ROUND((D250*E250*F250),2)</f>
        <v>209518.2</v>
      </c>
      <c r="H250" s="280">
        <v>103</v>
      </c>
      <c r="I250" s="501"/>
      <c r="J250" s="26"/>
      <c r="K250" s="271"/>
      <c r="L250" s="26"/>
    </row>
    <row r="251" spans="1:13" s="1" customFormat="1" ht="20.100000000000001" customHeight="1" x14ac:dyDescent="0.25">
      <c r="A251" s="115"/>
      <c r="B251" s="116" t="s">
        <v>258</v>
      </c>
      <c r="C251" s="117" t="s">
        <v>23</v>
      </c>
      <c r="D251" s="185">
        <f>D249-D250</f>
        <v>1002</v>
      </c>
      <c r="E251" s="186">
        <f>E243</f>
        <v>59.4</v>
      </c>
      <c r="F251" s="118">
        <v>5</v>
      </c>
      <c r="G251" s="120">
        <f>ROUND((D251*E251*F251),2)</f>
        <v>297594</v>
      </c>
      <c r="H251" s="280" t="s">
        <v>221</v>
      </c>
      <c r="I251" s="501"/>
      <c r="J251" s="26"/>
      <c r="K251" s="271"/>
      <c r="L251" s="26"/>
    </row>
    <row r="252" spans="1:13" s="1" customFormat="1" ht="20.100000000000001" customHeight="1" x14ac:dyDescent="0.25">
      <c r="A252" s="115"/>
      <c r="B252" s="116" t="s">
        <v>259</v>
      </c>
      <c r="C252" s="117" t="s">
        <v>23</v>
      </c>
      <c r="D252" s="185">
        <f>ROUND((D249*75%),0)</f>
        <v>5010</v>
      </c>
      <c r="E252" s="186">
        <f>E244</f>
        <v>4.5199999999999996</v>
      </c>
      <c r="F252" s="118">
        <v>2</v>
      </c>
      <c r="G252" s="120">
        <f>ROUND((D252*E252*F252),2)</f>
        <v>45290.400000000001</v>
      </c>
      <c r="H252" s="280">
        <v>104</v>
      </c>
      <c r="I252" s="501"/>
      <c r="J252" s="26"/>
      <c r="K252" s="271"/>
      <c r="L252" s="26"/>
    </row>
    <row r="253" spans="1:13" s="1" customFormat="1" ht="20.100000000000001" customHeight="1" x14ac:dyDescent="0.25">
      <c r="A253" s="115"/>
      <c r="B253" s="116" t="s">
        <v>260</v>
      </c>
      <c r="C253" s="117" t="s">
        <v>23</v>
      </c>
      <c r="D253" s="185">
        <f>D249-D252</f>
        <v>1670</v>
      </c>
      <c r="E253" s="186">
        <f>E245</f>
        <v>10.09</v>
      </c>
      <c r="F253" s="118">
        <v>7</v>
      </c>
      <c r="G253" s="120">
        <f>ROUND((D253*E253*F253),2)</f>
        <v>117952.1</v>
      </c>
      <c r="H253" s="280" t="s">
        <v>261</v>
      </c>
      <c r="I253" s="501"/>
      <c r="J253" s="26"/>
      <c r="K253" s="271"/>
      <c r="L253" s="26"/>
    </row>
    <row r="254" spans="1:13" s="114" customFormat="1" ht="20.100000000000001" customHeight="1" x14ac:dyDescent="0.25">
      <c r="A254" s="27" t="s">
        <v>272</v>
      </c>
      <c r="B254" s="107" t="s">
        <v>273</v>
      </c>
      <c r="C254" s="108" t="s">
        <v>23</v>
      </c>
      <c r="D254" s="109">
        <v>59950</v>
      </c>
      <c r="E254" s="110"/>
      <c r="F254" s="109"/>
      <c r="G254" s="111">
        <f>SUM(G255:G256)</f>
        <v>2163295.75</v>
      </c>
      <c r="H254" s="279"/>
      <c r="I254" s="501"/>
      <c r="J254" s="26"/>
      <c r="K254" s="271"/>
      <c r="L254" s="26"/>
    </row>
    <row r="255" spans="1:13" s="1" customFormat="1" ht="21" customHeight="1" x14ac:dyDescent="0.25">
      <c r="A255" s="115"/>
      <c r="B255" s="116" t="s">
        <v>264</v>
      </c>
      <c r="C255" s="117" t="s">
        <v>23</v>
      </c>
      <c r="D255" s="118">
        <f>D254*50%</f>
        <v>29975</v>
      </c>
      <c r="E255" s="186">
        <f>E247</f>
        <v>6.58</v>
      </c>
      <c r="F255" s="118">
        <v>7</v>
      </c>
      <c r="G255" s="120">
        <f>ROUND((D255*E255*F255),2)</f>
        <v>1380648.5</v>
      </c>
      <c r="H255" s="280" t="s">
        <v>229</v>
      </c>
      <c r="I255" s="501"/>
      <c r="J255" s="26"/>
      <c r="K255" s="271"/>
      <c r="L255" s="26"/>
    </row>
    <row r="256" spans="1:13" s="1" customFormat="1" ht="19.5" customHeight="1" x14ac:dyDescent="0.25">
      <c r="A256" s="57"/>
      <c r="B256" s="116" t="s">
        <v>265</v>
      </c>
      <c r="C256" s="117" t="s">
        <v>23</v>
      </c>
      <c r="D256" s="118">
        <f>D254-D255</f>
        <v>29975</v>
      </c>
      <c r="E256" s="186">
        <f>E248</f>
        <v>3.73</v>
      </c>
      <c r="F256" s="118">
        <v>7</v>
      </c>
      <c r="G256" s="120">
        <f>ROUND((D256*E256*F256),2)</f>
        <v>782647.25</v>
      </c>
      <c r="H256" s="280" t="s">
        <v>230</v>
      </c>
      <c r="I256" s="500"/>
      <c r="J256" s="26"/>
      <c r="K256" s="271"/>
      <c r="L256" s="26"/>
      <c r="M256" s="3"/>
    </row>
    <row r="257" spans="1:12" s="1" customFormat="1" ht="19.5" customHeight="1" x14ac:dyDescent="0.25">
      <c r="A257" s="27" t="s">
        <v>274</v>
      </c>
      <c r="B257" s="21" t="s">
        <v>378</v>
      </c>
      <c r="C257" s="28"/>
      <c r="D257" s="150">
        <f>D258+D268</f>
        <v>122174</v>
      </c>
      <c r="E257" s="2"/>
      <c r="F257" s="14"/>
      <c r="G257" s="132">
        <f>G258+G268</f>
        <v>12712483.34</v>
      </c>
      <c r="H257" s="275"/>
      <c r="I257" s="502" t="s">
        <v>395</v>
      </c>
      <c r="J257" s="133"/>
      <c r="K257" s="271"/>
      <c r="L257" s="26"/>
    </row>
    <row r="258" spans="1:12" s="1" customFormat="1" ht="15.75" customHeight="1" x14ac:dyDescent="0.25">
      <c r="A258" s="27" t="s">
        <v>379</v>
      </c>
      <c r="B258" s="44" t="s">
        <v>218</v>
      </c>
      <c r="C258" s="45" t="s">
        <v>23</v>
      </c>
      <c r="D258" s="150">
        <f>D263+D264+D265+D266+D267</f>
        <v>43793</v>
      </c>
      <c r="E258" s="2"/>
      <c r="F258" s="29"/>
      <c r="G258" s="132">
        <f>SUM(G259:G267)</f>
        <v>9102254.4799999986</v>
      </c>
      <c r="H258" s="275"/>
      <c r="I258" s="503"/>
      <c r="J258" s="25"/>
      <c r="K258" s="271"/>
      <c r="L258" s="26"/>
    </row>
    <row r="259" spans="1:12" s="1" customFormat="1" ht="15.75" customHeight="1" x14ac:dyDescent="0.25">
      <c r="A259" s="27"/>
      <c r="B259" s="46" t="s">
        <v>219</v>
      </c>
      <c r="C259" s="14" t="s">
        <v>23</v>
      </c>
      <c r="D259" s="168">
        <v>6056</v>
      </c>
      <c r="E259" s="169">
        <v>7.38</v>
      </c>
      <c r="F259" s="30">
        <v>5</v>
      </c>
      <c r="G259" s="60">
        <f>ROUND((D259*E259*F259),2)</f>
        <v>223466.4</v>
      </c>
      <c r="H259" s="275">
        <v>103</v>
      </c>
      <c r="I259" s="503"/>
      <c r="J259" s="25"/>
      <c r="K259" s="271"/>
      <c r="L259" s="26"/>
    </row>
    <row r="260" spans="1:12" s="1" customFormat="1" ht="15.75" customHeight="1" x14ac:dyDescent="0.25">
      <c r="A260" s="27"/>
      <c r="B260" s="49" t="s">
        <v>219</v>
      </c>
      <c r="C260" s="50" t="s">
        <v>23</v>
      </c>
      <c r="D260" s="170">
        <f>3323+17970</f>
        <v>21293</v>
      </c>
      <c r="E260" s="171">
        <v>7.38</v>
      </c>
      <c r="F260" s="55">
        <v>5</v>
      </c>
      <c r="G260" s="53">
        <f>ROUND((D260*E260*F260),2)</f>
        <v>785711.7</v>
      </c>
      <c r="H260" s="278">
        <v>103</v>
      </c>
      <c r="I260" s="503"/>
      <c r="J260" s="25"/>
      <c r="K260" s="271"/>
      <c r="L260" s="26"/>
    </row>
    <row r="261" spans="1:12" s="1" customFormat="1" ht="15.75" x14ac:dyDescent="0.25">
      <c r="A261" s="27"/>
      <c r="B261" s="46" t="s">
        <v>220</v>
      </c>
      <c r="C261" s="14" t="s">
        <v>23</v>
      </c>
      <c r="D261" s="168">
        <f>3428+8000</f>
        <v>11428</v>
      </c>
      <c r="E261" s="169">
        <v>59.4</v>
      </c>
      <c r="F261" s="30">
        <v>5</v>
      </c>
      <c r="G261" s="60">
        <f t="shared" ref="G261:G267" si="16">ROUND((D261*E261*F261),2)</f>
        <v>3394116</v>
      </c>
      <c r="H261" s="275" t="s">
        <v>221</v>
      </c>
      <c r="I261" s="503"/>
      <c r="J261" s="25"/>
      <c r="K261" s="271"/>
      <c r="L261" s="26"/>
    </row>
    <row r="262" spans="1:12" s="1" customFormat="1" ht="15.75" x14ac:dyDescent="0.25">
      <c r="A262" s="27"/>
      <c r="B262" s="49" t="s">
        <v>220</v>
      </c>
      <c r="C262" s="50" t="s">
        <v>23</v>
      </c>
      <c r="D262" s="170">
        <v>5016</v>
      </c>
      <c r="E262" s="171">
        <v>59.4</v>
      </c>
      <c r="F262" s="55">
        <v>5</v>
      </c>
      <c r="G262" s="53">
        <f t="shared" si="16"/>
        <v>1489752</v>
      </c>
      <c r="H262" s="278" t="s">
        <v>221</v>
      </c>
      <c r="I262" s="503"/>
      <c r="J262" s="25"/>
      <c r="K262" s="271"/>
      <c r="L262" s="26"/>
    </row>
    <row r="263" spans="1:12" s="1" customFormat="1" ht="15.75" x14ac:dyDescent="0.25">
      <c r="A263" s="27"/>
      <c r="B263" s="46" t="s">
        <v>380</v>
      </c>
      <c r="C263" s="14" t="s">
        <v>23</v>
      </c>
      <c r="D263" s="168">
        <f>D259</f>
        <v>6056</v>
      </c>
      <c r="E263" s="169">
        <v>4.5199999999999996</v>
      </c>
      <c r="F263" s="30">
        <v>7</v>
      </c>
      <c r="G263" s="60">
        <f t="shared" si="16"/>
        <v>191611.84</v>
      </c>
      <c r="H263" s="275">
        <v>104</v>
      </c>
      <c r="I263" s="503"/>
      <c r="J263" s="25"/>
      <c r="K263" s="271"/>
      <c r="L263" s="26"/>
    </row>
    <row r="264" spans="1:12" s="1" customFormat="1" ht="15.75" x14ac:dyDescent="0.25">
      <c r="A264" s="27"/>
      <c r="B264" s="49" t="s">
        <v>380</v>
      </c>
      <c r="C264" s="50" t="s">
        <v>23</v>
      </c>
      <c r="D264" s="170">
        <v>3323</v>
      </c>
      <c r="E264" s="171">
        <v>4.5199999999999996</v>
      </c>
      <c r="F264" s="55">
        <v>7</v>
      </c>
      <c r="G264" s="53">
        <f t="shared" si="16"/>
        <v>105139.72</v>
      </c>
      <c r="H264" s="278">
        <v>104</v>
      </c>
      <c r="I264" s="503"/>
      <c r="J264" s="25"/>
      <c r="K264" s="271"/>
      <c r="L264" s="26"/>
    </row>
    <row r="265" spans="1:12" s="1" customFormat="1" ht="15.75" x14ac:dyDescent="0.25">
      <c r="A265" s="27"/>
      <c r="B265" s="46" t="s">
        <v>223</v>
      </c>
      <c r="C265" s="14" t="s">
        <v>23</v>
      </c>
      <c r="D265" s="168">
        <f>D261</f>
        <v>11428</v>
      </c>
      <c r="E265" s="169">
        <v>12.09</v>
      </c>
      <c r="F265" s="30">
        <v>7</v>
      </c>
      <c r="G265" s="60">
        <f t="shared" si="16"/>
        <v>967151.64</v>
      </c>
      <c r="H265" s="275" t="s">
        <v>225</v>
      </c>
      <c r="I265" s="503"/>
      <c r="J265" s="25"/>
      <c r="K265" s="271"/>
      <c r="L265" s="26"/>
    </row>
    <row r="266" spans="1:12" s="1" customFormat="1" ht="15.75" x14ac:dyDescent="0.25">
      <c r="A266" s="27"/>
      <c r="B266" s="49" t="s">
        <v>223</v>
      </c>
      <c r="C266" s="50" t="s">
        <v>23</v>
      </c>
      <c r="D266" s="170">
        <v>5016</v>
      </c>
      <c r="E266" s="171">
        <v>12.09</v>
      </c>
      <c r="F266" s="55">
        <v>7</v>
      </c>
      <c r="G266" s="53">
        <f t="shared" si="16"/>
        <v>424504.08</v>
      </c>
      <c r="H266" s="278" t="s">
        <v>225</v>
      </c>
      <c r="I266" s="503"/>
      <c r="J266" s="25"/>
      <c r="K266" s="271"/>
      <c r="L266" s="26"/>
    </row>
    <row r="267" spans="1:12" s="1" customFormat="1" ht="15.75" x14ac:dyDescent="0.25">
      <c r="A267" s="27"/>
      <c r="B267" s="49" t="s">
        <v>223</v>
      </c>
      <c r="C267" s="50" t="s">
        <v>23</v>
      </c>
      <c r="D267" s="170">
        <v>17970</v>
      </c>
      <c r="E267" s="171">
        <f>E265</f>
        <v>12.09</v>
      </c>
      <c r="F267" s="55">
        <v>7</v>
      </c>
      <c r="G267" s="53">
        <f t="shared" si="16"/>
        <v>1520801.1</v>
      </c>
      <c r="H267" s="278" t="s">
        <v>225</v>
      </c>
      <c r="I267" s="503"/>
      <c r="J267" s="25"/>
      <c r="K267" s="271"/>
      <c r="L267" s="26"/>
    </row>
    <row r="268" spans="1:12" s="1" customFormat="1" ht="15.75" x14ac:dyDescent="0.25">
      <c r="A268" s="27" t="s">
        <v>381</v>
      </c>
      <c r="B268" s="44" t="s">
        <v>136</v>
      </c>
      <c r="C268" s="45" t="s">
        <v>23</v>
      </c>
      <c r="D268" s="29">
        <f>D269+D270+D271</f>
        <v>78381</v>
      </c>
      <c r="E268" s="149"/>
      <c r="F268" s="29"/>
      <c r="G268" s="56">
        <f>SUM(G269:G271)</f>
        <v>3610228.8600000003</v>
      </c>
      <c r="H268" s="275"/>
      <c r="I268" s="503"/>
      <c r="J268" s="25"/>
      <c r="K268" s="271"/>
      <c r="L268" s="26"/>
    </row>
    <row r="269" spans="1:12" s="1" customFormat="1" ht="17.25" customHeight="1" x14ac:dyDescent="0.25">
      <c r="A269" s="27"/>
      <c r="B269" s="46" t="s">
        <v>228</v>
      </c>
      <c r="C269" s="14" t="s">
        <v>23</v>
      </c>
      <c r="D269" s="33">
        <v>30455</v>
      </c>
      <c r="E269" s="169">
        <v>6.58</v>
      </c>
      <c r="F269" s="30">
        <v>7</v>
      </c>
      <c r="G269" s="60">
        <f>ROUND((D269*E269*F269),2)</f>
        <v>1402757.3</v>
      </c>
      <c r="H269" s="275" t="s">
        <v>229</v>
      </c>
      <c r="I269" s="503"/>
      <c r="J269" s="25"/>
      <c r="K269" s="271"/>
      <c r="L269" s="26"/>
    </row>
    <row r="270" spans="1:12" s="1" customFormat="1" ht="17.25" customHeight="1" x14ac:dyDescent="0.25">
      <c r="A270" s="27"/>
      <c r="B270" s="49" t="s">
        <v>228</v>
      </c>
      <c r="C270" s="50" t="s">
        <v>23</v>
      </c>
      <c r="D270" s="51">
        <v>12538</v>
      </c>
      <c r="E270" s="171">
        <v>6.58</v>
      </c>
      <c r="F270" s="55">
        <v>7</v>
      </c>
      <c r="G270" s="53">
        <f>ROUND((D270*E270*F270),2)</f>
        <v>577500.28</v>
      </c>
      <c r="H270" s="278" t="s">
        <v>229</v>
      </c>
      <c r="I270" s="503"/>
      <c r="J270" s="25"/>
      <c r="K270" s="271"/>
      <c r="L270" s="26"/>
    </row>
    <row r="271" spans="1:12" s="1" customFormat="1" ht="17.25" customHeight="1" x14ac:dyDescent="0.25">
      <c r="A271" s="27"/>
      <c r="B271" s="49" t="s">
        <v>228</v>
      </c>
      <c r="C271" s="50" t="s">
        <v>23</v>
      </c>
      <c r="D271" s="51">
        <v>35388</v>
      </c>
      <c r="E271" s="171">
        <f>E269</f>
        <v>6.58</v>
      </c>
      <c r="F271" s="55">
        <v>7</v>
      </c>
      <c r="G271" s="53">
        <f>ROUND((D271*E271*F271),2)</f>
        <v>1629971.28</v>
      </c>
      <c r="H271" s="278" t="s">
        <v>229</v>
      </c>
      <c r="I271" s="504"/>
      <c r="J271" s="25"/>
      <c r="K271" s="271"/>
      <c r="L271" s="26"/>
    </row>
    <row r="272" spans="1:12" s="114" customFormat="1" ht="17.25" customHeight="1" x14ac:dyDescent="0.25">
      <c r="A272" s="27" t="s">
        <v>274</v>
      </c>
      <c r="B272" s="107" t="s">
        <v>275</v>
      </c>
      <c r="C272" s="108" t="s">
        <v>23</v>
      </c>
      <c r="D272" s="109">
        <v>67510</v>
      </c>
      <c r="E272" s="152"/>
      <c r="F272" s="109"/>
      <c r="G272" s="111">
        <f>G273+G274</f>
        <v>1284581.5</v>
      </c>
      <c r="H272" s="279"/>
      <c r="I272" s="499" t="s">
        <v>394</v>
      </c>
      <c r="J272" s="26"/>
      <c r="K272" s="271"/>
      <c r="L272" s="26"/>
    </row>
    <row r="273" spans="1:13" s="114" customFormat="1" ht="17.25" customHeight="1" x14ac:dyDescent="0.25">
      <c r="A273" s="27"/>
      <c r="B273" s="116" t="s">
        <v>276</v>
      </c>
      <c r="C273" s="117" t="s">
        <v>23</v>
      </c>
      <c r="D273" s="118">
        <v>12500</v>
      </c>
      <c r="E273" s="189">
        <v>13.38</v>
      </c>
      <c r="F273" s="130">
        <v>5</v>
      </c>
      <c r="G273" s="120">
        <f>D273*E273*F273</f>
        <v>836250</v>
      </c>
      <c r="H273" s="280">
        <v>96</v>
      </c>
      <c r="I273" s="501"/>
      <c r="J273" s="26"/>
      <c r="K273" s="271"/>
      <c r="L273" s="26"/>
    </row>
    <row r="274" spans="1:13" s="114" customFormat="1" ht="17.25" customHeight="1" x14ac:dyDescent="0.25">
      <c r="A274" s="27"/>
      <c r="B274" s="116" t="s">
        <v>277</v>
      </c>
      <c r="C274" s="117" t="s">
        <v>23</v>
      </c>
      <c r="D274" s="118">
        <f>D272-D273</f>
        <v>55010</v>
      </c>
      <c r="E274" s="189">
        <v>1.63</v>
      </c>
      <c r="F274" s="130">
        <v>5</v>
      </c>
      <c r="G274" s="120">
        <f>D274*E274*F274</f>
        <v>448331.49999999994</v>
      </c>
      <c r="H274" s="280" t="s">
        <v>241</v>
      </c>
      <c r="I274" s="500"/>
      <c r="J274" s="26"/>
      <c r="K274" s="271"/>
      <c r="L274" s="26"/>
    </row>
    <row r="275" spans="1:13" s="1" customFormat="1" ht="19.5" customHeight="1" x14ac:dyDescent="0.25">
      <c r="A275" s="27" t="s">
        <v>0</v>
      </c>
      <c r="B275" s="21" t="s">
        <v>4</v>
      </c>
      <c r="C275" s="45" t="s">
        <v>278</v>
      </c>
      <c r="D275" s="190">
        <f>D276</f>
        <v>40</v>
      </c>
      <c r="E275" s="2"/>
      <c r="F275" s="29"/>
      <c r="G275" s="56">
        <f>G276</f>
        <v>38651.199999999997</v>
      </c>
      <c r="H275" s="275"/>
      <c r="I275" s="273"/>
      <c r="J275" s="26"/>
      <c r="K275" s="271"/>
      <c r="L275" s="26"/>
      <c r="M275" s="3"/>
    </row>
    <row r="276" spans="1:13" s="3" customFormat="1" ht="19.5" customHeight="1" x14ac:dyDescent="0.25">
      <c r="A276" s="122" t="s">
        <v>279</v>
      </c>
      <c r="B276" s="32" t="s">
        <v>280</v>
      </c>
      <c r="C276" s="63" t="s">
        <v>278</v>
      </c>
      <c r="D276" s="173">
        <v>40</v>
      </c>
      <c r="E276" s="106">
        <v>966.28</v>
      </c>
      <c r="F276" s="69"/>
      <c r="G276" s="60">
        <f>ROUND((D276*E276),2)</f>
        <v>38651.199999999997</v>
      </c>
      <c r="H276" s="277">
        <v>121</v>
      </c>
      <c r="I276" s="273"/>
      <c r="J276" s="26"/>
      <c r="K276" s="271"/>
      <c r="L276" s="26"/>
    </row>
    <row r="277" spans="1:13" s="3" customFormat="1" ht="19.5" customHeight="1" x14ac:dyDescent="0.25">
      <c r="A277" s="122" t="s">
        <v>281</v>
      </c>
      <c r="B277" s="191" t="s">
        <v>4</v>
      </c>
      <c r="C277" s="135" t="s">
        <v>278</v>
      </c>
      <c r="D277" s="192">
        <v>180</v>
      </c>
      <c r="E277" s="8"/>
      <c r="F277" s="138"/>
      <c r="G277" s="56">
        <f>SUM(G278:G280)</f>
        <v>124304.40000000001</v>
      </c>
      <c r="H277" s="277"/>
      <c r="I277" s="273"/>
      <c r="J277" s="26"/>
      <c r="K277" s="271"/>
      <c r="L277" s="26"/>
    </row>
    <row r="278" spans="1:13" s="3" customFormat="1" ht="19.5" customHeight="1" x14ac:dyDescent="0.25">
      <c r="A278" s="122" t="s">
        <v>282</v>
      </c>
      <c r="B278" s="32" t="s">
        <v>283</v>
      </c>
      <c r="C278" s="63" t="s">
        <v>278</v>
      </c>
      <c r="D278" s="234">
        <v>160.05199999999999</v>
      </c>
      <c r="E278" s="106">
        <v>386.52</v>
      </c>
      <c r="F278" s="69">
        <v>1</v>
      </c>
      <c r="G278" s="60">
        <f>ROUND((D278*E278*F278),2)</f>
        <v>61863.3</v>
      </c>
      <c r="H278" s="277">
        <v>122</v>
      </c>
      <c r="I278" s="273"/>
      <c r="J278" s="26"/>
      <c r="K278" s="271"/>
      <c r="L278" s="26"/>
    </row>
    <row r="279" spans="1:13" s="3" customFormat="1" ht="19.5" customHeight="1" x14ac:dyDescent="0.25">
      <c r="A279" s="122"/>
      <c r="B279" s="32" t="s">
        <v>284</v>
      </c>
      <c r="C279" s="63" t="s">
        <v>278</v>
      </c>
      <c r="D279" s="234">
        <v>19.948</v>
      </c>
      <c r="E279" s="106">
        <f>E278</f>
        <v>386.52</v>
      </c>
      <c r="F279" s="69">
        <v>2</v>
      </c>
      <c r="G279" s="60">
        <f>ROUND((D279*E279*F279),2)</f>
        <v>15420.6</v>
      </c>
      <c r="H279" s="277"/>
      <c r="I279" s="273"/>
      <c r="J279" s="26"/>
      <c r="K279" s="271"/>
      <c r="L279" s="26"/>
    </row>
    <row r="280" spans="1:13" s="3" customFormat="1" ht="19.5" customHeight="1" x14ac:dyDescent="0.25">
      <c r="A280" s="122" t="s">
        <v>285</v>
      </c>
      <c r="B280" s="32" t="s">
        <v>286</v>
      </c>
      <c r="C280" s="63" t="s">
        <v>72</v>
      </c>
      <c r="D280" s="173">
        <v>50</v>
      </c>
      <c r="E280" s="106">
        <v>940.41</v>
      </c>
      <c r="F280" s="69">
        <v>1</v>
      </c>
      <c r="G280" s="60">
        <f>ROUND((D280*E280*F280),2)</f>
        <v>47020.5</v>
      </c>
      <c r="H280" s="277">
        <v>123</v>
      </c>
      <c r="I280" s="273"/>
      <c r="J280" s="26"/>
      <c r="K280" s="271"/>
      <c r="L280" s="26"/>
    </row>
    <row r="281" spans="1:13" s="197" customFormat="1" ht="32.25" customHeight="1" x14ac:dyDescent="0.25">
      <c r="A281" s="122" t="s">
        <v>5</v>
      </c>
      <c r="B281" s="191" t="s">
        <v>287</v>
      </c>
      <c r="C281" s="104"/>
      <c r="D281" s="194">
        <f>D282</f>
        <v>1728</v>
      </c>
      <c r="E281" s="8"/>
      <c r="F281" s="63"/>
      <c r="G281" s="132">
        <f>G282</f>
        <v>1767640.32</v>
      </c>
      <c r="H281" s="277"/>
      <c r="I281" s="288"/>
      <c r="J281" s="196"/>
      <c r="K281" s="271"/>
      <c r="L281" s="26"/>
    </row>
    <row r="282" spans="1:13" s="197" customFormat="1" ht="21.75" customHeight="1" x14ac:dyDescent="0.25">
      <c r="A282" s="122" t="s">
        <v>288</v>
      </c>
      <c r="B282" s="32" t="s">
        <v>289</v>
      </c>
      <c r="C282" s="104" t="s">
        <v>290</v>
      </c>
      <c r="D282" s="7">
        <v>1728</v>
      </c>
      <c r="E282" s="35"/>
      <c r="F282" s="63"/>
      <c r="G282" s="60">
        <v>1767640.32</v>
      </c>
      <c r="H282" s="277" t="s">
        <v>182</v>
      </c>
      <c r="I282" s="288">
        <f>G152+G161+G181+G182+G275+G277+G281</f>
        <v>104714511.55525</v>
      </c>
      <c r="J282" s="196"/>
      <c r="K282" s="271"/>
      <c r="L282" s="26"/>
    </row>
    <row r="283" spans="1:13" s="197" customFormat="1" ht="24.75" customHeight="1" x14ac:dyDescent="0.25">
      <c r="A283" s="198"/>
      <c r="B283" s="199"/>
      <c r="C283" s="200"/>
      <c r="D283" s="201"/>
      <c r="E283" s="202"/>
      <c r="F283" s="203"/>
      <c r="G283" s="204"/>
      <c r="H283" s="205"/>
      <c r="I283" s="288">
        <f>G8</f>
        <v>68189435.519999996</v>
      </c>
      <c r="J283" s="196"/>
      <c r="K283" s="271"/>
      <c r="L283" s="26"/>
    </row>
    <row r="284" spans="1:13" s="197" customFormat="1" ht="24.75" customHeight="1" x14ac:dyDescent="0.25">
      <c r="A284" s="198"/>
      <c r="B284" s="199"/>
      <c r="C284" s="200"/>
      <c r="D284" s="9"/>
      <c r="E284" s="202"/>
      <c r="F284" s="203"/>
      <c r="G284" s="204"/>
      <c r="H284" s="205"/>
      <c r="I284" s="288">
        <f>I282+I283</f>
        <v>172903947.07525</v>
      </c>
      <c r="J284" s="196"/>
      <c r="K284" s="271"/>
      <c r="L284" s="26"/>
    </row>
    <row r="285" spans="1:13" ht="21" customHeight="1" x14ac:dyDescent="0.25">
      <c r="B285" s="206"/>
      <c r="D285" s="212"/>
      <c r="E285" s="212"/>
      <c r="F285" s="212"/>
      <c r="G285" s="206"/>
      <c r="I285" s="288"/>
      <c r="J285" s="196"/>
      <c r="K285" s="271"/>
      <c r="L285" s="26"/>
    </row>
    <row r="286" spans="1:13" ht="22.5" customHeight="1" x14ac:dyDescent="0.25">
      <c r="I286" s="289">
        <f>G12+G13+G19+G20+G140+G143+G164+G214+G226</f>
        <v>48373933.099999994</v>
      </c>
      <c r="K286" s="271"/>
      <c r="L286" s="26"/>
    </row>
    <row r="287" spans="1:13" ht="15.75" x14ac:dyDescent="0.25">
      <c r="B287" s="209"/>
      <c r="C287" t="s">
        <v>291</v>
      </c>
      <c r="G287" s="208"/>
      <c r="K287" s="271"/>
      <c r="L287" s="26"/>
    </row>
    <row r="288" spans="1:13" ht="15.75" x14ac:dyDescent="0.25">
      <c r="B288" s="210"/>
      <c r="C288" t="s">
        <v>292</v>
      </c>
      <c r="G288" s="208"/>
      <c r="K288" s="271"/>
      <c r="L288" s="26"/>
    </row>
    <row r="289" spans="2:12" ht="15.75" x14ac:dyDescent="0.25">
      <c r="B289" s="211"/>
      <c r="C289" t="s">
        <v>382</v>
      </c>
      <c r="G289" s="208"/>
      <c r="K289" s="271"/>
      <c r="L289" s="26"/>
    </row>
    <row r="290" spans="2:12" s="197" customFormat="1" ht="15.75" x14ac:dyDescent="0.25">
      <c r="G290" s="195"/>
      <c r="I290" s="288"/>
      <c r="J290" s="196"/>
      <c r="K290" s="271"/>
      <c r="L290" s="26"/>
    </row>
    <row r="291" spans="2:12" ht="15.75" x14ac:dyDescent="0.25">
      <c r="K291" s="271"/>
      <c r="L291" s="26"/>
    </row>
    <row r="292" spans="2:12" ht="15.75" x14ac:dyDescent="0.25">
      <c r="B292" t="s">
        <v>294</v>
      </c>
      <c r="D292" s="212"/>
      <c r="F292" s="291">
        <f>G292+2492000</f>
        <v>171372197.34525001</v>
      </c>
      <c r="G292" s="213">
        <f>G8+G152+G161-G163+G181+G182</f>
        <v>168880197.34525001</v>
      </c>
      <c r="I292" s="288">
        <f>170984-168880</f>
        <v>2104</v>
      </c>
      <c r="J292" s="214"/>
      <c r="K292" s="271"/>
      <c r="L292" s="26"/>
    </row>
    <row r="293" spans="2:12" ht="15.75" x14ac:dyDescent="0.25">
      <c r="B293" t="s">
        <v>295</v>
      </c>
      <c r="G293" s="213">
        <f>G163</f>
        <v>2093153.81</v>
      </c>
      <c r="I293" s="288"/>
      <c r="J293" s="196"/>
      <c r="K293" s="271"/>
      <c r="L293" s="26"/>
    </row>
    <row r="294" spans="2:12" ht="15.75" x14ac:dyDescent="0.25">
      <c r="B294" t="s">
        <v>296</v>
      </c>
      <c r="G294" s="213">
        <f>G275+G277</f>
        <v>162955.6</v>
      </c>
      <c r="I294" s="288"/>
      <c r="J294" s="196"/>
      <c r="K294" s="271"/>
      <c r="L294" s="26"/>
    </row>
    <row r="295" spans="2:12" ht="15.75" x14ac:dyDescent="0.25">
      <c r="B295" t="s">
        <v>297</v>
      </c>
      <c r="G295" s="213">
        <f>G281</f>
        <v>1767640.32</v>
      </c>
      <c r="I295" s="288"/>
      <c r="J295" s="196"/>
      <c r="K295" s="271"/>
      <c r="L295" s="26"/>
    </row>
    <row r="296" spans="2:12" ht="15.75" x14ac:dyDescent="0.25">
      <c r="B296" t="s">
        <v>298</v>
      </c>
      <c r="G296" s="213">
        <f>SUM(G292:G295)</f>
        <v>172903947.07525</v>
      </c>
      <c r="I296" s="288"/>
      <c r="J296" s="196"/>
      <c r="K296" s="271"/>
      <c r="L296" s="26"/>
    </row>
    <row r="297" spans="2:12" ht="15.75" x14ac:dyDescent="0.25">
      <c r="B297" t="s">
        <v>299</v>
      </c>
      <c r="G297" s="213">
        <v>2126052</v>
      </c>
      <c r="I297" s="288"/>
      <c r="J297" s="196"/>
      <c r="K297" s="271"/>
      <c r="L297" s="26"/>
    </row>
    <row r="298" spans="2:12" ht="15.75" x14ac:dyDescent="0.25">
      <c r="G298" s="213"/>
      <c r="I298" s="288"/>
      <c r="J298" s="196"/>
      <c r="K298" s="271"/>
      <c r="L298" s="26"/>
    </row>
    <row r="299" spans="2:12" ht="15.75" x14ac:dyDescent="0.25">
      <c r="B299" t="s">
        <v>300</v>
      </c>
      <c r="G299" s="213">
        <f>G296+G297+G298</f>
        <v>175029999.07525</v>
      </c>
      <c r="H299" s="208"/>
      <c r="I299" s="288"/>
      <c r="J299" s="196"/>
      <c r="K299" s="271"/>
      <c r="L299" s="26"/>
    </row>
    <row r="300" spans="2:12" ht="15.75" x14ac:dyDescent="0.25">
      <c r="K300" s="271"/>
      <c r="L300" s="26"/>
    </row>
    <row r="301" spans="2:12" ht="15.75" x14ac:dyDescent="0.25">
      <c r="K301" s="271"/>
      <c r="L301" s="26"/>
    </row>
    <row r="302" spans="2:12" ht="15.75" x14ac:dyDescent="0.25">
      <c r="G302" s="208">
        <v>166000</v>
      </c>
      <c r="K302" s="271"/>
      <c r="L302" s="26"/>
    </row>
    <row r="303" spans="2:12" ht="15.75" x14ac:dyDescent="0.25">
      <c r="G303" s="208">
        <v>1785000</v>
      </c>
      <c r="K303" s="271"/>
      <c r="L303" s="26"/>
    </row>
    <row r="304" spans="2:12" ht="15.75" x14ac:dyDescent="0.25">
      <c r="G304" s="208">
        <v>2095000</v>
      </c>
      <c r="K304" s="271"/>
      <c r="L304" s="26"/>
    </row>
    <row r="305" spans="7:12" ht="19.5" customHeight="1" x14ac:dyDescent="0.25">
      <c r="G305" s="208">
        <v>170984000</v>
      </c>
      <c r="K305" s="271"/>
      <c r="L305" s="26"/>
    </row>
    <row r="306" spans="7:12" ht="21.75" customHeight="1" x14ac:dyDescent="0.25">
      <c r="G306" s="235">
        <f>SUM(G302:G305)</f>
        <v>175030000</v>
      </c>
      <c r="K306" s="271"/>
      <c r="L306" s="26"/>
    </row>
    <row r="307" spans="7:12" ht="20.25" customHeight="1" x14ac:dyDescent="0.25">
      <c r="G307" s="208"/>
      <c r="K307" s="271"/>
      <c r="L307" s="26"/>
    </row>
    <row r="308" spans="7:12" ht="15.75" x14ac:dyDescent="0.25">
      <c r="K308" s="271"/>
      <c r="L308" s="26"/>
    </row>
    <row r="309" spans="7:12" ht="15.75" x14ac:dyDescent="0.25">
      <c r="K309" s="271"/>
      <c r="L309" s="26"/>
    </row>
    <row r="310" spans="7:12" ht="15.75" x14ac:dyDescent="0.25">
      <c r="K310" s="271"/>
      <c r="L310" s="26"/>
    </row>
    <row r="311" spans="7:12" ht="15.75" x14ac:dyDescent="0.25">
      <c r="K311" s="271"/>
      <c r="L311" s="26"/>
    </row>
    <row r="312" spans="7:12" ht="15.75" x14ac:dyDescent="0.25">
      <c r="K312" s="271"/>
      <c r="L312" s="26"/>
    </row>
    <row r="313" spans="7:12" ht="15.75" x14ac:dyDescent="0.25">
      <c r="K313" s="271"/>
      <c r="L313" s="26"/>
    </row>
    <row r="314" spans="7:12" ht="15.75" x14ac:dyDescent="0.25">
      <c r="K314" s="271"/>
      <c r="L314" s="26"/>
    </row>
    <row r="315" spans="7:12" ht="15.75" x14ac:dyDescent="0.25">
      <c r="K315" s="271"/>
      <c r="L315" s="26"/>
    </row>
    <row r="316" spans="7:12" ht="15.75" x14ac:dyDescent="0.25">
      <c r="K316" s="271"/>
      <c r="L316" s="26"/>
    </row>
    <row r="317" spans="7:12" ht="15.75" x14ac:dyDescent="0.25">
      <c r="K317" s="271"/>
      <c r="L317" s="26"/>
    </row>
    <row r="318" spans="7:12" ht="15.75" x14ac:dyDescent="0.25">
      <c r="K318" s="271"/>
      <c r="L318" s="26"/>
    </row>
    <row r="319" spans="7:12" x14ac:dyDescent="0.25">
      <c r="G319" s="208"/>
    </row>
    <row r="320" spans="7:12" x14ac:dyDescent="0.25">
      <c r="G320" s="208"/>
    </row>
    <row r="321" spans="7:7" x14ac:dyDescent="0.25">
      <c r="G321" s="208"/>
    </row>
  </sheetData>
  <mergeCells count="28">
    <mergeCell ref="A1:H1"/>
    <mergeCell ref="A2:G2"/>
    <mergeCell ref="I9:I20"/>
    <mergeCell ref="I140:I146"/>
    <mergeCell ref="I148:I160"/>
    <mergeCell ref="I21:I120"/>
    <mergeCell ref="I122:I127"/>
    <mergeCell ref="I128:I139"/>
    <mergeCell ref="I164:I167"/>
    <mergeCell ref="I170:I171"/>
    <mergeCell ref="I176:I180"/>
    <mergeCell ref="I185:I186"/>
    <mergeCell ref="I188:I191"/>
    <mergeCell ref="I193:I194"/>
    <mergeCell ref="I195:I198"/>
    <mergeCell ref="I201:I202"/>
    <mergeCell ref="I204:I205"/>
    <mergeCell ref="I207:I209"/>
    <mergeCell ref="I211:I212"/>
    <mergeCell ref="I230:I231"/>
    <mergeCell ref="I232:I256"/>
    <mergeCell ref="I257:I271"/>
    <mergeCell ref="I272:I274"/>
    <mergeCell ref="I215:I216"/>
    <mergeCell ref="I217:I218"/>
    <mergeCell ref="I220:I222"/>
    <mergeCell ref="I224:I225"/>
    <mergeCell ref="I227:I22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Чистый город 2020</vt:lpstr>
      <vt:lpstr>Приложение 2020</vt:lpstr>
      <vt:lpstr>Приложение от Кати</vt:lpstr>
      <vt:lpstr>Приложение 2</vt:lpstr>
      <vt:lpstr>2021</vt:lpstr>
      <vt:lpstr>2022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Тришина Ольга Викторовна</cp:lastModifiedBy>
  <cp:lastPrinted>2020-02-07T05:46:19Z</cp:lastPrinted>
  <dcterms:created xsi:type="dcterms:W3CDTF">2008-10-01T13:21:49Z</dcterms:created>
  <dcterms:modified xsi:type="dcterms:W3CDTF">2020-02-21T10:58:18Z</dcterms:modified>
</cp:coreProperties>
</file>