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425-п2.1-.пр от 26.02.2025\"/>
    </mc:Choice>
  </mc:AlternateContent>
  <bookViews>
    <workbookView xWindow="0" yWindow="0" windowWidth="28800" windowHeight="12330" tabRatio="571"/>
  </bookViews>
  <sheets>
    <sheet name="2025-2027" sheetId="10" r:id="rId1"/>
    <sheet name="2028-2030" sheetId="20" r:id="rId2"/>
    <sheet name="2025-2030" sheetId="21" r:id="rId3"/>
  </sheets>
  <definedNames>
    <definedName name="_xlnm._FilterDatabase" localSheetId="0" hidden="1">'2025-2027'!$A$14:$W$85</definedName>
    <definedName name="_xlnm._FilterDatabase" localSheetId="2" hidden="1">'2025-2030'!$A$5:$M$76</definedName>
    <definedName name="_xlnm._FilterDatabase" localSheetId="1" hidden="1">'2028-2030'!$A$6:$W$77</definedName>
    <definedName name="_xlnm.Print_Titles" localSheetId="0">'2025-2027'!$14:$14</definedName>
    <definedName name="_xlnm.Print_Titles" localSheetId="2">'2025-2030'!$5:$5</definedName>
    <definedName name="_xlnm.Print_Titles" localSheetId="1">'2028-2030'!$6:$6</definedName>
    <definedName name="_xlnm.Print_Area" localSheetId="0">'2025-2027'!$A$1:$S$86</definedName>
    <definedName name="_xlnm.Print_Area" localSheetId="2">'2025-2030'!$A$1:$I$76</definedName>
    <definedName name="_xlnm.Print_Area" localSheetId="1">'2028-2030'!$A$1:$S$77</definedName>
  </definedNames>
  <calcPr calcId="162913"/>
</workbook>
</file>

<file path=xl/calcChain.xml><?xml version="1.0" encoding="utf-8"?>
<calcChain xmlns="http://schemas.openxmlformats.org/spreadsheetml/2006/main">
  <c r="F63" i="21" l="1"/>
  <c r="F61" i="21"/>
  <c r="G62" i="21"/>
  <c r="G61" i="21"/>
  <c r="E53" i="21"/>
  <c r="E52" i="21"/>
  <c r="F16" i="21"/>
  <c r="E16" i="21" l="1"/>
  <c r="I71" i="21"/>
  <c r="I75" i="21" s="1"/>
  <c r="H71" i="21"/>
  <c r="H75" i="21" s="1"/>
  <c r="G71" i="21"/>
  <c r="E70" i="21"/>
  <c r="E69" i="21"/>
  <c r="E68" i="21"/>
  <c r="E67" i="21"/>
  <c r="E66" i="21"/>
  <c r="I64" i="21"/>
  <c r="H64" i="21"/>
  <c r="G64" i="21"/>
  <c r="F64" i="21"/>
  <c r="E64" i="21"/>
  <c r="I63" i="21"/>
  <c r="H63" i="21"/>
  <c r="G63" i="21"/>
  <c r="I62" i="21"/>
  <c r="H62" i="21"/>
  <c r="I61" i="21"/>
  <c r="H61" i="21"/>
  <c r="E61" i="21" s="1"/>
  <c r="E60" i="21"/>
  <c r="E59" i="21"/>
  <c r="E58" i="21"/>
  <c r="E57" i="21"/>
  <c r="E56" i="21"/>
  <c r="E55" i="21"/>
  <c r="E54" i="21"/>
  <c r="E51" i="21"/>
  <c r="E50" i="21"/>
  <c r="E49" i="21"/>
  <c r="E48" i="21"/>
  <c r="E47" i="21"/>
  <c r="E46" i="21"/>
  <c r="F62" i="21"/>
  <c r="I43" i="21"/>
  <c r="H43" i="21"/>
  <c r="G43" i="21"/>
  <c r="F43" i="21"/>
  <c r="E41" i="21"/>
  <c r="E43" i="21" s="1"/>
  <c r="I39" i="21"/>
  <c r="H39" i="21"/>
  <c r="G39" i="21"/>
  <c r="I38" i="21"/>
  <c r="H38" i="21"/>
  <c r="G38" i="21"/>
  <c r="F38" i="21"/>
  <c r="I37" i="21"/>
  <c r="H37" i="21"/>
  <c r="G37" i="21"/>
  <c r="F39" i="21"/>
  <c r="E35" i="21"/>
  <c r="E34" i="21"/>
  <c r="E33" i="21"/>
  <c r="E32" i="21"/>
  <c r="E31" i="21"/>
  <c r="I29" i="21"/>
  <c r="H29" i="21"/>
  <c r="G29" i="21"/>
  <c r="I28" i="21"/>
  <c r="H28" i="21"/>
  <c r="G28" i="21"/>
  <c r="F28" i="21"/>
  <c r="I27" i="21"/>
  <c r="H27" i="21"/>
  <c r="G27" i="21"/>
  <c r="E26" i="21"/>
  <c r="F29" i="21"/>
  <c r="E24" i="21"/>
  <c r="E23" i="21"/>
  <c r="E22" i="21"/>
  <c r="E21" i="21"/>
  <c r="E20" i="21"/>
  <c r="I18" i="21"/>
  <c r="H18" i="21"/>
  <c r="G18" i="21"/>
  <c r="F18" i="21"/>
  <c r="H17" i="21"/>
  <c r="G17" i="21"/>
  <c r="I16" i="21"/>
  <c r="H16" i="21"/>
  <c r="G16" i="21"/>
  <c r="E15" i="21"/>
  <c r="E14" i="21"/>
  <c r="E13" i="21"/>
  <c r="E12" i="21"/>
  <c r="E11" i="21"/>
  <c r="E10" i="21"/>
  <c r="E8" i="21"/>
  <c r="G75" i="21" l="1"/>
  <c r="H74" i="21"/>
  <c r="E28" i="21"/>
  <c r="E62" i="21"/>
  <c r="G72" i="21"/>
  <c r="I72" i="21"/>
  <c r="H73" i="21"/>
  <c r="E29" i="21"/>
  <c r="E36" i="21"/>
  <c r="F27" i="21"/>
  <c r="E27" i="21" s="1"/>
  <c r="F17" i="21"/>
  <c r="F73" i="21" s="1"/>
  <c r="H72" i="21"/>
  <c r="G73" i="21"/>
  <c r="I17" i="21"/>
  <c r="I73" i="21" s="1"/>
  <c r="G74" i="21"/>
  <c r="I74" i="21"/>
  <c r="E25" i="21"/>
  <c r="E39" i="21"/>
  <c r="E38" i="21"/>
  <c r="E63" i="21"/>
  <c r="F71" i="21"/>
  <c r="F75" i="21" s="1"/>
  <c r="E9" i="21"/>
  <c r="E18" i="21"/>
  <c r="F37" i="21"/>
  <c r="E37" i="21" s="1"/>
  <c r="E45" i="21"/>
  <c r="I75" i="20"/>
  <c r="H75" i="20"/>
  <c r="G75" i="20"/>
  <c r="S72" i="20"/>
  <c r="S76" i="20" s="1"/>
  <c r="R72" i="20"/>
  <c r="R76" i="20" s="1"/>
  <c r="Q72" i="20"/>
  <c r="Q76" i="20" s="1"/>
  <c r="N72" i="20"/>
  <c r="N76" i="20" s="1"/>
  <c r="M72" i="20"/>
  <c r="M76" i="20" s="1"/>
  <c r="L72" i="20"/>
  <c r="L76" i="20" s="1"/>
  <c r="I72" i="20"/>
  <c r="I76" i="20" s="1"/>
  <c r="H72" i="20"/>
  <c r="H76" i="20" s="1"/>
  <c r="G72" i="20"/>
  <c r="G76" i="20" s="1"/>
  <c r="O71" i="20"/>
  <c r="J71" i="20"/>
  <c r="E71" i="20"/>
  <c r="O70" i="20"/>
  <c r="K70" i="20"/>
  <c r="J70" i="20" s="1"/>
  <c r="F70" i="20"/>
  <c r="E70" i="20" s="1"/>
  <c r="O69" i="20"/>
  <c r="J69" i="20"/>
  <c r="E69" i="20"/>
  <c r="O68" i="20"/>
  <c r="J68" i="20"/>
  <c r="E68" i="20"/>
  <c r="P67" i="20"/>
  <c r="P72" i="20" s="1"/>
  <c r="K67" i="20"/>
  <c r="J67" i="20" s="1"/>
  <c r="F67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G65" i="20"/>
  <c r="F65" i="20"/>
  <c r="E65" i="20"/>
  <c r="S64" i="20"/>
  <c r="R64" i="20"/>
  <c r="Q64" i="20"/>
  <c r="N64" i="20"/>
  <c r="M64" i="20"/>
  <c r="L64" i="20"/>
  <c r="I64" i="20"/>
  <c r="H64" i="20"/>
  <c r="G64" i="20"/>
  <c r="S63" i="20"/>
  <c r="R63" i="20"/>
  <c r="Q63" i="20"/>
  <c r="N63" i="20"/>
  <c r="M63" i="20"/>
  <c r="L63" i="20"/>
  <c r="I63" i="20"/>
  <c r="H63" i="20"/>
  <c r="G63" i="20"/>
  <c r="S62" i="20"/>
  <c r="R62" i="20"/>
  <c r="Q62" i="20"/>
  <c r="N62" i="20"/>
  <c r="M62" i="20"/>
  <c r="L62" i="20"/>
  <c r="I62" i="20"/>
  <c r="H62" i="20"/>
  <c r="G62" i="20"/>
  <c r="O61" i="20"/>
  <c r="J61" i="20"/>
  <c r="E61" i="20"/>
  <c r="O60" i="20"/>
  <c r="J60" i="20"/>
  <c r="E60" i="20"/>
  <c r="O59" i="20"/>
  <c r="J59" i="20"/>
  <c r="E59" i="20"/>
  <c r="P58" i="20"/>
  <c r="O58" i="20" s="1"/>
  <c r="K58" i="20"/>
  <c r="J58" i="20" s="1"/>
  <c r="F58" i="20"/>
  <c r="E58" i="20" s="1"/>
  <c r="O57" i="20"/>
  <c r="J57" i="20"/>
  <c r="E57" i="20"/>
  <c r="O56" i="20"/>
  <c r="J56" i="20"/>
  <c r="E56" i="20"/>
  <c r="O55" i="20"/>
  <c r="J55" i="20"/>
  <c r="E55" i="20"/>
  <c r="O53" i="20"/>
  <c r="J53" i="20"/>
  <c r="E53" i="20"/>
  <c r="P52" i="20"/>
  <c r="O52" i="20" s="1"/>
  <c r="K52" i="20"/>
  <c r="J52" i="20" s="1"/>
  <c r="F52" i="20"/>
  <c r="E52" i="20" s="1"/>
  <c r="O51" i="20"/>
  <c r="J51" i="20"/>
  <c r="E51" i="20"/>
  <c r="O50" i="20"/>
  <c r="J50" i="20"/>
  <c r="E50" i="20"/>
  <c r="P49" i="20"/>
  <c r="O49" i="20" s="1"/>
  <c r="K49" i="20"/>
  <c r="J49" i="20" s="1"/>
  <c r="F49" i="20"/>
  <c r="E49" i="20" s="1"/>
  <c r="O48" i="20"/>
  <c r="J48" i="20"/>
  <c r="E48" i="20"/>
  <c r="P47" i="20"/>
  <c r="O47" i="20" s="1"/>
  <c r="K47" i="20"/>
  <c r="J47" i="20" s="1"/>
  <c r="F47" i="20"/>
  <c r="E47" i="20" s="1"/>
  <c r="P46" i="20"/>
  <c r="P63" i="20" s="1"/>
  <c r="K46" i="20"/>
  <c r="K63" i="20" s="1"/>
  <c r="J63" i="20" s="1"/>
  <c r="F46" i="20"/>
  <c r="F63" i="20" s="1"/>
  <c r="S44" i="20"/>
  <c r="R44" i="20"/>
  <c r="Q44" i="20"/>
  <c r="P44" i="20"/>
  <c r="N44" i="20"/>
  <c r="M44" i="20"/>
  <c r="L44" i="20"/>
  <c r="K44" i="20"/>
  <c r="I44" i="20"/>
  <c r="H44" i="20"/>
  <c r="G44" i="20"/>
  <c r="F44" i="20"/>
  <c r="J43" i="20"/>
  <c r="E43" i="20"/>
  <c r="O42" i="20"/>
  <c r="O44" i="20" s="1"/>
  <c r="J42" i="20"/>
  <c r="J44" i="20" s="1"/>
  <c r="E42" i="20"/>
  <c r="S40" i="20"/>
  <c r="R40" i="20"/>
  <c r="Q40" i="20"/>
  <c r="N40" i="20"/>
  <c r="M40" i="20"/>
  <c r="L40" i="20"/>
  <c r="I40" i="20"/>
  <c r="H40" i="20"/>
  <c r="G40" i="20"/>
  <c r="S39" i="20"/>
  <c r="R39" i="20"/>
  <c r="Q39" i="20"/>
  <c r="P39" i="20"/>
  <c r="N39" i="20"/>
  <c r="M39" i="20"/>
  <c r="L39" i="20"/>
  <c r="K39" i="20"/>
  <c r="I39" i="20"/>
  <c r="H39" i="20"/>
  <c r="G39" i="20"/>
  <c r="S38" i="20"/>
  <c r="R38" i="20"/>
  <c r="Q38" i="20"/>
  <c r="N38" i="20"/>
  <c r="M38" i="20"/>
  <c r="L38" i="20"/>
  <c r="I38" i="20"/>
  <c r="H38" i="20"/>
  <c r="G38" i="20"/>
  <c r="P37" i="20"/>
  <c r="P40" i="20" s="1"/>
  <c r="K37" i="20"/>
  <c r="K40" i="20" s="1"/>
  <c r="F37" i="20"/>
  <c r="F40" i="20" s="1"/>
  <c r="O36" i="20"/>
  <c r="J36" i="20"/>
  <c r="E36" i="20"/>
  <c r="O35" i="20"/>
  <c r="J35" i="20"/>
  <c r="E35" i="20"/>
  <c r="O34" i="20"/>
  <c r="J34" i="20"/>
  <c r="E34" i="20"/>
  <c r="O33" i="20"/>
  <c r="J33" i="20"/>
  <c r="F33" i="20"/>
  <c r="F39" i="20" s="1"/>
  <c r="O32" i="20"/>
  <c r="J32" i="20"/>
  <c r="E32" i="20"/>
  <c r="S30" i="20"/>
  <c r="R30" i="20"/>
  <c r="Q30" i="20"/>
  <c r="N30" i="20"/>
  <c r="M30" i="20"/>
  <c r="L30" i="20"/>
  <c r="I30" i="20"/>
  <c r="H30" i="20"/>
  <c r="G30" i="20"/>
  <c r="S29" i="20"/>
  <c r="R29" i="20"/>
  <c r="Q29" i="20"/>
  <c r="P29" i="20"/>
  <c r="N29" i="20"/>
  <c r="M29" i="20"/>
  <c r="L29" i="20"/>
  <c r="K29" i="20"/>
  <c r="I29" i="20"/>
  <c r="H29" i="20"/>
  <c r="G29" i="20"/>
  <c r="S28" i="20"/>
  <c r="R28" i="20"/>
  <c r="Q28" i="20"/>
  <c r="N28" i="20"/>
  <c r="M28" i="20"/>
  <c r="L28" i="20"/>
  <c r="I28" i="20"/>
  <c r="H28" i="20"/>
  <c r="G28" i="20"/>
  <c r="O27" i="20"/>
  <c r="J27" i="20"/>
  <c r="E27" i="20"/>
  <c r="P26" i="20"/>
  <c r="P30" i="20" s="1"/>
  <c r="K26" i="20"/>
  <c r="K30" i="20" s="1"/>
  <c r="F26" i="20"/>
  <c r="F30" i="20" s="1"/>
  <c r="O25" i="20"/>
  <c r="J25" i="20"/>
  <c r="E25" i="20"/>
  <c r="O24" i="20"/>
  <c r="J24" i="20"/>
  <c r="E24" i="20"/>
  <c r="O23" i="20"/>
  <c r="J23" i="20"/>
  <c r="E23" i="20"/>
  <c r="O22" i="20"/>
  <c r="J22" i="20"/>
  <c r="E22" i="20"/>
  <c r="O21" i="20"/>
  <c r="J21" i="20"/>
  <c r="F21" i="20"/>
  <c r="F29" i="20" s="1"/>
  <c r="S19" i="20"/>
  <c r="S75" i="20" s="1"/>
  <c r="R19" i="20"/>
  <c r="Q19" i="20"/>
  <c r="Q75" i="20" s="1"/>
  <c r="P19" i="20"/>
  <c r="N19" i="20"/>
  <c r="M19" i="20"/>
  <c r="L19" i="20"/>
  <c r="K19" i="20"/>
  <c r="I19" i="20"/>
  <c r="H19" i="20"/>
  <c r="G19" i="20"/>
  <c r="F19" i="20"/>
  <c r="R18" i="20"/>
  <c r="Q18" i="20"/>
  <c r="Q74" i="20" s="1"/>
  <c r="M18" i="20"/>
  <c r="L18" i="20"/>
  <c r="L74" i="20" s="1"/>
  <c r="H18" i="20"/>
  <c r="G18" i="20"/>
  <c r="G74" i="20" s="1"/>
  <c r="S17" i="20"/>
  <c r="R17" i="20"/>
  <c r="R73" i="20" s="1"/>
  <c r="Q17" i="20"/>
  <c r="N17" i="20"/>
  <c r="N73" i="20" s="1"/>
  <c r="M17" i="20"/>
  <c r="L17" i="20"/>
  <c r="L73" i="20" s="1"/>
  <c r="I17" i="20"/>
  <c r="H17" i="20"/>
  <c r="H73" i="20" s="1"/>
  <c r="G17" i="20"/>
  <c r="O16" i="20"/>
  <c r="J16" i="20"/>
  <c r="E16" i="20"/>
  <c r="P15" i="20"/>
  <c r="O15" i="20" s="1"/>
  <c r="K15" i="20"/>
  <c r="J15" i="20" s="1"/>
  <c r="F15" i="20"/>
  <c r="E15" i="20" s="1"/>
  <c r="O14" i="20"/>
  <c r="J14" i="20"/>
  <c r="E14" i="20"/>
  <c r="O13" i="20"/>
  <c r="J13" i="20"/>
  <c r="E13" i="20"/>
  <c r="P12" i="20"/>
  <c r="O12" i="20" s="1"/>
  <c r="K12" i="20"/>
  <c r="J12" i="20" s="1"/>
  <c r="F12" i="20"/>
  <c r="E12" i="20" s="1"/>
  <c r="O11" i="20"/>
  <c r="J11" i="20"/>
  <c r="E11" i="20"/>
  <c r="P10" i="20"/>
  <c r="K10" i="20"/>
  <c r="J10" i="20" s="1"/>
  <c r="F10" i="20"/>
  <c r="E10" i="20" s="1"/>
  <c r="O9" i="20"/>
  <c r="J9" i="20"/>
  <c r="F9" i="20"/>
  <c r="E9" i="20" s="1"/>
  <c r="E73" i="21" l="1"/>
  <c r="E17" i="21"/>
  <c r="F72" i="21"/>
  <c r="E72" i="21" s="1"/>
  <c r="F74" i="21"/>
  <c r="E74" i="21" s="1"/>
  <c r="E71" i="21"/>
  <c r="E75" i="21"/>
  <c r="G73" i="20"/>
  <c r="I73" i="20"/>
  <c r="M73" i="20"/>
  <c r="Q73" i="20"/>
  <c r="S73" i="20"/>
  <c r="O39" i="20"/>
  <c r="E63" i="20"/>
  <c r="O63" i="20"/>
  <c r="E29" i="20"/>
  <c r="J30" i="20"/>
  <c r="J40" i="20"/>
  <c r="J39" i="20"/>
  <c r="F72" i="20"/>
  <c r="E72" i="20" s="1"/>
  <c r="L75" i="20"/>
  <c r="N75" i="20"/>
  <c r="E30" i="20"/>
  <c r="O30" i="20"/>
  <c r="O40" i="20"/>
  <c r="O67" i="20"/>
  <c r="M75" i="20"/>
  <c r="E26" i="20"/>
  <c r="J26" i="20"/>
  <c r="O26" i="20"/>
  <c r="J29" i="20"/>
  <c r="O29" i="20"/>
  <c r="E33" i="20"/>
  <c r="O37" i="20"/>
  <c r="F64" i="20"/>
  <c r="E64" i="20" s="1"/>
  <c r="K64" i="20"/>
  <c r="J64" i="20" s="1"/>
  <c r="P64" i="20"/>
  <c r="O64" i="20" s="1"/>
  <c r="K72" i="20"/>
  <c r="J72" i="20" s="1"/>
  <c r="H74" i="20"/>
  <c r="M74" i="20"/>
  <c r="R74" i="20"/>
  <c r="J19" i="20"/>
  <c r="O19" i="20"/>
  <c r="R75" i="20"/>
  <c r="E39" i="20"/>
  <c r="E40" i="20"/>
  <c r="E44" i="20"/>
  <c r="E67" i="20"/>
  <c r="E19" i="20"/>
  <c r="E37" i="20"/>
  <c r="J37" i="20"/>
  <c r="K38" i="20"/>
  <c r="J38" i="20" s="1"/>
  <c r="P18" i="20"/>
  <c r="P17" i="20"/>
  <c r="F18" i="20"/>
  <c r="F17" i="20"/>
  <c r="O10" i="20"/>
  <c r="K17" i="20"/>
  <c r="K18" i="20"/>
  <c r="I18" i="20"/>
  <c r="I74" i="20" s="1"/>
  <c r="S18" i="20"/>
  <c r="S74" i="20" s="1"/>
  <c r="E21" i="20"/>
  <c r="K28" i="20"/>
  <c r="J28" i="20" s="1"/>
  <c r="F38" i="20"/>
  <c r="E38" i="20" s="1"/>
  <c r="P38" i="20"/>
  <c r="O38" i="20" s="1"/>
  <c r="E46" i="20"/>
  <c r="J46" i="20"/>
  <c r="O46" i="20"/>
  <c r="K62" i="20"/>
  <c r="J62" i="20" s="1"/>
  <c r="F76" i="20"/>
  <c r="E76" i="20" s="1"/>
  <c r="P76" i="20"/>
  <c r="O76" i="20" s="1"/>
  <c r="O72" i="20"/>
  <c r="N18" i="20"/>
  <c r="N74" i="20" s="1"/>
  <c r="F75" i="20"/>
  <c r="E75" i="20" s="1"/>
  <c r="P75" i="20"/>
  <c r="F28" i="20"/>
  <c r="E28" i="20" s="1"/>
  <c r="P28" i="20"/>
  <c r="O28" i="20" s="1"/>
  <c r="F62" i="20"/>
  <c r="E62" i="20" s="1"/>
  <c r="P62" i="20"/>
  <c r="O62" i="20" s="1"/>
  <c r="F54" i="10"/>
  <c r="F63" i="10"/>
  <c r="K76" i="20" l="1"/>
  <c r="J76" i="20" s="1"/>
  <c r="K75" i="20"/>
  <c r="J75" i="20" s="1"/>
  <c r="O75" i="20"/>
  <c r="K74" i="20"/>
  <c r="J74" i="20" s="1"/>
  <c r="J18" i="20"/>
  <c r="F74" i="20"/>
  <c r="E74" i="20" s="1"/>
  <c r="E18" i="20"/>
  <c r="P74" i="20"/>
  <c r="O74" i="20" s="1"/>
  <c r="O18" i="20"/>
  <c r="K73" i="20"/>
  <c r="J73" i="20" s="1"/>
  <c r="J17" i="20"/>
  <c r="F73" i="20"/>
  <c r="E73" i="20" s="1"/>
  <c r="E17" i="20"/>
  <c r="P73" i="20"/>
  <c r="O17" i="20"/>
  <c r="H71" i="10"/>
  <c r="I71" i="10"/>
  <c r="O73" i="20" l="1"/>
  <c r="G61" i="10"/>
  <c r="G71" i="10" s="1"/>
  <c r="F61" i="10"/>
  <c r="P55" i="10"/>
  <c r="P34" i="10"/>
  <c r="K55" i="10"/>
  <c r="K34" i="10"/>
  <c r="F55" i="10"/>
  <c r="F34" i="10"/>
  <c r="S73" i="10"/>
  <c r="R73" i="10"/>
  <c r="Q73" i="10"/>
  <c r="P73" i="10"/>
  <c r="O73" i="10"/>
  <c r="N73" i="10"/>
  <c r="M73" i="10"/>
  <c r="L73" i="10"/>
  <c r="K73" i="10"/>
  <c r="J73" i="10"/>
  <c r="L72" i="10"/>
  <c r="M72" i="10"/>
  <c r="N72" i="10"/>
  <c r="G72" i="10"/>
  <c r="H72" i="10"/>
  <c r="I72" i="10"/>
  <c r="Q70" i="10"/>
  <c r="R70" i="10"/>
  <c r="S70" i="10"/>
  <c r="L70" i="10"/>
  <c r="M70" i="10"/>
  <c r="N70" i="10"/>
  <c r="G70" i="10"/>
  <c r="H70" i="10"/>
  <c r="I70" i="10"/>
  <c r="O69" i="10"/>
  <c r="J69" i="10"/>
  <c r="E69" i="10"/>
  <c r="P68" i="10"/>
  <c r="P67" i="10"/>
  <c r="K67" i="10"/>
  <c r="F67" i="10"/>
  <c r="P66" i="10"/>
  <c r="K66" i="10"/>
  <c r="F66" i="10"/>
  <c r="P59" i="10"/>
  <c r="K59" i="10"/>
  <c r="P57" i="10"/>
  <c r="K57" i="10"/>
  <c r="F57" i="10"/>
  <c r="P45" i="10"/>
  <c r="K45" i="10"/>
  <c r="F45" i="10"/>
  <c r="P70" i="10" l="1"/>
  <c r="G73" i="10" l="1"/>
  <c r="H73" i="10"/>
  <c r="I73" i="10"/>
  <c r="F73" i="10"/>
  <c r="E62" i="10"/>
  <c r="E73" i="10" s="1"/>
  <c r="K68" i="10" l="1"/>
  <c r="F68" i="10"/>
  <c r="F72" i="10" s="1"/>
  <c r="K72" i="10" l="1"/>
  <c r="K70" i="10"/>
  <c r="F58" i="10"/>
  <c r="F70" i="10" s="1"/>
  <c r="P44" i="10" l="1"/>
  <c r="P43" i="10"/>
  <c r="P42" i="10"/>
  <c r="P41" i="10"/>
  <c r="O35" i="10"/>
  <c r="J35" i="10"/>
  <c r="E35" i="10"/>
  <c r="K37" i="10"/>
  <c r="F37" i="10"/>
  <c r="F42" i="10"/>
  <c r="F41" i="10"/>
  <c r="P29" i="10" l="1"/>
  <c r="P18" i="10"/>
  <c r="K18" i="10"/>
  <c r="P37" i="10" l="1"/>
  <c r="F18" i="10" l="1"/>
  <c r="F26" i="10" l="1"/>
  <c r="J29" i="10" l="1"/>
  <c r="E29" i="10"/>
  <c r="E24" i="10" l="1"/>
  <c r="S47" i="10" l="1"/>
  <c r="R47" i="10"/>
  <c r="Q47" i="10"/>
  <c r="P46" i="10"/>
  <c r="P47" i="10"/>
  <c r="N47" i="10"/>
  <c r="M47" i="10"/>
  <c r="L47" i="10"/>
  <c r="K47" i="10"/>
  <c r="F47" i="10"/>
  <c r="I47" i="10"/>
  <c r="H47" i="10"/>
  <c r="G47" i="10"/>
  <c r="O56" i="10" l="1"/>
  <c r="J56" i="10"/>
  <c r="E56" i="10"/>
  <c r="S80" i="10" l="1"/>
  <c r="S84" i="10" s="1"/>
  <c r="R80" i="10"/>
  <c r="R84" i="10" s="1"/>
  <c r="Q80" i="10"/>
  <c r="Q84" i="10" s="1"/>
  <c r="N80" i="10"/>
  <c r="N84" i="10" s="1"/>
  <c r="M80" i="10"/>
  <c r="M84" i="10" s="1"/>
  <c r="L80" i="10"/>
  <c r="L84" i="10" s="1"/>
  <c r="I80" i="10"/>
  <c r="I84" i="10" s="1"/>
  <c r="H80" i="10"/>
  <c r="H84" i="10" s="1"/>
  <c r="G80" i="10"/>
  <c r="G84" i="10" s="1"/>
  <c r="O79" i="10"/>
  <c r="J79" i="10"/>
  <c r="E79" i="10"/>
  <c r="O78" i="10"/>
  <c r="J78" i="10"/>
  <c r="E78" i="10"/>
  <c r="O77" i="10"/>
  <c r="J77" i="10"/>
  <c r="E77" i="10"/>
  <c r="O76" i="10"/>
  <c r="J76" i="10"/>
  <c r="E76" i="10"/>
  <c r="P80" i="10"/>
  <c r="K80" i="10"/>
  <c r="E75" i="10"/>
  <c r="S72" i="10"/>
  <c r="R72" i="10"/>
  <c r="Q72" i="10"/>
  <c r="S71" i="10"/>
  <c r="R71" i="10"/>
  <c r="Q71" i="10"/>
  <c r="N71" i="10"/>
  <c r="M71" i="10"/>
  <c r="L71" i="10"/>
  <c r="O68" i="10"/>
  <c r="J68" i="10"/>
  <c r="E68" i="10"/>
  <c r="O65" i="10"/>
  <c r="J65" i="10"/>
  <c r="E65" i="10"/>
  <c r="O57" i="10"/>
  <c r="J57" i="10"/>
  <c r="E57" i="10"/>
  <c r="O64" i="10"/>
  <c r="J64" i="10"/>
  <c r="E64" i="10"/>
  <c r="O63" i="10"/>
  <c r="J63" i="10"/>
  <c r="E63" i="10"/>
  <c r="P71" i="10"/>
  <c r="K71" i="10"/>
  <c r="F71" i="10"/>
  <c r="O59" i="10"/>
  <c r="J59" i="10"/>
  <c r="E59" i="10"/>
  <c r="O58" i="10"/>
  <c r="J58" i="10"/>
  <c r="E58" i="10"/>
  <c r="O61" i="10"/>
  <c r="J61" i="10"/>
  <c r="E61" i="10"/>
  <c r="S52" i="10"/>
  <c r="R52" i="10"/>
  <c r="Q52" i="10"/>
  <c r="P52" i="10"/>
  <c r="N52" i="10"/>
  <c r="M52" i="10"/>
  <c r="L52" i="10"/>
  <c r="K52" i="10"/>
  <c r="I52" i="10"/>
  <c r="H52" i="10"/>
  <c r="G52" i="10"/>
  <c r="F52" i="10"/>
  <c r="O51" i="10"/>
  <c r="J51" i="10"/>
  <c r="E51" i="10"/>
  <c r="O50" i="10"/>
  <c r="J50" i="10"/>
  <c r="E50" i="10"/>
  <c r="S48" i="10"/>
  <c r="R48" i="10"/>
  <c r="Q48" i="10"/>
  <c r="N48" i="10"/>
  <c r="M48" i="10"/>
  <c r="L48" i="10"/>
  <c r="I48" i="10"/>
  <c r="H48" i="10"/>
  <c r="G48" i="10"/>
  <c r="S46" i="10"/>
  <c r="R46" i="10"/>
  <c r="Q46" i="10"/>
  <c r="N46" i="10"/>
  <c r="M46" i="10"/>
  <c r="L46" i="10"/>
  <c r="I46" i="10"/>
  <c r="H46" i="10"/>
  <c r="G46" i="10"/>
  <c r="P48" i="10"/>
  <c r="K48" i="10"/>
  <c r="F48" i="10"/>
  <c r="J44" i="10"/>
  <c r="E44" i="10"/>
  <c r="O43" i="10"/>
  <c r="J43" i="10"/>
  <c r="E43" i="10"/>
  <c r="O42" i="10"/>
  <c r="J42" i="10"/>
  <c r="O41" i="10"/>
  <c r="J41" i="10"/>
  <c r="E41" i="10"/>
  <c r="O40" i="10"/>
  <c r="J40" i="10"/>
  <c r="E40" i="10"/>
  <c r="S38" i="10"/>
  <c r="R38" i="10"/>
  <c r="Q38" i="10"/>
  <c r="N38" i="10"/>
  <c r="M38" i="10"/>
  <c r="L38" i="10"/>
  <c r="I38" i="10"/>
  <c r="H38" i="10"/>
  <c r="G38" i="10"/>
  <c r="S37" i="10"/>
  <c r="R37" i="10"/>
  <c r="Q37" i="10"/>
  <c r="N37" i="10"/>
  <c r="M37" i="10"/>
  <c r="L37" i="10"/>
  <c r="I37" i="10"/>
  <c r="H37" i="10"/>
  <c r="G37" i="10"/>
  <c r="S36" i="10"/>
  <c r="R36" i="10"/>
  <c r="Q36" i="10"/>
  <c r="N36" i="10"/>
  <c r="M36" i="10"/>
  <c r="L36" i="10"/>
  <c r="I36" i="10"/>
  <c r="H36" i="10"/>
  <c r="G36" i="10"/>
  <c r="P36" i="10"/>
  <c r="J67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S27" i="10"/>
  <c r="R27" i="10"/>
  <c r="Q27" i="10"/>
  <c r="N27" i="10"/>
  <c r="M27" i="10"/>
  <c r="L27" i="10"/>
  <c r="K27" i="10"/>
  <c r="I27" i="10"/>
  <c r="H27" i="10"/>
  <c r="G27" i="10"/>
  <c r="R26" i="10"/>
  <c r="Q26" i="10"/>
  <c r="M26" i="10"/>
  <c r="L26" i="10"/>
  <c r="H26" i="10"/>
  <c r="G26" i="10"/>
  <c r="S25" i="10"/>
  <c r="R25" i="10"/>
  <c r="Q25" i="10"/>
  <c r="N25" i="10"/>
  <c r="M25" i="10"/>
  <c r="L25" i="10"/>
  <c r="I25" i="10"/>
  <c r="H25" i="10"/>
  <c r="G25" i="10"/>
  <c r="O24" i="10"/>
  <c r="J24" i="10"/>
  <c r="O23" i="10"/>
  <c r="J23" i="10"/>
  <c r="E23" i="10"/>
  <c r="J22" i="10"/>
  <c r="F25" i="10"/>
  <c r="O21" i="10"/>
  <c r="J21" i="10"/>
  <c r="E21" i="10"/>
  <c r="P20" i="10"/>
  <c r="O20" i="10" s="1"/>
  <c r="J20" i="10"/>
  <c r="E20" i="10"/>
  <c r="O19" i="10"/>
  <c r="J19" i="10"/>
  <c r="E19" i="10"/>
  <c r="O18" i="10"/>
  <c r="J18" i="10"/>
  <c r="E18" i="10"/>
  <c r="K26" i="10"/>
  <c r="F82" i="10"/>
  <c r="G81" i="10" l="1"/>
  <c r="M81" i="10"/>
  <c r="Q81" i="10"/>
  <c r="S81" i="10"/>
  <c r="H82" i="10"/>
  <c r="R82" i="10"/>
  <c r="H83" i="10"/>
  <c r="G82" i="10"/>
  <c r="L82" i="10"/>
  <c r="Q82" i="10"/>
  <c r="G83" i="10"/>
  <c r="I83" i="10"/>
  <c r="H81" i="10"/>
  <c r="L81" i="10"/>
  <c r="N81" i="10"/>
  <c r="R81" i="10"/>
  <c r="M82" i="10"/>
  <c r="K38" i="10"/>
  <c r="K36" i="10"/>
  <c r="F36" i="10"/>
  <c r="E36" i="10" s="1"/>
  <c r="I81" i="10"/>
  <c r="E25" i="10"/>
  <c r="E66" i="10"/>
  <c r="E72" i="10"/>
  <c r="O66" i="10"/>
  <c r="P72" i="10"/>
  <c r="O72" i="10" s="1"/>
  <c r="E34" i="10"/>
  <c r="F38" i="10"/>
  <c r="E38" i="10" s="1"/>
  <c r="O34" i="10"/>
  <c r="P38" i="10"/>
  <c r="J66" i="10"/>
  <c r="K83" i="10"/>
  <c r="J47" i="10"/>
  <c r="K82" i="10"/>
  <c r="L83" i="10"/>
  <c r="N83" i="10"/>
  <c r="R83" i="10"/>
  <c r="M83" i="10"/>
  <c r="Q83" i="10"/>
  <c r="S83" i="10"/>
  <c r="J27" i="10"/>
  <c r="E67" i="10"/>
  <c r="J34" i="10"/>
  <c r="J37" i="10"/>
  <c r="J75" i="10"/>
  <c r="O75" i="10"/>
  <c r="O37" i="10"/>
  <c r="E45" i="10"/>
  <c r="J45" i="10"/>
  <c r="O45" i="10"/>
  <c r="F27" i="10"/>
  <c r="E22" i="10"/>
  <c r="J52" i="10"/>
  <c r="O47" i="10"/>
  <c r="O44" i="10"/>
  <c r="P26" i="10"/>
  <c r="P82" i="10" s="1"/>
  <c r="O36" i="10"/>
  <c r="E37" i="10"/>
  <c r="E47" i="10"/>
  <c r="E48" i="10"/>
  <c r="J48" i="10"/>
  <c r="O48" i="10"/>
  <c r="E52" i="10"/>
  <c r="O52" i="10"/>
  <c r="E60" i="10"/>
  <c r="J60" i="10"/>
  <c r="O60" i="10"/>
  <c r="E54" i="10"/>
  <c r="J54" i="10"/>
  <c r="O54" i="10"/>
  <c r="F80" i="10"/>
  <c r="J38" i="10"/>
  <c r="E17" i="10"/>
  <c r="J17" i="10"/>
  <c r="O17" i="10"/>
  <c r="O22" i="10"/>
  <c r="P25" i="10"/>
  <c r="N26" i="10"/>
  <c r="N82" i="10" s="1"/>
  <c r="P27" i="10"/>
  <c r="O27" i="10" s="1"/>
  <c r="O67" i="10"/>
  <c r="J36" i="10"/>
  <c r="E71" i="10"/>
  <c r="J71" i="10"/>
  <c r="O71" i="10"/>
  <c r="K25" i="10"/>
  <c r="I26" i="10"/>
  <c r="I82" i="10" s="1"/>
  <c r="S26" i="10"/>
  <c r="S82" i="10" s="1"/>
  <c r="E42" i="10"/>
  <c r="K46" i="10"/>
  <c r="J46" i="10" s="1"/>
  <c r="E55" i="10"/>
  <c r="J55" i="10"/>
  <c r="O55" i="10"/>
  <c r="J70" i="10"/>
  <c r="F46" i="10"/>
  <c r="E46" i="10" s="1"/>
  <c r="O46" i="10"/>
  <c r="E70" i="10"/>
  <c r="O70" i="10"/>
  <c r="J80" i="10"/>
  <c r="K84" i="10"/>
  <c r="J84" i="10" s="1"/>
  <c r="P84" i="10"/>
  <c r="O84" i="10" s="1"/>
  <c r="O80" i="10"/>
  <c r="F81" i="10" l="1"/>
  <c r="E82" i="10"/>
  <c r="E80" i="10"/>
  <c r="F84" i="10"/>
  <c r="E84" i="10" s="1"/>
  <c r="P83" i="10"/>
  <c r="O83" i="10" s="1"/>
  <c r="J72" i="10"/>
  <c r="E27" i="10"/>
  <c r="F83" i="10"/>
  <c r="E83" i="10" s="1"/>
  <c r="K81" i="10"/>
  <c r="P81" i="10"/>
  <c r="O38" i="10"/>
  <c r="J83" i="10"/>
  <c r="O26" i="10"/>
  <c r="E26" i="10"/>
  <c r="J26" i="10"/>
  <c r="J25" i="10"/>
  <c r="O25" i="10"/>
  <c r="O82" i="10"/>
  <c r="J82" i="10"/>
  <c r="J81" i="10" l="1"/>
  <c r="O81" i="10"/>
  <c r="E81" i="10"/>
</calcChain>
</file>

<file path=xl/comments1.xml><?xml version="1.0" encoding="utf-8"?>
<comments xmlns="http://schemas.openxmlformats.org/spreadsheetml/2006/main">
  <authors>
    <author>user</author>
  </authors>
  <commentList>
    <comment ref="F1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3330 - проектные
4 855 - проектные освещение
4 000 - проектные площадь у колеса + Туполева, 9
3 857 - проектные из 2024
10 000 - "Маленький Петербург"
925 - освещение вдоль ул. Баныкина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P5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F5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</commentList>
</comments>
</file>

<file path=xl/sharedStrings.xml><?xml version="1.0" encoding="utf-8"?>
<sst xmlns="http://schemas.openxmlformats.org/spreadsheetml/2006/main" count="620" uniqueCount="130">
  <si>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</si>
  <si>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</si>
  <si>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</si>
  <si>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</si>
  <si>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</si>
  <si>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</si>
  <si>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</si>
  <si>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</si>
  <si>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</si>
  <si>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ДГХ</t>
  </si>
  <si>
    <t>Итого по задаче 1:</t>
  </si>
  <si>
    <t>Итого по задаче 3:</t>
  </si>
  <si>
    <t>Итого по задаче 4:</t>
  </si>
  <si>
    <t>4.1</t>
  </si>
  <si>
    <t>1.1</t>
  </si>
  <si>
    <t>1.3</t>
  </si>
  <si>
    <t>1.4</t>
  </si>
  <si>
    <t>2.1</t>
  </si>
  <si>
    <t>3.1</t>
  </si>
  <si>
    <t>3.2</t>
  </si>
  <si>
    <t>Задача 1: Обеспечение комплексного благоустройства внутриквартальных территорий</t>
  </si>
  <si>
    <t xml:space="preserve">Содержание системы поверхностного водоотвода объектов гидротехнических сооружений </t>
  </si>
  <si>
    <t xml:space="preserve">Ремонт объектов гидротехнических сооружений </t>
  </si>
  <si>
    <t>План на 2025 год</t>
  </si>
  <si>
    <t>План на 2026 год</t>
  </si>
  <si>
    <t>План на 2027 год</t>
  </si>
  <si>
    <t>План на 2028 год</t>
  </si>
  <si>
    <t>План на 2029 год</t>
  </si>
  <si>
    <t>План на 2030 год</t>
  </si>
  <si>
    <t>4.2</t>
  </si>
  <si>
    <t>3.3</t>
  </si>
  <si>
    <t>3.4</t>
  </si>
  <si>
    <t>3.5</t>
  </si>
  <si>
    <t xml:space="preserve">Итого по Программе </t>
  </si>
  <si>
    <t>&lt;1&gt; - за исключением объектов, вкюченных в иные муниципальные программы с аналогичным видом работ</t>
  </si>
  <si>
    <t>Ремонт, восстановление и устройство внутриквартального освещения &lt;1&gt;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</si>
  <si>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</si>
  <si>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</si>
  <si>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</si>
  <si>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</si>
  <si>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</si>
  <si>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Приложение № 1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</si>
  <si>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</si>
  <si>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2027-2030</t>
  </si>
  <si>
    <t>2025-2030</t>
  </si>
  <si>
    <t>2025-2028</t>
  </si>
  <si>
    <t>2025-2026</t>
  </si>
  <si>
    <t>2027-2028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</si>
  <si>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</si>
  <si>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</si>
  <si>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>2025-2029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</si>
  <si>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</si>
  <si>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</si>
  <si>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</si>
  <si>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</si>
  <si>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>в том числе:</t>
  </si>
  <si>
    <t>Итого по задаче 2:</t>
  </si>
  <si>
    <t xml:space="preserve">МБУ "Зеленстрой" </t>
  </si>
  <si>
    <t>МБУ "Зеленстрой"</t>
  </si>
  <si>
    <t xml:space="preserve">МКУ "Ритуал" </t>
  </si>
  <si>
    <t>МКУ "Ритуал"</t>
  </si>
  <si>
    <t>2025, 2027-2030</t>
  </si>
  <si>
    <t xml:space="preserve">ПЕРЕЧЕНЬ МЕРОПРИЯТИЙ МУНИЦИПАЛЬНОЙ ПРОГРАММЫ "БЛАГОУСТРОЙСТВО ТЕРРИТОРИИ ГОРОДСКОГО ОКРУГА ТОЛЬЯТТИ НА 2025 - 2030 ГОДЫ" </t>
  </si>
  <si>
    <t>Ремонт и установка МАФ &lt;1&gt;</t>
  </si>
  <si>
    <t>1.6</t>
  </si>
  <si>
    <t>1.7</t>
  </si>
  <si>
    <t xml:space="preserve">1.2 </t>
  </si>
  <si>
    <t>5.3</t>
  </si>
  <si>
    <t xml:space="preserve">5.1 </t>
  </si>
  <si>
    <t>5.5</t>
  </si>
  <si>
    <t xml:space="preserve">Задача 6: Содержание мест погребения (мест захоронения) городского округа Тольятти </t>
  </si>
  <si>
    <t xml:space="preserve">Итого по задаче 5:                    </t>
  </si>
  <si>
    <t>Итого по задаче 6: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</si>
  <si>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</si>
  <si>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>Восстановление и устройство детских и спортивных площадок  &lt;1&gt;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</si>
  <si>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</si>
  <si>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</si>
  <si>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</si>
  <si>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</si>
  <si>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2025-2027</t>
  </si>
  <si>
    <t>Задача 4: Вовлечение населения в благоустройство городской среды</t>
  </si>
  <si>
    <t>Реализация общественных проектов, направленных на благоустройство городских территорий (государственная программа Самарской области «Поддержка инициатив населения муниципальных образований в Самарской области»)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</si>
  <si>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</si>
  <si>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</si>
  <si>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>Преддекларационные обследования и разработка деклараций безопасности объектов гидротехнических сооружений с государственной экспертизой</t>
  </si>
  <si>
    <t xml:space="preserve">1.5 </t>
  </si>
  <si>
    <r>
      <t>2.2</t>
    </r>
    <r>
      <rPr>
        <i/>
        <sz val="12"/>
        <rFont val="Times New Roman"/>
        <family val="1"/>
        <charset val="204"/>
      </rPr>
      <t xml:space="preserve"> </t>
    </r>
  </si>
  <si>
    <r>
      <t>Ремонт и восстановление памятных мест, объектов, направленных на сохранение исторической памяти</t>
    </r>
    <r>
      <rPr>
        <i/>
        <sz val="12"/>
        <rFont val="Times New Roman"/>
        <family val="1"/>
        <charset val="204"/>
      </rPr>
      <t xml:space="preserve"> </t>
    </r>
  </si>
  <si>
    <t xml:space="preserve">Праздничное оформление городских территорий </t>
  </si>
  <si>
    <t xml:space="preserve">2.3 </t>
  </si>
  <si>
    <t xml:space="preserve">2.4 </t>
  </si>
  <si>
    <t xml:space="preserve">3.6 </t>
  </si>
  <si>
    <t xml:space="preserve">5.2 </t>
  </si>
  <si>
    <t xml:space="preserve">Обращение с твердыми коммунальными отходами </t>
  </si>
  <si>
    <r>
      <t>5.4</t>
    </r>
    <r>
      <rPr>
        <i/>
        <sz val="10"/>
        <rFont val="Times New Roman"/>
        <family val="1"/>
        <charset val="204"/>
      </rPr>
      <t xml:space="preserve"> </t>
    </r>
  </si>
  <si>
    <t xml:space="preserve">5.6 </t>
  </si>
  <si>
    <t xml:space="preserve">5.7 </t>
  </si>
  <si>
    <t xml:space="preserve">5.8 </t>
  </si>
  <si>
    <r>
      <t>5.9</t>
    </r>
    <r>
      <rPr>
        <i/>
        <sz val="10"/>
        <rFont val="Times New Roman"/>
        <family val="1"/>
        <charset val="204"/>
      </rPr>
      <t xml:space="preserve"> </t>
    </r>
  </si>
  <si>
    <t xml:space="preserve">5.10 </t>
  </si>
  <si>
    <t xml:space="preserve">Материально-техническое обеспечение эксплуатации объектов благоустройства </t>
  </si>
  <si>
    <r>
      <t>6.1</t>
    </r>
    <r>
      <rPr>
        <sz val="10"/>
        <rFont val="Times New Roman"/>
        <family val="1"/>
        <charset val="204"/>
      </rPr>
      <t xml:space="preserve"> </t>
    </r>
  </si>
  <si>
    <t xml:space="preserve">Содержание муниципальных кладбищ                        </t>
  </si>
  <si>
    <t xml:space="preserve">6.2 </t>
  </si>
  <si>
    <t xml:space="preserve">6.3 </t>
  </si>
  <si>
    <t xml:space="preserve">6.4 </t>
  </si>
  <si>
    <t xml:space="preserve">6.5 </t>
  </si>
  <si>
    <t>Благоустройство придомовых территорий многоквартирных домов &lt;1&gt;</t>
  </si>
  <si>
    <t>2025 - 2030</t>
  </si>
  <si>
    <t>№ п/п</t>
  </si>
  <si>
    <t>2028-2029</t>
  </si>
  <si>
    <t>5.11</t>
  </si>
  <si>
    <t>Доплаты и компенсационные выплаты матерям</t>
  </si>
  <si>
    <t>2028-2030</t>
  </si>
  <si>
    <t>Таблица № 1 (2025 - 2027 гг.)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</si>
  <si>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</si>
  <si>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 &lt;1&gt;</t>
  </si>
  <si>
    <t xml:space="preserve">Озеленение, Цветочное оформление территорий </t>
  </si>
  <si>
    <t xml:space="preserve">Содержание территорий объектов гидротехнических сооружений, пляжей и прибрежных территорий </t>
  </si>
  <si>
    <t xml:space="preserve">Транспортные услуги по вывозу смета, отходов </t>
  </si>
  <si>
    <r>
      <t>Содержание мест отдыха</t>
    </r>
    <r>
      <rPr>
        <i/>
        <sz val="12"/>
        <rFont val="Times New Roman"/>
        <family val="1"/>
        <charset val="204"/>
      </rPr>
      <t xml:space="preserve">                       </t>
    </r>
  </si>
  <si>
    <t xml:space="preserve">Комплексное содержание городских территорий </t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</si>
  <si>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</si>
  <si>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Приобретение, установка, ремонт и содержание туалетов </t>
  </si>
  <si>
    <t>2026-2028</t>
  </si>
  <si>
    <t>Таблица № 2 (2028 - 2030 гг.)</t>
  </si>
  <si>
    <t>Финансовое обеспечение реализации муниципальной программына 2025 - 2030, тыс. руб.</t>
  </si>
  <si>
    <t>Таблица № 3 (2025 - 2030 гг.)</t>
  </si>
  <si>
    <r>
      <t>Устройство и ремонт контейнерных площадок, приобретение мусоросборников, предназначенных для складирования ТКО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  </r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</si>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</sst>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</numFmts>
  <fonts count="3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1"/>
      <name val="Tahoma"/>
      <family val="2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rgb="FF000000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3" applyNumberFormat="0" applyAlignment="0" applyProtection="0"/>
    <xf numFmtId="0" fontId="8" fillId="21" borderId="14" applyNumberFormat="0" applyAlignment="0" applyProtection="0"/>
    <xf numFmtId="0" fontId="9" fillId="21" borderId="13" applyNumberFormat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22" borderId="19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4" borderId="20" applyNumberFormat="0" applyFont="0" applyAlignment="0" applyProtection="0"/>
    <xf numFmtId="0" fontId="20" fillId="0" borderId="21" applyNumberFormat="0" applyFill="0" applyAlignment="0" applyProtection="0"/>
    <xf numFmtId="0" fontId="21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ill="0" applyBorder="0" applyAlignment="0" applyProtection="0"/>
    <xf numFmtId="0" fontId="22" fillId="5" borderId="0" applyNumberFormat="0" applyBorder="0" applyAlignment="0" applyProtection="0"/>
    <xf numFmtId="0" fontId="17" fillId="0" borderId="0"/>
    <xf numFmtId="0" fontId="23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23" fillId="0" borderId="0"/>
    <xf numFmtId="0" fontId="33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47">
    <xf numFmtId="0" fontId="0" fillId="0" borderId="0" xfId="0"/>
    <xf numFmtId="0" fontId="24" fillId="2" borderId="0" xfId="0" applyFont="1" applyFill="1" applyAlignment="1">
      <alignment horizontal="center" vertical="center"/>
    </xf>
    <xf numFmtId="0" fontId="24" fillId="2" borderId="0" xfId="0" applyFont="1" applyFill="1"/>
    <xf numFmtId="3" fontId="24" fillId="2" borderId="1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/>
    <xf numFmtId="3" fontId="24" fillId="2" borderId="0" xfId="0" applyNumberFormat="1" applyFont="1" applyFill="1" applyAlignment="1">
      <alignment horizontal="center" vertical="center"/>
    </xf>
    <xf numFmtId="0" fontId="26" fillId="2" borderId="0" xfId="0" applyFont="1" applyFill="1"/>
    <xf numFmtId="3" fontId="26" fillId="2" borderId="0" xfId="0" applyNumberFormat="1" applyFont="1" applyFill="1" applyAlignment="1">
      <alignment horizontal="right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24" fillId="2" borderId="1" xfId="0" applyFont="1" applyFill="1" applyBorder="1"/>
    <xf numFmtId="3" fontId="24" fillId="2" borderId="1" xfId="0" applyNumberFormat="1" applyFont="1" applyFill="1" applyBorder="1"/>
    <xf numFmtId="0" fontId="29" fillId="2" borderId="1" xfId="0" applyFont="1" applyFill="1" applyBorder="1" applyAlignment="1">
      <alignment vertical="center"/>
    </xf>
    <xf numFmtId="0" fontId="29" fillId="2" borderId="1" xfId="0" applyFont="1" applyFill="1" applyBorder="1"/>
    <xf numFmtId="3" fontId="28" fillId="2" borderId="1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vertical="center"/>
    </xf>
    <xf numFmtId="0" fontId="24" fillId="2" borderId="0" xfId="0" applyFont="1" applyFill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6" fillId="2" borderId="12" xfId="0" applyFont="1" applyFill="1" applyBorder="1"/>
    <xf numFmtId="3" fontId="26" fillId="2" borderId="12" xfId="0" applyNumberFormat="1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right" vertical="center"/>
    </xf>
    <xf numFmtId="3" fontId="31" fillId="2" borderId="12" xfId="0" applyNumberFormat="1" applyFont="1" applyFill="1" applyBorder="1" applyAlignment="1">
      <alignment vertical="center"/>
    </xf>
    <xf numFmtId="3" fontId="28" fillId="2" borderId="12" xfId="0" applyNumberFormat="1" applyFont="1" applyFill="1" applyBorder="1" applyAlignment="1">
      <alignment vertical="center"/>
    </xf>
    <xf numFmtId="3" fontId="26" fillId="2" borderId="12" xfId="0" applyNumberFormat="1" applyFont="1" applyFill="1" applyBorder="1"/>
    <xf numFmtId="3" fontId="28" fillId="2" borderId="12" xfId="0" applyNumberFormat="1" applyFont="1" applyFill="1" applyBorder="1" applyAlignment="1">
      <alignment horizontal="right" vertical="center"/>
    </xf>
    <xf numFmtId="3" fontId="31" fillId="2" borderId="12" xfId="0" applyNumberFormat="1" applyFont="1" applyFill="1" applyBorder="1"/>
    <xf numFmtId="3" fontId="26" fillId="2" borderId="12" xfId="0" applyNumberFormat="1" applyFont="1" applyFill="1" applyBorder="1" applyAlignment="1">
      <alignment horizontal="right" vertical="center"/>
    </xf>
    <xf numFmtId="3" fontId="30" fillId="2" borderId="12" xfId="0" applyNumberFormat="1" applyFont="1" applyFill="1" applyBorder="1" applyAlignment="1">
      <alignment horizontal="right" vertical="center"/>
    </xf>
    <xf numFmtId="0" fontId="24" fillId="2" borderId="3" xfId="0" applyFont="1" applyFill="1" applyBorder="1" applyAlignment="1">
      <alignment horizontal="center" vertical="center" wrapText="1"/>
    </xf>
    <xf numFmtId="3" fontId="24" fillId="2" borderId="29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textRotation="90" wrapText="1"/>
    </xf>
    <xf numFmtId="0" fontId="24" fillId="2" borderId="32" xfId="0" applyFont="1" applyFill="1" applyBorder="1" applyAlignment="1">
      <alignment horizontal="center" vertical="center" textRotation="90" wrapText="1"/>
    </xf>
    <xf numFmtId="0" fontId="24" fillId="2" borderId="34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3" fontId="24" fillId="2" borderId="22" xfId="0" applyNumberFormat="1" applyFont="1" applyFill="1" applyBorder="1" applyAlignment="1">
      <alignment horizontal="center" vertical="center" wrapText="1"/>
    </xf>
    <xf numFmtId="3" fontId="24" fillId="2" borderId="33" xfId="0" applyNumberFormat="1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3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textRotation="90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 textRotation="90" wrapText="1"/>
    </xf>
    <xf numFmtId="0" fontId="24" fillId="2" borderId="5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textRotation="90" wrapText="1"/>
    </xf>
    <xf numFmtId="3" fontId="24" fillId="2" borderId="2" xfId="0" applyNumberFormat="1" applyFont="1" applyFill="1" applyBorder="1" applyAlignment="1">
      <alignment horizontal="center" vertical="center" wrapText="1"/>
    </xf>
    <xf numFmtId="3" fontId="24" fillId="2" borderId="56" xfId="0" applyNumberFormat="1" applyFont="1" applyFill="1" applyBorder="1" applyAlignment="1">
      <alignment horizontal="center" vertical="center" wrapText="1"/>
    </xf>
    <xf numFmtId="3" fontId="29" fillId="2" borderId="35" xfId="0" applyNumberFormat="1" applyFont="1" applyFill="1" applyBorder="1" applyAlignment="1">
      <alignment horizontal="center" vertical="center" wrapText="1"/>
    </xf>
    <xf numFmtId="3" fontId="29" fillId="2" borderId="36" xfId="0" applyNumberFormat="1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vertical="center" wrapText="1"/>
    </xf>
    <xf numFmtId="0" fontId="24" fillId="2" borderId="11" xfId="0" applyFont="1" applyFill="1" applyBorder="1" applyAlignment="1">
      <alignment vertical="center" wrapText="1"/>
    </xf>
    <xf numFmtId="3" fontId="24" fillId="2" borderId="23" xfId="0" applyNumberFormat="1" applyFont="1" applyFill="1" applyBorder="1" applyAlignment="1">
      <alignment horizontal="center" vertical="center" wrapText="1"/>
    </xf>
    <xf numFmtId="3" fontId="24" fillId="2" borderId="12" xfId="0" applyNumberFormat="1" applyFont="1" applyFill="1" applyBorder="1" applyAlignment="1">
      <alignment horizontal="center" vertical="center" wrapText="1"/>
    </xf>
    <xf numFmtId="3" fontId="24" fillId="2" borderId="6" xfId="0" applyNumberFormat="1" applyFont="1" applyFill="1" applyBorder="1" applyAlignment="1">
      <alignment horizontal="center" vertical="center" wrapText="1"/>
    </xf>
    <xf numFmtId="3" fontId="29" fillId="2" borderId="43" xfId="0" applyNumberFormat="1" applyFont="1" applyFill="1" applyBorder="1" applyAlignment="1">
      <alignment horizontal="center" vertical="center" wrapText="1"/>
    </xf>
    <xf numFmtId="3" fontId="24" fillId="2" borderId="26" xfId="0" applyNumberFormat="1" applyFont="1" applyFill="1" applyBorder="1" applyAlignment="1">
      <alignment horizontal="center" vertical="center" wrapText="1"/>
    </xf>
    <xf numFmtId="3" fontId="24" fillId="2" borderId="27" xfId="0" applyNumberFormat="1" applyFont="1" applyFill="1" applyBorder="1" applyAlignment="1">
      <alignment horizontal="center" vertical="center" wrapText="1"/>
    </xf>
    <xf numFmtId="3" fontId="24" fillId="2" borderId="28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3" fontId="29" fillId="2" borderId="34" xfId="0" applyNumberFormat="1" applyFont="1" applyFill="1" applyBorder="1" applyAlignment="1">
      <alignment horizontal="center" vertical="center" wrapText="1"/>
    </xf>
    <xf numFmtId="3" fontId="24" fillId="2" borderId="5" xfId="0" applyNumberFormat="1" applyFont="1" applyFill="1" applyBorder="1" applyAlignment="1">
      <alignment horizontal="center" vertical="center" wrapText="1"/>
    </xf>
    <xf numFmtId="3" fontId="24" fillId="2" borderId="30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 wrapText="1"/>
    </xf>
    <xf numFmtId="3" fontId="24" fillId="2" borderId="32" xfId="0" applyNumberFormat="1" applyFont="1" applyFill="1" applyBorder="1" applyAlignment="1">
      <alignment horizontal="center" vertical="center" wrapText="1"/>
    </xf>
    <xf numFmtId="3" fontId="24" fillId="2" borderId="24" xfId="0" applyNumberFormat="1" applyFont="1" applyFill="1" applyBorder="1" applyAlignment="1">
      <alignment horizontal="center" vertical="center" wrapText="1"/>
    </xf>
    <xf numFmtId="3" fontId="24" fillId="2" borderId="11" xfId="0" applyNumberFormat="1" applyFont="1" applyFill="1" applyBorder="1" applyAlignment="1">
      <alignment horizontal="center" vertical="center" wrapText="1"/>
    </xf>
    <xf numFmtId="3" fontId="24" fillId="2" borderId="9" xfId="0" applyNumberFormat="1" applyFont="1" applyFill="1" applyBorder="1" applyAlignment="1">
      <alignment horizontal="center" vertical="center" wrapText="1"/>
    </xf>
    <xf numFmtId="3" fontId="29" fillId="2" borderId="53" xfId="0" applyNumberFormat="1" applyFont="1" applyFill="1" applyBorder="1" applyAlignment="1">
      <alignment horizontal="center" vertical="center" wrapText="1"/>
    </xf>
    <xf numFmtId="0" fontId="24" fillId="2" borderId="26" xfId="1" applyFont="1" applyFill="1" applyBorder="1" applyAlignment="1">
      <alignment vertical="center" wrapText="1"/>
    </xf>
    <xf numFmtId="0" fontId="24" fillId="2" borderId="27" xfId="1" applyFont="1" applyFill="1" applyBorder="1" applyAlignment="1">
      <alignment horizontal="right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vertical="center" wrapText="1"/>
    </xf>
    <xf numFmtId="3" fontId="24" fillId="2" borderId="41" xfId="0" applyNumberFormat="1" applyFont="1" applyFill="1" applyBorder="1" applyAlignment="1">
      <alignment horizontal="center" vertical="center" wrapText="1"/>
    </xf>
    <xf numFmtId="3" fontId="24" fillId="2" borderId="55" xfId="0" applyNumberFormat="1" applyFont="1" applyFill="1" applyBorder="1" applyAlignment="1">
      <alignment horizontal="center" vertical="center" wrapText="1"/>
    </xf>
    <xf numFmtId="0" fontId="24" fillId="2" borderId="30" xfId="1" applyFont="1" applyFill="1" applyBorder="1" applyAlignment="1">
      <alignment vertical="center" wrapText="1"/>
    </xf>
    <xf numFmtId="0" fontId="24" fillId="2" borderId="31" xfId="1" applyFont="1" applyFill="1" applyBorder="1" applyAlignment="1">
      <alignment vertical="center" wrapText="1"/>
    </xf>
    <xf numFmtId="0" fontId="24" fillId="2" borderId="52" xfId="0" applyFont="1" applyFill="1" applyBorder="1" applyAlignment="1">
      <alignment vertical="center" wrapText="1"/>
    </xf>
    <xf numFmtId="3" fontId="24" fillId="2" borderId="42" xfId="0" applyNumberFormat="1" applyFont="1" applyFill="1" applyBorder="1" applyAlignment="1">
      <alignment horizontal="center" vertical="center" wrapText="1"/>
    </xf>
    <xf numFmtId="3" fontId="24" fillId="2" borderId="52" xfId="0" applyNumberFormat="1" applyFont="1" applyFill="1" applyBorder="1" applyAlignment="1">
      <alignment horizontal="center" vertical="center" wrapText="1"/>
    </xf>
    <xf numFmtId="49" fontId="24" fillId="2" borderId="57" xfId="0" applyNumberFormat="1" applyFont="1" applyFill="1" applyBorder="1" applyAlignment="1">
      <alignment horizontal="center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vertical="center" wrapText="1"/>
    </xf>
    <xf numFmtId="0" fontId="24" fillId="2" borderId="45" xfId="0" applyFont="1" applyFill="1" applyBorder="1" applyAlignment="1">
      <alignment vertical="center" wrapText="1"/>
    </xf>
    <xf numFmtId="0" fontId="24" fillId="2" borderId="46" xfId="0" applyFont="1" applyFill="1" applyBorder="1" applyAlignment="1">
      <alignment vertical="center" wrapText="1"/>
    </xf>
    <xf numFmtId="0" fontId="24" fillId="2" borderId="37" xfId="1" applyFont="1" applyFill="1" applyBorder="1" applyAlignment="1">
      <alignment vertical="center" wrapText="1"/>
    </xf>
    <xf numFmtId="0" fontId="24" fillId="2" borderId="39" xfId="1" applyFont="1" applyFill="1" applyBorder="1" applyAlignment="1">
      <alignment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4" xfId="1" applyFont="1" applyFill="1" applyBorder="1" applyAlignment="1">
      <alignment horizontal="right" vertical="center" wrapText="1"/>
    </xf>
    <xf numFmtId="0" fontId="24" fillId="2" borderId="46" xfId="1" applyFont="1" applyFill="1" applyBorder="1" applyAlignment="1">
      <alignment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9" fillId="2" borderId="53" xfId="0" applyNumberFormat="1" applyFont="1" applyFill="1" applyBorder="1" applyAlignment="1">
      <alignment horizontal="center" vertical="center" wrapText="1"/>
    </xf>
    <xf numFmtId="0" fontId="24" fillId="2" borderId="57" xfId="1" applyFont="1" applyFill="1" applyBorder="1" applyAlignment="1">
      <alignment vertical="center" wrapText="1"/>
    </xf>
    <xf numFmtId="0" fontId="24" fillId="2" borderId="60" xfId="0" applyFont="1" applyFill="1" applyBorder="1" applyAlignment="1">
      <alignment vertical="center" wrapText="1"/>
    </xf>
    <xf numFmtId="0" fontId="24" fillId="2" borderId="30" xfId="0" applyFont="1" applyFill="1" applyBorder="1" applyAlignment="1">
      <alignment vertical="center"/>
    </xf>
    <xf numFmtId="0" fontId="24" fillId="2" borderId="31" xfId="0" applyFont="1" applyFill="1" applyBorder="1" applyAlignment="1">
      <alignment vertical="center"/>
    </xf>
    <xf numFmtId="49" fontId="24" fillId="2" borderId="9" xfId="0" applyNumberFormat="1" applyFont="1" applyFill="1" applyBorder="1" applyAlignment="1">
      <alignment horizontal="center" vertical="center" wrapText="1"/>
    </xf>
    <xf numFmtId="0" fontId="24" fillId="2" borderId="57" xfId="0" applyFont="1" applyFill="1" applyBorder="1" applyAlignment="1">
      <alignment vertical="center"/>
    </xf>
    <xf numFmtId="0" fontId="24" fillId="2" borderId="39" xfId="0" applyFont="1" applyFill="1" applyBorder="1" applyAlignment="1">
      <alignment vertical="center"/>
    </xf>
    <xf numFmtId="0" fontId="24" fillId="2" borderId="44" xfId="0" applyFont="1" applyFill="1" applyBorder="1" applyAlignment="1">
      <alignment horizontal="right" vertical="center"/>
    </xf>
    <xf numFmtId="0" fontId="24" fillId="2" borderId="46" xfId="0" applyFont="1" applyFill="1" applyBorder="1" applyAlignment="1">
      <alignment vertical="center"/>
    </xf>
    <xf numFmtId="49" fontId="24" fillId="2" borderId="57" xfId="0" applyNumberFormat="1" applyFont="1" applyFill="1" applyBorder="1" applyAlignment="1">
      <alignment horizontal="center" vertical="center"/>
    </xf>
    <xf numFmtId="0" fontId="24" fillId="2" borderId="44" xfId="0" applyFont="1" applyFill="1" applyBorder="1" applyAlignment="1">
      <alignment horizontal="left" vertical="center" wrapText="1"/>
    </xf>
    <xf numFmtId="0" fontId="24" fillId="2" borderId="46" xfId="0" applyFont="1" applyFill="1" applyBorder="1" applyAlignment="1">
      <alignment horizontal="left" vertical="center" wrapText="1"/>
    </xf>
    <xf numFmtId="49" fontId="24" fillId="2" borderId="58" xfId="0" applyNumberFormat="1" applyFont="1" applyFill="1" applyBorder="1" applyAlignment="1">
      <alignment horizontal="center" vertical="center"/>
    </xf>
    <xf numFmtId="0" fontId="24" fillId="2" borderId="60" xfId="0" applyFont="1" applyFill="1" applyBorder="1" applyAlignment="1">
      <alignment horizontal="left" vertical="center" wrapText="1"/>
    </xf>
    <xf numFmtId="0" fontId="24" fillId="2" borderId="45" xfId="0" applyFont="1" applyFill="1" applyBorder="1" applyAlignment="1">
      <alignment horizontal="left" vertical="center" wrapText="1"/>
    </xf>
    <xf numFmtId="49" fontId="24" fillId="2" borderId="24" xfId="0" applyNumberFormat="1" applyFont="1" applyFill="1" applyBorder="1" applyAlignment="1">
      <alignment horizontal="center" vertical="center" wrapText="1"/>
    </xf>
    <xf numFmtId="49" fontId="24" fillId="2" borderId="28" xfId="0" applyNumberFormat="1" applyFont="1" applyFill="1" applyBorder="1" applyAlignment="1">
      <alignment horizontal="center" vertical="center" wrapText="1"/>
    </xf>
    <xf numFmtId="49" fontId="24" fillId="2" borderId="29" xfId="0" applyNumberFormat="1" applyFont="1" applyFill="1" applyBorder="1" applyAlignment="1">
      <alignment horizontal="center" vertical="center" wrapText="1"/>
    </xf>
    <xf numFmtId="49" fontId="24" fillId="2" borderId="32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center" wrapText="1"/>
    </xf>
    <xf numFmtId="0" fontId="24" fillId="2" borderId="38" xfId="0" applyFont="1" applyFill="1" applyBorder="1" applyAlignment="1">
      <alignment vertical="center" wrapText="1"/>
    </xf>
    <xf numFmtId="0" fontId="24" fillId="2" borderId="39" xfId="0" applyFont="1" applyFill="1" applyBorder="1" applyAlignment="1">
      <alignment vertical="center" wrapText="1"/>
    </xf>
    <xf numFmtId="4" fontId="24" fillId="2" borderId="23" xfId="0" applyNumberFormat="1" applyFont="1" applyFill="1" applyBorder="1" applyAlignment="1">
      <alignment horizontal="center" vertical="center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/>
    </xf>
    <xf numFmtId="3" fontId="24" fillId="2" borderId="42" xfId="0" applyNumberFormat="1" applyFont="1" applyFill="1" applyBorder="1" applyAlignment="1">
      <alignment horizontal="center" vertical="center"/>
    </xf>
    <xf numFmtId="3" fontId="24" fillId="2" borderId="30" xfId="0" applyNumberFormat="1" applyFont="1" applyFill="1" applyBorder="1" applyAlignment="1">
      <alignment horizontal="center" vertical="center"/>
    </xf>
    <xf numFmtId="3" fontId="24" fillId="2" borderId="52" xfId="0" applyNumberFormat="1" applyFont="1" applyFill="1" applyBorder="1" applyAlignment="1">
      <alignment horizontal="center" vertical="center"/>
    </xf>
    <xf numFmtId="0" fontId="24" fillId="2" borderId="57" xfId="0" applyFont="1" applyFill="1" applyBorder="1" applyAlignment="1">
      <alignment vertical="top" wrapText="1"/>
    </xf>
    <xf numFmtId="0" fontId="24" fillId="2" borderId="38" xfId="0" applyFont="1" applyFill="1" applyBorder="1" applyAlignment="1">
      <alignment vertical="top" wrapText="1"/>
    </xf>
    <xf numFmtId="0" fontId="24" fillId="2" borderId="39" xfId="0" applyFont="1" applyFill="1" applyBorder="1" applyAlignment="1">
      <alignment vertical="top" wrapText="1"/>
    </xf>
    <xf numFmtId="4" fontId="24" fillId="2" borderId="42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right" vertical="center" wrapText="1"/>
    </xf>
    <xf numFmtId="0" fontId="24" fillId="2" borderId="45" xfId="0" applyFont="1" applyFill="1" applyBorder="1" applyAlignment="1">
      <alignment vertical="top" wrapText="1"/>
    </xf>
    <xf numFmtId="0" fontId="24" fillId="2" borderId="46" xfId="0" applyFont="1" applyFill="1" applyBorder="1" applyAlignment="1">
      <alignment vertical="top" wrapText="1"/>
    </xf>
    <xf numFmtId="49" fontId="24" fillId="2" borderId="52" xfId="0" applyNumberFormat="1" applyFont="1" applyFill="1" applyBorder="1" applyAlignment="1">
      <alignment horizontal="center" vertical="center" wrapText="1"/>
    </xf>
    <xf numFmtId="0" fontId="24" fillId="2" borderId="68" xfId="0" applyFont="1" applyFill="1" applyBorder="1" applyAlignment="1">
      <alignment vertical="center" wrapText="1"/>
    </xf>
    <xf numFmtId="0" fontId="24" fillId="2" borderId="26" xfId="0" applyFont="1" applyFill="1" applyBorder="1" applyAlignment="1">
      <alignment vertical="center"/>
    </xf>
    <xf numFmtId="0" fontId="24" fillId="2" borderId="27" xfId="0" applyFont="1" applyFill="1" applyBorder="1" applyAlignment="1">
      <alignment horizontal="right" vertical="center"/>
    </xf>
    <xf numFmtId="0" fontId="24" fillId="2" borderId="46" xfId="0" applyFont="1" applyFill="1" applyBorder="1" applyAlignment="1">
      <alignment horizontal="right" vertical="center" wrapText="1"/>
    </xf>
    <xf numFmtId="49" fontId="24" fillId="2" borderId="55" xfId="0" applyNumberFormat="1" applyFont="1" applyFill="1" applyBorder="1" applyAlignment="1">
      <alignment horizontal="center" vertical="center" wrapText="1"/>
    </xf>
    <xf numFmtId="0" fontId="24" fillId="25" borderId="1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center" vertical="center"/>
    </xf>
    <xf numFmtId="3" fontId="24" fillId="2" borderId="0" xfId="0" applyNumberFormat="1" applyFont="1" applyFill="1" applyBorder="1" applyAlignment="1">
      <alignment horizontal="center" vertical="center"/>
    </xf>
    <xf numFmtId="3" fontId="24" fillId="2" borderId="0" xfId="0" applyNumberFormat="1" applyFont="1" applyFill="1" applyBorder="1"/>
    <xf numFmtId="0" fontId="26" fillId="2" borderId="0" xfId="0" applyFont="1" applyFill="1" applyBorder="1"/>
    <xf numFmtId="0" fontId="24" fillId="2" borderId="0" xfId="0" applyFont="1" applyFill="1" applyBorder="1"/>
    <xf numFmtId="0" fontId="24" fillId="2" borderId="69" xfId="0" applyFont="1" applyFill="1" applyBorder="1" applyAlignment="1">
      <alignment horizontal="left" vertical="center"/>
    </xf>
    <xf numFmtId="3" fontId="24" fillId="2" borderId="69" xfId="0" applyNumberFormat="1" applyFont="1" applyFill="1" applyBorder="1" applyAlignment="1">
      <alignment horizontal="left" vertical="center"/>
    </xf>
    <xf numFmtId="0" fontId="24" fillId="2" borderId="69" xfId="0" applyFont="1" applyFill="1" applyBorder="1" applyAlignment="1">
      <alignment horizontal="center" vertical="center"/>
    </xf>
    <xf numFmtId="3" fontId="24" fillId="2" borderId="69" xfId="0" applyNumberFormat="1" applyFont="1" applyFill="1" applyBorder="1" applyAlignment="1">
      <alignment horizontal="center" vertical="center"/>
    </xf>
    <xf numFmtId="0" fontId="24" fillId="2" borderId="47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 wrapText="1"/>
    </xf>
    <xf numFmtId="0" fontId="24" fillId="2" borderId="34" xfId="0" applyFont="1" applyFill="1" applyBorder="1" applyAlignment="1">
      <alignment horizontal="left" vertical="center" wrapText="1"/>
    </xf>
    <xf numFmtId="0" fontId="24" fillId="2" borderId="35" xfId="0" applyFont="1" applyFill="1" applyBorder="1" applyAlignment="1">
      <alignment horizontal="left" vertical="center" wrapText="1"/>
    </xf>
    <xf numFmtId="0" fontId="24" fillId="2" borderId="36" xfId="0" applyFont="1" applyFill="1" applyBorder="1" applyAlignment="1">
      <alignment horizontal="left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48" xfId="0" applyFont="1" applyFill="1" applyBorder="1" applyAlignment="1">
      <alignment horizontal="center" vertical="center" wrapText="1"/>
    </xf>
    <xf numFmtId="0" fontId="24" fillId="2" borderId="50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24" fillId="2" borderId="62" xfId="1" applyFont="1" applyFill="1" applyBorder="1" applyAlignment="1">
      <alignment horizontal="right" vertical="top" wrapText="1"/>
    </xf>
    <xf numFmtId="0" fontId="24" fillId="2" borderId="64" xfId="1" applyFont="1" applyFill="1" applyBorder="1" applyAlignment="1">
      <alignment horizontal="right" vertical="top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right"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left" vertical="center" wrapText="1"/>
    </xf>
    <xf numFmtId="0" fontId="24" fillId="2" borderId="54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29" fillId="2" borderId="49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 wrapText="1"/>
    </xf>
    <xf numFmtId="0" fontId="29" fillId="2" borderId="40" xfId="1" applyFont="1" applyFill="1" applyBorder="1" applyAlignment="1">
      <alignment horizontal="left" vertical="center" wrapText="1"/>
    </xf>
    <xf numFmtId="0" fontId="29" fillId="2" borderId="49" xfId="1" applyFont="1" applyFill="1" applyBorder="1" applyAlignment="1">
      <alignment horizontal="left" vertical="center" wrapText="1"/>
    </xf>
    <xf numFmtId="0" fontId="29" fillId="2" borderId="59" xfId="1" applyFont="1" applyFill="1" applyBorder="1" applyAlignment="1">
      <alignment horizontal="left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24" fillId="2" borderId="34" xfId="0" applyNumberFormat="1" applyFont="1" applyFill="1" applyBorder="1" applyAlignment="1">
      <alignment horizontal="left" vertical="center" wrapText="1"/>
    </xf>
    <xf numFmtId="49" fontId="24" fillId="2" borderId="35" xfId="0" applyNumberFormat="1" applyFont="1" applyFill="1" applyBorder="1" applyAlignment="1">
      <alignment horizontal="left" vertical="center" wrapText="1"/>
    </xf>
    <xf numFmtId="49" fontId="24" fillId="2" borderId="36" xfId="0" applyNumberFormat="1" applyFont="1" applyFill="1" applyBorder="1" applyAlignment="1">
      <alignment horizontal="left" vertical="center" wrapText="1"/>
    </xf>
    <xf numFmtId="0" fontId="24" fillId="2" borderId="62" xfId="0" applyFont="1" applyFill="1" applyBorder="1" applyAlignment="1">
      <alignment horizontal="right" vertical="top" wrapText="1"/>
    </xf>
    <xf numFmtId="0" fontId="24" fillId="2" borderId="63" xfId="0" applyFont="1" applyFill="1" applyBorder="1" applyAlignment="1">
      <alignment horizontal="right" vertical="top" wrapText="1"/>
    </xf>
    <xf numFmtId="0" fontId="24" fillId="2" borderId="64" xfId="0" applyFont="1" applyFill="1" applyBorder="1" applyAlignment="1">
      <alignment horizontal="right" vertical="top" wrapText="1"/>
    </xf>
    <xf numFmtId="49" fontId="29" fillId="2" borderId="40" xfId="0" applyNumberFormat="1" applyFont="1" applyFill="1" applyBorder="1" applyAlignment="1">
      <alignment horizontal="left" vertical="center" wrapText="1"/>
    </xf>
    <xf numFmtId="49" fontId="29" fillId="2" borderId="49" xfId="0" applyNumberFormat="1" applyFont="1" applyFill="1" applyBorder="1" applyAlignment="1">
      <alignment horizontal="left" vertical="center" wrapText="1"/>
    </xf>
    <xf numFmtId="49" fontId="29" fillId="2" borderId="59" xfId="0" applyNumberFormat="1" applyFont="1" applyFill="1" applyBorder="1" applyAlignment="1">
      <alignment horizontal="left" vertical="center" wrapText="1"/>
    </xf>
    <xf numFmtId="0" fontId="24" fillId="2" borderId="34" xfId="0" applyFont="1" applyFill="1" applyBorder="1" applyAlignment="1">
      <alignment horizontal="left" vertical="center"/>
    </xf>
    <xf numFmtId="0" fontId="24" fillId="2" borderId="35" xfId="0" applyFont="1" applyFill="1" applyBorder="1" applyAlignment="1">
      <alignment horizontal="left" vertical="center"/>
    </xf>
    <xf numFmtId="0" fontId="24" fillId="2" borderId="36" xfId="0" applyFont="1" applyFill="1" applyBorder="1" applyAlignment="1">
      <alignment horizontal="left" vertical="center"/>
    </xf>
    <xf numFmtId="49" fontId="24" fillId="2" borderId="57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49" fontId="29" fillId="2" borderId="43" xfId="0" applyNumberFormat="1" applyFont="1" applyFill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/>
    </xf>
    <xf numFmtId="0" fontId="29" fillId="2" borderId="49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center"/>
    </xf>
    <xf numFmtId="0" fontId="25" fillId="0" borderId="40" xfId="0" applyFont="1" applyBorder="1" applyAlignment="1">
      <alignment horizontal="left" vertical="center"/>
    </xf>
    <xf numFmtId="0" fontId="25" fillId="0" borderId="49" xfId="0" applyFont="1" applyBorder="1" applyAlignment="1">
      <alignment horizontal="left" vertical="center"/>
    </xf>
    <xf numFmtId="0" fontId="25" fillId="0" borderId="59" xfId="0" applyFont="1" applyBorder="1" applyAlignment="1">
      <alignment horizontal="left" vertical="center"/>
    </xf>
    <xf numFmtId="0" fontId="24" fillId="2" borderId="5" xfId="0" applyFont="1" applyFill="1" applyBorder="1" applyAlignment="1">
      <alignment horizontal="center" vertical="center" wrapText="1"/>
    </xf>
    <xf numFmtId="0" fontId="24" fillId="2" borderId="22" xfId="0" applyFont="1" applyFill="1" applyBorder="1" applyAlignment="1">
      <alignment horizontal="center" vertical="center" wrapText="1"/>
    </xf>
    <xf numFmtId="0" fontId="24" fillId="2" borderId="33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61" xfId="0" applyFont="1" applyFill="1" applyBorder="1" applyAlignment="1">
      <alignment horizontal="left" vertical="center" wrapText="1"/>
    </xf>
    <xf numFmtId="0" fontId="24" fillId="2" borderId="65" xfId="0" applyFont="1" applyFill="1" applyBorder="1" applyAlignment="1">
      <alignment horizontal="center" vertical="center" wrapText="1"/>
    </xf>
    <xf numFmtId="0" fontId="24" fillId="2" borderId="66" xfId="0" applyFont="1" applyFill="1" applyBorder="1" applyAlignment="1">
      <alignment horizontal="center" vertical="center" wrapText="1"/>
    </xf>
    <xf numFmtId="0" fontId="24" fillId="2" borderId="67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34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9" fillId="2" borderId="59" xfId="0" applyFont="1" applyFill="1" applyBorder="1" applyAlignment="1">
      <alignment horizontal="left" vertical="center"/>
    </xf>
    <xf numFmtId="0" fontId="24" fillId="2" borderId="47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right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</cellXfs>
  <cellStyles count="6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1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51"/>
    <cellStyle name="Обычный 2 4" xfId="56"/>
    <cellStyle name="Обычный 2 7" xfId="57"/>
    <cellStyle name="Обычный 3" xfId="39"/>
    <cellStyle name="Обычный 3 2" xfId="40"/>
    <cellStyle name="Обычный 3 3" xfId="58"/>
    <cellStyle name="Обычный 4" xfId="41"/>
    <cellStyle name="Обычный 8" xfId="52"/>
    <cellStyle name="Плохой 2" xfId="42"/>
    <cellStyle name="Пояснение 2" xfId="43"/>
    <cellStyle name="Примечание 2" xfId="44"/>
    <cellStyle name="Процентный 2" xfId="53"/>
    <cellStyle name="Связанная ячейка 2" xfId="45"/>
    <cellStyle name="Текст предупреждения 2" xfId="46"/>
    <cellStyle name="Финансовый [0] 2" xfId="55"/>
    <cellStyle name="Финансовый [0] 3" xfId="54"/>
    <cellStyle name="Финансовый 2" xfId="47"/>
    <cellStyle name="Финансовый 2 2" xfId="48"/>
    <cellStyle name="Финансовый 2 3" xfId="49"/>
    <cellStyle name="Финансовый 3" xfId="59"/>
    <cellStyle name="Финансовый 3 2" xfId="60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4"/>
  <sheetViews>
    <sheetView tabSelected="1" topLeftCell="A39" zoomScale="60" zoomScaleNormal="60" workbookViewId="0">
      <selection activeCell="V41" sqref="V41"/>
    </sheetView>
  </sheetViews>
  <sheetFormatPr defaultColWidth="9.140625" defaultRowHeight="15.75" x14ac:dyDescent="0.25"/>
  <cols>
    <col min="1" max="1" width="6.28515625" style="2" customWidth="1"/>
    <col min="2" max="2" width="42" style="2" customWidth="1"/>
    <col min="3" max="3" width="14.85546875" style="2" customWidth="1"/>
    <col min="4" max="4" width="7.7109375" style="2" customWidth="1"/>
    <col min="5" max="5" width="15" style="2" customWidth="1"/>
    <col min="6" max="6" width="12.7109375" style="2" customWidth="1"/>
    <col min="7" max="7" width="10.42578125" style="2" customWidth="1"/>
    <col min="8" max="8" width="6.85546875" style="2" customWidth="1"/>
    <col min="9" max="9" width="8.28515625" style="2" customWidth="1"/>
    <col min="10" max="10" width="12.5703125" style="2" customWidth="1"/>
    <col min="11" max="11" width="11.42578125" style="2" customWidth="1"/>
    <col min="12" max="12" width="8.5703125" style="2" customWidth="1"/>
    <col min="13" max="13" width="7.140625" style="2" customWidth="1"/>
    <col min="14" max="14" width="7.85546875" style="2" customWidth="1"/>
    <col min="15" max="15" width="11.7109375" style="2" customWidth="1"/>
    <col min="16" max="16" width="11.5703125" style="2" customWidth="1"/>
    <col min="17" max="17" width="7.140625" style="2" customWidth="1"/>
    <col min="18" max="18" width="7.7109375" style="2" customWidth="1"/>
    <col min="19" max="19" width="7.5703125" style="2" customWidth="1"/>
    <col min="20" max="20" width="12.28515625" style="6" bestFit="1" customWidth="1"/>
    <col min="21" max="23" width="14" style="2" bestFit="1" customWidth="1"/>
    <col min="24" max="16384" width="9.140625" style="2"/>
  </cols>
  <sheetData>
    <row r="1" spans="1:20" x14ac:dyDescent="0.25">
      <c r="A1" s="20"/>
      <c r="H1" s="186" t="s">
        <v>41</v>
      </c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</row>
    <row r="2" spans="1:20" x14ac:dyDescent="0.25">
      <c r="A2" s="20"/>
      <c r="H2" s="186" t="s">
        <v>37</v>
      </c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</row>
    <row r="3" spans="1:20" x14ac:dyDescent="0.25">
      <c r="A3" s="20"/>
      <c r="H3" s="186" t="s">
        <v>38</v>
      </c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</row>
    <row r="4" spans="1:20" x14ac:dyDescent="0.25">
      <c r="A4" s="20"/>
      <c r="H4" s="186" t="s">
        <v>39</v>
      </c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</row>
    <row r="5" spans="1:20" x14ac:dyDescent="0.25">
      <c r="A5" s="20"/>
      <c r="H5" s="186" t="s">
        <v>40</v>
      </c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</row>
    <row r="6" spans="1:20" x14ac:dyDescent="0.25">
      <c r="A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20" x14ac:dyDescent="0.25">
      <c r="B7" s="163" t="s">
        <v>62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</row>
    <row r="8" spans="1:20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20" x14ac:dyDescent="0.25"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63" t="s">
        <v>114</v>
      </c>
      <c r="Q9" s="163"/>
      <c r="R9" s="163"/>
      <c r="S9" s="163"/>
    </row>
    <row r="10" spans="1:20" ht="12.75" customHeight="1" thickBot="1" x14ac:dyDescent="0.3"/>
    <row r="11" spans="1:20" s="10" customFormat="1" ht="22.5" customHeight="1" thickBot="1" x14ac:dyDescent="0.3">
      <c r="A11" s="169" t="s">
        <v>109</v>
      </c>
      <c r="B11" s="172" t="s">
        <v>0</v>
      </c>
      <c r="C11" s="175" t="s">
        <v>1</v>
      </c>
      <c r="D11" s="172" t="s">
        <v>2</v>
      </c>
      <c r="E11" s="178" t="s">
        <v>3</v>
      </c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80"/>
      <c r="T11" s="21"/>
    </row>
    <row r="12" spans="1:20" s="10" customFormat="1" ht="23.25" customHeight="1" x14ac:dyDescent="0.25">
      <c r="A12" s="170"/>
      <c r="B12" s="173"/>
      <c r="C12" s="176"/>
      <c r="D12" s="173"/>
      <c r="E12" s="183" t="s">
        <v>23</v>
      </c>
      <c r="F12" s="184"/>
      <c r="G12" s="184"/>
      <c r="H12" s="184"/>
      <c r="I12" s="185"/>
      <c r="J12" s="183" t="s">
        <v>24</v>
      </c>
      <c r="K12" s="184"/>
      <c r="L12" s="184"/>
      <c r="M12" s="184"/>
      <c r="N12" s="187"/>
      <c r="O12" s="183" t="s">
        <v>25</v>
      </c>
      <c r="P12" s="184"/>
      <c r="Q12" s="184"/>
      <c r="R12" s="184"/>
      <c r="S12" s="187"/>
      <c r="T12" s="21"/>
    </row>
    <row r="13" spans="1:20" s="10" customFormat="1" ht="90" customHeight="1" thickBot="1" x14ac:dyDescent="0.3">
      <c r="A13" s="171"/>
      <c r="B13" s="174"/>
      <c r="C13" s="177"/>
      <c r="D13" s="174"/>
      <c r="E13" s="51" t="s">
        <v>4</v>
      </c>
      <c r="F13" s="38" t="s">
        <v>5</v>
      </c>
      <c r="G13" s="38" t="s">
        <v>6</v>
      </c>
      <c r="H13" s="38" t="s">
        <v>7</v>
      </c>
      <c r="I13" s="52" t="s">
        <v>8</v>
      </c>
      <c r="J13" s="54" t="s">
        <v>4</v>
      </c>
      <c r="K13" s="38" t="s">
        <v>5</v>
      </c>
      <c r="L13" s="38" t="s">
        <v>6</v>
      </c>
      <c r="M13" s="38" t="s">
        <v>7</v>
      </c>
      <c r="N13" s="39" t="s">
        <v>8</v>
      </c>
      <c r="O13" s="54" t="s">
        <v>4</v>
      </c>
      <c r="P13" s="38" t="s">
        <v>5</v>
      </c>
      <c r="Q13" s="38" t="s">
        <v>6</v>
      </c>
      <c r="R13" s="38" t="s">
        <v>7</v>
      </c>
      <c r="S13" s="39" t="s">
        <v>8</v>
      </c>
      <c r="T13" s="21"/>
    </row>
    <row r="14" spans="1:20" s="10" customFormat="1" ht="15.75" customHeight="1" thickBot="1" x14ac:dyDescent="0.3">
      <c r="A14" s="45">
        <v>1</v>
      </c>
      <c r="B14" s="47">
        <v>2</v>
      </c>
      <c r="C14" s="48">
        <v>3</v>
      </c>
      <c r="D14" s="47">
        <v>4</v>
      </c>
      <c r="E14" s="46">
        <v>5</v>
      </c>
      <c r="F14" s="41">
        <v>6</v>
      </c>
      <c r="G14" s="41">
        <v>7</v>
      </c>
      <c r="H14" s="41">
        <v>8</v>
      </c>
      <c r="I14" s="53">
        <v>9</v>
      </c>
      <c r="J14" s="40">
        <v>10</v>
      </c>
      <c r="K14" s="41">
        <v>11</v>
      </c>
      <c r="L14" s="41">
        <v>12</v>
      </c>
      <c r="M14" s="41">
        <v>13</v>
      </c>
      <c r="N14" s="42">
        <v>14</v>
      </c>
      <c r="O14" s="40">
        <v>15</v>
      </c>
      <c r="P14" s="41">
        <v>16</v>
      </c>
      <c r="Q14" s="41">
        <v>17</v>
      </c>
      <c r="R14" s="41">
        <v>18</v>
      </c>
      <c r="S14" s="42">
        <v>19</v>
      </c>
      <c r="T14" s="21"/>
    </row>
    <row r="15" spans="1:20" s="10" customFormat="1" ht="36.75" customHeight="1" thickBot="1" x14ac:dyDescent="0.3">
      <c r="A15" s="164" t="s">
        <v>42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6"/>
      <c r="T15" s="21"/>
    </row>
    <row r="16" spans="1:20" s="10" customFormat="1" ht="21" customHeight="1" thickBot="1" x14ac:dyDescent="0.3">
      <c r="A16" s="164" t="s">
        <v>20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6"/>
      <c r="T16" s="21"/>
    </row>
    <row r="17" spans="1:21" s="10" customFormat="1" ht="174.75" customHeight="1" x14ac:dyDescent="0.25">
      <c r="A17" s="93" t="s">
        <v>14</v>
      </c>
      <c r="B17" s="99" t="s">
        <v>115</v>
      </c>
      <c r="C17" s="96" t="s">
        <v>9</v>
      </c>
      <c r="D17" s="59" t="s">
        <v>108</v>
      </c>
      <c r="E17" s="68">
        <f t="shared" ref="E17:E23" si="0">F17+G17+H17+I17</f>
        <v>26967</v>
      </c>
      <c r="F17" s="69">
        <v>26967</v>
      </c>
      <c r="G17" s="69">
        <v>0</v>
      </c>
      <c r="H17" s="69">
        <v>0</v>
      </c>
      <c r="I17" s="70">
        <v>0</v>
      </c>
      <c r="J17" s="64">
        <f t="shared" ref="J17:J24" si="1">K17+L17+M17+N17</f>
        <v>8521</v>
      </c>
      <c r="K17" s="43">
        <v>8521</v>
      </c>
      <c r="L17" s="43">
        <v>0</v>
      </c>
      <c r="M17" s="43">
        <v>0</v>
      </c>
      <c r="N17" s="78">
        <v>0</v>
      </c>
      <c r="O17" s="68">
        <f t="shared" ref="O17:O24" si="2">P17+Q17+R17+S17</f>
        <v>8862</v>
      </c>
      <c r="P17" s="69">
        <v>8862</v>
      </c>
      <c r="Q17" s="69">
        <v>0</v>
      </c>
      <c r="R17" s="69">
        <v>0</v>
      </c>
      <c r="S17" s="70">
        <v>0</v>
      </c>
      <c r="T17" s="21"/>
    </row>
    <row r="18" spans="1:21" s="10" customFormat="1" ht="66.599999999999994" customHeight="1" x14ac:dyDescent="0.25">
      <c r="A18" s="94" t="s">
        <v>66</v>
      </c>
      <c r="B18" s="100" t="s">
        <v>116</v>
      </c>
      <c r="C18" s="97" t="s">
        <v>9</v>
      </c>
      <c r="D18" s="60" t="s">
        <v>44</v>
      </c>
      <c r="E18" s="71">
        <f t="shared" si="0"/>
        <v>49964</v>
      </c>
      <c r="F18" s="3">
        <f>12000+37964</f>
        <v>49964</v>
      </c>
      <c r="G18" s="3">
        <v>0</v>
      </c>
      <c r="H18" s="3">
        <v>0</v>
      </c>
      <c r="I18" s="33">
        <v>0</v>
      </c>
      <c r="J18" s="65">
        <f t="shared" si="1"/>
        <v>52297</v>
      </c>
      <c r="K18" s="3">
        <f>15615+36682</f>
        <v>52297</v>
      </c>
      <c r="L18" s="3">
        <v>0</v>
      </c>
      <c r="M18" s="3">
        <v>0</v>
      </c>
      <c r="N18" s="79">
        <v>0</v>
      </c>
      <c r="O18" s="71">
        <f t="shared" si="2"/>
        <v>86240</v>
      </c>
      <c r="P18" s="3">
        <f>70000+16240</f>
        <v>86240</v>
      </c>
      <c r="Q18" s="3">
        <v>0</v>
      </c>
      <c r="R18" s="3">
        <v>0</v>
      </c>
      <c r="S18" s="33">
        <v>0</v>
      </c>
      <c r="T18" s="22"/>
      <c r="U18" s="11"/>
    </row>
    <row r="19" spans="1:21" s="10" customFormat="1" ht="54" customHeight="1" x14ac:dyDescent="0.25">
      <c r="A19" s="94" t="s">
        <v>15</v>
      </c>
      <c r="B19" s="100" t="s">
        <v>35</v>
      </c>
      <c r="C19" s="97" t="s">
        <v>9</v>
      </c>
      <c r="D19" s="60" t="s">
        <v>61</v>
      </c>
      <c r="E19" s="71">
        <f t="shared" si="0"/>
        <v>46452</v>
      </c>
      <c r="F19" s="3">
        <v>46452</v>
      </c>
      <c r="G19" s="3">
        <v>0</v>
      </c>
      <c r="H19" s="3">
        <v>0</v>
      </c>
      <c r="I19" s="33">
        <v>0</v>
      </c>
      <c r="J19" s="65">
        <f t="shared" si="1"/>
        <v>17127</v>
      </c>
      <c r="K19" s="3">
        <v>17127</v>
      </c>
      <c r="L19" s="3">
        <v>0</v>
      </c>
      <c r="M19" s="3">
        <v>0</v>
      </c>
      <c r="N19" s="79">
        <v>0</v>
      </c>
      <c r="O19" s="71">
        <f t="shared" si="2"/>
        <v>17812</v>
      </c>
      <c r="P19" s="3">
        <v>17812</v>
      </c>
      <c r="Q19" s="3">
        <v>0</v>
      </c>
      <c r="R19" s="3">
        <v>0</v>
      </c>
      <c r="S19" s="33">
        <v>0</v>
      </c>
      <c r="T19" s="23"/>
      <c r="U19" s="11"/>
    </row>
    <row r="20" spans="1:21" s="10" customFormat="1" ht="45.6" customHeight="1" x14ac:dyDescent="0.25">
      <c r="A20" s="94" t="s">
        <v>16</v>
      </c>
      <c r="B20" s="100" t="s">
        <v>74</v>
      </c>
      <c r="C20" s="97" t="s">
        <v>9</v>
      </c>
      <c r="D20" s="60" t="s">
        <v>43</v>
      </c>
      <c r="E20" s="71">
        <f t="shared" si="0"/>
        <v>32036</v>
      </c>
      <c r="F20" s="3">
        <v>32036</v>
      </c>
      <c r="G20" s="3">
        <v>0</v>
      </c>
      <c r="H20" s="3">
        <v>0</v>
      </c>
      <c r="I20" s="33">
        <v>0</v>
      </c>
      <c r="J20" s="65">
        <f t="shared" si="1"/>
        <v>33318</v>
      </c>
      <c r="K20" s="3">
        <v>33318</v>
      </c>
      <c r="L20" s="3">
        <v>0</v>
      </c>
      <c r="M20" s="3">
        <v>0</v>
      </c>
      <c r="N20" s="79">
        <v>0</v>
      </c>
      <c r="O20" s="71">
        <f t="shared" si="2"/>
        <v>178477</v>
      </c>
      <c r="P20" s="3">
        <f>34269+144208</f>
        <v>178477</v>
      </c>
      <c r="Q20" s="3">
        <v>0</v>
      </c>
      <c r="R20" s="3">
        <v>0</v>
      </c>
      <c r="S20" s="33">
        <v>0</v>
      </c>
      <c r="T20" s="21"/>
    </row>
    <row r="21" spans="1:21" s="10" customFormat="1" ht="36" customHeight="1" x14ac:dyDescent="0.25">
      <c r="A21" s="167" t="s">
        <v>85</v>
      </c>
      <c r="B21" s="168" t="s">
        <v>63</v>
      </c>
      <c r="C21" s="97" t="s">
        <v>9</v>
      </c>
      <c r="D21" s="188" t="s">
        <v>44</v>
      </c>
      <c r="E21" s="71">
        <f>F21+G21+H21+I21</f>
        <v>2110</v>
      </c>
      <c r="F21" s="3">
        <v>2110</v>
      </c>
      <c r="G21" s="3">
        <v>0</v>
      </c>
      <c r="H21" s="3">
        <v>0</v>
      </c>
      <c r="I21" s="33">
        <v>0</v>
      </c>
      <c r="J21" s="65">
        <f t="shared" si="1"/>
        <v>2197</v>
      </c>
      <c r="K21" s="3">
        <v>2197</v>
      </c>
      <c r="L21" s="3">
        <v>0</v>
      </c>
      <c r="M21" s="3">
        <v>0</v>
      </c>
      <c r="N21" s="79">
        <v>0</v>
      </c>
      <c r="O21" s="71">
        <f>P21+Q21+R21+S21</f>
        <v>2285</v>
      </c>
      <c r="P21" s="3">
        <v>2285</v>
      </c>
      <c r="Q21" s="3">
        <v>0</v>
      </c>
      <c r="R21" s="3">
        <v>0</v>
      </c>
      <c r="S21" s="33">
        <v>0</v>
      </c>
      <c r="T21" s="21"/>
    </row>
    <row r="22" spans="1:21" s="10" customFormat="1" ht="48" customHeight="1" x14ac:dyDescent="0.25">
      <c r="A22" s="167"/>
      <c r="B22" s="168"/>
      <c r="C22" s="97" t="s">
        <v>57</v>
      </c>
      <c r="D22" s="188"/>
      <c r="E22" s="71">
        <f>F22+G22+H22+I22</f>
        <v>3635</v>
      </c>
      <c r="F22" s="3">
        <v>3635</v>
      </c>
      <c r="G22" s="3">
        <v>0</v>
      </c>
      <c r="H22" s="3">
        <v>0</v>
      </c>
      <c r="I22" s="33">
        <v>0</v>
      </c>
      <c r="J22" s="65">
        <f t="shared" si="1"/>
        <v>3594</v>
      </c>
      <c r="K22" s="3">
        <v>3594</v>
      </c>
      <c r="L22" s="3">
        <v>0</v>
      </c>
      <c r="M22" s="3">
        <v>0</v>
      </c>
      <c r="N22" s="79">
        <v>0</v>
      </c>
      <c r="O22" s="71">
        <f t="shared" ref="O22" si="3">P22+Q22+R22+S22</f>
        <v>3737</v>
      </c>
      <c r="P22" s="3">
        <v>3737</v>
      </c>
      <c r="Q22" s="3">
        <v>0</v>
      </c>
      <c r="R22" s="3">
        <v>0</v>
      </c>
      <c r="S22" s="33">
        <v>0</v>
      </c>
      <c r="T22" s="21"/>
    </row>
    <row r="23" spans="1:21" s="10" customFormat="1" ht="54" customHeight="1" x14ac:dyDescent="0.25">
      <c r="A23" s="94" t="s">
        <v>64</v>
      </c>
      <c r="B23" s="100" t="s">
        <v>75</v>
      </c>
      <c r="C23" s="97" t="s">
        <v>9</v>
      </c>
      <c r="D23" s="60" t="s">
        <v>44</v>
      </c>
      <c r="E23" s="71">
        <f t="shared" si="0"/>
        <v>24928</v>
      </c>
      <c r="F23" s="3">
        <v>24928</v>
      </c>
      <c r="G23" s="3">
        <v>0</v>
      </c>
      <c r="H23" s="3">
        <v>0</v>
      </c>
      <c r="I23" s="33">
        <v>0</v>
      </c>
      <c r="J23" s="65">
        <f t="shared" si="1"/>
        <v>19256</v>
      </c>
      <c r="K23" s="3">
        <v>19256</v>
      </c>
      <c r="L23" s="3">
        <v>0</v>
      </c>
      <c r="M23" s="3">
        <v>0</v>
      </c>
      <c r="N23" s="79">
        <v>0</v>
      </c>
      <c r="O23" s="71">
        <f t="shared" si="2"/>
        <v>5100</v>
      </c>
      <c r="P23" s="3">
        <v>5100</v>
      </c>
      <c r="Q23" s="3">
        <v>0</v>
      </c>
      <c r="R23" s="3">
        <v>0</v>
      </c>
      <c r="S23" s="33">
        <v>0</v>
      </c>
      <c r="T23" s="21"/>
    </row>
    <row r="24" spans="1:21" s="10" customFormat="1" ht="54" customHeight="1" thickBot="1" x14ac:dyDescent="0.3">
      <c r="A24" s="95" t="s">
        <v>65</v>
      </c>
      <c r="B24" s="101" t="s">
        <v>107</v>
      </c>
      <c r="C24" s="98" t="s">
        <v>9</v>
      </c>
      <c r="D24" s="61" t="s">
        <v>44</v>
      </c>
      <c r="E24" s="72">
        <f>F24+G24+H24+I24</f>
        <v>165979</v>
      </c>
      <c r="F24" s="55">
        <v>161000</v>
      </c>
      <c r="G24" s="55">
        <v>0</v>
      </c>
      <c r="H24" s="55">
        <v>0</v>
      </c>
      <c r="I24" s="56">
        <v>4979</v>
      </c>
      <c r="J24" s="66">
        <f t="shared" si="1"/>
        <v>54124</v>
      </c>
      <c r="K24" s="55">
        <v>52500</v>
      </c>
      <c r="L24" s="55">
        <v>0</v>
      </c>
      <c r="M24" s="55">
        <v>0</v>
      </c>
      <c r="N24" s="80">
        <v>1624</v>
      </c>
      <c r="O24" s="72">
        <f t="shared" si="2"/>
        <v>54124</v>
      </c>
      <c r="P24" s="55">
        <v>52500</v>
      </c>
      <c r="Q24" s="55">
        <v>0</v>
      </c>
      <c r="R24" s="55">
        <v>0</v>
      </c>
      <c r="S24" s="56">
        <v>1624</v>
      </c>
      <c r="T24" s="24"/>
    </row>
    <row r="25" spans="1:21" s="13" customFormat="1" ht="35.25" customHeight="1" thickBot="1" x14ac:dyDescent="0.3">
      <c r="A25" s="197" t="s">
        <v>10</v>
      </c>
      <c r="B25" s="198"/>
      <c r="C25" s="198"/>
      <c r="D25" s="199"/>
      <c r="E25" s="73">
        <f>F25+I25</f>
        <v>352071</v>
      </c>
      <c r="F25" s="57">
        <f>SUM(F17:F24)</f>
        <v>347092</v>
      </c>
      <c r="G25" s="57">
        <f>G23+G20+G18+G17+G19+G24</f>
        <v>0</v>
      </c>
      <c r="H25" s="57">
        <f>H23+H20+H18+H17+H19+H24</f>
        <v>0</v>
      </c>
      <c r="I25" s="58">
        <f>I23+I20+I18+I17+I19+I24</f>
        <v>4979</v>
      </c>
      <c r="J25" s="67">
        <f>K25+N25</f>
        <v>190434</v>
      </c>
      <c r="K25" s="57">
        <f>SUM(K17:K24)</f>
        <v>188810</v>
      </c>
      <c r="L25" s="57">
        <f>L23+L20+L18+L17+L19+L24</f>
        <v>0</v>
      </c>
      <c r="M25" s="57">
        <f>M23+M20+M18+M17+M19+M24</f>
        <v>0</v>
      </c>
      <c r="N25" s="81">
        <f>N23+N20+N18+N17+N19+N24</f>
        <v>1624</v>
      </c>
      <c r="O25" s="73">
        <f>P25+S25</f>
        <v>356637</v>
      </c>
      <c r="P25" s="57">
        <f>SUM(P17:P24)</f>
        <v>355013</v>
      </c>
      <c r="Q25" s="57">
        <f>Q19+Q23+Q20+Q18+Q17+Q24</f>
        <v>0</v>
      </c>
      <c r="R25" s="57">
        <f>R19+R23+R20+R18+R17+R24</f>
        <v>0</v>
      </c>
      <c r="S25" s="58">
        <f>S19+S23+S20+S18+S17+S24</f>
        <v>1624</v>
      </c>
      <c r="T25" s="25"/>
      <c r="U25" s="12"/>
    </row>
    <row r="26" spans="1:21" s="10" customFormat="1" ht="32.450000000000003" customHeight="1" x14ac:dyDescent="0.25">
      <c r="A26" s="102"/>
      <c r="B26" s="181" t="s">
        <v>55</v>
      </c>
      <c r="C26" s="104" t="s">
        <v>9</v>
      </c>
      <c r="D26" s="85"/>
      <c r="E26" s="68">
        <f>F26+G26+H26+I26</f>
        <v>348436</v>
      </c>
      <c r="F26" s="69">
        <f>F17+F18+F20+F23+F24+F21+F19</f>
        <v>343457</v>
      </c>
      <c r="G26" s="69">
        <f>G17+G18</f>
        <v>0</v>
      </c>
      <c r="H26" s="69">
        <f>H17+H18</f>
        <v>0</v>
      </c>
      <c r="I26" s="70">
        <f>I25</f>
        <v>4979</v>
      </c>
      <c r="J26" s="86">
        <f>K26+L26+M26+N26</f>
        <v>186840</v>
      </c>
      <c r="K26" s="69">
        <f>K17+K18+K20+K23+K24+K21+K19</f>
        <v>185216</v>
      </c>
      <c r="L26" s="69">
        <f>L17+L18</f>
        <v>0</v>
      </c>
      <c r="M26" s="69">
        <f>M17+M18</f>
        <v>0</v>
      </c>
      <c r="N26" s="87">
        <f>N25</f>
        <v>1624</v>
      </c>
      <c r="O26" s="68">
        <f t="shared" ref="O26:O27" si="4">P26+Q26+R26+S26</f>
        <v>352900</v>
      </c>
      <c r="P26" s="69">
        <f>P17+P18+P20+P23+P24+P21+P19</f>
        <v>351276</v>
      </c>
      <c r="Q26" s="69">
        <f>Q17+Q18</f>
        <v>0</v>
      </c>
      <c r="R26" s="69">
        <f>R17+R18</f>
        <v>0</v>
      </c>
      <c r="S26" s="70">
        <f>S25</f>
        <v>1624</v>
      </c>
      <c r="T26" s="26"/>
      <c r="U26" s="14"/>
    </row>
    <row r="27" spans="1:21" s="10" customFormat="1" ht="51.6" customHeight="1" thickBot="1" x14ac:dyDescent="0.3">
      <c r="A27" s="103"/>
      <c r="B27" s="182"/>
      <c r="C27" s="49" t="s">
        <v>57</v>
      </c>
      <c r="D27" s="90"/>
      <c r="E27" s="75">
        <f>F27+G27+H27+I27</f>
        <v>3635</v>
      </c>
      <c r="F27" s="76">
        <f>F22</f>
        <v>3635</v>
      </c>
      <c r="G27" s="76">
        <f>G19</f>
        <v>0</v>
      </c>
      <c r="H27" s="76">
        <f>H19</f>
        <v>0</v>
      </c>
      <c r="I27" s="77">
        <f>I19</f>
        <v>0</v>
      </c>
      <c r="J27" s="91">
        <f>K27+L27+M27+N27</f>
        <v>3594</v>
      </c>
      <c r="K27" s="76">
        <f>K22</f>
        <v>3594</v>
      </c>
      <c r="L27" s="76">
        <f>L19</f>
        <v>0</v>
      </c>
      <c r="M27" s="76">
        <f>M19</f>
        <v>0</v>
      </c>
      <c r="N27" s="92">
        <f>N19</f>
        <v>0</v>
      </c>
      <c r="O27" s="75">
        <f t="shared" si="4"/>
        <v>3737</v>
      </c>
      <c r="P27" s="76">
        <f>P22</f>
        <v>3737</v>
      </c>
      <c r="Q27" s="76">
        <f>Q19</f>
        <v>0</v>
      </c>
      <c r="R27" s="76">
        <f>R19</f>
        <v>0</v>
      </c>
      <c r="S27" s="77">
        <f>S19</f>
        <v>0</v>
      </c>
      <c r="T27" s="26"/>
    </row>
    <row r="28" spans="1:21" s="10" customFormat="1" ht="30" customHeight="1" thickBot="1" x14ac:dyDescent="0.3">
      <c r="A28" s="164" t="s">
        <v>77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6"/>
      <c r="T28" s="24"/>
    </row>
    <row r="29" spans="1:21" s="10" customFormat="1" ht="66" customHeight="1" x14ac:dyDescent="0.25">
      <c r="A29" s="93" t="s">
        <v>17</v>
      </c>
      <c r="B29" s="99" t="s">
        <v>76</v>
      </c>
      <c r="C29" s="96" t="s">
        <v>9</v>
      </c>
      <c r="D29" s="59" t="s">
        <v>44</v>
      </c>
      <c r="E29" s="74">
        <f>F29</f>
        <v>39231</v>
      </c>
      <c r="F29" s="43">
        <v>39231</v>
      </c>
      <c r="G29" s="43">
        <v>0</v>
      </c>
      <c r="H29" s="43">
        <v>0</v>
      </c>
      <c r="I29" s="44">
        <v>0</v>
      </c>
      <c r="J29" s="74">
        <f>K29</f>
        <v>0</v>
      </c>
      <c r="K29" s="43">
        <v>0</v>
      </c>
      <c r="L29" s="43">
        <v>0</v>
      </c>
      <c r="M29" s="43">
        <v>0</v>
      </c>
      <c r="N29" s="44">
        <v>0</v>
      </c>
      <c r="O29" s="64">
        <f t="shared" ref="O29:O38" si="5">P29+Q29+R29+S29</f>
        <v>121635</v>
      </c>
      <c r="P29" s="43">
        <f>72351+49284</f>
        <v>121635</v>
      </c>
      <c r="Q29" s="43">
        <v>0</v>
      </c>
      <c r="R29" s="43">
        <v>0</v>
      </c>
      <c r="S29" s="44">
        <v>0</v>
      </c>
      <c r="T29" s="21"/>
    </row>
    <row r="30" spans="1:21" s="10" customFormat="1" ht="49.15" customHeight="1" x14ac:dyDescent="0.25">
      <c r="A30" s="167" t="s">
        <v>86</v>
      </c>
      <c r="B30" s="168" t="s">
        <v>87</v>
      </c>
      <c r="C30" s="97" t="s">
        <v>9</v>
      </c>
      <c r="D30" s="107" t="s">
        <v>44</v>
      </c>
      <c r="E30" s="71">
        <f t="shared" ref="E30:E38" si="6">F30+G30+H30+I30</f>
        <v>6000</v>
      </c>
      <c r="F30" s="3">
        <v>6000</v>
      </c>
      <c r="G30" s="3">
        <v>0</v>
      </c>
      <c r="H30" s="3">
        <v>0</v>
      </c>
      <c r="I30" s="33">
        <v>0</v>
      </c>
      <c r="J30" s="71">
        <f t="shared" ref="J30:J38" si="7">K30+L30+M30+N30</f>
        <v>3019</v>
      </c>
      <c r="K30" s="3">
        <v>3019</v>
      </c>
      <c r="L30" s="3">
        <v>0</v>
      </c>
      <c r="M30" s="3">
        <v>0</v>
      </c>
      <c r="N30" s="33">
        <v>0</v>
      </c>
      <c r="O30" s="65">
        <f t="shared" si="5"/>
        <v>3140</v>
      </c>
      <c r="P30" s="3">
        <v>3140</v>
      </c>
      <c r="Q30" s="3">
        <v>0</v>
      </c>
      <c r="R30" s="3">
        <v>0</v>
      </c>
      <c r="S30" s="33">
        <v>0</v>
      </c>
      <c r="T30" s="21"/>
    </row>
    <row r="31" spans="1:21" s="10" customFormat="1" ht="54" customHeight="1" x14ac:dyDescent="0.25">
      <c r="A31" s="167"/>
      <c r="B31" s="168"/>
      <c r="C31" s="97" t="s">
        <v>57</v>
      </c>
      <c r="D31" s="107" t="s">
        <v>113</v>
      </c>
      <c r="E31" s="71">
        <f t="shared" si="6"/>
        <v>0</v>
      </c>
      <c r="F31" s="3">
        <v>0</v>
      </c>
      <c r="G31" s="3">
        <v>0</v>
      </c>
      <c r="H31" s="3">
        <v>0</v>
      </c>
      <c r="I31" s="33">
        <v>0</v>
      </c>
      <c r="J31" s="71">
        <f t="shared" si="7"/>
        <v>0</v>
      </c>
      <c r="K31" s="3">
        <v>0</v>
      </c>
      <c r="L31" s="3">
        <v>0</v>
      </c>
      <c r="M31" s="3">
        <v>0</v>
      </c>
      <c r="N31" s="33">
        <v>0</v>
      </c>
      <c r="O31" s="65">
        <f t="shared" si="5"/>
        <v>0</v>
      </c>
      <c r="P31" s="3">
        <v>0</v>
      </c>
      <c r="Q31" s="3">
        <v>0</v>
      </c>
      <c r="R31" s="3">
        <v>0</v>
      </c>
      <c r="S31" s="33">
        <v>0</v>
      </c>
      <c r="T31" s="21"/>
    </row>
    <row r="32" spans="1:21" s="10" customFormat="1" ht="39.6" customHeight="1" x14ac:dyDescent="0.25">
      <c r="A32" s="167" t="s">
        <v>89</v>
      </c>
      <c r="B32" s="168" t="s">
        <v>88</v>
      </c>
      <c r="C32" s="97" t="s">
        <v>9</v>
      </c>
      <c r="D32" s="107" t="s">
        <v>44</v>
      </c>
      <c r="E32" s="71">
        <f t="shared" si="6"/>
        <v>15297</v>
      </c>
      <c r="F32" s="3">
        <v>15297</v>
      </c>
      <c r="G32" s="3">
        <v>0</v>
      </c>
      <c r="H32" s="3">
        <v>0</v>
      </c>
      <c r="I32" s="33">
        <v>0</v>
      </c>
      <c r="J32" s="71">
        <f t="shared" si="7"/>
        <v>15924</v>
      </c>
      <c r="K32" s="3">
        <v>15924</v>
      </c>
      <c r="L32" s="3">
        <v>0</v>
      </c>
      <c r="M32" s="3">
        <v>0</v>
      </c>
      <c r="N32" s="33">
        <v>0</v>
      </c>
      <c r="O32" s="65">
        <f>P32+Q32+R32+S32</f>
        <v>16561</v>
      </c>
      <c r="P32" s="3">
        <v>16561</v>
      </c>
      <c r="Q32" s="3">
        <v>0</v>
      </c>
      <c r="R32" s="3">
        <v>0</v>
      </c>
      <c r="S32" s="33">
        <v>0</v>
      </c>
      <c r="T32" s="27"/>
    </row>
    <row r="33" spans="1:21" s="10" customFormat="1" ht="45" customHeight="1" x14ac:dyDescent="0.25">
      <c r="A33" s="167"/>
      <c r="B33" s="168"/>
      <c r="C33" s="97" t="s">
        <v>58</v>
      </c>
      <c r="D33" s="107" t="s">
        <v>44</v>
      </c>
      <c r="E33" s="71">
        <f t="shared" si="6"/>
        <v>3020</v>
      </c>
      <c r="F33" s="3">
        <v>3020</v>
      </c>
      <c r="G33" s="3">
        <v>0</v>
      </c>
      <c r="H33" s="3">
        <v>0</v>
      </c>
      <c r="I33" s="33">
        <v>0</v>
      </c>
      <c r="J33" s="71">
        <f t="shared" si="7"/>
        <v>3138</v>
      </c>
      <c r="K33" s="3">
        <v>3138</v>
      </c>
      <c r="L33" s="3">
        <v>0</v>
      </c>
      <c r="M33" s="3">
        <v>0</v>
      </c>
      <c r="N33" s="33">
        <v>0</v>
      </c>
      <c r="O33" s="65">
        <f>P33+Q33+R33+S33</f>
        <v>3263</v>
      </c>
      <c r="P33" s="3">
        <v>3263</v>
      </c>
      <c r="Q33" s="3">
        <v>0</v>
      </c>
      <c r="R33" s="3">
        <v>0</v>
      </c>
      <c r="S33" s="33">
        <v>0</v>
      </c>
      <c r="T33" s="27"/>
    </row>
    <row r="34" spans="1:21" s="10" customFormat="1" ht="42.75" customHeight="1" x14ac:dyDescent="0.25">
      <c r="A34" s="167" t="s">
        <v>90</v>
      </c>
      <c r="B34" s="168" t="s">
        <v>117</v>
      </c>
      <c r="C34" s="97" t="s">
        <v>58</v>
      </c>
      <c r="D34" s="191" t="s">
        <v>44</v>
      </c>
      <c r="E34" s="71">
        <f t="shared" si="6"/>
        <v>23053</v>
      </c>
      <c r="F34" s="3">
        <f>16735+6318</f>
        <v>23053</v>
      </c>
      <c r="G34" s="3">
        <v>0</v>
      </c>
      <c r="H34" s="3">
        <v>0</v>
      </c>
      <c r="I34" s="33">
        <v>0</v>
      </c>
      <c r="J34" s="71">
        <f t="shared" si="7"/>
        <v>23958</v>
      </c>
      <c r="K34" s="3">
        <f>16818+7140</f>
        <v>23958</v>
      </c>
      <c r="L34" s="3">
        <v>0</v>
      </c>
      <c r="M34" s="3">
        <v>0</v>
      </c>
      <c r="N34" s="33">
        <v>0</v>
      </c>
      <c r="O34" s="65">
        <f>P34+Q34+R34+S34</f>
        <v>24917</v>
      </c>
      <c r="P34" s="3">
        <f>17491+7426</f>
        <v>24917</v>
      </c>
      <c r="Q34" s="3">
        <v>0</v>
      </c>
      <c r="R34" s="3">
        <v>0</v>
      </c>
      <c r="S34" s="33">
        <v>0</v>
      </c>
      <c r="T34" s="27"/>
    </row>
    <row r="35" spans="1:21" s="10" customFormat="1" ht="48.75" customHeight="1" thickBot="1" x14ac:dyDescent="0.3">
      <c r="A35" s="193"/>
      <c r="B35" s="200"/>
      <c r="C35" s="98" t="s">
        <v>9</v>
      </c>
      <c r="D35" s="192"/>
      <c r="E35" s="72">
        <f>F35</f>
        <v>1801</v>
      </c>
      <c r="F35" s="55">
        <v>1801</v>
      </c>
      <c r="G35" s="55">
        <v>0</v>
      </c>
      <c r="H35" s="55">
        <v>0</v>
      </c>
      <c r="I35" s="56">
        <v>0</v>
      </c>
      <c r="J35" s="72">
        <f>K35</f>
        <v>801</v>
      </c>
      <c r="K35" s="55">
        <v>801</v>
      </c>
      <c r="L35" s="55">
        <v>0</v>
      </c>
      <c r="M35" s="55">
        <v>0</v>
      </c>
      <c r="N35" s="56">
        <v>0</v>
      </c>
      <c r="O35" s="66">
        <f>P35</f>
        <v>801</v>
      </c>
      <c r="P35" s="55">
        <v>801</v>
      </c>
      <c r="Q35" s="55">
        <v>0</v>
      </c>
      <c r="R35" s="55">
        <v>0</v>
      </c>
      <c r="S35" s="56">
        <v>0</v>
      </c>
      <c r="T35" s="27"/>
    </row>
    <row r="36" spans="1:21" s="13" customFormat="1" ht="36" customHeight="1" thickBot="1" x14ac:dyDescent="0.3">
      <c r="A36" s="194" t="s">
        <v>56</v>
      </c>
      <c r="B36" s="195"/>
      <c r="C36" s="195"/>
      <c r="D36" s="196"/>
      <c r="E36" s="73">
        <f t="shared" si="6"/>
        <v>88402</v>
      </c>
      <c r="F36" s="57">
        <f>SUM(F29:F35)</f>
        <v>88402</v>
      </c>
      <c r="G36" s="57">
        <f>SUM(G29:G31)</f>
        <v>0</v>
      </c>
      <c r="H36" s="57">
        <f>SUM(H29:H31)</f>
        <v>0</v>
      </c>
      <c r="I36" s="58">
        <f>SUM(I29:I31)</f>
        <v>0</v>
      </c>
      <c r="J36" s="73">
        <f t="shared" si="7"/>
        <v>46840</v>
      </c>
      <c r="K36" s="57">
        <f>SUM(K29:K35)</f>
        <v>46840</v>
      </c>
      <c r="L36" s="57">
        <f>SUM(L29:L31)</f>
        <v>0</v>
      </c>
      <c r="M36" s="57">
        <f>SUM(M29:M31)</f>
        <v>0</v>
      </c>
      <c r="N36" s="58">
        <f>SUM(N29:N31)</f>
        <v>0</v>
      </c>
      <c r="O36" s="67">
        <f t="shared" si="5"/>
        <v>170317</v>
      </c>
      <c r="P36" s="57">
        <f>SUM(P29:P35)</f>
        <v>170317</v>
      </c>
      <c r="Q36" s="57">
        <f>SUM(Q29:Q31)</f>
        <v>0</v>
      </c>
      <c r="R36" s="57">
        <f>SUM(R29:R31)</f>
        <v>0</v>
      </c>
      <c r="S36" s="58">
        <f>SUM(S29:S31)</f>
        <v>0</v>
      </c>
      <c r="T36" s="28"/>
    </row>
    <row r="37" spans="1:21" s="10" customFormat="1" ht="32.450000000000003" customHeight="1" x14ac:dyDescent="0.25">
      <c r="A37" s="109"/>
      <c r="B37" s="181" t="s">
        <v>55</v>
      </c>
      <c r="C37" s="96" t="s">
        <v>9</v>
      </c>
      <c r="D37" s="62"/>
      <c r="E37" s="74">
        <f t="shared" si="6"/>
        <v>62329</v>
      </c>
      <c r="F37" s="43">
        <f>F29+F30+F32+F35</f>
        <v>62329</v>
      </c>
      <c r="G37" s="43">
        <f>G29+G30</f>
        <v>0</v>
      </c>
      <c r="H37" s="43">
        <f>H29+H30</f>
        <v>0</v>
      </c>
      <c r="I37" s="44">
        <f>I29+I30</f>
        <v>0</v>
      </c>
      <c r="J37" s="74">
        <f t="shared" si="7"/>
        <v>19744</v>
      </c>
      <c r="K37" s="43">
        <f>K29+K30+K32+K35</f>
        <v>19744</v>
      </c>
      <c r="L37" s="43">
        <f>L29+L30</f>
        <v>0</v>
      </c>
      <c r="M37" s="43">
        <f>M29+M30</f>
        <v>0</v>
      </c>
      <c r="N37" s="44">
        <f>N29+N30</f>
        <v>0</v>
      </c>
      <c r="O37" s="64">
        <f t="shared" si="5"/>
        <v>142137</v>
      </c>
      <c r="P37" s="43">
        <f>P29+P30+P32+P35</f>
        <v>142137</v>
      </c>
      <c r="Q37" s="43">
        <f>Q29+Q30</f>
        <v>0</v>
      </c>
      <c r="R37" s="43">
        <f>R29+R30</f>
        <v>0</v>
      </c>
      <c r="S37" s="44">
        <f>S29+S30</f>
        <v>0</v>
      </c>
      <c r="T37" s="26"/>
      <c r="U37" s="14"/>
    </row>
    <row r="38" spans="1:21" s="10" customFormat="1" ht="51.6" customHeight="1" thickBot="1" x14ac:dyDescent="0.3">
      <c r="A38" s="103"/>
      <c r="B38" s="182"/>
      <c r="C38" s="49" t="s">
        <v>57</v>
      </c>
      <c r="D38" s="90"/>
      <c r="E38" s="75">
        <f t="shared" si="6"/>
        <v>26073</v>
      </c>
      <c r="F38" s="76">
        <f>F31+F33+F34</f>
        <v>26073</v>
      </c>
      <c r="G38" s="76">
        <f>G31</f>
        <v>0</v>
      </c>
      <c r="H38" s="76">
        <f>H31</f>
        <v>0</v>
      </c>
      <c r="I38" s="77">
        <f>I31</f>
        <v>0</v>
      </c>
      <c r="J38" s="75">
        <f t="shared" si="7"/>
        <v>27096</v>
      </c>
      <c r="K38" s="76">
        <f>K31+K33+K34</f>
        <v>27096</v>
      </c>
      <c r="L38" s="76">
        <f>L31</f>
        <v>0</v>
      </c>
      <c r="M38" s="76">
        <f>M31</f>
        <v>0</v>
      </c>
      <c r="N38" s="77">
        <f>N31</f>
        <v>0</v>
      </c>
      <c r="O38" s="91">
        <f t="shared" si="5"/>
        <v>28180</v>
      </c>
      <c r="P38" s="76">
        <f>P31+P33+P34</f>
        <v>28180</v>
      </c>
      <c r="Q38" s="76">
        <f>Q31</f>
        <v>0</v>
      </c>
      <c r="R38" s="76">
        <f>R31</f>
        <v>0</v>
      </c>
      <c r="S38" s="77">
        <f>S31</f>
        <v>0</v>
      </c>
      <c r="T38" s="26"/>
    </row>
    <row r="39" spans="1:21" s="10" customFormat="1" ht="38.450000000000003" customHeight="1" thickBot="1" x14ac:dyDescent="0.3">
      <c r="A39" s="164" t="s">
        <v>78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89"/>
      <c r="P39" s="189"/>
      <c r="Q39" s="189"/>
      <c r="R39" s="189"/>
      <c r="S39" s="190"/>
      <c r="T39" s="21"/>
    </row>
    <row r="40" spans="1:21" s="10" customFormat="1" ht="69" customHeight="1" x14ac:dyDescent="0.25">
      <c r="A40" s="93" t="s">
        <v>18</v>
      </c>
      <c r="B40" s="99" t="s">
        <v>73</v>
      </c>
      <c r="C40" s="96" t="s">
        <v>9</v>
      </c>
      <c r="D40" s="59" t="s">
        <v>124</v>
      </c>
      <c r="E40" s="68">
        <f t="shared" ref="E40:E48" si="8">F40+G40+H40+I40</f>
        <v>0</v>
      </c>
      <c r="F40" s="69">
        <v>0</v>
      </c>
      <c r="G40" s="69">
        <v>0</v>
      </c>
      <c r="H40" s="69">
        <v>0</v>
      </c>
      <c r="I40" s="70">
        <v>0</v>
      </c>
      <c r="J40" s="64">
        <f t="shared" ref="J40:J48" si="9">K40+L40+M40+N40</f>
        <v>2608</v>
      </c>
      <c r="K40" s="43">
        <v>2608</v>
      </c>
      <c r="L40" s="43">
        <v>0</v>
      </c>
      <c r="M40" s="43">
        <v>0</v>
      </c>
      <c r="N40" s="78">
        <v>0</v>
      </c>
      <c r="O40" s="68">
        <f t="shared" ref="O40:O48" si="10">P40+Q40+R40+S40</f>
        <v>2713</v>
      </c>
      <c r="P40" s="69">
        <v>2713</v>
      </c>
      <c r="Q40" s="69">
        <v>0</v>
      </c>
      <c r="R40" s="69">
        <v>0</v>
      </c>
      <c r="S40" s="70">
        <v>0</v>
      </c>
      <c r="T40" s="21"/>
    </row>
    <row r="41" spans="1:21" s="10" customFormat="1" ht="80.25" customHeight="1" x14ac:dyDescent="0.25">
      <c r="A41" s="94" t="s">
        <v>19</v>
      </c>
      <c r="B41" s="100" t="s">
        <v>84</v>
      </c>
      <c r="C41" s="97" t="s">
        <v>9</v>
      </c>
      <c r="D41" s="60" t="s">
        <v>79</v>
      </c>
      <c r="E41" s="71">
        <f t="shared" si="8"/>
        <v>4700</v>
      </c>
      <c r="F41" s="3">
        <f>3800+900</f>
        <v>4700</v>
      </c>
      <c r="G41" s="3">
        <v>0</v>
      </c>
      <c r="H41" s="3">
        <v>0</v>
      </c>
      <c r="I41" s="33">
        <v>0</v>
      </c>
      <c r="J41" s="65">
        <f t="shared" si="9"/>
        <v>1750</v>
      </c>
      <c r="K41" s="3">
        <v>1750</v>
      </c>
      <c r="L41" s="3">
        <v>0</v>
      </c>
      <c r="M41" s="3">
        <v>0</v>
      </c>
      <c r="N41" s="79">
        <v>0</v>
      </c>
      <c r="O41" s="71">
        <f t="shared" si="10"/>
        <v>1820</v>
      </c>
      <c r="P41" s="3">
        <f>K41*1.04</f>
        <v>1820</v>
      </c>
      <c r="Q41" s="3">
        <v>0</v>
      </c>
      <c r="R41" s="3">
        <v>0</v>
      </c>
      <c r="S41" s="33">
        <v>0</v>
      </c>
      <c r="T41" s="21"/>
    </row>
    <row r="42" spans="1:21" s="10" customFormat="1" ht="75.599999999999994" customHeight="1" x14ac:dyDescent="0.25">
      <c r="A42" s="94" t="s">
        <v>30</v>
      </c>
      <c r="B42" s="100" t="s">
        <v>36</v>
      </c>
      <c r="C42" s="97" t="s">
        <v>9</v>
      </c>
      <c r="D42" s="60" t="s">
        <v>44</v>
      </c>
      <c r="E42" s="71">
        <f t="shared" si="8"/>
        <v>160</v>
      </c>
      <c r="F42" s="3">
        <f>8+152</f>
        <v>160</v>
      </c>
      <c r="G42" s="3">
        <v>0</v>
      </c>
      <c r="H42" s="3">
        <v>0</v>
      </c>
      <c r="I42" s="33">
        <v>0</v>
      </c>
      <c r="J42" s="65">
        <f t="shared" si="9"/>
        <v>161</v>
      </c>
      <c r="K42" s="3">
        <v>161</v>
      </c>
      <c r="L42" s="3">
        <v>0</v>
      </c>
      <c r="M42" s="3">
        <v>0</v>
      </c>
      <c r="N42" s="79">
        <v>0</v>
      </c>
      <c r="O42" s="71">
        <f t="shared" si="10"/>
        <v>167.44</v>
      </c>
      <c r="P42" s="3">
        <f>K42*1.04</f>
        <v>167.44</v>
      </c>
      <c r="Q42" s="3">
        <v>0</v>
      </c>
      <c r="R42" s="3">
        <v>0</v>
      </c>
      <c r="S42" s="33">
        <v>0</v>
      </c>
      <c r="T42" s="21"/>
    </row>
    <row r="43" spans="1:21" s="10" customFormat="1" ht="56.25" customHeight="1" x14ac:dyDescent="0.25">
      <c r="A43" s="94" t="s">
        <v>31</v>
      </c>
      <c r="B43" s="100" t="s">
        <v>21</v>
      </c>
      <c r="C43" s="97" t="s">
        <v>9</v>
      </c>
      <c r="D43" s="60" t="s">
        <v>44</v>
      </c>
      <c r="E43" s="71">
        <f t="shared" si="8"/>
        <v>2205</v>
      </c>
      <c r="F43" s="3">
        <v>2205</v>
      </c>
      <c r="G43" s="3">
        <v>0</v>
      </c>
      <c r="H43" s="3">
        <v>0</v>
      </c>
      <c r="I43" s="33">
        <v>0</v>
      </c>
      <c r="J43" s="65">
        <f t="shared" si="9"/>
        <v>2294</v>
      </c>
      <c r="K43" s="3">
        <v>2294</v>
      </c>
      <c r="L43" s="3">
        <v>0</v>
      </c>
      <c r="M43" s="3">
        <v>0</v>
      </c>
      <c r="N43" s="79">
        <v>0</v>
      </c>
      <c r="O43" s="71">
        <f t="shared" si="10"/>
        <v>2385.7600000000002</v>
      </c>
      <c r="P43" s="3">
        <f>K43*1.04</f>
        <v>2385.7600000000002</v>
      </c>
      <c r="Q43" s="3">
        <v>0</v>
      </c>
      <c r="R43" s="3">
        <v>0</v>
      </c>
      <c r="S43" s="33">
        <v>0</v>
      </c>
      <c r="T43" s="21"/>
    </row>
    <row r="44" spans="1:21" s="10" customFormat="1" ht="39.75" customHeight="1" x14ac:dyDescent="0.25">
      <c r="A44" s="94" t="s">
        <v>32</v>
      </c>
      <c r="B44" s="100" t="s">
        <v>22</v>
      </c>
      <c r="C44" s="97" t="s">
        <v>9</v>
      </c>
      <c r="D44" s="60" t="s">
        <v>45</v>
      </c>
      <c r="E44" s="71">
        <f t="shared" si="8"/>
        <v>8600</v>
      </c>
      <c r="F44" s="3">
        <v>8600</v>
      </c>
      <c r="G44" s="3">
        <v>0</v>
      </c>
      <c r="H44" s="3">
        <v>0</v>
      </c>
      <c r="I44" s="33">
        <v>0</v>
      </c>
      <c r="J44" s="65">
        <f t="shared" si="9"/>
        <v>8700</v>
      </c>
      <c r="K44" s="3">
        <v>8700</v>
      </c>
      <c r="L44" s="3">
        <v>0</v>
      </c>
      <c r="M44" s="3">
        <v>0</v>
      </c>
      <c r="N44" s="79">
        <v>0</v>
      </c>
      <c r="O44" s="71">
        <f t="shared" si="10"/>
        <v>9048</v>
      </c>
      <c r="P44" s="3">
        <f>K44*1.04</f>
        <v>9048</v>
      </c>
      <c r="Q44" s="3">
        <v>0</v>
      </c>
      <c r="R44" s="3">
        <v>0</v>
      </c>
      <c r="S44" s="33">
        <v>0</v>
      </c>
      <c r="T44" s="21"/>
    </row>
    <row r="45" spans="1:21" s="10" customFormat="1" ht="72" customHeight="1" thickBot="1" x14ac:dyDescent="0.3">
      <c r="A45" s="95" t="s">
        <v>91</v>
      </c>
      <c r="B45" s="110" t="s">
        <v>118</v>
      </c>
      <c r="C45" s="98" t="s">
        <v>58</v>
      </c>
      <c r="D45" s="113" t="s">
        <v>44</v>
      </c>
      <c r="E45" s="72">
        <f t="shared" si="8"/>
        <v>107376</v>
      </c>
      <c r="F45" s="55">
        <f>13134+71237+15000+5427+2578</f>
        <v>107376</v>
      </c>
      <c r="G45" s="55">
        <v>0</v>
      </c>
      <c r="H45" s="55">
        <v>0</v>
      </c>
      <c r="I45" s="56">
        <v>0</v>
      </c>
      <c r="J45" s="66">
        <f t="shared" si="9"/>
        <v>114028</v>
      </c>
      <c r="K45" s="55">
        <f>13672+74164+15615+5536+5041</f>
        <v>114028</v>
      </c>
      <c r="L45" s="55">
        <v>0</v>
      </c>
      <c r="M45" s="55">
        <v>0</v>
      </c>
      <c r="N45" s="80">
        <v>0</v>
      </c>
      <c r="O45" s="72">
        <f t="shared" si="10"/>
        <v>118584</v>
      </c>
      <c r="P45" s="55">
        <f>14223+77131+16240+5746+5244</f>
        <v>118584</v>
      </c>
      <c r="Q45" s="55">
        <v>0</v>
      </c>
      <c r="R45" s="55">
        <v>0</v>
      </c>
      <c r="S45" s="56">
        <v>0</v>
      </c>
      <c r="T45" s="27"/>
    </row>
    <row r="46" spans="1:21" s="13" customFormat="1" ht="43.15" customHeight="1" thickBot="1" x14ac:dyDescent="0.3">
      <c r="A46" s="208" t="s">
        <v>11</v>
      </c>
      <c r="B46" s="209"/>
      <c r="C46" s="216"/>
      <c r="D46" s="108"/>
      <c r="E46" s="73">
        <f>F46+G46+H46+I46</f>
        <v>123041</v>
      </c>
      <c r="F46" s="57">
        <f>SUM(F40:F45)</f>
        <v>123041</v>
      </c>
      <c r="G46" s="57">
        <f>SUM(G40:G45)</f>
        <v>0</v>
      </c>
      <c r="H46" s="57">
        <f>SUM(H40:H45)</f>
        <v>0</v>
      </c>
      <c r="I46" s="58">
        <f>SUM(I40:I45)</f>
        <v>0</v>
      </c>
      <c r="J46" s="67">
        <f>K46+L46+M46+N46</f>
        <v>129541</v>
      </c>
      <c r="K46" s="57">
        <f>SUM(K40:K45)</f>
        <v>129541</v>
      </c>
      <c r="L46" s="57">
        <f>SUM(L40:L45)</f>
        <v>0</v>
      </c>
      <c r="M46" s="57">
        <f>SUM(M40:M45)</f>
        <v>0</v>
      </c>
      <c r="N46" s="81">
        <f>SUM(N40:N45)</f>
        <v>0</v>
      </c>
      <c r="O46" s="73">
        <f>P46+Q46+R46+S46</f>
        <v>134718.20000000001</v>
      </c>
      <c r="P46" s="57">
        <f>SUM(P40:P45)</f>
        <v>134718.20000000001</v>
      </c>
      <c r="Q46" s="57">
        <f>SUM(Q40:Q45)</f>
        <v>0</v>
      </c>
      <c r="R46" s="57">
        <f>SUM(R40:R45)</f>
        <v>0</v>
      </c>
      <c r="S46" s="58">
        <f>SUM(S40:S45)</f>
        <v>0</v>
      </c>
      <c r="T46" s="28"/>
    </row>
    <row r="47" spans="1:21" s="10" customFormat="1" ht="45.75" customHeight="1" x14ac:dyDescent="0.25">
      <c r="A47" s="114"/>
      <c r="B47" s="116" t="s">
        <v>55</v>
      </c>
      <c r="C47" s="96" t="s">
        <v>9</v>
      </c>
      <c r="D47" s="62"/>
      <c r="E47" s="74">
        <f t="shared" si="8"/>
        <v>15665</v>
      </c>
      <c r="F47" s="43">
        <f>F41+F40+F42+F43+F44</f>
        <v>15665</v>
      </c>
      <c r="G47" s="43">
        <f>G41+G40+G42+G43+G44+G45</f>
        <v>0</v>
      </c>
      <c r="H47" s="43">
        <f>H41+H40+H42+H43+H44+H45</f>
        <v>0</v>
      </c>
      <c r="I47" s="44">
        <f>I41+I40+I42+I43+I44+I45</f>
        <v>0</v>
      </c>
      <c r="J47" s="64">
        <f t="shared" si="9"/>
        <v>15513</v>
      </c>
      <c r="K47" s="43">
        <f>K41+K40+K42+K43+K44</f>
        <v>15513</v>
      </c>
      <c r="L47" s="43">
        <f>L41+L40+L42+L43+L44+L45</f>
        <v>0</v>
      </c>
      <c r="M47" s="43">
        <f>M41+M40+M42+M43+M44+M45</f>
        <v>0</v>
      </c>
      <c r="N47" s="78">
        <f>N41+N40+N42+N43+N44+N45</f>
        <v>0</v>
      </c>
      <c r="O47" s="74">
        <f t="shared" si="10"/>
        <v>16134.2</v>
      </c>
      <c r="P47" s="43">
        <f>P40+P41+P42+P43+P44</f>
        <v>16134.2</v>
      </c>
      <c r="Q47" s="43">
        <f>Q40+Q41+Q42+Q43+Q44+Q45</f>
        <v>0</v>
      </c>
      <c r="R47" s="43">
        <f>R40+R41+R42+R43+R44+R45</f>
        <v>0</v>
      </c>
      <c r="S47" s="44">
        <f>S40+S41+S42+S43+S44+S45</f>
        <v>0</v>
      </c>
      <c r="T47" s="26"/>
    </row>
    <row r="48" spans="1:21" s="10" customFormat="1" ht="57" customHeight="1" thickBot="1" x14ac:dyDescent="0.3">
      <c r="A48" s="115"/>
      <c r="B48" s="117"/>
      <c r="C48" s="49" t="s">
        <v>58</v>
      </c>
      <c r="D48" s="90"/>
      <c r="E48" s="75">
        <f t="shared" si="8"/>
        <v>107376</v>
      </c>
      <c r="F48" s="76">
        <f>F45</f>
        <v>107376</v>
      </c>
      <c r="G48" s="76">
        <f>G45</f>
        <v>0</v>
      </c>
      <c r="H48" s="76">
        <f>H45</f>
        <v>0</v>
      </c>
      <c r="I48" s="77">
        <f>I45</f>
        <v>0</v>
      </c>
      <c r="J48" s="91">
        <f t="shared" si="9"/>
        <v>114028</v>
      </c>
      <c r="K48" s="76">
        <f>K45</f>
        <v>114028</v>
      </c>
      <c r="L48" s="76">
        <f>L45</f>
        <v>0</v>
      </c>
      <c r="M48" s="76">
        <f>M45</f>
        <v>0</v>
      </c>
      <c r="N48" s="92">
        <f>N45</f>
        <v>0</v>
      </c>
      <c r="O48" s="75">
        <f t="shared" si="10"/>
        <v>118584</v>
      </c>
      <c r="P48" s="76">
        <f>P45</f>
        <v>118584</v>
      </c>
      <c r="Q48" s="76">
        <f>Q45</f>
        <v>0</v>
      </c>
      <c r="R48" s="76">
        <f>R45</f>
        <v>0</v>
      </c>
      <c r="S48" s="77">
        <f>S45</f>
        <v>0</v>
      </c>
      <c r="T48" s="26"/>
    </row>
    <row r="49" spans="1:20" s="10" customFormat="1" ht="37.9" customHeight="1" thickBot="1" x14ac:dyDescent="0.3">
      <c r="A49" s="164" t="s">
        <v>80</v>
      </c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6"/>
      <c r="T49" s="21"/>
    </row>
    <row r="50" spans="1:20" s="10" customFormat="1" ht="128.44999999999999" customHeight="1" x14ac:dyDescent="0.25">
      <c r="A50" s="118" t="s">
        <v>13</v>
      </c>
      <c r="B50" s="119" t="s">
        <v>81</v>
      </c>
      <c r="C50" s="96" t="s">
        <v>9</v>
      </c>
      <c r="D50" s="59"/>
      <c r="E50" s="68">
        <f>F50+G50+H50+I50</f>
        <v>0</v>
      </c>
      <c r="F50" s="69">
        <v>0</v>
      </c>
      <c r="G50" s="69">
        <v>0</v>
      </c>
      <c r="H50" s="69">
        <v>0</v>
      </c>
      <c r="I50" s="70">
        <v>0</v>
      </c>
      <c r="J50" s="64">
        <f>K50+L50+M50+N50</f>
        <v>0</v>
      </c>
      <c r="K50" s="43">
        <v>0</v>
      </c>
      <c r="L50" s="43">
        <v>0</v>
      </c>
      <c r="M50" s="43">
        <v>0</v>
      </c>
      <c r="N50" s="78">
        <v>0</v>
      </c>
      <c r="O50" s="68">
        <f>P50+Q50+R50+S50</f>
        <v>0</v>
      </c>
      <c r="P50" s="69">
        <v>0</v>
      </c>
      <c r="Q50" s="69">
        <v>0</v>
      </c>
      <c r="R50" s="69">
        <v>0</v>
      </c>
      <c r="S50" s="70">
        <v>0</v>
      </c>
      <c r="T50" s="21"/>
    </row>
    <row r="51" spans="1:20" s="10" customFormat="1" ht="87.75" customHeight="1" thickBot="1" x14ac:dyDescent="0.3">
      <c r="A51" s="121" t="s">
        <v>29</v>
      </c>
      <c r="B51" s="122" t="s">
        <v>82</v>
      </c>
      <c r="C51" s="98" t="s">
        <v>9</v>
      </c>
      <c r="D51" s="61"/>
      <c r="E51" s="72">
        <f>F51+G51+H51+I51</f>
        <v>0</v>
      </c>
      <c r="F51" s="55">
        <v>0</v>
      </c>
      <c r="G51" s="55">
        <v>0</v>
      </c>
      <c r="H51" s="55">
        <v>0</v>
      </c>
      <c r="I51" s="56">
        <v>0</v>
      </c>
      <c r="J51" s="66">
        <f>K51+L51+M51+N51</f>
        <v>0</v>
      </c>
      <c r="K51" s="55">
        <v>0</v>
      </c>
      <c r="L51" s="55">
        <v>0</v>
      </c>
      <c r="M51" s="55">
        <v>0</v>
      </c>
      <c r="N51" s="80">
        <v>0</v>
      </c>
      <c r="O51" s="72">
        <f>P51+Q51+R51+S51</f>
        <v>0</v>
      </c>
      <c r="P51" s="55">
        <v>0</v>
      </c>
      <c r="Q51" s="55">
        <v>0</v>
      </c>
      <c r="R51" s="55">
        <v>0</v>
      </c>
      <c r="S51" s="56">
        <v>0</v>
      </c>
      <c r="T51" s="21"/>
    </row>
    <row r="52" spans="1:20" s="13" customFormat="1" ht="38.450000000000003" customHeight="1" thickBot="1" x14ac:dyDescent="0.3">
      <c r="A52" s="217" t="s">
        <v>12</v>
      </c>
      <c r="B52" s="218"/>
      <c r="C52" s="218"/>
      <c r="D52" s="218"/>
      <c r="E52" s="73">
        <f t="shared" ref="E52:S52" si="11">E51+E50</f>
        <v>0</v>
      </c>
      <c r="F52" s="57">
        <f t="shared" si="11"/>
        <v>0</v>
      </c>
      <c r="G52" s="57">
        <f t="shared" si="11"/>
        <v>0</v>
      </c>
      <c r="H52" s="57">
        <f t="shared" si="11"/>
        <v>0</v>
      </c>
      <c r="I52" s="58">
        <f t="shared" si="11"/>
        <v>0</v>
      </c>
      <c r="J52" s="67">
        <f t="shared" si="11"/>
        <v>0</v>
      </c>
      <c r="K52" s="57">
        <f t="shared" si="11"/>
        <v>0</v>
      </c>
      <c r="L52" s="57">
        <f t="shared" si="11"/>
        <v>0</v>
      </c>
      <c r="M52" s="57">
        <f t="shared" si="11"/>
        <v>0</v>
      </c>
      <c r="N52" s="81">
        <f t="shared" si="11"/>
        <v>0</v>
      </c>
      <c r="O52" s="73">
        <f t="shared" si="11"/>
        <v>0</v>
      </c>
      <c r="P52" s="57">
        <f t="shared" si="11"/>
        <v>0</v>
      </c>
      <c r="Q52" s="57">
        <f t="shared" si="11"/>
        <v>0</v>
      </c>
      <c r="R52" s="57">
        <f t="shared" si="11"/>
        <v>0</v>
      </c>
      <c r="S52" s="58">
        <f t="shared" si="11"/>
        <v>0</v>
      </c>
      <c r="T52" s="29"/>
    </row>
    <row r="53" spans="1:20" s="10" customFormat="1" ht="36" customHeight="1" thickBot="1" x14ac:dyDescent="0.3">
      <c r="A53" s="211" t="s">
        <v>83</v>
      </c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3"/>
      <c r="T53" s="27"/>
    </row>
    <row r="54" spans="1:20" s="10" customFormat="1" ht="46.15" customHeight="1" x14ac:dyDescent="0.25">
      <c r="A54" s="214" t="s">
        <v>68</v>
      </c>
      <c r="B54" s="215" t="s">
        <v>121</v>
      </c>
      <c r="C54" s="96" t="s">
        <v>9</v>
      </c>
      <c r="D54" s="124" t="s">
        <v>44</v>
      </c>
      <c r="E54" s="68">
        <f t="shared" ref="E54:E71" si="12">F54+G54+H54+I54</f>
        <v>340623</v>
      </c>
      <c r="F54" s="69">
        <f>368891-28268</f>
        <v>340623</v>
      </c>
      <c r="G54" s="69">
        <v>0</v>
      </c>
      <c r="H54" s="69">
        <v>0</v>
      </c>
      <c r="I54" s="70">
        <v>0</v>
      </c>
      <c r="J54" s="64">
        <f>K54+L54+M54+N54</f>
        <v>318133</v>
      </c>
      <c r="K54" s="43">
        <v>318133</v>
      </c>
      <c r="L54" s="43">
        <v>0</v>
      </c>
      <c r="M54" s="43">
        <v>0</v>
      </c>
      <c r="N54" s="78">
        <v>0</v>
      </c>
      <c r="O54" s="68">
        <f>P54+Q54+R54+S54</f>
        <v>318341</v>
      </c>
      <c r="P54" s="69">
        <v>318341</v>
      </c>
      <c r="Q54" s="69">
        <v>0</v>
      </c>
      <c r="R54" s="69">
        <v>0</v>
      </c>
      <c r="S54" s="70">
        <v>0</v>
      </c>
      <c r="T54" s="27"/>
    </row>
    <row r="55" spans="1:20" s="10" customFormat="1" ht="46.15" customHeight="1" x14ac:dyDescent="0.25">
      <c r="A55" s="167"/>
      <c r="B55" s="168"/>
      <c r="C55" s="97" t="s">
        <v>57</v>
      </c>
      <c r="D55" s="107" t="s">
        <v>44</v>
      </c>
      <c r="E55" s="71">
        <f t="shared" si="12"/>
        <v>160165</v>
      </c>
      <c r="F55" s="3">
        <f>63440+60772+20425+10624+4904</f>
        <v>160165</v>
      </c>
      <c r="G55" s="3">
        <v>0</v>
      </c>
      <c r="H55" s="3">
        <v>0</v>
      </c>
      <c r="I55" s="33">
        <v>0</v>
      </c>
      <c r="J55" s="65">
        <f t="shared" ref="J55:J71" si="13">K55+L55+M55+N55</f>
        <v>155470</v>
      </c>
      <c r="K55" s="3">
        <f>60232+61208+17996+10929+5105</f>
        <v>155470</v>
      </c>
      <c r="L55" s="3">
        <v>0</v>
      </c>
      <c r="M55" s="3">
        <v>0</v>
      </c>
      <c r="N55" s="79">
        <v>0</v>
      </c>
      <c r="O55" s="71">
        <f t="shared" ref="O55:O71" si="14">P55+Q55+R55+S55</f>
        <v>160392</v>
      </c>
      <c r="P55" s="3">
        <f>62649+62362+18708+11364+5309</f>
        <v>160392</v>
      </c>
      <c r="Q55" s="3">
        <v>0</v>
      </c>
      <c r="R55" s="3">
        <v>0</v>
      </c>
      <c r="S55" s="33">
        <v>0</v>
      </c>
      <c r="T55" s="27"/>
    </row>
    <row r="56" spans="1:20" s="10" customFormat="1" ht="46.15" customHeight="1" x14ac:dyDescent="0.25">
      <c r="A56" s="167" t="s">
        <v>92</v>
      </c>
      <c r="B56" s="168" t="s">
        <v>120</v>
      </c>
      <c r="C56" s="97" t="s">
        <v>9</v>
      </c>
      <c r="D56" s="107" t="s">
        <v>44</v>
      </c>
      <c r="E56" s="71">
        <f t="shared" si="12"/>
        <v>28268</v>
      </c>
      <c r="F56" s="3">
        <v>28268</v>
      </c>
      <c r="G56" s="3">
        <v>0</v>
      </c>
      <c r="H56" s="3">
        <v>0</v>
      </c>
      <c r="I56" s="33">
        <v>0</v>
      </c>
      <c r="J56" s="65">
        <f t="shared" si="13"/>
        <v>31377</v>
      </c>
      <c r="K56" s="3">
        <v>31377</v>
      </c>
      <c r="L56" s="3">
        <v>0</v>
      </c>
      <c r="M56" s="3">
        <v>0</v>
      </c>
      <c r="N56" s="79">
        <v>0</v>
      </c>
      <c r="O56" s="71">
        <f t="shared" si="14"/>
        <v>31377</v>
      </c>
      <c r="P56" s="3">
        <v>31377</v>
      </c>
      <c r="Q56" s="3">
        <v>0</v>
      </c>
      <c r="R56" s="3">
        <v>0</v>
      </c>
      <c r="S56" s="33">
        <v>0</v>
      </c>
      <c r="T56" s="27"/>
    </row>
    <row r="57" spans="1:20" s="10" customFormat="1" ht="46.15" customHeight="1" x14ac:dyDescent="0.25">
      <c r="A57" s="167"/>
      <c r="B57" s="168"/>
      <c r="C57" s="97" t="s">
        <v>58</v>
      </c>
      <c r="D57" s="107" t="s">
        <v>44</v>
      </c>
      <c r="E57" s="71">
        <f t="shared" ref="E57:E62" si="15">F57+G57+H57+I57</f>
        <v>97198</v>
      </c>
      <c r="F57" s="3">
        <f>39965+52751+4482</f>
        <v>97198</v>
      </c>
      <c r="G57" s="3">
        <v>0</v>
      </c>
      <c r="H57" s="3">
        <v>0</v>
      </c>
      <c r="I57" s="33">
        <v>0</v>
      </c>
      <c r="J57" s="65">
        <f>K57+L57+M57+N57</f>
        <v>95833</v>
      </c>
      <c r="K57" s="3">
        <f>40712+55121</f>
        <v>95833</v>
      </c>
      <c r="L57" s="3">
        <v>0</v>
      </c>
      <c r="M57" s="3">
        <v>0</v>
      </c>
      <c r="N57" s="79">
        <v>0</v>
      </c>
      <c r="O57" s="71">
        <f>P57+Q57+R57+S57</f>
        <v>99498</v>
      </c>
      <c r="P57" s="3">
        <f>42214+57284</f>
        <v>99498</v>
      </c>
      <c r="Q57" s="3">
        <v>0</v>
      </c>
      <c r="R57" s="3">
        <v>0</v>
      </c>
      <c r="S57" s="33">
        <v>0</v>
      </c>
      <c r="T57" s="27"/>
    </row>
    <row r="58" spans="1:20" s="10" customFormat="1" ht="49.9" customHeight="1" x14ac:dyDescent="0.25">
      <c r="A58" s="167" t="s">
        <v>67</v>
      </c>
      <c r="B58" s="168" t="s">
        <v>93</v>
      </c>
      <c r="C58" s="97" t="s">
        <v>9</v>
      </c>
      <c r="D58" s="60" t="s">
        <v>44</v>
      </c>
      <c r="E58" s="71">
        <f t="shared" si="15"/>
        <v>5672</v>
      </c>
      <c r="F58" s="3">
        <f>8518-F60</f>
        <v>5672</v>
      </c>
      <c r="G58" s="3">
        <v>0</v>
      </c>
      <c r="H58" s="3">
        <v>0</v>
      </c>
      <c r="I58" s="33">
        <v>0</v>
      </c>
      <c r="J58" s="65">
        <f>K58+L58+M58+N58</f>
        <v>5904</v>
      </c>
      <c r="K58" s="3">
        <v>5904</v>
      </c>
      <c r="L58" s="3">
        <v>0</v>
      </c>
      <c r="M58" s="3">
        <v>0</v>
      </c>
      <c r="N58" s="79">
        <v>0</v>
      </c>
      <c r="O58" s="71">
        <f>P58+Q58+R58+S58</f>
        <v>6140</v>
      </c>
      <c r="P58" s="3">
        <v>6140</v>
      </c>
      <c r="Q58" s="3">
        <v>0</v>
      </c>
      <c r="R58" s="3">
        <v>0</v>
      </c>
      <c r="S58" s="33">
        <v>0</v>
      </c>
      <c r="T58" s="21"/>
    </row>
    <row r="59" spans="1:20" s="10" customFormat="1" ht="49.9" customHeight="1" x14ac:dyDescent="0.25">
      <c r="A59" s="167"/>
      <c r="B59" s="168"/>
      <c r="C59" s="97" t="s">
        <v>58</v>
      </c>
      <c r="D59" s="60" t="s">
        <v>44</v>
      </c>
      <c r="E59" s="71">
        <f t="shared" si="15"/>
        <v>1671</v>
      </c>
      <c r="F59" s="3">
        <v>1671</v>
      </c>
      <c r="G59" s="3">
        <v>0</v>
      </c>
      <c r="H59" s="3">
        <v>0</v>
      </c>
      <c r="I59" s="33">
        <v>0</v>
      </c>
      <c r="J59" s="65">
        <f>K59+L59+M59+N59</f>
        <v>1078</v>
      </c>
      <c r="K59" s="3">
        <f>1078</f>
        <v>1078</v>
      </c>
      <c r="L59" s="3">
        <v>0</v>
      </c>
      <c r="M59" s="3">
        <v>0</v>
      </c>
      <c r="N59" s="79">
        <v>0</v>
      </c>
      <c r="O59" s="71">
        <f>P59+Q59+R59+S59</f>
        <v>1121</v>
      </c>
      <c r="P59" s="3">
        <f>1121</f>
        <v>1121</v>
      </c>
      <c r="Q59" s="3">
        <v>0</v>
      </c>
      <c r="R59" s="3">
        <v>0</v>
      </c>
      <c r="S59" s="33">
        <v>0</v>
      </c>
      <c r="T59" s="21"/>
    </row>
    <row r="60" spans="1:20" s="10" customFormat="1" ht="65.25" customHeight="1" x14ac:dyDescent="0.25">
      <c r="A60" s="94" t="s">
        <v>94</v>
      </c>
      <c r="B60" s="122" t="s">
        <v>119</v>
      </c>
      <c r="C60" s="97" t="s">
        <v>9</v>
      </c>
      <c r="D60" s="107" t="s">
        <v>44</v>
      </c>
      <c r="E60" s="71">
        <f t="shared" si="15"/>
        <v>2846</v>
      </c>
      <c r="F60" s="3">
        <v>2846</v>
      </c>
      <c r="G60" s="3">
        <v>0</v>
      </c>
      <c r="H60" s="3">
        <v>0</v>
      </c>
      <c r="I60" s="33">
        <v>0</v>
      </c>
      <c r="J60" s="65">
        <f>K60+L60+M60+N60</f>
        <v>2963</v>
      </c>
      <c r="K60" s="3">
        <v>2963</v>
      </c>
      <c r="L60" s="3">
        <v>0</v>
      </c>
      <c r="M60" s="3">
        <v>0</v>
      </c>
      <c r="N60" s="79">
        <v>0</v>
      </c>
      <c r="O60" s="71">
        <f>P60+Q60+R60+S60</f>
        <v>3082</v>
      </c>
      <c r="P60" s="3">
        <v>3082</v>
      </c>
      <c r="Q60" s="3">
        <v>0</v>
      </c>
      <c r="R60" s="3">
        <v>0</v>
      </c>
      <c r="S60" s="33">
        <v>0</v>
      </c>
      <c r="T60" s="27"/>
    </row>
    <row r="61" spans="1:20" s="10" customFormat="1" ht="78.75" customHeight="1" x14ac:dyDescent="0.25">
      <c r="A61" s="167" t="s">
        <v>69</v>
      </c>
      <c r="B61" s="168" t="s">
        <v>128</v>
      </c>
      <c r="C61" s="97" t="s">
        <v>9</v>
      </c>
      <c r="D61" s="60" t="s">
        <v>46</v>
      </c>
      <c r="E61" s="71">
        <f t="shared" si="15"/>
        <v>1576</v>
      </c>
      <c r="F61" s="3">
        <f>500+538</f>
        <v>1038</v>
      </c>
      <c r="G61" s="3">
        <f>0+538</f>
        <v>538</v>
      </c>
      <c r="H61" s="3">
        <v>0</v>
      </c>
      <c r="I61" s="33">
        <v>0</v>
      </c>
      <c r="J61" s="65">
        <f>K61+L61+M61+N61</f>
        <v>500</v>
      </c>
      <c r="K61" s="3">
        <v>500</v>
      </c>
      <c r="L61" s="3">
        <v>0</v>
      </c>
      <c r="M61" s="3">
        <v>0</v>
      </c>
      <c r="N61" s="79">
        <v>0</v>
      </c>
      <c r="O61" s="71">
        <f>P61+Q61+R61+S61</f>
        <v>0</v>
      </c>
      <c r="P61" s="3">
        <v>0</v>
      </c>
      <c r="Q61" s="3">
        <v>0</v>
      </c>
      <c r="R61" s="3">
        <v>0</v>
      </c>
      <c r="S61" s="33">
        <v>0</v>
      </c>
      <c r="T61" s="27"/>
    </row>
    <row r="62" spans="1:20" s="10" customFormat="1" ht="78.75" customHeight="1" x14ac:dyDescent="0.25">
      <c r="A62" s="167"/>
      <c r="B62" s="168"/>
      <c r="C62" s="97" t="s">
        <v>60</v>
      </c>
      <c r="D62" s="60">
        <v>2025</v>
      </c>
      <c r="E62" s="71">
        <f t="shared" si="15"/>
        <v>1894</v>
      </c>
      <c r="F62" s="3">
        <v>95</v>
      </c>
      <c r="G62" s="3">
        <v>1799</v>
      </c>
      <c r="H62" s="3">
        <v>0</v>
      </c>
      <c r="I62" s="33">
        <v>0</v>
      </c>
      <c r="J62" s="65">
        <v>0</v>
      </c>
      <c r="K62" s="3">
        <v>0</v>
      </c>
      <c r="L62" s="3">
        <v>0</v>
      </c>
      <c r="M62" s="3">
        <v>0</v>
      </c>
      <c r="N62" s="79">
        <v>0</v>
      </c>
      <c r="O62" s="71">
        <v>0</v>
      </c>
      <c r="P62" s="3">
        <v>0</v>
      </c>
      <c r="Q62" s="3">
        <v>0</v>
      </c>
      <c r="R62" s="3">
        <v>0</v>
      </c>
      <c r="S62" s="33">
        <v>0</v>
      </c>
      <c r="T62" s="27"/>
    </row>
    <row r="63" spans="1:20" s="10" customFormat="1" ht="47.45" customHeight="1" x14ac:dyDescent="0.25">
      <c r="A63" s="167" t="s">
        <v>95</v>
      </c>
      <c r="B63" s="168" t="s">
        <v>48</v>
      </c>
      <c r="C63" s="97" t="s">
        <v>9</v>
      </c>
      <c r="D63" s="107" t="s">
        <v>44</v>
      </c>
      <c r="E63" s="71">
        <f t="shared" si="12"/>
        <v>20162</v>
      </c>
      <c r="F63" s="3">
        <f>20162</f>
        <v>20162</v>
      </c>
      <c r="G63" s="3">
        <v>0</v>
      </c>
      <c r="H63" s="3">
        <v>0</v>
      </c>
      <c r="I63" s="33">
        <v>0</v>
      </c>
      <c r="J63" s="65">
        <f t="shared" si="13"/>
        <v>20987</v>
      </c>
      <c r="K63" s="3">
        <v>20987</v>
      </c>
      <c r="L63" s="3">
        <v>0</v>
      </c>
      <c r="M63" s="3">
        <v>0</v>
      </c>
      <c r="N63" s="79">
        <v>0</v>
      </c>
      <c r="O63" s="71">
        <f t="shared" si="14"/>
        <v>21826</v>
      </c>
      <c r="P63" s="3">
        <v>21826</v>
      </c>
      <c r="Q63" s="3">
        <v>0</v>
      </c>
      <c r="R63" s="3">
        <v>0</v>
      </c>
      <c r="S63" s="33">
        <v>0</v>
      </c>
      <c r="T63" s="27"/>
    </row>
    <row r="64" spans="1:20" s="10" customFormat="1" ht="46.15" customHeight="1" x14ac:dyDescent="0.25">
      <c r="A64" s="167"/>
      <c r="B64" s="168"/>
      <c r="C64" s="97" t="s">
        <v>58</v>
      </c>
      <c r="D64" s="107" t="s">
        <v>44</v>
      </c>
      <c r="E64" s="71">
        <f t="shared" si="12"/>
        <v>12174</v>
      </c>
      <c r="F64" s="3">
        <v>12174</v>
      </c>
      <c r="G64" s="3">
        <v>0</v>
      </c>
      <c r="H64" s="3">
        <v>0</v>
      </c>
      <c r="I64" s="33">
        <v>0</v>
      </c>
      <c r="J64" s="65">
        <f t="shared" si="13"/>
        <v>12613</v>
      </c>
      <c r="K64" s="3">
        <v>12613</v>
      </c>
      <c r="L64" s="3">
        <v>0</v>
      </c>
      <c r="M64" s="3">
        <v>0</v>
      </c>
      <c r="N64" s="79">
        <v>0</v>
      </c>
      <c r="O64" s="71">
        <f t="shared" si="14"/>
        <v>13118</v>
      </c>
      <c r="P64" s="3">
        <v>13118</v>
      </c>
      <c r="Q64" s="3">
        <v>0</v>
      </c>
      <c r="R64" s="3">
        <v>0</v>
      </c>
      <c r="S64" s="33">
        <v>0</v>
      </c>
      <c r="T64" s="27"/>
    </row>
    <row r="65" spans="1:20" s="10" customFormat="1" ht="57.6" customHeight="1" x14ac:dyDescent="0.25">
      <c r="A65" s="94" t="s">
        <v>96</v>
      </c>
      <c r="B65" s="100" t="s">
        <v>49</v>
      </c>
      <c r="C65" s="97" t="s">
        <v>9</v>
      </c>
      <c r="D65" s="107" t="s">
        <v>44</v>
      </c>
      <c r="E65" s="71">
        <f t="shared" si="12"/>
        <v>1068</v>
      </c>
      <c r="F65" s="3">
        <v>1068</v>
      </c>
      <c r="G65" s="3">
        <v>0</v>
      </c>
      <c r="H65" s="3">
        <v>0</v>
      </c>
      <c r="I65" s="33">
        <v>0</v>
      </c>
      <c r="J65" s="65">
        <f t="shared" si="13"/>
        <v>1068</v>
      </c>
      <c r="K65" s="3">
        <v>1068</v>
      </c>
      <c r="L65" s="3">
        <v>0</v>
      </c>
      <c r="M65" s="3">
        <v>0</v>
      </c>
      <c r="N65" s="79">
        <v>0</v>
      </c>
      <c r="O65" s="71">
        <f t="shared" si="14"/>
        <v>1111</v>
      </c>
      <c r="P65" s="3">
        <v>1111</v>
      </c>
      <c r="Q65" s="3">
        <v>0</v>
      </c>
      <c r="R65" s="3">
        <v>0</v>
      </c>
      <c r="S65" s="33">
        <v>0</v>
      </c>
      <c r="T65" s="27"/>
    </row>
    <row r="66" spans="1:20" s="10" customFormat="1" ht="98.25" customHeight="1" x14ac:dyDescent="0.25">
      <c r="A66" s="94" t="s">
        <v>97</v>
      </c>
      <c r="B66" s="100" t="s">
        <v>122</v>
      </c>
      <c r="C66" s="97" t="s">
        <v>57</v>
      </c>
      <c r="D66" s="107" t="s">
        <v>44</v>
      </c>
      <c r="E66" s="71">
        <f t="shared" si="12"/>
        <v>15989</v>
      </c>
      <c r="F66" s="3">
        <f>10989+5000</f>
        <v>15989</v>
      </c>
      <c r="G66" s="3">
        <v>0</v>
      </c>
      <c r="H66" s="3">
        <v>0</v>
      </c>
      <c r="I66" s="33">
        <v>0</v>
      </c>
      <c r="J66" s="65">
        <f t="shared" si="13"/>
        <v>16440</v>
      </c>
      <c r="K66" s="3">
        <f>11440+5000</f>
        <v>16440</v>
      </c>
      <c r="L66" s="3">
        <v>0</v>
      </c>
      <c r="M66" s="3">
        <v>0</v>
      </c>
      <c r="N66" s="79">
        <v>0</v>
      </c>
      <c r="O66" s="71">
        <f t="shared" si="14"/>
        <v>16897</v>
      </c>
      <c r="P66" s="3">
        <f>11897+5000</f>
        <v>16897</v>
      </c>
      <c r="Q66" s="3">
        <v>0</v>
      </c>
      <c r="R66" s="3">
        <v>0</v>
      </c>
      <c r="S66" s="33">
        <v>0</v>
      </c>
      <c r="T66" s="27"/>
    </row>
    <row r="67" spans="1:20" s="10" customFormat="1" ht="64.900000000000006" customHeight="1" x14ac:dyDescent="0.25">
      <c r="A67" s="94" t="s">
        <v>98</v>
      </c>
      <c r="B67" s="100" t="s">
        <v>123</v>
      </c>
      <c r="C67" s="97" t="s">
        <v>58</v>
      </c>
      <c r="D67" s="60" t="s">
        <v>44</v>
      </c>
      <c r="E67" s="71">
        <f>F67+G67+H67+I67</f>
        <v>17337</v>
      </c>
      <c r="F67" s="3">
        <f>15324+2013</f>
        <v>17337</v>
      </c>
      <c r="G67" s="3">
        <v>0</v>
      </c>
      <c r="H67" s="3">
        <v>0</v>
      </c>
      <c r="I67" s="33">
        <v>0</v>
      </c>
      <c r="J67" s="65">
        <f>K67+L67+M67+N67</f>
        <v>15952</v>
      </c>
      <c r="K67" s="3">
        <f>15952</f>
        <v>15952</v>
      </c>
      <c r="L67" s="3">
        <v>0</v>
      </c>
      <c r="M67" s="3">
        <v>0</v>
      </c>
      <c r="N67" s="79">
        <v>0</v>
      </c>
      <c r="O67" s="71">
        <f t="shared" ref="O67" si="16">P67+Q67+R67+S67</f>
        <v>16589</v>
      </c>
      <c r="P67" s="3">
        <f>16589</f>
        <v>16589</v>
      </c>
      <c r="Q67" s="3">
        <v>0</v>
      </c>
      <c r="R67" s="3">
        <v>0</v>
      </c>
      <c r="S67" s="33">
        <v>0</v>
      </c>
      <c r="T67" s="21"/>
    </row>
    <row r="68" spans="1:20" s="10" customFormat="1" ht="54.6" customHeight="1" x14ac:dyDescent="0.25">
      <c r="A68" s="94" t="s">
        <v>99</v>
      </c>
      <c r="B68" s="123" t="s">
        <v>100</v>
      </c>
      <c r="C68" s="97" t="s">
        <v>57</v>
      </c>
      <c r="D68" s="107" t="s">
        <v>50</v>
      </c>
      <c r="E68" s="71">
        <f t="shared" si="12"/>
        <v>49770</v>
      </c>
      <c r="F68" s="3">
        <f>22814+22596+3753+607</f>
        <v>49770</v>
      </c>
      <c r="G68" s="3">
        <v>0</v>
      </c>
      <c r="H68" s="3">
        <v>0</v>
      </c>
      <c r="I68" s="33">
        <v>0</v>
      </c>
      <c r="J68" s="65">
        <f t="shared" si="13"/>
        <v>45420</v>
      </c>
      <c r="K68" s="3">
        <f>22825+22595</f>
        <v>45420</v>
      </c>
      <c r="L68" s="3">
        <v>0</v>
      </c>
      <c r="M68" s="3">
        <v>0</v>
      </c>
      <c r="N68" s="79">
        <v>0</v>
      </c>
      <c r="O68" s="71">
        <f t="shared" si="14"/>
        <v>15074</v>
      </c>
      <c r="P68" s="3">
        <f>15074</f>
        <v>15074</v>
      </c>
      <c r="Q68" s="3">
        <v>0</v>
      </c>
      <c r="R68" s="3">
        <v>0</v>
      </c>
      <c r="S68" s="33">
        <v>0</v>
      </c>
      <c r="T68" s="27"/>
    </row>
    <row r="69" spans="1:20" s="10" customFormat="1" ht="56.45" customHeight="1" thickBot="1" x14ac:dyDescent="0.3">
      <c r="A69" s="95" t="s">
        <v>111</v>
      </c>
      <c r="B69" s="122" t="s">
        <v>112</v>
      </c>
      <c r="C69" s="98" t="s">
        <v>57</v>
      </c>
      <c r="D69" s="113" t="s">
        <v>46</v>
      </c>
      <c r="E69" s="72">
        <f t="shared" si="12"/>
        <v>12</v>
      </c>
      <c r="F69" s="55">
        <v>12</v>
      </c>
      <c r="G69" s="55">
        <v>0</v>
      </c>
      <c r="H69" s="55">
        <v>0</v>
      </c>
      <c r="I69" s="56">
        <v>0</v>
      </c>
      <c r="J69" s="66">
        <f t="shared" si="13"/>
        <v>1</v>
      </c>
      <c r="K69" s="55">
        <v>1</v>
      </c>
      <c r="L69" s="55">
        <v>0</v>
      </c>
      <c r="M69" s="55">
        <v>0</v>
      </c>
      <c r="N69" s="80">
        <v>0</v>
      </c>
      <c r="O69" s="72">
        <f t="shared" si="14"/>
        <v>0</v>
      </c>
      <c r="P69" s="55">
        <v>0</v>
      </c>
      <c r="Q69" s="55">
        <v>0</v>
      </c>
      <c r="R69" s="55">
        <v>0</v>
      </c>
      <c r="S69" s="56">
        <v>0</v>
      </c>
      <c r="T69" s="27"/>
    </row>
    <row r="70" spans="1:20" s="13" customFormat="1" ht="41.25" customHeight="1" thickBot="1" x14ac:dyDescent="0.3">
      <c r="A70" s="208" t="s">
        <v>71</v>
      </c>
      <c r="B70" s="209"/>
      <c r="C70" s="209"/>
      <c r="D70" s="210"/>
      <c r="E70" s="67">
        <f>F70+G70+H70+I70</f>
        <v>756425</v>
      </c>
      <c r="F70" s="57">
        <f>SUM(F54:F69)</f>
        <v>754088</v>
      </c>
      <c r="G70" s="57">
        <f t="shared" ref="G70:I70" si="17">SUM(G54:G69)</f>
        <v>2337</v>
      </c>
      <c r="H70" s="57">
        <f t="shared" si="17"/>
        <v>0</v>
      </c>
      <c r="I70" s="81">
        <f t="shared" si="17"/>
        <v>0</v>
      </c>
      <c r="J70" s="73">
        <f>K70+L70+M70+N70</f>
        <v>723739</v>
      </c>
      <c r="K70" s="57">
        <f>SUM(K54:K69)</f>
        <v>723739</v>
      </c>
      <c r="L70" s="57">
        <f t="shared" ref="L70:N70" si="18">SUM(L54:L69)</f>
        <v>0</v>
      </c>
      <c r="M70" s="57">
        <f t="shared" si="18"/>
        <v>0</v>
      </c>
      <c r="N70" s="58">
        <f t="shared" si="18"/>
        <v>0</v>
      </c>
      <c r="O70" s="67">
        <f>P70+Q70+R70+S70</f>
        <v>704566</v>
      </c>
      <c r="P70" s="57">
        <f>SUM(P54:P69)</f>
        <v>704566</v>
      </c>
      <c r="Q70" s="57">
        <f t="shared" ref="Q70:S70" si="19">SUM(Q54:Q69)</f>
        <v>0</v>
      </c>
      <c r="R70" s="57">
        <f t="shared" si="19"/>
        <v>0</v>
      </c>
      <c r="S70" s="58">
        <f t="shared" si="19"/>
        <v>0</v>
      </c>
      <c r="T70" s="30"/>
    </row>
    <row r="71" spans="1:20" s="10" customFormat="1" ht="42" customHeight="1" x14ac:dyDescent="0.25">
      <c r="A71" s="128"/>
      <c r="B71" s="205" t="s">
        <v>55</v>
      </c>
      <c r="C71" s="104" t="s">
        <v>9</v>
      </c>
      <c r="D71" s="125"/>
      <c r="E71" s="86">
        <f t="shared" si="12"/>
        <v>400215</v>
      </c>
      <c r="F71" s="69">
        <f>F54+F56+F58+F60+F61+F63+F65</f>
        <v>399677</v>
      </c>
      <c r="G71" s="69">
        <f t="shared" ref="G71:I71" si="20">G54+G56+G58+G60+G61+G63+G65</f>
        <v>538</v>
      </c>
      <c r="H71" s="69">
        <f t="shared" si="20"/>
        <v>0</v>
      </c>
      <c r="I71" s="87">
        <f t="shared" si="20"/>
        <v>0</v>
      </c>
      <c r="J71" s="68">
        <f t="shared" si="13"/>
        <v>380932</v>
      </c>
      <c r="K71" s="69">
        <f>K54+K56+K58+K60+K61+K63+K65</f>
        <v>380932</v>
      </c>
      <c r="L71" s="69">
        <f>L54+L63+L65+L60</f>
        <v>0</v>
      </c>
      <c r="M71" s="69">
        <f>M54+M63+M65+M60</f>
        <v>0</v>
      </c>
      <c r="N71" s="70">
        <f>N54+N63+N65+N60</f>
        <v>0</v>
      </c>
      <c r="O71" s="86">
        <f t="shared" si="14"/>
        <v>381877</v>
      </c>
      <c r="P71" s="69">
        <f>P54+P56+P58+P60+P61+P63+P65</f>
        <v>381877</v>
      </c>
      <c r="Q71" s="69">
        <f>Q54+Q63+Q65+Q60</f>
        <v>0</v>
      </c>
      <c r="R71" s="69">
        <f>R54+R63+R65+R60</f>
        <v>0</v>
      </c>
      <c r="S71" s="70">
        <f>S54+S63+S65+S60</f>
        <v>0</v>
      </c>
      <c r="T71" s="28"/>
    </row>
    <row r="72" spans="1:20" s="10" customFormat="1" ht="61.15" customHeight="1" x14ac:dyDescent="0.25">
      <c r="A72" s="129"/>
      <c r="B72" s="206"/>
      <c r="C72" s="97" t="s">
        <v>57</v>
      </c>
      <c r="D72" s="126"/>
      <c r="E72" s="65">
        <f>F72+G72+H72+I72</f>
        <v>354316</v>
      </c>
      <c r="F72" s="3">
        <f>F55+F57+F59+F64+F66+F67+F68+F69</f>
        <v>354316</v>
      </c>
      <c r="G72" s="3">
        <f>G55+G57+G59+G64+G66+G67+G68+G69</f>
        <v>0</v>
      </c>
      <c r="H72" s="3">
        <f>H55+H57+H59+H64+H66+H67+H68+H69</f>
        <v>0</v>
      </c>
      <c r="I72" s="79">
        <f>I55+I57+I59+I64+I66+I67+I68+I69</f>
        <v>0</v>
      </c>
      <c r="J72" s="71">
        <f>K72+L72+M72+N72</f>
        <v>342807</v>
      </c>
      <c r="K72" s="3">
        <f>K55+K57+K59+K64+K66+K67+K68+K69</f>
        <v>342807</v>
      </c>
      <c r="L72" s="3">
        <f>L55+L57+L59+L64+L66+L67+L68+L69</f>
        <v>0</v>
      </c>
      <c r="M72" s="3">
        <f>M55+M57+M59+M64+M66+M67+M68+M69</f>
        <v>0</v>
      </c>
      <c r="N72" s="33">
        <f>N55+N57+N59+N64+N66+N67+N68+N69</f>
        <v>0</v>
      </c>
      <c r="O72" s="65">
        <f>P72+Q72+R72+S72</f>
        <v>322689</v>
      </c>
      <c r="P72" s="3">
        <f>P55+P57+P59+P64+P66+P67+P68</f>
        <v>322689</v>
      </c>
      <c r="Q72" s="3">
        <f>Q55+Q64+Q57+Q66+Q68</f>
        <v>0</v>
      </c>
      <c r="R72" s="3">
        <f>R55+R64+R57+R66+R68</f>
        <v>0</v>
      </c>
      <c r="S72" s="33">
        <f>S55+S64+S57+S66+S68</f>
        <v>0</v>
      </c>
      <c r="T72" s="28"/>
    </row>
    <row r="73" spans="1:20" s="10" customFormat="1" ht="42" customHeight="1" thickBot="1" x14ac:dyDescent="0.3">
      <c r="A73" s="130"/>
      <c r="B73" s="207"/>
      <c r="C73" s="49" t="s">
        <v>60</v>
      </c>
      <c r="D73" s="127"/>
      <c r="E73" s="91">
        <f>E62</f>
        <v>1894</v>
      </c>
      <c r="F73" s="76">
        <f>F62</f>
        <v>95</v>
      </c>
      <c r="G73" s="76">
        <f t="shared" ref="G73:I73" si="21">G62</f>
        <v>1799</v>
      </c>
      <c r="H73" s="76">
        <f t="shared" si="21"/>
        <v>0</v>
      </c>
      <c r="I73" s="92">
        <f t="shared" si="21"/>
        <v>0</v>
      </c>
      <c r="J73" s="75">
        <f>J62</f>
        <v>0</v>
      </c>
      <c r="K73" s="76">
        <f>K62</f>
        <v>0</v>
      </c>
      <c r="L73" s="76">
        <f t="shared" ref="L73:N73" si="22">L62</f>
        <v>0</v>
      </c>
      <c r="M73" s="76">
        <f t="shared" si="22"/>
        <v>0</v>
      </c>
      <c r="N73" s="77">
        <f t="shared" si="22"/>
        <v>0</v>
      </c>
      <c r="O73" s="91">
        <f>O62</f>
        <v>0</v>
      </c>
      <c r="P73" s="76">
        <f>P62</f>
        <v>0</v>
      </c>
      <c r="Q73" s="76">
        <f t="shared" ref="Q73:S73" si="23">Q62</f>
        <v>0</v>
      </c>
      <c r="R73" s="76">
        <f t="shared" si="23"/>
        <v>0</v>
      </c>
      <c r="S73" s="77">
        <f t="shared" si="23"/>
        <v>0</v>
      </c>
      <c r="T73" s="28"/>
    </row>
    <row r="74" spans="1:20" s="10" customFormat="1" ht="37.15" customHeight="1" thickBot="1" x14ac:dyDescent="0.3">
      <c r="A74" s="202" t="s">
        <v>70</v>
      </c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203"/>
      <c r="O74" s="203"/>
      <c r="P74" s="203"/>
      <c r="Q74" s="203"/>
      <c r="R74" s="203"/>
      <c r="S74" s="204"/>
      <c r="T74" s="27"/>
    </row>
    <row r="75" spans="1:20" s="10" customFormat="1" ht="67.150000000000006" customHeight="1" x14ac:dyDescent="0.25">
      <c r="A75" s="93" t="s">
        <v>101</v>
      </c>
      <c r="B75" s="99" t="s">
        <v>102</v>
      </c>
      <c r="C75" s="131" t="s">
        <v>59</v>
      </c>
      <c r="D75" s="124" t="s">
        <v>44</v>
      </c>
      <c r="E75" s="68">
        <f t="shared" ref="E75:E84" si="24">F75+G75+H75+I75</f>
        <v>44481</v>
      </c>
      <c r="F75" s="69">
        <v>44481</v>
      </c>
      <c r="G75" s="69">
        <v>0</v>
      </c>
      <c r="H75" s="69">
        <v>0</v>
      </c>
      <c r="I75" s="70">
        <v>0</v>
      </c>
      <c r="J75" s="64">
        <f t="shared" ref="J75:J84" si="25">K75+L75+M75+N75</f>
        <v>45732</v>
      </c>
      <c r="K75" s="43">
        <v>45732</v>
      </c>
      <c r="L75" s="43">
        <v>0</v>
      </c>
      <c r="M75" s="43">
        <v>0</v>
      </c>
      <c r="N75" s="78">
        <v>0</v>
      </c>
      <c r="O75" s="68">
        <f t="shared" ref="O75:O84" si="26">P75+Q75+R75+S75</f>
        <v>47000</v>
      </c>
      <c r="P75" s="69">
        <v>47000</v>
      </c>
      <c r="Q75" s="69">
        <v>0</v>
      </c>
      <c r="R75" s="69">
        <v>0</v>
      </c>
      <c r="S75" s="70">
        <v>0</v>
      </c>
      <c r="T75" s="27"/>
    </row>
    <row r="76" spans="1:20" s="10" customFormat="1" ht="54" customHeight="1" x14ac:dyDescent="0.25">
      <c r="A76" s="94" t="s">
        <v>103</v>
      </c>
      <c r="B76" s="123" t="s">
        <v>51</v>
      </c>
      <c r="C76" s="132" t="s">
        <v>59</v>
      </c>
      <c r="D76" s="107" t="s">
        <v>110</v>
      </c>
      <c r="E76" s="71">
        <f t="shared" si="24"/>
        <v>0</v>
      </c>
      <c r="F76" s="3">
        <v>0</v>
      </c>
      <c r="G76" s="3">
        <v>0</v>
      </c>
      <c r="H76" s="3">
        <v>0</v>
      </c>
      <c r="I76" s="33">
        <v>0</v>
      </c>
      <c r="J76" s="65">
        <f t="shared" si="25"/>
        <v>0</v>
      </c>
      <c r="K76" s="3">
        <v>0</v>
      </c>
      <c r="L76" s="3">
        <v>0</v>
      </c>
      <c r="M76" s="3">
        <v>0</v>
      </c>
      <c r="N76" s="79">
        <v>0</v>
      </c>
      <c r="O76" s="71">
        <f t="shared" si="26"/>
        <v>0</v>
      </c>
      <c r="P76" s="3">
        <v>0</v>
      </c>
      <c r="Q76" s="3">
        <v>0</v>
      </c>
      <c r="R76" s="3">
        <v>0</v>
      </c>
      <c r="S76" s="33">
        <v>0</v>
      </c>
      <c r="T76" s="27"/>
    </row>
    <row r="77" spans="1:20" s="10" customFormat="1" ht="54" customHeight="1" x14ac:dyDescent="0.25">
      <c r="A77" s="94" t="s">
        <v>104</v>
      </c>
      <c r="B77" s="123" t="s">
        <v>52</v>
      </c>
      <c r="C77" s="132" t="s">
        <v>59</v>
      </c>
      <c r="D77" s="107" t="s">
        <v>50</v>
      </c>
      <c r="E77" s="71">
        <f t="shared" si="24"/>
        <v>6593</v>
      </c>
      <c r="F77" s="3">
        <v>6593</v>
      </c>
      <c r="G77" s="3">
        <v>0</v>
      </c>
      <c r="H77" s="3">
        <v>0</v>
      </c>
      <c r="I77" s="33">
        <v>0</v>
      </c>
      <c r="J77" s="65">
        <f t="shared" si="25"/>
        <v>9007</v>
      </c>
      <c r="K77" s="3">
        <v>9007</v>
      </c>
      <c r="L77" s="3">
        <v>0</v>
      </c>
      <c r="M77" s="3">
        <v>0</v>
      </c>
      <c r="N77" s="79">
        <v>0</v>
      </c>
      <c r="O77" s="71">
        <f t="shared" si="26"/>
        <v>239</v>
      </c>
      <c r="P77" s="3">
        <v>239</v>
      </c>
      <c r="Q77" s="3">
        <v>0</v>
      </c>
      <c r="R77" s="3">
        <v>0</v>
      </c>
      <c r="S77" s="33">
        <v>0</v>
      </c>
      <c r="T77" s="27"/>
    </row>
    <row r="78" spans="1:20" s="10" customFormat="1" ht="54" customHeight="1" x14ac:dyDescent="0.25">
      <c r="A78" s="94" t="s">
        <v>105</v>
      </c>
      <c r="B78" s="123" t="s">
        <v>53</v>
      </c>
      <c r="C78" s="132" t="s">
        <v>60</v>
      </c>
      <c r="D78" s="107" t="s">
        <v>44</v>
      </c>
      <c r="E78" s="71">
        <f t="shared" si="24"/>
        <v>21640</v>
      </c>
      <c r="F78" s="3">
        <v>21640</v>
      </c>
      <c r="G78" s="3">
        <v>0</v>
      </c>
      <c r="H78" s="3">
        <v>0</v>
      </c>
      <c r="I78" s="33">
        <v>0</v>
      </c>
      <c r="J78" s="65">
        <f t="shared" si="25"/>
        <v>22512</v>
      </c>
      <c r="K78" s="3">
        <v>22512</v>
      </c>
      <c r="L78" s="3">
        <v>0</v>
      </c>
      <c r="M78" s="3">
        <v>0</v>
      </c>
      <c r="N78" s="79">
        <v>0</v>
      </c>
      <c r="O78" s="71">
        <f t="shared" si="26"/>
        <v>23399</v>
      </c>
      <c r="P78" s="3">
        <v>23399</v>
      </c>
      <c r="Q78" s="3">
        <v>0</v>
      </c>
      <c r="R78" s="3">
        <v>0</v>
      </c>
      <c r="S78" s="33">
        <v>0</v>
      </c>
      <c r="T78" s="27"/>
    </row>
    <row r="79" spans="1:20" s="10" customFormat="1" ht="54" customHeight="1" thickBot="1" x14ac:dyDescent="0.3">
      <c r="A79" s="95" t="s">
        <v>106</v>
      </c>
      <c r="B79" s="120" t="s">
        <v>54</v>
      </c>
      <c r="C79" s="133" t="s">
        <v>59</v>
      </c>
      <c r="D79" s="113" t="s">
        <v>44</v>
      </c>
      <c r="E79" s="72">
        <f t="shared" si="24"/>
        <v>4730</v>
      </c>
      <c r="F79" s="55">
        <v>4730</v>
      </c>
      <c r="G79" s="55">
        <v>0</v>
      </c>
      <c r="H79" s="55">
        <v>0</v>
      </c>
      <c r="I79" s="56">
        <v>0</v>
      </c>
      <c r="J79" s="66">
        <f t="shared" si="25"/>
        <v>4924</v>
      </c>
      <c r="K79" s="55">
        <v>4924</v>
      </c>
      <c r="L79" s="55">
        <v>0</v>
      </c>
      <c r="M79" s="55">
        <v>0</v>
      </c>
      <c r="N79" s="80">
        <v>0</v>
      </c>
      <c r="O79" s="72">
        <f t="shared" si="26"/>
        <v>5121</v>
      </c>
      <c r="P79" s="55">
        <v>5121</v>
      </c>
      <c r="Q79" s="55">
        <v>0</v>
      </c>
      <c r="R79" s="55">
        <v>0</v>
      </c>
      <c r="S79" s="56">
        <v>0</v>
      </c>
      <c r="T79" s="27"/>
    </row>
    <row r="80" spans="1:20" s="13" customFormat="1" ht="37.15" customHeight="1" thickBot="1" x14ac:dyDescent="0.3">
      <c r="A80" s="194" t="s">
        <v>72</v>
      </c>
      <c r="B80" s="195"/>
      <c r="C80" s="195"/>
      <c r="D80" s="196"/>
      <c r="E80" s="73">
        <f t="shared" si="24"/>
        <v>77444</v>
      </c>
      <c r="F80" s="57">
        <f>SUM(F75:F79)</f>
        <v>77444</v>
      </c>
      <c r="G80" s="57">
        <f>SUM(G75:G79)</f>
        <v>0</v>
      </c>
      <c r="H80" s="57">
        <f>SUM(H75:H79)</f>
        <v>0</v>
      </c>
      <c r="I80" s="58">
        <f>SUM(I75:I79)</f>
        <v>0</v>
      </c>
      <c r="J80" s="67">
        <f t="shared" si="25"/>
        <v>82175</v>
      </c>
      <c r="K80" s="57">
        <f>SUM(K75:K79)</f>
        <v>82175</v>
      </c>
      <c r="L80" s="57">
        <f>SUM(L75:L79)</f>
        <v>0</v>
      </c>
      <c r="M80" s="57">
        <f>SUM(M75:M79)</f>
        <v>0</v>
      </c>
      <c r="N80" s="81">
        <f>SUM(N75:N79)</f>
        <v>0</v>
      </c>
      <c r="O80" s="73">
        <f t="shared" si="26"/>
        <v>75759</v>
      </c>
      <c r="P80" s="57">
        <f>SUM(P75:P79)</f>
        <v>75759</v>
      </c>
      <c r="Q80" s="57">
        <f>SUM(Q75:Q79)</f>
        <v>0</v>
      </c>
      <c r="R80" s="57">
        <f>SUM(R75:R79)</f>
        <v>0</v>
      </c>
      <c r="S80" s="58">
        <f>SUM(S75:S79)</f>
        <v>0</v>
      </c>
      <c r="T80" s="26"/>
    </row>
    <row r="81" spans="1:23" s="10" customFormat="1" ht="50.45" customHeight="1" thickBot="1" x14ac:dyDescent="0.3">
      <c r="A81" s="194" t="s">
        <v>33</v>
      </c>
      <c r="B81" s="195"/>
      <c r="C81" s="195"/>
      <c r="D81" s="196"/>
      <c r="E81" s="73">
        <f t="shared" si="24"/>
        <v>1397383</v>
      </c>
      <c r="F81" s="57">
        <f>F25+F36+F46+F52+F70+F80</f>
        <v>1390067</v>
      </c>
      <c r="G81" s="57">
        <f>G25+G36+G46+G52+G70+G80</f>
        <v>2337</v>
      </c>
      <c r="H81" s="57">
        <f>H25+H36+H46+H52+H70+H80</f>
        <v>0</v>
      </c>
      <c r="I81" s="58">
        <f>I25+I36+I46+I52+I70+I80</f>
        <v>4979</v>
      </c>
      <c r="J81" s="67">
        <f t="shared" si="25"/>
        <v>1172729</v>
      </c>
      <c r="K81" s="57">
        <f>K25+K36+K46+K52+K70+K80</f>
        <v>1171105</v>
      </c>
      <c r="L81" s="57">
        <f>L25+L36+L46+L52+L70+L80</f>
        <v>0</v>
      </c>
      <c r="M81" s="57">
        <f>M25+M36+M46+M52+M70+M80</f>
        <v>0</v>
      </c>
      <c r="N81" s="81">
        <f>N25+N36+N46+N52+N70+N80</f>
        <v>1624</v>
      </c>
      <c r="O81" s="73">
        <f t="shared" si="26"/>
        <v>1441997.2</v>
      </c>
      <c r="P81" s="57">
        <f>P25+P36+P46+P52+P70+P80</f>
        <v>1440373.2</v>
      </c>
      <c r="Q81" s="57">
        <f>Q25+Q36+Q46+Q52+Q70+Q80</f>
        <v>0</v>
      </c>
      <c r="R81" s="57">
        <f>R25+R36+R46+R52+R70+R80</f>
        <v>0</v>
      </c>
      <c r="S81" s="58">
        <f>S25+S36+S46+S52+S70+S80</f>
        <v>1624</v>
      </c>
      <c r="T81" s="31"/>
      <c r="U81" s="15"/>
      <c r="V81" s="15"/>
      <c r="W81" s="8"/>
    </row>
    <row r="82" spans="1:23" s="10" customFormat="1" ht="34.9" customHeight="1" x14ac:dyDescent="0.25">
      <c r="A82" s="138"/>
      <c r="B82" s="205" t="s">
        <v>55</v>
      </c>
      <c r="C82" s="96" t="s">
        <v>9</v>
      </c>
      <c r="D82" s="62"/>
      <c r="E82" s="74">
        <f>F82+G82+H82+I82</f>
        <v>826645</v>
      </c>
      <c r="F82" s="43">
        <f>F26+F37+F47+F52+F71</f>
        <v>821128</v>
      </c>
      <c r="G82" s="43">
        <f>G26+G37+G47+G52+G71</f>
        <v>538</v>
      </c>
      <c r="H82" s="43">
        <f>H26+H37+H47+H52+H71</f>
        <v>0</v>
      </c>
      <c r="I82" s="44">
        <f>I26+I37+I47+I52+I71</f>
        <v>4979</v>
      </c>
      <c r="J82" s="64">
        <f t="shared" si="25"/>
        <v>603029</v>
      </c>
      <c r="K82" s="43">
        <f>K26+K37+K47+K52+K71</f>
        <v>601405</v>
      </c>
      <c r="L82" s="43">
        <f>L26+L37+L47+L52+L71</f>
        <v>0</v>
      </c>
      <c r="M82" s="43">
        <f>M26+M37+M47+M52+M71</f>
        <v>0</v>
      </c>
      <c r="N82" s="78">
        <f>N26+N37+N47+N52+N71</f>
        <v>1624</v>
      </c>
      <c r="O82" s="74">
        <f t="shared" si="26"/>
        <v>893048.2</v>
      </c>
      <c r="P82" s="43">
        <f>P26+P37+P47+P52+P71</f>
        <v>891424.2</v>
      </c>
      <c r="Q82" s="43">
        <f>Q26+Q37+Q47+Q52+Q71</f>
        <v>0</v>
      </c>
      <c r="R82" s="43">
        <f>R26+R37+R47+R52+R71</f>
        <v>0</v>
      </c>
      <c r="S82" s="44">
        <f>S26+S37+S47+S52+S71</f>
        <v>1624</v>
      </c>
      <c r="T82" s="27"/>
    </row>
    <row r="83" spans="1:23" s="10" customFormat="1" ht="48.6" customHeight="1" x14ac:dyDescent="0.25">
      <c r="A83" s="139"/>
      <c r="B83" s="206"/>
      <c r="C83" s="97" t="s">
        <v>58</v>
      </c>
      <c r="D83" s="63"/>
      <c r="E83" s="71">
        <f t="shared" si="24"/>
        <v>491400</v>
      </c>
      <c r="F83" s="3">
        <f>F27+F38+F48+F72</f>
        <v>491400</v>
      </c>
      <c r="G83" s="3">
        <f>G27+G38+G48+G72</f>
        <v>0</v>
      </c>
      <c r="H83" s="3">
        <f>H27+H38+H48+H72</f>
        <v>0</v>
      </c>
      <c r="I83" s="33">
        <f>I27+I38+I48+I72</f>
        <v>0</v>
      </c>
      <c r="J83" s="65">
        <f t="shared" si="25"/>
        <v>487525</v>
      </c>
      <c r="K83" s="3">
        <f>K38+K48+K72+K27</f>
        <v>487525</v>
      </c>
      <c r="L83" s="3">
        <f>L38+L48+L72+L27</f>
        <v>0</v>
      </c>
      <c r="M83" s="3">
        <f>M38+M48+M72+M27</f>
        <v>0</v>
      </c>
      <c r="N83" s="79">
        <f>N38+N48+N72+N27</f>
        <v>0</v>
      </c>
      <c r="O83" s="71">
        <f t="shared" si="26"/>
        <v>473190</v>
      </c>
      <c r="P83" s="3">
        <f>P38+P48+P72+P27</f>
        <v>473190</v>
      </c>
      <c r="Q83" s="3">
        <f>Q38+Q48+Q72+Q27</f>
        <v>0</v>
      </c>
      <c r="R83" s="3">
        <f>R38+R48+R72+R27</f>
        <v>0</v>
      </c>
      <c r="S83" s="33">
        <f>S38+S48+S72+S27</f>
        <v>0</v>
      </c>
      <c r="T83" s="27"/>
    </row>
    <row r="84" spans="1:23" s="19" customFormat="1" ht="49.9" customHeight="1" thickBot="1" x14ac:dyDescent="0.3">
      <c r="A84" s="140"/>
      <c r="B84" s="207"/>
      <c r="C84" s="141" t="s">
        <v>59</v>
      </c>
      <c r="D84" s="134"/>
      <c r="E84" s="136">
        <f t="shared" si="24"/>
        <v>79338</v>
      </c>
      <c r="F84" s="34">
        <f>F73+F80</f>
        <v>77539</v>
      </c>
      <c r="G84" s="34">
        <f t="shared" ref="G84:I84" si="27">G73+G80</f>
        <v>1799</v>
      </c>
      <c r="H84" s="34">
        <f t="shared" si="27"/>
        <v>0</v>
      </c>
      <c r="I84" s="35">
        <f t="shared" si="27"/>
        <v>0</v>
      </c>
      <c r="J84" s="135">
        <f t="shared" si="25"/>
        <v>82175</v>
      </c>
      <c r="K84" s="34">
        <f>K80</f>
        <v>82175</v>
      </c>
      <c r="L84" s="34">
        <f t="shared" ref="L84:N84" si="28">L80</f>
        <v>0</v>
      </c>
      <c r="M84" s="34">
        <f t="shared" si="28"/>
        <v>0</v>
      </c>
      <c r="N84" s="137">
        <f t="shared" si="28"/>
        <v>0</v>
      </c>
      <c r="O84" s="136">
        <f t="shared" si="26"/>
        <v>75759</v>
      </c>
      <c r="P84" s="34">
        <f>P80</f>
        <v>75759</v>
      </c>
      <c r="Q84" s="34">
        <f t="shared" ref="Q84:S84" si="29">Q80</f>
        <v>0</v>
      </c>
      <c r="R84" s="34">
        <f t="shared" si="29"/>
        <v>0</v>
      </c>
      <c r="S84" s="35">
        <f t="shared" si="29"/>
        <v>0</v>
      </c>
      <c r="T84" s="30"/>
      <c r="U84" s="17"/>
    </row>
    <row r="85" spans="1:23" s="1" customFormat="1" ht="33" customHeight="1" x14ac:dyDescent="0.25">
      <c r="B85" s="201" t="s">
        <v>34</v>
      </c>
      <c r="C85" s="201"/>
      <c r="D85" s="201"/>
      <c r="E85" s="201"/>
      <c r="F85" s="201"/>
      <c r="G85" s="201"/>
      <c r="H85" s="201"/>
      <c r="I85" s="201"/>
      <c r="J85" s="201"/>
      <c r="K85" s="201"/>
      <c r="L85" s="201"/>
      <c r="M85" s="201"/>
      <c r="N85" s="201"/>
      <c r="O85" s="201"/>
      <c r="P85" s="5"/>
      <c r="Q85" s="5"/>
      <c r="T85" s="7"/>
      <c r="U85" s="16"/>
    </row>
    <row r="86" spans="1:23" s="1" customFormat="1" ht="33" customHeight="1" x14ac:dyDescent="0.25">
      <c r="B86" s="158"/>
      <c r="C86" s="158"/>
      <c r="D86" s="158"/>
      <c r="E86" s="159"/>
      <c r="F86" s="159"/>
      <c r="G86" s="158"/>
      <c r="H86" s="158"/>
      <c r="I86" s="158"/>
      <c r="J86" s="158"/>
      <c r="K86" s="158"/>
      <c r="L86" s="158"/>
      <c r="M86" s="158"/>
      <c r="N86" s="158"/>
      <c r="O86" s="160"/>
      <c r="P86" s="161"/>
      <c r="Q86" s="161"/>
      <c r="R86" s="160"/>
      <c r="S86" s="153"/>
      <c r="T86" s="152"/>
      <c r="U86" s="152"/>
    </row>
    <row r="87" spans="1:23" ht="39.6" customHeight="1" x14ac:dyDescent="0.25">
      <c r="F87" s="4"/>
      <c r="G87" s="4"/>
      <c r="H87" s="4"/>
      <c r="I87" s="4"/>
      <c r="J87" s="4"/>
      <c r="K87" s="4"/>
      <c r="L87" s="4"/>
      <c r="M87" s="4"/>
      <c r="N87" s="155"/>
      <c r="O87" s="155"/>
      <c r="P87" s="155"/>
      <c r="Q87" s="155"/>
      <c r="R87" s="155"/>
      <c r="S87" s="155"/>
      <c r="T87" s="156"/>
      <c r="U87" s="157"/>
    </row>
    <row r="88" spans="1:23" x14ac:dyDescent="0.25">
      <c r="N88" s="157"/>
      <c r="O88" s="157"/>
      <c r="P88" s="157"/>
      <c r="Q88" s="157"/>
      <c r="R88" s="157"/>
      <c r="S88" s="157"/>
      <c r="T88" s="156"/>
      <c r="U88" s="157"/>
    </row>
    <row r="89" spans="1:23" x14ac:dyDescent="0.25">
      <c r="N89" s="157"/>
      <c r="O89" s="157"/>
      <c r="P89" s="157"/>
      <c r="Q89" s="157"/>
      <c r="R89" s="157"/>
      <c r="S89" s="157"/>
      <c r="T89" s="156"/>
      <c r="U89" s="157"/>
    </row>
    <row r="90" spans="1:23" x14ac:dyDescent="0.25">
      <c r="P90" s="4"/>
      <c r="R90" s="4"/>
    </row>
    <row r="91" spans="1:23" ht="33" customHeight="1" x14ac:dyDescent="0.25">
      <c r="P91" s="9"/>
      <c r="Q91" s="9"/>
    </row>
    <row r="92" spans="1:23" ht="18.75" x14ac:dyDescent="0.25">
      <c r="P92" s="9"/>
      <c r="Q92" s="9"/>
      <c r="R92" s="4"/>
    </row>
    <row r="94" spans="1:23" x14ac:dyDescent="0.25">
      <c r="R94" s="4"/>
    </row>
  </sheetData>
  <mergeCells count="54">
    <mergeCell ref="A53:S53"/>
    <mergeCell ref="A54:A55"/>
    <mergeCell ref="B54:B55"/>
    <mergeCell ref="A49:S49"/>
    <mergeCell ref="A46:C46"/>
    <mergeCell ref="A52:D52"/>
    <mergeCell ref="B85:O85"/>
    <mergeCell ref="A56:A57"/>
    <mergeCell ref="B56:B57"/>
    <mergeCell ref="A63:A64"/>
    <mergeCell ref="B63:B64"/>
    <mergeCell ref="A74:S74"/>
    <mergeCell ref="A58:A59"/>
    <mergeCell ref="B58:B59"/>
    <mergeCell ref="A61:A62"/>
    <mergeCell ref="B61:B62"/>
    <mergeCell ref="A81:D81"/>
    <mergeCell ref="A80:D80"/>
    <mergeCell ref="B82:B84"/>
    <mergeCell ref="A70:D70"/>
    <mergeCell ref="B71:B73"/>
    <mergeCell ref="J12:N12"/>
    <mergeCell ref="O12:S12"/>
    <mergeCell ref="D21:D22"/>
    <mergeCell ref="A39:S39"/>
    <mergeCell ref="D34:D35"/>
    <mergeCell ref="A34:A35"/>
    <mergeCell ref="A36:D36"/>
    <mergeCell ref="A25:D25"/>
    <mergeCell ref="B37:B38"/>
    <mergeCell ref="B34:B35"/>
    <mergeCell ref="A32:A33"/>
    <mergeCell ref="B32:B33"/>
    <mergeCell ref="H1:S1"/>
    <mergeCell ref="H2:S2"/>
    <mergeCell ref="H3:S3"/>
    <mergeCell ref="H4:S4"/>
    <mergeCell ref="H5:S5"/>
    <mergeCell ref="B7:S7"/>
    <mergeCell ref="A28:S28"/>
    <mergeCell ref="A30:A31"/>
    <mergeCell ref="B30:B31"/>
    <mergeCell ref="A15:S15"/>
    <mergeCell ref="A16:S16"/>
    <mergeCell ref="A21:A22"/>
    <mergeCell ref="B21:B22"/>
    <mergeCell ref="A11:A13"/>
    <mergeCell ref="B11:B13"/>
    <mergeCell ref="C11:C13"/>
    <mergeCell ref="D11:D13"/>
    <mergeCell ref="E11:S11"/>
    <mergeCell ref="P9:S9"/>
    <mergeCell ref="B26:B27"/>
    <mergeCell ref="E12:I12"/>
  </mergeCells>
  <hyperlinks>
    <hyperlink ref="A25" location="P32" display="P32"/>
  </hyperlinks>
  <printOptions horizontalCentered="1"/>
  <pageMargins left="0.15748031496062992" right="0.15748031496062992" top="0.98425196850393704" bottom="0.35433070866141736" header="0.31496062992125984" footer="0.31496062992125984"/>
  <pageSetup paperSize="9" scale="65" firstPageNumber="7" orientation="landscape" useFirstPageNumber="1" r:id="rId1"/>
  <headerFooter differentFirst="1">
    <oddHeader>&amp;C&amp;10&amp;P</oddHeader>
    <firstHeader>&amp;C&amp;P&amp;R&amp;"Times New Roman,обычный"Приложение 1 
к постановлению администрации
 городского округа Тольятти
от____________№_________</firstHeader>
  </headerFooter>
  <rowBreaks count="6" manualBreakCount="6">
    <brk id="20" max="18" man="1"/>
    <brk id="33" max="18" man="1"/>
    <brk id="47" max="18" man="1"/>
    <brk id="60" max="18" man="1"/>
    <brk id="73" max="18" man="1"/>
    <brk id="87" max="3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84"/>
  <sheetViews>
    <sheetView topLeftCell="A64" zoomScale="60" zoomScaleNormal="60" workbookViewId="0">
      <selection activeCell="F80" sqref="F80"/>
    </sheetView>
  </sheetViews>
  <sheetFormatPr defaultColWidth="9.140625" defaultRowHeight="15.75" x14ac:dyDescent="0.25"/>
  <cols>
    <col min="1" max="1" width="6.28515625" style="2" customWidth="1"/>
    <col min="2" max="2" width="42" style="2" customWidth="1"/>
    <col min="3" max="3" width="14.85546875" style="2" customWidth="1"/>
    <col min="4" max="4" width="7.7109375" style="2" customWidth="1"/>
    <col min="5" max="5" width="11.140625" style="2" customWidth="1"/>
    <col min="6" max="6" width="11.85546875" style="2" customWidth="1"/>
    <col min="7" max="7" width="7.140625" style="2" customWidth="1"/>
    <col min="8" max="8" width="7.5703125" style="2" customWidth="1"/>
    <col min="9" max="9" width="7.7109375" style="2" customWidth="1"/>
    <col min="10" max="10" width="11.7109375" style="2" bestFit="1" customWidth="1"/>
    <col min="11" max="11" width="11.7109375" style="2" customWidth="1"/>
    <col min="12" max="12" width="8.42578125" style="2" customWidth="1"/>
    <col min="13" max="13" width="6.7109375" style="2" customWidth="1"/>
    <col min="14" max="14" width="8.140625" style="2" customWidth="1"/>
    <col min="15" max="15" width="10.85546875" style="2" customWidth="1"/>
    <col min="16" max="16" width="13" style="2" bestFit="1" customWidth="1"/>
    <col min="17" max="17" width="7.5703125" style="2" customWidth="1"/>
    <col min="18" max="18" width="7.140625" style="2" customWidth="1"/>
    <col min="19" max="19" width="9.140625" style="2" customWidth="1"/>
    <col min="20" max="20" width="12.28515625" style="6" bestFit="1" customWidth="1"/>
    <col min="21" max="21" width="14.42578125" style="2" bestFit="1" customWidth="1"/>
    <col min="22" max="23" width="14" style="2" bestFit="1" customWidth="1"/>
    <col min="24" max="16384" width="9.140625" style="2"/>
  </cols>
  <sheetData>
    <row r="1" spans="1:21" ht="21.75" customHeight="1" x14ac:dyDescent="0.25">
      <c r="P1" s="219" t="s">
        <v>125</v>
      </c>
      <c r="Q1" s="219"/>
      <c r="R1" s="219"/>
      <c r="S1" s="219"/>
    </row>
    <row r="2" spans="1:21" ht="18" customHeight="1" thickBot="1" x14ac:dyDescent="0.3"/>
    <row r="3" spans="1:21" s="10" customFormat="1" ht="28.5" customHeight="1" thickBot="1" x14ac:dyDescent="0.3">
      <c r="A3" s="229" t="s">
        <v>109</v>
      </c>
      <c r="B3" s="172" t="s">
        <v>0</v>
      </c>
      <c r="C3" s="183" t="s">
        <v>1</v>
      </c>
      <c r="D3" s="187" t="s">
        <v>2</v>
      </c>
      <c r="E3" s="236" t="s">
        <v>3</v>
      </c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8"/>
      <c r="T3" s="21"/>
    </row>
    <row r="4" spans="1:21" s="10" customFormat="1" ht="23.25" customHeight="1" x14ac:dyDescent="0.25">
      <c r="A4" s="230"/>
      <c r="B4" s="173"/>
      <c r="C4" s="232"/>
      <c r="D4" s="234"/>
      <c r="E4" s="223" t="s">
        <v>26</v>
      </c>
      <c r="F4" s="224"/>
      <c r="G4" s="224"/>
      <c r="H4" s="224"/>
      <c r="I4" s="225"/>
      <c r="J4" s="239" t="s">
        <v>27</v>
      </c>
      <c r="K4" s="224"/>
      <c r="L4" s="224"/>
      <c r="M4" s="224"/>
      <c r="N4" s="240"/>
      <c r="O4" s="223" t="s">
        <v>28</v>
      </c>
      <c r="P4" s="224"/>
      <c r="Q4" s="224"/>
      <c r="R4" s="224"/>
      <c r="S4" s="225"/>
      <c r="T4" s="21"/>
    </row>
    <row r="5" spans="1:21" s="10" customFormat="1" ht="90" customHeight="1" thickBot="1" x14ac:dyDescent="0.3">
      <c r="A5" s="231"/>
      <c r="B5" s="174"/>
      <c r="C5" s="233"/>
      <c r="D5" s="235"/>
      <c r="E5" s="54" t="s">
        <v>4</v>
      </c>
      <c r="F5" s="38" t="s">
        <v>5</v>
      </c>
      <c r="G5" s="38" t="s">
        <v>6</v>
      </c>
      <c r="H5" s="38" t="s">
        <v>7</v>
      </c>
      <c r="I5" s="39" t="s">
        <v>8</v>
      </c>
      <c r="J5" s="50" t="s">
        <v>4</v>
      </c>
      <c r="K5" s="38" t="s">
        <v>5</v>
      </c>
      <c r="L5" s="38" t="s">
        <v>6</v>
      </c>
      <c r="M5" s="38" t="s">
        <v>7</v>
      </c>
      <c r="N5" s="52" t="s">
        <v>8</v>
      </c>
      <c r="O5" s="54" t="s">
        <v>4</v>
      </c>
      <c r="P5" s="38" t="s">
        <v>5</v>
      </c>
      <c r="Q5" s="38" t="s">
        <v>6</v>
      </c>
      <c r="R5" s="38" t="s">
        <v>7</v>
      </c>
      <c r="S5" s="39" t="s">
        <v>8</v>
      </c>
      <c r="T5" s="21"/>
    </row>
    <row r="6" spans="1:21" s="10" customFormat="1" ht="15.75" customHeight="1" thickBot="1" x14ac:dyDescent="0.3">
      <c r="A6" s="45">
        <v>1</v>
      </c>
      <c r="B6" s="47">
        <v>2</v>
      </c>
      <c r="C6" s="40">
        <v>3</v>
      </c>
      <c r="D6" s="42">
        <v>4</v>
      </c>
      <c r="E6" s="40">
        <v>5</v>
      </c>
      <c r="F6" s="41">
        <v>6</v>
      </c>
      <c r="G6" s="41">
        <v>7</v>
      </c>
      <c r="H6" s="41">
        <v>8</v>
      </c>
      <c r="I6" s="42">
        <v>9</v>
      </c>
      <c r="J6" s="46">
        <v>10</v>
      </c>
      <c r="K6" s="41">
        <v>11</v>
      </c>
      <c r="L6" s="41">
        <v>12</v>
      </c>
      <c r="M6" s="41">
        <v>13</v>
      </c>
      <c r="N6" s="53">
        <v>14</v>
      </c>
      <c r="O6" s="40">
        <v>15</v>
      </c>
      <c r="P6" s="41">
        <v>16</v>
      </c>
      <c r="Q6" s="41">
        <v>17</v>
      </c>
      <c r="R6" s="41">
        <v>18</v>
      </c>
      <c r="S6" s="42">
        <v>19</v>
      </c>
      <c r="T6" s="21"/>
    </row>
    <row r="7" spans="1:21" s="10" customFormat="1" ht="36.75" customHeight="1" thickBot="1" x14ac:dyDescent="0.3">
      <c r="A7" s="226" t="s">
        <v>42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8"/>
      <c r="T7" s="21"/>
    </row>
    <row r="8" spans="1:21" s="10" customFormat="1" ht="21" customHeight="1" thickBot="1" x14ac:dyDescent="0.3">
      <c r="A8" s="164" t="s">
        <v>20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6"/>
      <c r="T8" s="21"/>
    </row>
    <row r="9" spans="1:21" s="10" customFormat="1" ht="174.75" customHeight="1" x14ac:dyDescent="0.25">
      <c r="A9" s="93" t="s">
        <v>14</v>
      </c>
      <c r="B9" s="99" t="s">
        <v>115</v>
      </c>
      <c r="C9" s="96" t="s">
        <v>9</v>
      </c>
      <c r="D9" s="59" t="s">
        <v>108</v>
      </c>
      <c r="E9" s="68">
        <f t="shared" ref="E9:E16" si="0">F9+G9+H9+I9</f>
        <v>7037</v>
      </c>
      <c r="F9" s="69">
        <f>7037</f>
        <v>7037</v>
      </c>
      <c r="G9" s="69">
        <v>0</v>
      </c>
      <c r="H9" s="69">
        <v>0</v>
      </c>
      <c r="I9" s="70">
        <v>0</v>
      </c>
      <c r="J9" s="64">
        <f>K9+L9+M9+N9</f>
        <v>7216</v>
      </c>
      <c r="K9" s="43">
        <v>7216</v>
      </c>
      <c r="L9" s="43">
        <v>0</v>
      </c>
      <c r="M9" s="43">
        <v>0</v>
      </c>
      <c r="N9" s="78">
        <v>0</v>
      </c>
      <c r="O9" s="68">
        <f>P9+Q9+R9+S9</f>
        <v>7805</v>
      </c>
      <c r="P9" s="69">
        <v>7805</v>
      </c>
      <c r="Q9" s="69">
        <v>0</v>
      </c>
      <c r="R9" s="69">
        <v>0</v>
      </c>
      <c r="S9" s="70">
        <v>0</v>
      </c>
      <c r="T9" s="21"/>
    </row>
    <row r="10" spans="1:21" s="10" customFormat="1" ht="66.599999999999994" customHeight="1" x14ac:dyDescent="0.25">
      <c r="A10" s="94" t="s">
        <v>66</v>
      </c>
      <c r="B10" s="100" t="s">
        <v>116</v>
      </c>
      <c r="C10" s="97" t="s">
        <v>9</v>
      </c>
      <c r="D10" s="60" t="s">
        <v>44</v>
      </c>
      <c r="E10" s="71">
        <f t="shared" si="0"/>
        <v>83005</v>
      </c>
      <c r="F10" s="3">
        <f>69900+13105</f>
        <v>83005</v>
      </c>
      <c r="G10" s="3">
        <v>0</v>
      </c>
      <c r="H10" s="3">
        <v>0</v>
      </c>
      <c r="I10" s="33">
        <v>0</v>
      </c>
      <c r="J10" s="65">
        <f>K10+L10+M10+N10</f>
        <v>80015</v>
      </c>
      <c r="K10" s="3">
        <f>66386+13629</f>
        <v>80015</v>
      </c>
      <c r="L10" s="3">
        <v>0</v>
      </c>
      <c r="M10" s="3">
        <v>0</v>
      </c>
      <c r="N10" s="79">
        <v>0</v>
      </c>
      <c r="O10" s="71">
        <f>P10+Q10+R10+S10</f>
        <v>77406</v>
      </c>
      <c r="P10" s="3">
        <f>63231+14175</f>
        <v>77406</v>
      </c>
      <c r="Q10" s="3">
        <v>0</v>
      </c>
      <c r="R10" s="3">
        <v>0</v>
      </c>
      <c r="S10" s="33">
        <v>0</v>
      </c>
      <c r="T10" s="22"/>
      <c r="U10" s="11"/>
    </row>
    <row r="11" spans="1:21" s="10" customFormat="1" ht="54" customHeight="1" x14ac:dyDescent="0.25">
      <c r="A11" s="94" t="s">
        <v>15</v>
      </c>
      <c r="B11" s="100" t="s">
        <v>35</v>
      </c>
      <c r="C11" s="97" t="s">
        <v>9</v>
      </c>
      <c r="D11" s="60" t="s">
        <v>61</v>
      </c>
      <c r="E11" s="71">
        <f t="shared" si="0"/>
        <v>94496</v>
      </c>
      <c r="F11" s="3">
        <v>94496</v>
      </c>
      <c r="G11" s="3">
        <v>0</v>
      </c>
      <c r="H11" s="3">
        <v>0</v>
      </c>
      <c r="I11" s="33">
        <v>0</v>
      </c>
      <c r="J11" s="65">
        <f>K11</f>
        <v>100702</v>
      </c>
      <c r="K11" s="3">
        <v>100702</v>
      </c>
      <c r="L11" s="3">
        <v>0</v>
      </c>
      <c r="M11" s="3">
        <v>0</v>
      </c>
      <c r="N11" s="79">
        <v>0</v>
      </c>
      <c r="O11" s="71">
        <f>P11+Q11+R11+S11</f>
        <v>110484</v>
      </c>
      <c r="P11" s="3">
        <v>110484</v>
      </c>
      <c r="Q11" s="3">
        <v>0</v>
      </c>
      <c r="R11" s="3">
        <v>0</v>
      </c>
      <c r="S11" s="33">
        <v>0</v>
      </c>
      <c r="T11" s="23"/>
      <c r="U11" s="11"/>
    </row>
    <row r="12" spans="1:21" s="10" customFormat="1" ht="45.6" customHeight="1" x14ac:dyDescent="0.25">
      <c r="A12" s="94" t="s">
        <v>16</v>
      </c>
      <c r="B12" s="100" t="s">
        <v>74</v>
      </c>
      <c r="C12" s="97" t="s">
        <v>9</v>
      </c>
      <c r="D12" s="60" t="s">
        <v>43</v>
      </c>
      <c r="E12" s="71">
        <f t="shared" si="0"/>
        <v>181485</v>
      </c>
      <c r="F12" s="3">
        <f>35640+145845</f>
        <v>181485</v>
      </c>
      <c r="G12" s="3">
        <v>0</v>
      </c>
      <c r="H12" s="3">
        <v>0</v>
      </c>
      <c r="I12" s="33">
        <v>0</v>
      </c>
      <c r="J12" s="65">
        <f>K12+L12+M12+N12</f>
        <v>193040</v>
      </c>
      <c r="K12" s="3">
        <f>155975+37065</f>
        <v>193040</v>
      </c>
      <c r="L12" s="3">
        <v>0</v>
      </c>
      <c r="M12" s="3">
        <v>0</v>
      </c>
      <c r="N12" s="79">
        <v>0</v>
      </c>
      <c r="O12" s="71">
        <f>P12+Q12+R12+S12</f>
        <v>192651</v>
      </c>
      <c r="P12" s="3">
        <f>38548+154103</f>
        <v>192651</v>
      </c>
      <c r="Q12" s="3">
        <v>0</v>
      </c>
      <c r="R12" s="3">
        <v>0</v>
      </c>
      <c r="S12" s="33">
        <v>0</v>
      </c>
      <c r="T12" s="21"/>
    </row>
    <row r="13" spans="1:21" s="10" customFormat="1" ht="36" customHeight="1" x14ac:dyDescent="0.25">
      <c r="A13" s="167" t="s">
        <v>85</v>
      </c>
      <c r="B13" s="168" t="s">
        <v>63</v>
      </c>
      <c r="C13" s="97" t="s">
        <v>9</v>
      </c>
      <c r="D13" s="188" t="s">
        <v>44</v>
      </c>
      <c r="E13" s="71">
        <f>F13+G13+H13+I13</f>
        <v>3781</v>
      </c>
      <c r="F13" s="3">
        <v>3781</v>
      </c>
      <c r="G13" s="3">
        <v>0</v>
      </c>
      <c r="H13" s="3">
        <v>0</v>
      </c>
      <c r="I13" s="33">
        <v>0</v>
      </c>
      <c r="J13" s="65">
        <f>K13+L13+M13+N13</f>
        <v>3932</v>
      </c>
      <c r="K13" s="3">
        <v>3932</v>
      </c>
      <c r="L13" s="3">
        <v>0</v>
      </c>
      <c r="M13" s="3">
        <v>0</v>
      </c>
      <c r="N13" s="79">
        <v>0</v>
      </c>
      <c r="O13" s="71">
        <f>P13+Q13+R13+S13</f>
        <v>4089</v>
      </c>
      <c r="P13" s="3">
        <v>4089</v>
      </c>
      <c r="Q13" s="3">
        <v>0</v>
      </c>
      <c r="R13" s="3">
        <v>0</v>
      </c>
      <c r="S13" s="33">
        <v>0</v>
      </c>
      <c r="T13" s="21"/>
    </row>
    <row r="14" spans="1:21" s="10" customFormat="1" ht="46.5" customHeight="1" x14ac:dyDescent="0.25">
      <c r="A14" s="167"/>
      <c r="B14" s="168"/>
      <c r="C14" s="97" t="s">
        <v>57</v>
      </c>
      <c r="D14" s="188"/>
      <c r="E14" s="71">
        <f t="shared" ref="E14" si="1">F14+G14+H14+I14</f>
        <v>1023</v>
      </c>
      <c r="F14" s="3">
        <v>1023</v>
      </c>
      <c r="G14" s="3">
        <v>0</v>
      </c>
      <c r="H14" s="3">
        <v>0</v>
      </c>
      <c r="I14" s="33">
        <v>0</v>
      </c>
      <c r="J14" s="65">
        <f t="shared" ref="J14" si="2">K14+L14+M14+N14</f>
        <v>1064</v>
      </c>
      <c r="K14" s="3">
        <v>1064</v>
      </c>
      <c r="L14" s="3">
        <v>0</v>
      </c>
      <c r="M14" s="3">
        <v>0</v>
      </c>
      <c r="N14" s="79">
        <v>0</v>
      </c>
      <c r="O14" s="71">
        <f t="shared" ref="O14" si="3">P14+Q14+R14+S14</f>
        <v>1107</v>
      </c>
      <c r="P14" s="3">
        <v>1107</v>
      </c>
      <c r="Q14" s="3">
        <v>0</v>
      </c>
      <c r="R14" s="3">
        <v>0</v>
      </c>
      <c r="S14" s="33">
        <v>0</v>
      </c>
      <c r="T14" s="21"/>
    </row>
    <row r="15" spans="1:21" s="10" customFormat="1" ht="54" customHeight="1" x14ac:dyDescent="0.25">
      <c r="A15" s="94" t="s">
        <v>64</v>
      </c>
      <c r="B15" s="100" t="s">
        <v>75</v>
      </c>
      <c r="C15" s="97" t="s">
        <v>9</v>
      </c>
      <c r="D15" s="60" t="s">
        <v>44</v>
      </c>
      <c r="E15" s="71">
        <f t="shared" si="0"/>
        <v>47142</v>
      </c>
      <c r="F15" s="3">
        <f>47142</f>
        <v>47142</v>
      </c>
      <c r="G15" s="3">
        <v>0</v>
      </c>
      <c r="H15" s="3">
        <v>0</v>
      </c>
      <c r="I15" s="33">
        <v>0</v>
      </c>
      <c r="J15" s="65">
        <f>K15+L15+M15+N15</f>
        <v>55163</v>
      </c>
      <c r="K15" s="3">
        <f>55163</f>
        <v>55163</v>
      </c>
      <c r="L15" s="3">
        <v>0</v>
      </c>
      <c r="M15" s="3">
        <v>0</v>
      </c>
      <c r="N15" s="79">
        <v>0</v>
      </c>
      <c r="O15" s="71">
        <f>P15+Q15+R15+S15</f>
        <v>55437</v>
      </c>
      <c r="P15" s="3">
        <f>55437</f>
        <v>55437</v>
      </c>
      <c r="Q15" s="3">
        <v>0</v>
      </c>
      <c r="R15" s="3">
        <v>0</v>
      </c>
      <c r="S15" s="33">
        <v>0</v>
      </c>
      <c r="T15" s="21"/>
    </row>
    <row r="16" spans="1:21" s="10" customFormat="1" ht="54" customHeight="1" thickBot="1" x14ac:dyDescent="0.3">
      <c r="A16" s="95" t="s">
        <v>65</v>
      </c>
      <c r="B16" s="110" t="s">
        <v>107</v>
      </c>
      <c r="C16" s="98" t="s">
        <v>9</v>
      </c>
      <c r="D16" s="61" t="s">
        <v>44</v>
      </c>
      <c r="E16" s="72">
        <f t="shared" si="0"/>
        <v>54124</v>
      </c>
      <c r="F16" s="55">
        <v>52500</v>
      </c>
      <c r="G16" s="55">
        <v>0</v>
      </c>
      <c r="H16" s="55">
        <v>0</v>
      </c>
      <c r="I16" s="56">
        <v>1624</v>
      </c>
      <c r="J16" s="66">
        <f>K16+L16+M16+N16</f>
        <v>54124</v>
      </c>
      <c r="K16" s="55">
        <v>52500</v>
      </c>
      <c r="L16" s="55">
        <v>0</v>
      </c>
      <c r="M16" s="55">
        <v>0</v>
      </c>
      <c r="N16" s="80">
        <v>1624</v>
      </c>
      <c r="O16" s="72">
        <f>P16+S16</f>
        <v>54124</v>
      </c>
      <c r="P16" s="55">
        <v>52500</v>
      </c>
      <c r="Q16" s="55">
        <v>0</v>
      </c>
      <c r="R16" s="55">
        <v>0</v>
      </c>
      <c r="S16" s="56">
        <v>1624</v>
      </c>
      <c r="T16" s="24"/>
    </row>
    <row r="17" spans="1:21" s="13" customFormat="1" ht="35.25" customHeight="1" thickBot="1" x14ac:dyDescent="0.3">
      <c r="A17" s="220" t="s">
        <v>10</v>
      </c>
      <c r="B17" s="221"/>
      <c r="C17" s="221"/>
      <c r="D17" s="222"/>
      <c r="E17" s="73">
        <f>F17+I17</f>
        <v>472093</v>
      </c>
      <c r="F17" s="57">
        <f>SUM(F9:F16)</f>
        <v>470469</v>
      </c>
      <c r="G17" s="57">
        <f>SUM(G9:G16)</f>
        <v>0</v>
      </c>
      <c r="H17" s="57">
        <f>SUM(H9:H16)</f>
        <v>0</v>
      </c>
      <c r="I17" s="58">
        <f>SUM(I9:I16)</f>
        <v>1624</v>
      </c>
      <c r="J17" s="67">
        <f>K17+N17</f>
        <v>495256</v>
      </c>
      <c r="K17" s="57">
        <f>SUM(K9:K16)</f>
        <v>493632</v>
      </c>
      <c r="L17" s="57">
        <f>SUM(L9:L16)</f>
        <v>0</v>
      </c>
      <c r="M17" s="57">
        <f>SUM(M9:M16)</f>
        <v>0</v>
      </c>
      <c r="N17" s="81">
        <f>SUM(N9:N16)</f>
        <v>1624</v>
      </c>
      <c r="O17" s="73">
        <f>P17+S17</f>
        <v>503103</v>
      </c>
      <c r="P17" s="57">
        <f>SUM(P9:P16)</f>
        <v>501479</v>
      </c>
      <c r="Q17" s="57">
        <f>SUM(Q9:Q16)</f>
        <v>0</v>
      </c>
      <c r="R17" s="57">
        <f>SUM(R9:R16)</f>
        <v>0</v>
      </c>
      <c r="S17" s="58">
        <f>SUM(S9:S16)</f>
        <v>1624</v>
      </c>
      <c r="T17" s="25"/>
      <c r="U17" s="12"/>
    </row>
    <row r="18" spans="1:21" s="10" customFormat="1" ht="32.450000000000003" customHeight="1" x14ac:dyDescent="0.25">
      <c r="A18" s="102"/>
      <c r="B18" s="105" t="s">
        <v>55</v>
      </c>
      <c r="C18" s="104" t="s">
        <v>9</v>
      </c>
      <c r="D18" s="85"/>
      <c r="E18" s="68">
        <f t="shared" ref="E18:E19" si="4">F18+G18+H18+I18</f>
        <v>471070</v>
      </c>
      <c r="F18" s="69">
        <f>F9+F10+F12+F15+F16+F13+F11</f>
        <v>469446</v>
      </c>
      <c r="G18" s="69">
        <f>G9+G10</f>
        <v>0</v>
      </c>
      <c r="H18" s="69">
        <f>H9+H10</f>
        <v>0</v>
      </c>
      <c r="I18" s="70">
        <f>I17</f>
        <v>1624</v>
      </c>
      <c r="J18" s="86">
        <f t="shared" ref="J18:J19" si="5">K18+L18+M18+N18</f>
        <v>494192</v>
      </c>
      <c r="K18" s="69">
        <f>K9+K10+K12+K15+K16+K13+K11</f>
        <v>492568</v>
      </c>
      <c r="L18" s="69">
        <f>L9+L10</f>
        <v>0</v>
      </c>
      <c r="M18" s="69">
        <f>M9+M10</f>
        <v>0</v>
      </c>
      <c r="N18" s="87">
        <f>N17</f>
        <v>1624</v>
      </c>
      <c r="O18" s="68">
        <f>P18+Q18+R18+S18</f>
        <v>501996</v>
      </c>
      <c r="P18" s="69">
        <f>P9+P10+P12+P15+P16+P13+P11</f>
        <v>500372</v>
      </c>
      <c r="Q18" s="69">
        <f>Q9+Q10</f>
        <v>0</v>
      </c>
      <c r="R18" s="69">
        <f>R9+R10</f>
        <v>0</v>
      </c>
      <c r="S18" s="70">
        <f>S17</f>
        <v>1624</v>
      </c>
      <c r="T18" s="26"/>
      <c r="U18" s="14"/>
    </row>
    <row r="19" spans="1:21" s="10" customFormat="1" ht="51.6" customHeight="1" thickBot="1" x14ac:dyDescent="0.3">
      <c r="A19" s="103"/>
      <c r="B19" s="106"/>
      <c r="C19" s="49" t="s">
        <v>57</v>
      </c>
      <c r="D19" s="90"/>
      <c r="E19" s="75">
        <f t="shared" si="4"/>
        <v>1023</v>
      </c>
      <c r="F19" s="76">
        <f>F14</f>
        <v>1023</v>
      </c>
      <c r="G19" s="76">
        <f>G11</f>
        <v>0</v>
      </c>
      <c r="H19" s="76">
        <f>H11</f>
        <v>0</v>
      </c>
      <c r="I19" s="77">
        <f>I11</f>
        <v>0</v>
      </c>
      <c r="J19" s="91">
        <f t="shared" si="5"/>
        <v>1064</v>
      </c>
      <c r="K19" s="76">
        <f>K14</f>
        <v>1064</v>
      </c>
      <c r="L19" s="76">
        <f>L11</f>
        <v>0</v>
      </c>
      <c r="M19" s="76">
        <f>M11</f>
        <v>0</v>
      </c>
      <c r="N19" s="92">
        <f>N11</f>
        <v>0</v>
      </c>
      <c r="O19" s="75">
        <f>P19+Q19+R19+S19</f>
        <v>1107</v>
      </c>
      <c r="P19" s="76">
        <f>P14</f>
        <v>1107</v>
      </c>
      <c r="Q19" s="76">
        <f>Q11</f>
        <v>0</v>
      </c>
      <c r="R19" s="76">
        <f>R11</f>
        <v>0</v>
      </c>
      <c r="S19" s="77">
        <f>S11</f>
        <v>0</v>
      </c>
      <c r="T19" s="26"/>
    </row>
    <row r="20" spans="1:21" s="10" customFormat="1" ht="30" customHeight="1" thickBot="1" x14ac:dyDescent="0.3">
      <c r="A20" s="164" t="s">
        <v>77</v>
      </c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6"/>
      <c r="T20" s="24"/>
    </row>
    <row r="21" spans="1:21" s="10" customFormat="1" ht="66" customHeight="1" x14ac:dyDescent="0.25">
      <c r="A21" s="93" t="s">
        <v>17</v>
      </c>
      <c r="B21" s="99" t="s">
        <v>76</v>
      </c>
      <c r="C21" s="96" t="s">
        <v>9</v>
      </c>
      <c r="D21" s="59" t="s">
        <v>44</v>
      </c>
      <c r="E21" s="68">
        <f t="shared" ref="E21:E30" si="6">F21+G21+H21+I21</f>
        <v>31144</v>
      </c>
      <c r="F21" s="69">
        <f>80312-49168</f>
        <v>31144</v>
      </c>
      <c r="G21" s="69">
        <v>0</v>
      </c>
      <c r="H21" s="69">
        <v>0</v>
      </c>
      <c r="I21" s="70">
        <v>0</v>
      </c>
      <c r="J21" s="64">
        <f t="shared" ref="J21:J30" si="7">K21+L21+M21+N21</f>
        <v>64565</v>
      </c>
      <c r="K21" s="43">
        <v>64565</v>
      </c>
      <c r="L21" s="43">
        <v>0</v>
      </c>
      <c r="M21" s="43">
        <v>0</v>
      </c>
      <c r="N21" s="78">
        <v>0</v>
      </c>
      <c r="O21" s="68">
        <f>P21</f>
        <v>39490</v>
      </c>
      <c r="P21" s="69">
        <v>39490</v>
      </c>
      <c r="Q21" s="69">
        <v>0</v>
      </c>
      <c r="R21" s="69">
        <v>0</v>
      </c>
      <c r="S21" s="70">
        <v>0</v>
      </c>
      <c r="T21" s="21"/>
    </row>
    <row r="22" spans="1:21" s="10" customFormat="1" ht="49.15" customHeight="1" x14ac:dyDescent="0.25">
      <c r="A22" s="167" t="s">
        <v>86</v>
      </c>
      <c r="B22" s="168" t="s">
        <v>87</v>
      </c>
      <c r="C22" s="97" t="s">
        <v>9</v>
      </c>
      <c r="D22" s="107" t="s">
        <v>44</v>
      </c>
      <c r="E22" s="71">
        <f t="shared" si="6"/>
        <v>3137</v>
      </c>
      <c r="F22" s="3">
        <v>3137</v>
      </c>
      <c r="G22" s="3">
        <v>0</v>
      </c>
      <c r="H22" s="3">
        <v>0</v>
      </c>
      <c r="I22" s="33">
        <v>0</v>
      </c>
      <c r="J22" s="65">
        <f t="shared" si="7"/>
        <v>3262</v>
      </c>
      <c r="K22" s="3">
        <v>3262</v>
      </c>
      <c r="L22" s="3">
        <v>0</v>
      </c>
      <c r="M22" s="3">
        <v>0</v>
      </c>
      <c r="N22" s="79">
        <v>0</v>
      </c>
      <c r="O22" s="71">
        <f t="shared" ref="O22:O30" si="8">P22+Q22+R22+S22</f>
        <v>3393</v>
      </c>
      <c r="P22" s="3">
        <v>3393</v>
      </c>
      <c r="Q22" s="3">
        <v>0</v>
      </c>
      <c r="R22" s="3">
        <v>0</v>
      </c>
      <c r="S22" s="33">
        <v>0</v>
      </c>
      <c r="T22" s="21"/>
    </row>
    <row r="23" spans="1:21" s="10" customFormat="1" ht="54" customHeight="1" x14ac:dyDescent="0.25">
      <c r="A23" s="167"/>
      <c r="B23" s="168"/>
      <c r="C23" s="97" t="s">
        <v>57</v>
      </c>
      <c r="D23" s="107" t="s">
        <v>113</v>
      </c>
      <c r="E23" s="71">
        <f t="shared" si="6"/>
        <v>252</v>
      </c>
      <c r="F23" s="3">
        <v>252</v>
      </c>
      <c r="G23" s="3">
        <v>0</v>
      </c>
      <c r="H23" s="3">
        <v>0</v>
      </c>
      <c r="I23" s="33">
        <v>0</v>
      </c>
      <c r="J23" s="65">
        <f t="shared" si="7"/>
        <v>262</v>
      </c>
      <c r="K23" s="3">
        <v>262</v>
      </c>
      <c r="L23" s="3">
        <v>0</v>
      </c>
      <c r="M23" s="3">
        <v>0</v>
      </c>
      <c r="N23" s="79">
        <v>0</v>
      </c>
      <c r="O23" s="71">
        <f t="shared" si="8"/>
        <v>272</v>
      </c>
      <c r="P23" s="3">
        <v>272</v>
      </c>
      <c r="Q23" s="3">
        <v>0</v>
      </c>
      <c r="R23" s="3">
        <v>0</v>
      </c>
      <c r="S23" s="33">
        <v>0</v>
      </c>
      <c r="T23" s="21"/>
    </row>
    <row r="24" spans="1:21" s="10" customFormat="1" ht="39.6" customHeight="1" x14ac:dyDescent="0.25">
      <c r="A24" s="167" t="s">
        <v>89</v>
      </c>
      <c r="B24" s="168" t="s">
        <v>88</v>
      </c>
      <c r="C24" s="97" t="s">
        <v>9</v>
      </c>
      <c r="D24" s="107" t="s">
        <v>44</v>
      </c>
      <c r="E24" s="71">
        <f>F24+G24+H24+I24</f>
        <v>10913</v>
      </c>
      <c r="F24" s="3">
        <v>10913</v>
      </c>
      <c r="G24" s="3">
        <v>0</v>
      </c>
      <c r="H24" s="3">
        <v>0</v>
      </c>
      <c r="I24" s="33">
        <v>0</v>
      </c>
      <c r="J24" s="65">
        <f>K24+L24+M24+N24</f>
        <v>11350</v>
      </c>
      <c r="K24" s="3">
        <v>11350</v>
      </c>
      <c r="L24" s="3">
        <v>0</v>
      </c>
      <c r="M24" s="3">
        <v>0</v>
      </c>
      <c r="N24" s="79">
        <v>0</v>
      </c>
      <c r="O24" s="71">
        <f t="shared" si="8"/>
        <v>11804</v>
      </c>
      <c r="P24" s="3">
        <v>11804</v>
      </c>
      <c r="Q24" s="3">
        <v>0</v>
      </c>
      <c r="R24" s="3">
        <v>0</v>
      </c>
      <c r="S24" s="33">
        <v>0</v>
      </c>
      <c r="T24" s="27"/>
    </row>
    <row r="25" spans="1:21" s="10" customFormat="1" ht="45" customHeight="1" x14ac:dyDescent="0.25">
      <c r="A25" s="167"/>
      <c r="B25" s="168"/>
      <c r="C25" s="97" t="s">
        <v>58</v>
      </c>
      <c r="D25" s="107" t="s">
        <v>44</v>
      </c>
      <c r="E25" s="71">
        <f>F25+G25+H25+I25</f>
        <v>1790</v>
      </c>
      <c r="F25" s="3">
        <v>1790</v>
      </c>
      <c r="G25" s="3">
        <v>0</v>
      </c>
      <c r="H25" s="3">
        <v>0</v>
      </c>
      <c r="I25" s="33">
        <v>0</v>
      </c>
      <c r="J25" s="65">
        <f>K25+L25+M25+N25</f>
        <v>1861</v>
      </c>
      <c r="K25" s="3">
        <v>1861</v>
      </c>
      <c r="L25" s="3">
        <v>0</v>
      </c>
      <c r="M25" s="3">
        <v>0</v>
      </c>
      <c r="N25" s="79">
        <v>0</v>
      </c>
      <c r="O25" s="71">
        <f t="shared" si="8"/>
        <v>1936</v>
      </c>
      <c r="P25" s="3">
        <v>1936</v>
      </c>
      <c r="Q25" s="3">
        <v>0</v>
      </c>
      <c r="R25" s="3">
        <v>0</v>
      </c>
      <c r="S25" s="33">
        <v>0</v>
      </c>
      <c r="T25" s="27"/>
    </row>
    <row r="26" spans="1:21" s="10" customFormat="1" ht="42.75" customHeight="1" x14ac:dyDescent="0.25">
      <c r="A26" s="167" t="s">
        <v>90</v>
      </c>
      <c r="B26" s="168" t="s">
        <v>117</v>
      </c>
      <c r="C26" s="97" t="s">
        <v>58</v>
      </c>
      <c r="D26" s="191" t="s">
        <v>44</v>
      </c>
      <c r="E26" s="71">
        <f>F26+G26+H26+I26</f>
        <v>15277</v>
      </c>
      <c r="F26" s="3">
        <f>32174-16897</f>
        <v>15277</v>
      </c>
      <c r="G26" s="3">
        <v>0</v>
      </c>
      <c r="H26" s="3">
        <v>0</v>
      </c>
      <c r="I26" s="33">
        <v>0</v>
      </c>
      <c r="J26" s="65">
        <f>K26+L26+M26+N26</f>
        <v>15888</v>
      </c>
      <c r="K26" s="3">
        <f>33462-17574</f>
        <v>15888</v>
      </c>
      <c r="L26" s="3">
        <v>0</v>
      </c>
      <c r="M26" s="3">
        <v>0</v>
      </c>
      <c r="N26" s="79">
        <v>0</v>
      </c>
      <c r="O26" s="71">
        <f t="shared" si="8"/>
        <v>16523</v>
      </c>
      <c r="P26" s="3">
        <f>34800-18277</f>
        <v>16523</v>
      </c>
      <c r="Q26" s="3">
        <v>0</v>
      </c>
      <c r="R26" s="3">
        <v>0</v>
      </c>
      <c r="S26" s="33">
        <v>0</v>
      </c>
      <c r="T26" s="27"/>
    </row>
    <row r="27" spans="1:21" s="10" customFormat="1" ht="48.75" customHeight="1" thickBot="1" x14ac:dyDescent="0.3">
      <c r="A27" s="193"/>
      <c r="B27" s="200"/>
      <c r="C27" s="98" t="s">
        <v>9</v>
      </c>
      <c r="D27" s="192"/>
      <c r="E27" s="72">
        <f>F27</f>
        <v>0</v>
      </c>
      <c r="F27" s="55">
        <v>0</v>
      </c>
      <c r="G27" s="55">
        <v>0</v>
      </c>
      <c r="H27" s="55">
        <v>0</v>
      </c>
      <c r="I27" s="56">
        <v>0</v>
      </c>
      <c r="J27" s="66">
        <f>K27</f>
        <v>0</v>
      </c>
      <c r="K27" s="55">
        <v>0</v>
      </c>
      <c r="L27" s="55">
        <v>0</v>
      </c>
      <c r="M27" s="55">
        <v>0</v>
      </c>
      <c r="N27" s="80">
        <v>0</v>
      </c>
      <c r="O27" s="72">
        <f>P27</f>
        <v>0</v>
      </c>
      <c r="P27" s="55">
        <v>0</v>
      </c>
      <c r="Q27" s="55">
        <v>0</v>
      </c>
      <c r="R27" s="55">
        <v>0</v>
      </c>
      <c r="S27" s="56">
        <v>0</v>
      </c>
      <c r="T27" s="27"/>
    </row>
    <row r="28" spans="1:21" s="13" customFormat="1" ht="36" customHeight="1" thickBot="1" x14ac:dyDescent="0.3">
      <c r="A28" s="194" t="s">
        <v>56</v>
      </c>
      <c r="B28" s="195"/>
      <c r="C28" s="195"/>
      <c r="D28" s="195"/>
      <c r="E28" s="73">
        <f t="shared" si="6"/>
        <v>62513</v>
      </c>
      <c r="F28" s="57">
        <f>SUM(F21:F27)</f>
        <v>62513</v>
      </c>
      <c r="G28" s="57">
        <f>SUM(G21:G23)</f>
        <v>0</v>
      </c>
      <c r="H28" s="57">
        <f>SUM(H21:H23)</f>
        <v>0</v>
      </c>
      <c r="I28" s="58">
        <f>SUM(I21:I23)</f>
        <v>0</v>
      </c>
      <c r="J28" s="67">
        <f t="shared" si="7"/>
        <v>97188</v>
      </c>
      <c r="K28" s="57">
        <f>SUM(K21:K27)</f>
        <v>97188</v>
      </c>
      <c r="L28" s="57">
        <f>SUM(L21:L23)</f>
        <v>0</v>
      </c>
      <c r="M28" s="57">
        <f>SUM(M21:M23)</f>
        <v>0</v>
      </c>
      <c r="N28" s="81">
        <f>SUM(N21:N23)</f>
        <v>0</v>
      </c>
      <c r="O28" s="73">
        <f t="shared" si="8"/>
        <v>73418</v>
      </c>
      <c r="P28" s="57">
        <f>SUM(P21:P27)</f>
        <v>73418</v>
      </c>
      <c r="Q28" s="57">
        <f>SUM(Q21:Q23)</f>
        <v>0</v>
      </c>
      <c r="R28" s="57">
        <f>SUM(R21:R23)</f>
        <v>0</v>
      </c>
      <c r="S28" s="58">
        <f>SUM(S21:S23)</f>
        <v>0</v>
      </c>
      <c r="T28" s="28"/>
    </row>
    <row r="29" spans="1:21" s="10" customFormat="1" ht="32.450000000000003" customHeight="1" x14ac:dyDescent="0.25">
      <c r="A29" s="82"/>
      <c r="B29" s="83" t="s">
        <v>55</v>
      </c>
      <c r="C29" s="84" t="s">
        <v>9</v>
      </c>
      <c r="D29" s="85"/>
      <c r="E29" s="68">
        <f t="shared" si="6"/>
        <v>45194</v>
      </c>
      <c r="F29" s="69">
        <f>F21+F22+F24+F27</f>
        <v>45194</v>
      </c>
      <c r="G29" s="69">
        <f>G21+G22</f>
        <v>0</v>
      </c>
      <c r="H29" s="69">
        <f>H21+H22</f>
        <v>0</v>
      </c>
      <c r="I29" s="70">
        <f>I21+I22</f>
        <v>0</v>
      </c>
      <c r="J29" s="86">
        <f t="shared" si="7"/>
        <v>79177</v>
      </c>
      <c r="K29" s="69">
        <f>K21+K22+K24+K27</f>
        <v>79177</v>
      </c>
      <c r="L29" s="69">
        <f>L21+L22</f>
        <v>0</v>
      </c>
      <c r="M29" s="69">
        <f>M21+M22</f>
        <v>0</v>
      </c>
      <c r="N29" s="87">
        <f>N21+N22</f>
        <v>0</v>
      </c>
      <c r="O29" s="68">
        <f t="shared" si="8"/>
        <v>54687</v>
      </c>
      <c r="P29" s="69">
        <f>P21+P22+P24+P27</f>
        <v>54687</v>
      </c>
      <c r="Q29" s="69">
        <f>Q21+Q22</f>
        <v>0</v>
      </c>
      <c r="R29" s="69">
        <f>R21+R22</f>
        <v>0</v>
      </c>
      <c r="S29" s="70">
        <f>S21+S22</f>
        <v>0</v>
      </c>
      <c r="T29" s="26"/>
      <c r="U29" s="14"/>
    </row>
    <row r="30" spans="1:21" s="10" customFormat="1" ht="51.6" customHeight="1" thickBot="1" x14ac:dyDescent="0.3">
      <c r="A30" s="88"/>
      <c r="B30" s="89"/>
      <c r="C30" s="37" t="s">
        <v>57</v>
      </c>
      <c r="D30" s="90"/>
      <c r="E30" s="75">
        <f t="shared" si="6"/>
        <v>17319</v>
      </c>
      <c r="F30" s="76">
        <f>F23+F25+F26</f>
        <v>17319</v>
      </c>
      <c r="G30" s="76">
        <f>G23</f>
        <v>0</v>
      </c>
      <c r="H30" s="76">
        <f>H23</f>
        <v>0</v>
      </c>
      <c r="I30" s="77">
        <f>I23</f>
        <v>0</v>
      </c>
      <c r="J30" s="91">
        <f t="shared" si="7"/>
        <v>18011</v>
      </c>
      <c r="K30" s="76">
        <f>K23+K25+K26</f>
        <v>18011</v>
      </c>
      <c r="L30" s="76">
        <f>L23</f>
        <v>0</v>
      </c>
      <c r="M30" s="76">
        <f>M23</f>
        <v>0</v>
      </c>
      <c r="N30" s="92">
        <f>N23</f>
        <v>0</v>
      </c>
      <c r="O30" s="75">
        <f t="shared" si="8"/>
        <v>18731</v>
      </c>
      <c r="P30" s="76">
        <f>P23+P25+P26</f>
        <v>18731</v>
      </c>
      <c r="Q30" s="76">
        <f>Q23</f>
        <v>0</v>
      </c>
      <c r="R30" s="76">
        <f>R23</f>
        <v>0</v>
      </c>
      <c r="S30" s="77">
        <f>S23</f>
        <v>0</v>
      </c>
      <c r="T30" s="26"/>
    </row>
    <row r="31" spans="1:21" s="10" customFormat="1" ht="38.450000000000003" customHeight="1" thickBot="1" x14ac:dyDescent="0.3">
      <c r="A31" s="164" t="s">
        <v>78</v>
      </c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6"/>
      <c r="T31" s="21"/>
    </row>
    <row r="32" spans="1:21" s="10" customFormat="1" ht="69" customHeight="1" x14ac:dyDescent="0.25">
      <c r="A32" s="93" t="s">
        <v>18</v>
      </c>
      <c r="B32" s="146" t="s">
        <v>73</v>
      </c>
      <c r="C32" s="36" t="s">
        <v>9</v>
      </c>
      <c r="D32" s="59" t="s">
        <v>45</v>
      </c>
      <c r="E32" s="74">
        <f t="shared" ref="E32:E40" si="9">F32+G32+H32+I32</f>
        <v>10102</v>
      </c>
      <c r="F32" s="43">
        <v>10102</v>
      </c>
      <c r="G32" s="43">
        <v>0</v>
      </c>
      <c r="H32" s="43">
        <v>0</v>
      </c>
      <c r="I32" s="44">
        <v>0</v>
      </c>
      <c r="J32" s="64">
        <f>K260+K32+L32+M32+N32</f>
        <v>0</v>
      </c>
      <c r="K32" s="43">
        <v>0</v>
      </c>
      <c r="L32" s="43">
        <v>0</v>
      </c>
      <c r="M32" s="43">
        <v>0</v>
      </c>
      <c r="N32" s="78">
        <v>0</v>
      </c>
      <c r="O32" s="74">
        <f>P32+Q32+R32+S32</f>
        <v>0</v>
      </c>
      <c r="P32" s="43">
        <v>0</v>
      </c>
      <c r="Q32" s="43">
        <v>0</v>
      </c>
      <c r="R32" s="43">
        <v>0</v>
      </c>
      <c r="S32" s="44">
        <v>0</v>
      </c>
      <c r="T32" s="21"/>
    </row>
    <row r="33" spans="1:20" s="10" customFormat="1" ht="80.25" customHeight="1" x14ac:dyDescent="0.25">
      <c r="A33" s="94" t="s">
        <v>19</v>
      </c>
      <c r="B33" s="100" t="s">
        <v>84</v>
      </c>
      <c r="C33" s="32" t="s">
        <v>9</v>
      </c>
      <c r="D33" s="60" t="s">
        <v>79</v>
      </c>
      <c r="E33" s="71">
        <f t="shared" si="9"/>
        <v>0</v>
      </c>
      <c r="F33" s="3">
        <f>278-278</f>
        <v>0</v>
      </c>
      <c r="G33" s="3">
        <v>0</v>
      </c>
      <c r="H33" s="3">
        <v>0</v>
      </c>
      <c r="I33" s="33">
        <v>0</v>
      </c>
      <c r="J33" s="65">
        <f>K262+K33+L33+M33+N33</f>
        <v>0</v>
      </c>
      <c r="K33" s="3">
        <v>0</v>
      </c>
      <c r="L33" s="3">
        <v>0</v>
      </c>
      <c r="M33" s="3">
        <v>0</v>
      </c>
      <c r="N33" s="79">
        <v>0</v>
      </c>
      <c r="O33" s="71">
        <f>P33+Q33+R33+S33</f>
        <v>0</v>
      </c>
      <c r="P33" s="3">
        <v>0</v>
      </c>
      <c r="Q33" s="3">
        <v>0</v>
      </c>
      <c r="R33" s="3">
        <v>0</v>
      </c>
      <c r="S33" s="33">
        <v>0</v>
      </c>
      <c r="T33" s="21"/>
    </row>
    <row r="34" spans="1:20" s="10" customFormat="1" ht="75.599999999999994" customHeight="1" x14ac:dyDescent="0.25">
      <c r="A34" s="94" t="s">
        <v>30</v>
      </c>
      <c r="B34" s="100" t="s">
        <v>36</v>
      </c>
      <c r="C34" s="32" t="s">
        <v>9</v>
      </c>
      <c r="D34" s="60" t="s">
        <v>44</v>
      </c>
      <c r="E34" s="71">
        <f t="shared" si="9"/>
        <v>183</v>
      </c>
      <c r="F34" s="3">
        <v>183</v>
      </c>
      <c r="G34" s="3">
        <v>0</v>
      </c>
      <c r="H34" s="3">
        <v>0</v>
      </c>
      <c r="I34" s="33">
        <v>0</v>
      </c>
      <c r="J34" s="65">
        <f>K264+K34+L34+M34+N34</f>
        <v>184</v>
      </c>
      <c r="K34" s="3">
        <v>184</v>
      </c>
      <c r="L34" s="3">
        <v>0</v>
      </c>
      <c r="M34" s="3">
        <v>0</v>
      </c>
      <c r="N34" s="79">
        <v>0</v>
      </c>
      <c r="O34" s="71">
        <f>P34+Q34+R34+S34</f>
        <v>185</v>
      </c>
      <c r="P34" s="3">
        <v>185</v>
      </c>
      <c r="Q34" s="3">
        <v>0</v>
      </c>
      <c r="R34" s="3">
        <v>0</v>
      </c>
      <c r="S34" s="33">
        <v>0</v>
      </c>
      <c r="T34" s="21"/>
    </row>
    <row r="35" spans="1:20" s="10" customFormat="1" ht="56.25" customHeight="1" x14ac:dyDescent="0.25">
      <c r="A35" s="94" t="s">
        <v>31</v>
      </c>
      <c r="B35" s="100" t="s">
        <v>21</v>
      </c>
      <c r="C35" s="32" t="s">
        <v>9</v>
      </c>
      <c r="D35" s="60" t="s">
        <v>44</v>
      </c>
      <c r="E35" s="71">
        <f t="shared" si="9"/>
        <v>2401</v>
      </c>
      <c r="F35" s="3">
        <v>2401</v>
      </c>
      <c r="G35" s="3">
        <v>0</v>
      </c>
      <c r="H35" s="3">
        <v>0</v>
      </c>
      <c r="I35" s="33">
        <v>0</v>
      </c>
      <c r="J35" s="65">
        <f>K265+K35+L35+M35+N35</f>
        <v>2497</v>
      </c>
      <c r="K35" s="3">
        <v>2497</v>
      </c>
      <c r="L35" s="3">
        <v>0</v>
      </c>
      <c r="M35" s="3">
        <v>0</v>
      </c>
      <c r="N35" s="79">
        <v>0</v>
      </c>
      <c r="O35" s="71">
        <f>P35</f>
        <v>2597</v>
      </c>
      <c r="P35" s="3">
        <v>2597</v>
      </c>
      <c r="Q35" s="3">
        <v>0</v>
      </c>
      <c r="R35" s="3">
        <v>0</v>
      </c>
      <c r="S35" s="33">
        <v>0</v>
      </c>
      <c r="T35" s="21"/>
    </row>
    <row r="36" spans="1:20" s="10" customFormat="1" ht="39.75" customHeight="1" x14ac:dyDescent="0.25">
      <c r="A36" s="94" t="s">
        <v>32</v>
      </c>
      <c r="B36" s="100" t="s">
        <v>22</v>
      </c>
      <c r="C36" s="32" t="s">
        <v>9</v>
      </c>
      <c r="D36" s="60" t="s">
        <v>47</v>
      </c>
      <c r="E36" s="71">
        <f t="shared" si="9"/>
        <v>2115</v>
      </c>
      <c r="F36" s="3">
        <v>2115</v>
      </c>
      <c r="G36" s="3">
        <v>0</v>
      </c>
      <c r="H36" s="3">
        <v>0</v>
      </c>
      <c r="I36" s="33">
        <v>0</v>
      </c>
      <c r="J36" s="65">
        <f>K266+K36+L36+M36+N36</f>
        <v>0</v>
      </c>
      <c r="K36" s="3">
        <v>0</v>
      </c>
      <c r="L36" s="3">
        <v>0</v>
      </c>
      <c r="M36" s="3">
        <v>0</v>
      </c>
      <c r="N36" s="79">
        <v>0</v>
      </c>
      <c r="O36" s="71">
        <f>P36+Q36+R36+S36</f>
        <v>0</v>
      </c>
      <c r="P36" s="3">
        <v>0</v>
      </c>
      <c r="Q36" s="3">
        <v>0</v>
      </c>
      <c r="R36" s="3">
        <v>0</v>
      </c>
      <c r="S36" s="33">
        <v>0</v>
      </c>
      <c r="T36" s="21"/>
    </row>
    <row r="37" spans="1:20" s="10" customFormat="1" ht="84.75" customHeight="1" thickBot="1" x14ac:dyDescent="0.3">
      <c r="A37" s="95" t="s">
        <v>91</v>
      </c>
      <c r="B37" s="110" t="s">
        <v>118</v>
      </c>
      <c r="C37" s="51" t="s">
        <v>58</v>
      </c>
      <c r="D37" s="145" t="s">
        <v>44</v>
      </c>
      <c r="E37" s="72">
        <f t="shared" si="9"/>
        <v>98194</v>
      </c>
      <c r="F37" s="55">
        <f>10606+78869+3853+4866</f>
        <v>98194</v>
      </c>
      <c r="G37" s="55">
        <v>0</v>
      </c>
      <c r="H37" s="55">
        <v>0</v>
      </c>
      <c r="I37" s="56">
        <v>0</v>
      </c>
      <c r="J37" s="66">
        <f>K37+L37+M37+N37</f>
        <v>102122</v>
      </c>
      <c r="K37" s="55">
        <f>11030+82024+4007+5061</f>
        <v>102122</v>
      </c>
      <c r="L37" s="55">
        <v>0</v>
      </c>
      <c r="M37" s="55">
        <v>0</v>
      </c>
      <c r="N37" s="80">
        <v>0</v>
      </c>
      <c r="O37" s="72">
        <f>P37+Q37+R37+S37</f>
        <v>106207</v>
      </c>
      <c r="P37" s="55">
        <f>11471+85305+4168+5263</f>
        <v>106207</v>
      </c>
      <c r="Q37" s="55">
        <v>0</v>
      </c>
      <c r="R37" s="55">
        <v>0</v>
      </c>
      <c r="S37" s="56">
        <v>0</v>
      </c>
      <c r="T37" s="27"/>
    </row>
    <row r="38" spans="1:20" s="13" customFormat="1" ht="43.15" customHeight="1" thickBot="1" x14ac:dyDescent="0.3">
      <c r="A38" s="208" t="s">
        <v>11</v>
      </c>
      <c r="B38" s="209"/>
      <c r="C38" s="209"/>
      <c r="D38" s="209"/>
      <c r="E38" s="73">
        <f>F38+G38+H38+I38</f>
        <v>112995</v>
      </c>
      <c r="F38" s="57">
        <f>SUM(F32:F37)</f>
        <v>112995</v>
      </c>
      <c r="G38" s="57">
        <f>SUM(G32:G37)</f>
        <v>0</v>
      </c>
      <c r="H38" s="57">
        <f>SUM(H32:H37)</f>
        <v>0</v>
      </c>
      <c r="I38" s="58">
        <f>SUM(I32:I37)</f>
        <v>0</v>
      </c>
      <c r="J38" s="67">
        <f>K38+L38+M38+N38</f>
        <v>104803</v>
      </c>
      <c r="K38" s="57">
        <f>SUM(K32:K37)</f>
        <v>104803</v>
      </c>
      <c r="L38" s="57">
        <f>SUM(L32:L37)</f>
        <v>0</v>
      </c>
      <c r="M38" s="57">
        <f>SUM(M32:M37)</f>
        <v>0</v>
      </c>
      <c r="N38" s="81">
        <f>SUM(N32:N37)</f>
        <v>0</v>
      </c>
      <c r="O38" s="73">
        <f>P38+Q38+R38+S38</f>
        <v>108989</v>
      </c>
      <c r="P38" s="57">
        <f>SUM(P32:P37)</f>
        <v>108989</v>
      </c>
      <c r="Q38" s="57">
        <f>SUM(Q32:Q37)</f>
        <v>0</v>
      </c>
      <c r="R38" s="57">
        <f>SUM(R32:R37)</f>
        <v>0</v>
      </c>
      <c r="S38" s="58">
        <f>SUM(S32:S37)</f>
        <v>0</v>
      </c>
      <c r="T38" s="28"/>
    </row>
    <row r="39" spans="1:20" s="10" customFormat="1" ht="45.75" customHeight="1" x14ac:dyDescent="0.25">
      <c r="A39" s="147"/>
      <c r="B39" s="148" t="s">
        <v>55</v>
      </c>
      <c r="C39" s="84" t="s">
        <v>9</v>
      </c>
      <c r="D39" s="85"/>
      <c r="E39" s="68">
        <f t="shared" si="9"/>
        <v>14801</v>
      </c>
      <c r="F39" s="69">
        <f>F32+F33+F34+F35+F36</f>
        <v>14801</v>
      </c>
      <c r="G39" s="69">
        <f>G32+G33+G34+G35+G36+G37</f>
        <v>0</v>
      </c>
      <c r="H39" s="69">
        <f>H32+H33+H34+H35+H36+H37</f>
        <v>0</v>
      </c>
      <c r="I39" s="70">
        <f>I32+I33+I34+I35+I36+I37</f>
        <v>0</v>
      </c>
      <c r="J39" s="86">
        <f>K39+L39+M39+N39</f>
        <v>2681</v>
      </c>
      <c r="K39" s="69">
        <f>SUM(K32:K36)</f>
        <v>2681</v>
      </c>
      <c r="L39" s="69">
        <f>SUM(L32:L37)</f>
        <v>0</v>
      </c>
      <c r="M39" s="69">
        <f>SUM(M32:M37)</f>
        <v>0</v>
      </c>
      <c r="N39" s="87">
        <f>SUM(N32:N37)</f>
        <v>0</v>
      </c>
      <c r="O39" s="68">
        <f>P39+Q39+R39+S39</f>
        <v>2782</v>
      </c>
      <c r="P39" s="69">
        <f>SUM(P32:P36)</f>
        <v>2782</v>
      </c>
      <c r="Q39" s="69">
        <f>SUM(Q32:Q37)</f>
        <v>0</v>
      </c>
      <c r="R39" s="69">
        <f>SUM(R32:R37)</f>
        <v>0</v>
      </c>
      <c r="S39" s="70">
        <f>SUM(S32:S37)</f>
        <v>0</v>
      </c>
      <c r="T39" s="26"/>
    </row>
    <row r="40" spans="1:20" s="10" customFormat="1" ht="57" customHeight="1" thickBot="1" x14ac:dyDescent="0.3">
      <c r="A40" s="111"/>
      <c r="B40" s="112"/>
      <c r="C40" s="37" t="s">
        <v>58</v>
      </c>
      <c r="D40" s="90"/>
      <c r="E40" s="75">
        <f t="shared" si="9"/>
        <v>98194</v>
      </c>
      <c r="F40" s="76">
        <f>F37</f>
        <v>98194</v>
      </c>
      <c r="G40" s="76">
        <f>G37</f>
        <v>0</v>
      </c>
      <c r="H40" s="76">
        <f>H37</f>
        <v>0</v>
      </c>
      <c r="I40" s="77">
        <f>I37</f>
        <v>0</v>
      </c>
      <c r="J40" s="91">
        <f>K40+L40+M40+N40</f>
        <v>102122</v>
      </c>
      <c r="K40" s="76">
        <f>K37</f>
        <v>102122</v>
      </c>
      <c r="L40" s="76">
        <f>L37</f>
        <v>0</v>
      </c>
      <c r="M40" s="76">
        <f>M37</f>
        <v>0</v>
      </c>
      <c r="N40" s="92">
        <f>N37</f>
        <v>0</v>
      </c>
      <c r="O40" s="75">
        <f>P40+Q40+R40+S40</f>
        <v>106207</v>
      </c>
      <c r="P40" s="76">
        <f>P37</f>
        <v>106207</v>
      </c>
      <c r="Q40" s="76">
        <f>Q37</f>
        <v>0</v>
      </c>
      <c r="R40" s="76">
        <f>R37</f>
        <v>0</v>
      </c>
      <c r="S40" s="77">
        <f>S37</f>
        <v>0</v>
      </c>
      <c r="T40" s="26"/>
    </row>
    <row r="41" spans="1:20" s="10" customFormat="1" ht="37.9" customHeight="1" thickBot="1" x14ac:dyDescent="0.3">
      <c r="A41" s="164" t="s">
        <v>80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6"/>
      <c r="T41" s="21"/>
    </row>
    <row r="42" spans="1:20" s="10" customFormat="1" ht="128.44999999999999" customHeight="1" x14ac:dyDescent="0.25">
      <c r="A42" s="118" t="s">
        <v>13</v>
      </c>
      <c r="B42" s="119" t="s">
        <v>81</v>
      </c>
      <c r="C42" s="96" t="s">
        <v>9</v>
      </c>
      <c r="D42" s="59"/>
      <c r="E42" s="74">
        <f>F42+G42+H42+I42</f>
        <v>0</v>
      </c>
      <c r="F42" s="43">
        <v>0</v>
      </c>
      <c r="G42" s="43">
        <v>0</v>
      </c>
      <c r="H42" s="43">
        <v>0</v>
      </c>
      <c r="I42" s="44">
        <v>0</v>
      </c>
      <c r="J42" s="64">
        <f>K42+L42</f>
        <v>0</v>
      </c>
      <c r="K42" s="43">
        <v>0</v>
      </c>
      <c r="L42" s="43">
        <v>0</v>
      </c>
      <c r="M42" s="43">
        <v>0</v>
      </c>
      <c r="N42" s="78">
        <v>0</v>
      </c>
      <c r="O42" s="68">
        <f>P42+Q42+R42+S42</f>
        <v>0</v>
      </c>
      <c r="P42" s="69">
        <v>0</v>
      </c>
      <c r="Q42" s="69">
        <v>0</v>
      </c>
      <c r="R42" s="69">
        <v>0</v>
      </c>
      <c r="S42" s="70">
        <v>0</v>
      </c>
      <c r="T42" s="21"/>
    </row>
    <row r="43" spans="1:20" s="10" customFormat="1" ht="87.75" customHeight="1" thickBot="1" x14ac:dyDescent="0.3">
      <c r="A43" s="121" t="s">
        <v>29</v>
      </c>
      <c r="B43" s="120" t="s">
        <v>82</v>
      </c>
      <c r="C43" s="98" t="s">
        <v>9</v>
      </c>
      <c r="D43" s="61"/>
      <c r="E43" s="72">
        <f>F43+G43+H43+I43</f>
        <v>0</v>
      </c>
      <c r="F43" s="55">
        <v>0</v>
      </c>
      <c r="G43" s="55">
        <v>0</v>
      </c>
      <c r="H43" s="55">
        <v>0</v>
      </c>
      <c r="I43" s="56">
        <v>0</v>
      </c>
      <c r="J43" s="66">
        <f>K43+L43</f>
        <v>0</v>
      </c>
      <c r="K43" s="55">
        <v>0</v>
      </c>
      <c r="L43" s="55">
        <v>0</v>
      </c>
      <c r="M43" s="55">
        <v>0</v>
      </c>
      <c r="N43" s="80">
        <v>0</v>
      </c>
      <c r="O43" s="72">
        <v>0</v>
      </c>
      <c r="P43" s="55">
        <v>0</v>
      </c>
      <c r="Q43" s="55">
        <v>0</v>
      </c>
      <c r="R43" s="55">
        <v>0</v>
      </c>
      <c r="S43" s="56">
        <v>0</v>
      </c>
      <c r="T43" s="21"/>
    </row>
    <row r="44" spans="1:20" s="13" customFormat="1" ht="38.450000000000003" customHeight="1" thickBot="1" x14ac:dyDescent="0.3">
      <c r="A44" s="217" t="s">
        <v>12</v>
      </c>
      <c r="B44" s="218"/>
      <c r="C44" s="218"/>
      <c r="D44" s="241"/>
      <c r="E44" s="73">
        <f t="shared" ref="E44:F44" si="10">E43+E42</f>
        <v>0</v>
      </c>
      <c r="F44" s="57">
        <f t="shared" si="10"/>
        <v>0</v>
      </c>
      <c r="G44" s="57">
        <f>G43+G42</f>
        <v>0</v>
      </c>
      <c r="H44" s="57">
        <f>H43+H42</f>
        <v>0</v>
      </c>
      <c r="I44" s="58">
        <f>I43+I42</f>
        <v>0</v>
      </c>
      <c r="J44" s="67">
        <f t="shared" ref="J44:S44" si="11">J42+J41</f>
        <v>0</v>
      </c>
      <c r="K44" s="57">
        <f t="shared" si="11"/>
        <v>0</v>
      </c>
      <c r="L44" s="57">
        <f t="shared" si="11"/>
        <v>0</v>
      </c>
      <c r="M44" s="57">
        <f t="shared" si="11"/>
        <v>0</v>
      </c>
      <c r="N44" s="81">
        <f t="shared" si="11"/>
        <v>0</v>
      </c>
      <c r="O44" s="73">
        <f t="shared" si="11"/>
        <v>0</v>
      </c>
      <c r="P44" s="57">
        <f t="shared" si="11"/>
        <v>0</v>
      </c>
      <c r="Q44" s="57">
        <f t="shared" si="11"/>
        <v>0</v>
      </c>
      <c r="R44" s="57">
        <f t="shared" si="11"/>
        <v>0</v>
      </c>
      <c r="S44" s="58">
        <f t="shared" si="11"/>
        <v>0</v>
      </c>
      <c r="T44" s="29"/>
    </row>
    <row r="45" spans="1:20" s="10" customFormat="1" ht="36" customHeight="1" thickBot="1" x14ac:dyDescent="0.3">
      <c r="A45" s="211" t="s">
        <v>83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3"/>
      <c r="T45" s="27"/>
    </row>
    <row r="46" spans="1:20" s="10" customFormat="1" ht="46.15" customHeight="1" x14ac:dyDescent="0.25">
      <c r="A46" s="214" t="s">
        <v>68</v>
      </c>
      <c r="B46" s="215" t="s">
        <v>121</v>
      </c>
      <c r="C46" s="96" t="s">
        <v>9</v>
      </c>
      <c r="D46" s="124" t="s">
        <v>44</v>
      </c>
      <c r="E46" s="68">
        <f>F46+G46+H46+I46</f>
        <v>287836</v>
      </c>
      <c r="F46" s="69">
        <f>81379+72404+70918+14308+7359+41468</f>
        <v>287836</v>
      </c>
      <c r="G46" s="69">
        <v>0</v>
      </c>
      <c r="H46" s="69">
        <v>0</v>
      </c>
      <c r="I46" s="70">
        <v>0</v>
      </c>
      <c r="J46" s="64">
        <f>K46+L46+M46+N46</f>
        <v>299349</v>
      </c>
      <c r="K46" s="43">
        <f>84635+75300+73754+14880+7653+43127</f>
        <v>299349</v>
      </c>
      <c r="L46" s="43">
        <v>0</v>
      </c>
      <c r="M46" s="43">
        <v>0</v>
      </c>
      <c r="N46" s="78">
        <v>0</v>
      </c>
      <c r="O46" s="68">
        <f>P46+Q46+R46+S46</f>
        <v>311323</v>
      </c>
      <c r="P46" s="69">
        <f>88020+78312+76705+15475+7959+44852</f>
        <v>311323</v>
      </c>
      <c r="Q46" s="69">
        <v>0</v>
      </c>
      <c r="R46" s="69">
        <v>0</v>
      </c>
      <c r="S46" s="70">
        <v>0</v>
      </c>
      <c r="T46" s="27"/>
    </row>
    <row r="47" spans="1:20" s="10" customFormat="1" ht="46.15" customHeight="1" x14ac:dyDescent="0.25">
      <c r="A47" s="167"/>
      <c r="B47" s="168"/>
      <c r="C47" s="97" t="s">
        <v>57</v>
      </c>
      <c r="D47" s="107" t="s">
        <v>44</v>
      </c>
      <c r="E47" s="71">
        <f t="shared" ref="E47:E61" si="12">F47+G47+H47+I47</f>
        <v>134939</v>
      </c>
      <c r="F47" s="3">
        <f>45107+46098+12437+4816+16898+9583</f>
        <v>134939</v>
      </c>
      <c r="G47" s="3">
        <v>0</v>
      </c>
      <c r="H47" s="3">
        <v>0</v>
      </c>
      <c r="I47" s="33">
        <v>0</v>
      </c>
      <c r="J47" s="65">
        <f t="shared" ref="J47:J63" si="13">K47+L47+M47+N47</f>
        <v>140337</v>
      </c>
      <c r="K47" s="3">
        <f>46911+47942+12935+5009+17574+9966</f>
        <v>140337</v>
      </c>
      <c r="L47" s="3">
        <v>0</v>
      </c>
      <c r="M47" s="3">
        <v>0</v>
      </c>
      <c r="N47" s="79">
        <v>0</v>
      </c>
      <c r="O47" s="71">
        <f t="shared" ref="O47:O61" si="14">P47+Q47+R47+S47</f>
        <v>145950</v>
      </c>
      <c r="P47" s="3">
        <f>48788+49860+13452+5209+18277+10364</f>
        <v>145950</v>
      </c>
      <c r="Q47" s="3">
        <v>0</v>
      </c>
      <c r="R47" s="3">
        <v>0</v>
      </c>
      <c r="S47" s="33">
        <v>0</v>
      </c>
      <c r="T47" s="27"/>
    </row>
    <row r="48" spans="1:20" s="10" customFormat="1" ht="46.15" customHeight="1" x14ac:dyDescent="0.25">
      <c r="A48" s="167" t="s">
        <v>92</v>
      </c>
      <c r="B48" s="168" t="s">
        <v>120</v>
      </c>
      <c r="C48" s="97" t="s">
        <v>9</v>
      </c>
      <c r="D48" s="107" t="s">
        <v>44</v>
      </c>
      <c r="E48" s="71">
        <f t="shared" si="12"/>
        <v>29069</v>
      </c>
      <c r="F48" s="3">
        <v>29069</v>
      </c>
      <c r="G48" s="3">
        <v>0</v>
      </c>
      <c r="H48" s="3">
        <v>0</v>
      </c>
      <c r="I48" s="33">
        <v>0</v>
      </c>
      <c r="J48" s="65">
        <f t="shared" si="13"/>
        <v>30232</v>
      </c>
      <c r="K48" s="3">
        <v>30232</v>
      </c>
      <c r="L48" s="3">
        <v>0</v>
      </c>
      <c r="M48" s="3">
        <v>0</v>
      </c>
      <c r="N48" s="79">
        <v>0</v>
      </c>
      <c r="O48" s="71">
        <f t="shared" si="14"/>
        <v>31441</v>
      </c>
      <c r="P48" s="3">
        <v>31441</v>
      </c>
      <c r="Q48" s="3">
        <v>0</v>
      </c>
      <c r="R48" s="3">
        <v>0</v>
      </c>
      <c r="S48" s="33">
        <v>0</v>
      </c>
      <c r="T48" s="27"/>
    </row>
    <row r="49" spans="1:20" s="10" customFormat="1" ht="46.15" customHeight="1" x14ac:dyDescent="0.25">
      <c r="A49" s="167"/>
      <c r="B49" s="168"/>
      <c r="C49" s="97" t="s">
        <v>58</v>
      </c>
      <c r="D49" s="107" t="s">
        <v>44</v>
      </c>
      <c r="E49" s="71">
        <f>F49+G49+H49+I49</f>
        <v>75011</v>
      </c>
      <c r="F49" s="3">
        <f>34983+40028</f>
        <v>75011</v>
      </c>
      <c r="G49" s="3">
        <v>0</v>
      </c>
      <c r="H49" s="3">
        <v>0</v>
      </c>
      <c r="I49" s="33">
        <v>0</v>
      </c>
      <c r="J49" s="65">
        <f>K49+L49+M49+N49</f>
        <v>78011</v>
      </c>
      <c r="K49" s="3">
        <f>36382+41629</f>
        <v>78011</v>
      </c>
      <c r="L49" s="3">
        <v>0</v>
      </c>
      <c r="M49" s="3">
        <v>0</v>
      </c>
      <c r="N49" s="79">
        <v>0</v>
      </c>
      <c r="O49" s="71">
        <f>P49+Q49+R49+S49</f>
        <v>81131</v>
      </c>
      <c r="P49" s="3">
        <f>37837+43294</f>
        <v>81131</v>
      </c>
      <c r="Q49" s="3">
        <v>0</v>
      </c>
      <c r="R49" s="3">
        <v>0</v>
      </c>
      <c r="S49" s="33">
        <v>0</v>
      </c>
      <c r="T49" s="27"/>
    </row>
    <row r="50" spans="1:20" s="10" customFormat="1" ht="49.9" customHeight="1" x14ac:dyDescent="0.25">
      <c r="A50" s="167" t="s">
        <v>67</v>
      </c>
      <c r="B50" s="168" t="s">
        <v>93</v>
      </c>
      <c r="C50" s="97" t="s">
        <v>9</v>
      </c>
      <c r="D50" s="60" t="s">
        <v>44</v>
      </c>
      <c r="E50" s="71">
        <f>F50+G50+H50+I50</f>
        <v>7945</v>
      </c>
      <c r="F50" s="3">
        <v>7945</v>
      </c>
      <c r="G50" s="3">
        <v>0</v>
      </c>
      <c r="H50" s="3">
        <v>0</v>
      </c>
      <c r="I50" s="33">
        <v>0</v>
      </c>
      <c r="J50" s="65">
        <f>K50+L50+M50+N50</f>
        <v>8263</v>
      </c>
      <c r="K50" s="3">
        <v>8263</v>
      </c>
      <c r="L50" s="3">
        <v>0</v>
      </c>
      <c r="M50" s="3">
        <v>0</v>
      </c>
      <c r="N50" s="79">
        <v>0</v>
      </c>
      <c r="O50" s="71">
        <f>P50+Q50+R50+S50</f>
        <v>8396</v>
      </c>
      <c r="P50" s="3">
        <v>8396</v>
      </c>
      <c r="Q50" s="3">
        <v>0</v>
      </c>
      <c r="R50" s="3">
        <v>0</v>
      </c>
      <c r="S50" s="33">
        <v>0</v>
      </c>
      <c r="T50" s="21"/>
    </row>
    <row r="51" spans="1:20" s="10" customFormat="1" ht="49.9" customHeight="1" x14ac:dyDescent="0.25">
      <c r="A51" s="167"/>
      <c r="B51" s="168"/>
      <c r="C51" s="97" t="s">
        <v>58</v>
      </c>
      <c r="D51" s="60" t="s">
        <v>44</v>
      </c>
      <c r="E51" s="71">
        <f>F51+G51+H51+I51</f>
        <v>350</v>
      </c>
      <c r="F51" s="3">
        <v>350</v>
      </c>
      <c r="G51" s="3">
        <v>0</v>
      </c>
      <c r="H51" s="3">
        <v>0</v>
      </c>
      <c r="I51" s="33">
        <v>0</v>
      </c>
      <c r="J51" s="65">
        <f>K51+L51+M51+N51</f>
        <v>364</v>
      </c>
      <c r="K51" s="3">
        <v>364</v>
      </c>
      <c r="L51" s="3">
        <v>0</v>
      </c>
      <c r="M51" s="3">
        <v>0</v>
      </c>
      <c r="N51" s="79">
        <v>0</v>
      </c>
      <c r="O51" s="71">
        <f>P51+Q51+R51+S51</f>
        <v>379</v>
      </c>
      <c r="P51" s="3">
        <v>379</v>
      </c>
      <c r="Q51" s="3">
        <v>0</v>
      </c>
      <c r="R51" s="3">
        <v>0</v>
      </c>
      <c r="S51" s="33">
        <v>0</v>
      </c>
      <c r="T51" s="21"/>
    </row>
    <row r="52" spans="1:20" s="10" customFormat="1" ht="90.6" customHeight="1" x14ac:dyDescent="0.25">
      <c r="A52" s="94" t="s">
        <v>94</v>
      </c>
      <c r="B52" s="122" t="s">
        <v>119</v>
      </c>
      <c r="C52" s="97" t="s">
        <v>9</v>
      </c>
      <c r="D52" s="107" t="s">
        <v>44</v>
      </c>
      <c r="E52" s="71">
        <f>F52+G52+H52+I52</f>
        <v>1687</v>
      </c>
      <c r="F52" s="3">
        <f>1687</f>
        <v>1687</v>
      </c>
      <c r="G52" s="3">
        <v>0</v>
      </c>
      <c r="H52" s="3">
        <v>0</v>
      </c>
      <c r="I52" s="33">
        <v>0</v>
      </c>
      <c r="J52" s="65">
        <f>K52+L52+M52+N52</f>
        <v>1755</v>
      </c>
      <c r="K52" s="3">
        <f>1755</f>
        <v>1755</v>
      </c>
      <c r="L52" s="3">
        <v>0</v>
      </c>
      <c r="M52" s="3">
        <v>0</v>
      </c>
      <c r="N52" s="79">
        <v>0</v>
      </c>
      <c r="O52" s="71">
        <f>P52+Q52+R52+S52</f>
        <v>1825</v>
      </c>
      <c r="P52" s="3">
        <f>1825</f>
        <v>1825</v>
      </c>
      <c r="Q52" s="3">
        <v>0</v>
      </c>
      <c r="R52" s="3">
        <v>0</v>
      </c>
      <c r="S52" s="33">
        <v>0</v>
      </c>
      <c r="T52" s="27"/>
    </row>
    <row r="53" spans="1:20" s="10" customFormat="1" ht="78.75" customHeight="1" x14ac:dyDescent="0.25">
      <c r="A53" s="167" t="s">
        <v>69</v>
      </c>
      <c r="B53" s="168" t="s">
        <v>129</v>
      </c>
      <c r="C53" s="97" t="s">
        <v>9</v>
      </c>
      <c r="D53" s="60" t="s">
        <v>46</v>
      </c>
      <c r="E53" s="71">
        <f>F53+G53+H53+I53</f>
        <v>0</v>
      </c>
      <c r="F53" s="3">
        <v>0</v>
      </c>
      <c r="G53" s="3">
        <v>0</v>
      </c>
      <c r="H53" s="3">
        <v>0</v>
      </c>
      <c r="I53" s="33">
        <v>0</v>
      </c>
      <c r="J53" s="65">
        <f>K53+L53+M53+N53</f>
        <v>0</v>
      </c>
      <c r="K53" s="3">
        <v>0</v>
      </c>
      <c r="L53" s="3">
        <v>0</v>
      </c>
      <c r="M53" s="3">
        <v>0</v>
      </c>
      <c r="N53" s="79">
        <v>0</v>
      </c>
      <c r="O53" s="71">
        <f>P53+Q53+R53+S53</f>
        <v>0</v>
      </c>
      <c r="P53" s="3">
        <v>0</v>
      </c>
      <c r="Q53" s="3">
        <v>0</v>
      </c>
      <c r="R53" s="3">
        <v>0</v>
      </c>
      <c r="S53" s="33">
        <v>0</v>
      </c>
      <c r="T53" s="27"/>
    </row>
    <row r="54" spans="1:20" s="10" customFormat="1" ht="78.75" customHeight="1" x14ac:dyDescent="0.25">
      <c r="A54" s="167"/>
      <c r="B54" s="168"/>
      <c r="C54" s="97" t="s">
        <v>60</v>
      </c>
      <c r="D54" s="60">
        <v>2025</v>
      </c>
      <c r="E54" s="71">
        <v>0</v>
      </c>
      <c r="F54" s="3">
        <v>0</v>
      </c>
      <c r="G54" s="3">
        <v>0</v>
      </c>
      <c r="H54" s="3">
        <v>0</v>
      </c>
      <c r="I54" s="33">
        <v>0</v>
      </c>
      <c r="J54" s="65">
        <v>0</v>
      </c>
      <c r="K54" s="3">
        <v>0</v>
      </c>
      <c r="L54" s="3">
        <v>0</v>
      </c>
      <c r="M54" s="3">
        <v>0</v>
      </c>
      <c r="N54" s="79">
        <v>0</v>
      </c>
      <c r="O54" s="71">
        <v>0</v>
      </c>
      <c r="P54" s="3">
        <v>0</v>
      </c>
      <c r="Q54" s="3">
        <v>0</v>
      </c>
      <c r="R54" s="3">
        <v>0</v>
      </c>
      <c r="S54" s="33">
        <v>0</v>
      </c>
      <c r="T54" s="27"/>
    </row>
    <row r="55" spans="1:20" s="10" customFormat="1" ht="47.45" customHeight="1" x14ac:dyDescent="0.25">
      <c r="A55" s="167" t="s">
        <v>95</v>
      </c>
      <c r="B55" s="168" t="s">
        <v>48</v>
      </c>
      <c r="C55" s="97" t="s">
        <v>9</v>
      </c>
      <c r="D55" s="107" t="s">
        <v>44</v>
      </c>
      <c r="E55" s="71">
        <f t="shared" si="12"/>
        <v>56063</v>
      </c>
      <c r="F55" s="3">
        <v>56063</v>
      </c>
      <c r="G55" s="3">
        <v>0</v>
      </c>
      <c r="H55" s="3">
        <v>0</v>
      </c>
      <c r="I55" s="33">
        <v>0</v>
      </c>
      <c r="J55" s="65">
        <f t="shared" si="13"/>
        <v>58306</v>
      </c>
      <c r="K55" s="3">
        <v>58306</v>
      </c>
      <c r="L55" s="3">
        <v>0</v>
      </c>
      <c r="M55" s="3">
        <v>0</v>
      </c>
      <c r="N55" s="79">
        <v>0</v>
      </c>
      <c r="O55" s="71">
        <f t="shared" si="14"/>
        <v>60638</v>
      </c>
      <c r="P55" s="3">
        <v>60638</v>
      </c>
      <c r="Q55" s="3">
        <v>0</v>
      </c>
      <c r="R55" s="3">
        <v>0</v>
      </c>
      <c r="S55" s="33">
        <v>0</v>
      </c>
      <c r="T55" s="27"/>
    </row>
    <row r="56" spans="1:20" s="10" customFormat="1" ht="46.15" customHeight="1" x14ac:dyDescent="0.25">
      <c r="A56" s="167"/>
      <c r="B56" s="168"/>
      <c r="C56" s="97" t="s">
        <v>58</v>
      </c>
      <c r="D56" s="107" t="s">
        <v>44</v>
      </c>
      <c r="E56" s="71">
        <f t="shared" si="12"/>
        <v>8726</v>
      </c>
      <c r="F56" s="3">
        <v>8726</v>
      </c>
      <c r="G56" s="3">
        <v>0</v>
      </c>
      <c r="H56" s="3">
        <v>0</v>
      </c>
      <c r="I56" s="33">
        <v>0</v>
      </c>
      <c r="J56" s="65">
        <f t="shared" si="13"/>
        <v>9075</v>
      </c>
      <c r="K56" s="3">
        <v>9075</v>
      </c>
      <c r="L56" s="3">
        <v>0</v>
      </c>
      <c r="M56" s="3">
        <v>0</v>
      </c>
      <c r="N56" s="79">
        <v>0</v>
      </c>
      <c r="O56" s="71">
        <f t="shared" si="14"/>
        <v>9438</v>
      </c>
      <c r="P56" s="3">
        <v>9438</v>
      </c>
      <c r="Q56" s="3">
        <v>0</v>
      </c>
      <c r="R56" s="3">
        <v>0</v>
      </c>
      <c r="S56" s="33">
        <v>0</v>
      </c>
      <c r="T56" s="27"/>
    </row>
    <row r="57" spans="1:20" s="10" customFormat="1" ht="57.6" customHeight="1" x14ac:dyDescent="0.25">
      <c r="A57" s="94" t="s">
        <v>96</v>
      </c>
      <c r="B57" s="100" t="s">
        <v>49</v>
      </c>
      <c r="C57" s="97" t="s">
        <v>9</v>
      </c>
      <c r="D57" s="107" t="s">
        <v>44</v>
      </c>
      <c r="E57" s="71">
        <f t="shared" si="12"/>
        <v>1155</v>
      </c>
      <c r="F57" s="3">
        <v>1155</v>
      </c>
      <c r="G57" s="3">
        <v>0</v>
      </c>
      <c r="H57" s="3">
        <v>0</v>
      </c>
      <c r="I57" s="33">
        <v>0</v>
      </c>
      <c r="J57" s="65">
        <f t="shared" si="13"/>
        <v>1201</v>
      </c>
      <c r="K57" s="3">
        <v>1201</v>
      </c>
      <c r="L57" s="3">
        <v>0</v>
      </c>
      <c r="M57" s="3">
        <v>0</v>
      </c>
      <c r="N57" s="79">
        <v>0</v>
      </c>
      <c r="O57" s="71">
        <f t="shared" si="14"/>
        <v>1249</v>
      </c>
      <c r="P57" s="3">
        <v>1249</v>
      </c>
      <c r="Q57" s="3">
        <v>0</v>
      </c>
      <c r="R57" s="3">
        <v>0</v>
      </c>
      <c r="S57" s="33">
        <v>0</v>
      </c>
      <c r="T57" s="27"/>
    </row>
    <row r="58" spans="1:20" s="10" customFormat="1" ht="93" customHeight="1" x14ac:dyDescent="0.25">
      <c r="A58" s="94" t="s">
        <v>97</v>
      </c>
      <c r="B58" s="100" t="s">
        <v>122</v>
      </c>
      <c r="C58" s="97" t="s">
        <v>57</v>
      </c>
      <c r="D58" s="107" t="s">
        <v>44</v>
      </c>
      <c r="E58" s="71">
        <f t="shared" si="12"/>
        <v>11126</v>
      </c>
      <c r="F58" s="3">
        <f>11126</f>
        <v>11126</v>
      </c>
      <c r="G58" s="3">
        <v>0</v>
      </c>
      <c r="H58" s="3">
        <v>0</v>
      </c>
      <c r="I58" s="33">
        <v>0</v>
      </c>
      <c r="J58" s="65">
        <f t="shared" si="13"/>
        <v>11571</v>
      </c>
      <c r="K58" s="3">
        <f>11571</f>
        <v>11571</v>
      </c>
      <c r="L58" s="3">
        <v>0</v>
      </c>
      <c r="M58" s="3">
        <v>0</v>
      </c>
      <c r="N58" s="79">
        <v>0</v>
      </c>
      <c r="O58" s="71">
        <f t="shared" si="14"/>
        <v>12034</v>
      </c>
      <c r="P58" s="3">
        <f>12034</f>
        <v>12034</v>
      </c>
      <c r="Q58" s="3">
        <v>0</v>
      </c>
      <c r="R58" s="3">
        <v>0</v>
      </c>
      <c r="S58" s="33">
        <v>0</v>
      </c>
      <c r="T58" s="27"/>
    </row>
    <row r="59" spans="1:20" s="10" customFormat="1" ht="64.900000000000006" customHeight="1" x14ac:dyDescent="0.25">
      <c r="A59" s="94" t="s">
        <v>98</v>
      </c>
      <c r="B59" s="100" t="s">
        <v>123</v>
      </c>
      <c r="C59" s="97" t="s">
        <v>58</v>
      </c>
      <c r="D59" s="60" t="s">
        <v>44</v>
      </c>
      <c r="E59" s="71">
        <f t="shared" si="12"/>
        <v>12691</v>
      </c>
      <c r="F59" s="3">
        <v>12691</v>
      </c>
      <c r="G59" s="3">
        <v>0</v>
      </c>
      <c r="H59" s="3">
        <v>0</v>
      </c>
      <c r="I59" s="33">
        <v>0</v>
      </c>
      <c r="J59" s="65">
        <f t="shared" si="13"/>
        <v>13199</v>
      </c>
      <c r="K59" s="3">
        <v>13199</v>
      </c>
      <c r="L59" s="3">
        <v>0</v>
      </c>
      <c r="M59" s="3">
        <v>0</v>
      </c>
      <c r="N59" s="79">
        <v>0</v>
      </c>
      <c r="O59" s="71">
        <f>P59</f>
        <v>13727</v>
      </c>
      <c r="P59" s="3">
        <v>13727</v>
      </c>
      <c r="Q59" s="3">
        <v>0</v>
      </c>
      <c r="R59" s="3">
        <v>0</v>
      </c>
      <c r="S59" s="33">
        <v>0</v>
      </c>
      <c r="T59" s="21"/>
    </row>
    <row r="60" spans="1:20" s="10" customFormat="1" ht="54.6" customHeight="1" x14ac:dyDescent="0.25">
      <c r="A60" s="94" t="s">
        <v>99</v>
      </c>
      <c r="B60" s="123" t="s">
        <v>100</v>
      </c>
      <c r="C60" s="97" t="s">
        <v>57</v>
      </c>
      <c r="D60" s="107" t="s">
        <v>50</v>
      </c>
      <c r="E60" s="71">
        <f t="shared" si="12"/>
        <v>212883</v>
      </c>
      <c r="F60" s="3">
        <v>212883</v>
      </c>
      <c r="G60" s="3">
        <v>0</v>
      </c>
      <c r="H60" s="3">
        <v>0</v>
      </c>
      <c r="I60" s="33">
        <v>0</v>
      </c>
      <c r="J60" s="65">
        <f t="shared" si="13"/>
        <v>207308</v>
      </c>
      <c r="K60" s="3">
        <v>207308</v>
      </c>
      <c r="L60" s="3">
        <v>0</v>
      </c>
      <c r="M60" s="3">
        <v>0</v>
      </c>
      <c r="N60" s="79">
        <v>0</v>
      </c>
      <c r="O60" s="71">
        <f t="shared" si="14"/>
        <v>0</v>
      </c>
      <c r="P60" s="3">
        <v>0</v>
      </c>
      <c r="Q60" s="3">
        <v>0</v>
      </c>
      <c r="R60" s="3">
        <v>0</v>
      </c>
      <c r="S60" s="33">
        <v>0</v>
      </c>
      <c r="T60" s="27"/>
    </row>
    <row r="61" spans="1:20" s="10" customFormat="1" ht="56.45" customHeight="1" thickBot="1" x14ac:dyDescent="0.3">
      <c r="A61" s="95" t="s">
        <v>111</v>
      </c>
      <c r="B61" s="120" t="s">
        <v>112</v>
      </c>
      <c r="C61" s="98" t="s">
        <v>57</v>
      </c>
      <c r="D61" s="113" t="s">
        <v>46</v>
      </c>
      <c r="E61" s="72">
        <f t="shared" si="12"/>
        <v>0</v>
      </c>
      <c r="F61" s="55">
        <v>0</v>
      </c>
      <c r="G61" s="55">
        <v>0</v>
      </c>
      <c r="H61" s="55">
        <v>0</v>
      </c>
      <c r="I61" s="56">
        <v>0</v>
      </c>
      <c r="J61" s="66">
        <f t="shared" si="13"/>
        <v>0</v>
      </c>
      <c r="K61" s="55">
        <v>0</v>
      </c>
      <c r="L61" s="55">
        <v>0</v>
      </c>
      <c r="M61" s="55">
        <v>0</v>
      </c>
      <c r="N61" s="80">
        <v>0</v>
      </c>
      <c r="O61" s="72">
        <f t="shared" si="14"/>
        <v>0</v>
      </c>
      <c r="P61" s="55">
        <v>0</v>
      </c>
      <c r="Q61" s="55">
        <v>0</v>
      </c>
      <c r="R61" s="55">
        <v>0</v>
      </c>
      <c r="S61" s="56">
        <v>0</v>
      </c>
      <c r="T61" s="27"/>
    </row>
    <row r="62" spans="1:20" s="13" customFormat="1" ht="41.25" customHeight="1" thickBot="1" x14ac:dyDescent="0.3">
      <c r="A62" s="208" t="s">
        <v>71</v>
      </c>
      <c r="B62" s="209"/>
      <c r="C62" s="209"/>
      <c r="D62" s="210"/>
      <c r="E62" s="73">
        <f>F62+G62+H62+I62</f>
        <v>839481</v>
      </c>
      <c r="F62" s="57">
        <f>SUM(F46:F61)</f>
        <v>839481</v>
      </c>
      <c r="G62" s="57">
        <f>SUM(G46:G61)</f>
        <v>0</v>
      </c>
      <c r="H62" s="57">
        <f>SUM(H46:H61)</f>
        <v>0</v>
      </c>
      <c r="I62" s="58">
        <f>SUM(I46:I61)</f>
        <v>0</v>
      </c>
      <c r="J62" s="67">
        <f>K62+L62+M62+N62</f>
        <v>858971</v>
      </c>
      <c r="K62" s="57">
        <f>SUM(K46:K61)</f>
        <v>858971</v>
      </c>
      <c r="L62" s="57">
        <f>SUM(L46:L61)</f>
        <v>0</v>
      </c>
      <c r="M62" s="57">
        <f>SUM(M46:M61)</f>
        <v>0</v>
      </c>
      <c r="N62" s="81">
        <f>SUM(N46:N61)</f>
        <v>0</v>
      </c>
      <c r="O62" s="73">
        <f>P62+Q62+R62+S62</f>
        <v>677531</v>
      </c>
      <c r="P62" s="57">
        <f>SUM(P46:P61)</f>
        <v>677531</v>
      </c>
      <c r="Q62" s="57">
        <f>SUM(Q46:Q61)</f>
        <v>0</v>
      </c>
      <c r="R62" s="57">
        <f>SUM(R46:R61)</f>
        <v>0</v>
      </c>
      <c r="S62" s="58">
        <f>SUM(S46:S61)</f>
        <v>0</v>
      </c>
      <c r="T62" s="30"/>
    </row>
    <row r="63" spans="1:20" s="10" customFormat="1" ht="42" customHeight="1" x14ac:dyDescent="0.25">
      <c r="A63" s="128"/>
      <c r="B63" s="142" t="s">
        <v>55</v>
      </c>
      <c r="C63" s="104" t="s">
        <v>9</v>
      </c>
      <c r="D63" s="150"/>
      <c r="E63" s="68">
        <f>F63+G63+H63+I63</f>
        <v>383755</v>
      </c>
      <c r="F63" s="69">
        <f>F46+F48+F50+F52+F53+F55+F57</f>
        <v>383755</v>
      </c>
      <c r="G63" s="69">
        <f>G46+G55+G57+G52</f>
        <v>0</v>
      </c>
      <c r="H63" s="69">
        <f>H46+H55+H57+H52</f>
        <v>0</v>
      </c>
      <c r="I63" s="70">
        <f>I46+I55+I57+I52</f>
        <v>0</v>
      </c>
      <c r="J63" s="86">
        <f t="shared" si="13"/>
        <v>399106</v>
      </c>
      <c r="K63" s="69">
        <f>K46+K48+K50+K52+K53+K55+K57</f>
        <v>399106</v>
      </c>
      <c r="L63" s="69">
        <f>L46+L55+L57+L52</f>
        <v>0</v>
      </c>
      <c r="M63" s="69">
        <f>M46+M55+M57+M52</f>
        <v>0</v>
      </c>
      <c r="N63" s="87">
        <f>N46+N55+N57+N52</f>
        <v>0</v>
      </c>
      <c r="O63" s="68">
        <f>P63+Q63+R63+S63</f>
        <v>414872</v>
      </c>
      <c r="P63" s="69">
        <f>P46+P48+P50+P52+P53+P55+P57</f>
        <v>414872</v>
      </c>
      <c r="Q63" s="69">
        <f>Q46+Q55+Q57+Q52</f>
        <v>0</v>
      </c>
      <c r="R63" s="69">
        <f>R46+R55+R57+R52</f>
        <v>0</v>
      </c>
      <c r="S63" s="70">
        <f>SUM(S46:S61)</f>
        <v>0</v>
      </c>
      <c r="T63" s="28"/>
    </row>
    <row r="64" spans="1:20" s="10" customFormat="1" ht="47.25" customHeight="1" x14ac:dyDescent="0.25">
      <c r="A64" s="129"/>
      <c r="B64" s="100"/>
      <c r="C64" s="97" t="s">
        <v>57</v>
      </c>
      <c r="D64" s="107"/>
      <c r="E64" s="71">
        <f>F64+G64+H64+I64</f>
        <v>455726</v>
      </c>
      <c r="F64" s="3">
        <f>F47+F49+F51+F56+F58+F59+F60</f>
        <v>455726</v>
      </c>
      <c r="G64" s="3">
        <f>G47+G56+G49+G58+G60</f>
        <v>0</v>
      </c>
      <c r="H64" s="3">
        <f>H47+H56+H49+H58+H60</f>
        <v>0</v>
      </c>
      <c r="I64" s="33">
        <f>I47+I56+I49+I58+I60</f>
        <v>0</v>
      </c>
      <c r="J64" s="65">
        <f>K64+L64+M64+N64</f>
        <v>459865</v>
      </c>
      <c r="K64" s="3">
        <f>K47+K49+K51+K56+K58+K59+K60</f>
        <v>459865</v>
      </c>
      <c r="L64" s="3">
        <f>L47+L56+L49+L58+L60</f>
        <v>0</v>
      </c>
      <c r="M64" s="3">
        <f>M47+M56+M49+M58+M60</f>
        <v>0</v>
      </c>
      <c r="N64" s="79">
        <f>N47+N56+N49+N58+N60</f>
        <v>0</v>
      </c>
      <c r="O64" s="71">
        <f>P64+Q64+R64+S64</f>
        <v>262659</v>
      </c>
      <c r="P64" s="3">
        <f>P47+P49+P51+P56+P58+P59+P60</f>
        <v>262659</v>
      </c>
      <c r="Q64" s="3">
        <f>Q47+Q56+Q49+Q58+Q60</f>
        <v>0</v>
      </c>
      <c r="R64" s="3">
        <f>R47+R56+R49+R58+R60</f>
        <v>0</v>
      </c>
      <c r="S64" s="33">
        <f>S47+S56+S49+S58+S60</f>
        <v>0</v>
      </c>
      <c r="T64" s="28"/>
    </row>
    <row r="65" spans="1:23" s="10" customFormat="1" ht="42" customHeight="1" thickBot="1" x14ac:dyDescent="0.3">
      <c r="A65" s="130"/>
      <c r="B65" s="149"/>
      <c r="C65" s="49" t="s">
        <v>60</v>
      </c>
      <c r="D65" s="145"/>
      <c r="E65" s="75">
        <f>E54</f>
        <v>0</v>
      </c>
      <c r="F65" s="76">
        <f>F54</f>
        <v>0</v>
      </c>
      <c r="G65" s="76">
        <f t="shared" ref="G65:I65" si="15">G54</f>
        <v>0</v>
      </c>
      <c r="H65" s="76">
        <f t="shared" si="15"/>
        <v>0</v>
      </c>
      <c r="I65" s="77">
        <f t="shared" si="15"/>
        <v>0</v>
      </c>
      <c r="J65" s="91">
        <f>J54</f>
        <v>0</v>
      </c>
      <c r="K65" s="76">
        <f>K54</f>
        <v>0</v>
      </c>
      <c r="L65" s="76">
        <f t="shared" ref="L65:N65" si="16">L54</f>
        <v>0</v>
      </c>
      <c r="M65" s="76">
        <f t="shared" si="16"/>
        <v>0</v>
      </c>
      <c r="N65" s="92">
        <f t="shared" si="16"/>
        <v>0</v>
      </c>
      <c r="O65" s="75">
        <f>O54</f>
        <v>0</v>
      </c>
      <c r="P65" s="76">
        <f>P54</f>
        <v>0</v>
      </c>
      <c r="Q65" s="76">
        <f t="shared" ref="Q65:S65" si="17">Q54</f>
        <v>0</v>
      </c>
      <c r="R65" s="76">
        <f t="shared" si="17"/>
        <v>0</v>
      </c>
      <c r="S65" s="77">
        <f t="shared" si="17"/>
        <v>0</v>
      </c>
      <c r="T65" s="28"/>
    </row>
    <row r="66" spans="1:23" s="10" customFormat="1" ht="37.15" customHeight="1" thickBot="1" x14ac:dyDescent="0.3">
      <c r="A66" s="202" t="s">
        <v>70</v>
      </c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4"/>
      <c r="T66" s="27"/>
    </row>
    <row r="67" spans="1:23" s="10" customFormat="1" ht="54" customHeight="1" x14ac:dyDescent="0.25">
      <c r="A67" s="93" t="s">
        <v>101</v>
      </c>
      <c r="B67" s="99" t="s">
        <v>102</v>
      </c>
      <c r="C67" s="131" t="s">
        <v>59</v>
      </c>
      <c r="D67" s="124" t="s">
        <v>44</v>
      </c>
      <c r="E67" s="74">
        <f t="shared" ref="E67:E76" si="18">F67+G67+H67+I67</f>
        <v>51907</v>
      </c>
      <c r="F67" s="43">
        <f>8642+18385+2164+6981+4833+989+4761+5152</f>
        <v>51907</v>
      </c>
      <c r="G67" s="43">
        <v>0</v>
      </c>
      <c r="H67" s="43">
        <v>0</v>
      </c>
      <c r="I67" s="44">
        <v>0</v>
      </c>
      <c r="J67" s="64">
        <f t="shared" ref="J67:J76" si="19">K67+L67+M67+N67</f>
        <v>53940</v>
      </c>
      <c r="K67" s="43">
        <f>8974+19120+2251+7260+5026+1029+4944+5336</f>
        <v>53940</v>
      </c>
      <c r="L67" s="43">
        <v>0</v>
      </c>
      <c r="M67" s="43">
        <v>0</v>
      </c>
      <c r="N67" s="78">
        <v>0</v>
      </c>
      <c r="O67" s="74">
        <f t="shared" ref="O67:O76" si="20">P67+Q67+R67+S67</f>
        <v>54941</v>
      </c>
      <c r="P67" s="43">
        <f>9332+18775+2341+7551+5225+1070+5127+5520</f>
        <v>54941</v>
      </c>
      <c r="Q67" s="43">
        <v>0</v>
      </c>
      <c r="R67" s="43">
        <v>0</v>
      </c>
      <c r="S67" s="44">
        <v>0</v>
      </c>
      <c r="T67" s="27"/>
    </row>
    <row r="68" spans="1:23" s="10" customFormat="1" ht="54" customHeight="1" x14ac:dyDescent="0.25">
      <c r="A68" s="94" t="s">
        <v>103</v>
      </c>
      <c r="B68" s="123" t="s">
        <v>51</v>
      </c>
      <c r="C68" s="132" t="s">
        <v>59</v>
      </c>
      <c r="D68" s="107" t="s">
        <v>110</v>
      </c>
      <c r="E68" s="71">
        <f t="shared" si="18"/>
        <v>10373</v>
      </c>
      <c r="F68" s="3">
        <v>10373</v>
      </c>
      <c r="G68" s="3">
        <v>0</v>
      </c>
      <c r="H68" s="3">
        <v>0</v>
      </c>
      <c r="I68" s="33">
        <v>0</v>
      </c>
      <c r="J68" s="65">
        <f t="shared" si="19"/>
        <v>10788</v>
      </c>
      <c r="K68" s="3">
        <v>10788</v>
      </c>
      <c r="L68" s="3">
        <v>0</v>
      </c>
      <c r="M68" s="3">
        <v>0</v>
      </c>
      <c r="N68" s="79">
        <v>0</v>
      </c>
      <c r="O68" s="71">
        <f t="shared" si="20"/>
        <v>0</v>
      </c>
      <c r="P68" s="3">
        <v>0</v>
      </c>
      <c r="Q68" s="3">
        <v>0</v>
      </c>
      <c r="R68" s="3">
        <v>0</v>
      </c>
      <c r="S68" s="33">
        <v>0</v>
      </c>
      <c r="T68" s="27"/>
    </row>
    <row r="69" spans="1:23" s="10" customFormat="1" ht="54" customHeight="1" x14ac:dyDescent="0.25">
      <c r="A69" s="94" t="s">
        <v>104</v>
      </c>
      <c r="B69" s="123" t="s">
        <v>52</v>
      </c>
      <c r="C69" s="132" t="s">
        <v>59</v>
      </c>
      <c r="D69" s="107" t="s">
        <v>50</v>
      </c>
      <c r="E69" s="71">
        <f t="shared" si="18"/>
        <v>35439</v>
      </c>
      <c r="F69" s="3">
        <v>35439</v>
      </c>
      <c r="G69" s="3">
        <v>0</v>
      </c>
      <c r="H69" s="3">
        <v>0</v>
      </c>
      <c r="I69" s="33">
        <v>0</v>
      </c>
      <c r="J69" s="65">
        <f t="shared" si="19"/>
        <v>60368</v>
      </c>
      <c r="K69" s="3">
        <v>60368</v>
      </c>
      <c r="L69" s="3">
        <v>0</v>
      </c>
      <c r="M69" s="3">
        <v>0</v>
      </c>
      <c r="N69" s="79">
        <v>0</v>
      </c>
      <c r="O69" s="71">
        <f t="shared" si="20"/>
        <v>0</v>
      </c>
      <c r="P69" s="3">
        <v>0</v>
      </c>
      <c r="Q69" s="3">
        <v>0</v>
      </c>
      <c r="R69" s="3">
        <v>0</v>
      </c>
      <c r="S69" s="33">
        <v>0</v>
      </c>
      <c r="T69" s="27"/>
    </row>
    <row r="70" spans="1:23" s="10" customFormat="1" ht="48.75" customHeight="1" x14ac:dyDescent="0.25">
      <c r="A70" s="94" t="s">
        <v>105</v>
      </c>
      <c r="B70" s="123" t="s">
        <v>53</v>
      </c>
      <c r="C70" s="132" t="s">
        <v>60</v>
      </c>
      <c r="D70" s="107" t="s">
        <v>44</v>
      </c>
      <c r="E70" s="71">
        <f t="shared" si="18"/>
        <v>21589</v>
      </c>
      <c r="F70" s="3">
        <f>21163+426</f>
        <v>21589</v>
      </c>
      <c r="G70" s="3">
        <v>0</v>
      </c>
      <c r="H70" s="3">
        <v>0</v>
      </c>
      <c r="I70" s="33">
        <v>0</v>
      </c>
      <c r="J70" s="65">
        <f t="shared" si="19"/>
        <v>22452</v>
      </c>
      <c r="K70" s="3">
        <f>22009+443</f>
        <v>22452</v>
      </c>
      <c r="L70" s="3">
        <v>0</v>
      </c>
      <c r="M70" s="3">
        <v>0</v>
      </c>
      <c r="N70" s="79">
        <v>0</v>
      </c>
      <c r="O70" s="71">
        <f t="shared" si="20"/>
        <v>23350</v>
      </c>
      <c r="P70" s="3">
        <v>23350</v>
      </c>
      <c r="Q70" s="3">
        <v>0</v>
      </c>
      <c r="R70" s="3">
        <v>0</v>
      </c>
      <c r="S70" s="33">
        <v>0</v>
      </c>
      <c r="T70" s="27"/>
    </row>
    <row r="71" spans="1:23" s="10" customFormat="1" ht="54" customHeight="1" thickBot="1" x14ac:dyDescent="0.3">
      <c r="A71" s="95" t="s">
        <v>106</v>
      </c>
      <c r="B71" s="120" t="s">
        <v>54</v>
      </c>
      <c r="C71" s="133" t="s">
        <v>59</v>
      </c>
      <c r="D71" s="113" t="s">
        <v>44</v>
      </c>
      <c r="E71" s="72">
        <f t="shared" si="18"/>
        <v>6632</v>
      </c>
      <c r="F71" s="55">
        <v>6632</v>
      </c>
      <c r="G71" s="55">
        <v>0</v>
      </c>
      <c r="H71" s="55">
        <v>0</v>
      </c>
      <c r="I71" s="56">
        <v>0</v>
      </c>
      <c r="J71" s="66">
        <f t="shared" si="19"/>
        <v>6898</v>
      </c>
      <c r="K71" s="55">
        <v>6898</v>
      </c>
      <c r="L71" s="55">
        <v>0</v>
      </c>
      <c r="M71" s="55">
        <v>0</v>
      </c>
      <c r="N71" s="80">
        <v>0</v>
      </c>
      <c r="O71" s="72">
        <f t="shared" si="20"/>
        <v>7174</v>
      </c>
      <c r="P71" s="55">
        <v>7174</v>
      </c>
      <c r="Q71" s="55">
        <v>0</v>
      </c>
      <c r="R71" s="55">
        <v>0</v>
      </c>
      <c r="S71" s="56">
        <v>0</v>
      </c>
      <c r="T71" s="27"/>
    </row>
    <row r="72" spans="1:23" s="13" customFormat="1" ht="37.15" customHeight="1" thickBot="1" x14ac:dyDescent="0.3">
      <c r="A72" s="194" t="s">
        <v>72</v>
      </c>
      <c r="B72" s="195"/>
      <c r="C72" s="195"/>
      <c r="D72" s="196"/>
      <c r="E72" s="73">
        <f t="shared" si="18"/>
        <v>125940</v>
      </c>
      <c r="F72" s="57">
        <f>SUM(F67:F71)</f>
        <v>125940</v>
      </c>
      <c r="G72" s="57">
        <f>SUM(G67:G71)</f>
        <v>0</v>
      </c>
      <c r="H72" s="57">
        <f>SUM(H67:H71)</f>
        <v>0</v>
      </c>
      <c r="I72" s="58">
        <f>SUM(I67:I71)</f>
        <v>0</v>
      </c>
      <c r="J72" s="67">
        <f t="shared" si="19"/>
        <v>154446</v>
      </c>
      <c r="K72" s="57">
        <f>SUM(K67:K71)</f>
        <v>154446</v>
      </c>
      <c r="L72" s="57">
        <f>SUM(L67:L71)</f>
        <v>0</v>
      </c>
      <c r="M72" s="57">
        <f>SUM(M67:M71)</f>
        <v>0</v>
      </c>
      <c r="N72" s="81">
        <f>SUM(N67:N71)</f>
        <v>0</v>
      </c>
      <c r="O72" s="73">
        <f t="shared" si="20"/>
        <v>85465</v>
      </c>
      <c r="P72" s="57">
        <f>SUM(P67:P71)</f>
        <v>85465</v>
      </c>
      <c r="Q72" s="57">
        <f>SUM(Q67:Q71)</f>
        <v>0</v>
      </c>
      <c r="R72" s="57">
        <f>SUM(R67:R71)</f>
        <v>0</v>
      </c>
      <c r="S72" s="58">
        <f>SUM(S67:S71)</f>
        <v>0</v>
      </c>
      <c r="T72" s="26"/>
    </row>
    <row r="73" spans="1:23" s="10" customFormat="1" ht="41.25" customHeight="1" thickBot="1" x14ac:dyDescent="0.3">
      <c r="A73" s="194" t="s">
        <v>33</v>
      </c>
      <c r="B73" s="195"/>
      <c r="C73" s="195"/>
      <c r="D73" s="196"/>
      <c r="E73" s="73">
        <f t="shared" si="18"/>
        <v>1613022</v>
      </c>
      <c r="F73" s="57">
        <f>F17+F28+F38+F44+F62+F72</f>
        <v>1611398</v>
      </c>
      <c r="G73" s="57">
        <f>G17+G28+G38+G44+G62+G72</f>
        <v>0</v>
      </c>
      <c r="H73" s="57">
        <f>H17+H28+H38+H44+H62+H72</f>
        <v>0</v>
      </c>
      <c r="I73" s="58">
        <f>I17+I28+I38+I44+I62+I72</f>
        <v>1624</v>
      </c>
      <c r="J73" s="67">
        <f t="shared" si="19"/>
        <v>1710664</v>
      </c>
      <c r="K73" s="57">
        <f>K17+K28+K38+K44+K62+K72</f>
        <v>1709040</v>
      </c>
      <c r="L73" s="57">
        <f>L17+L28+L38+L44+L62+L72</f>
        <v>0</v>
      </c>
      <c r="M73" s="57">
        <f>M17+M28+M38+M44+M62+M72</f>
        <v>0</v>
      </c>
      <c r="N73" s="81">
        <f>N17+N28+N38+N44+N62+N72</f>
        <v>1624</v>
      </c>
      <c r="O73" s="73">
        <f t="shared" si="20"/>
        <v>1448506</v>
      </c>
      <c r="P73" s="57">
        <f>P17+P28+P38+P44+P62+P72</f>
        <v>1446882</v>
      </c>
      <c r="Q73" s="57">
        <f>Q17+Q28+Q38+Q44+Q62+Q72</f>
        <v>0</v>
      </c>
      <c r="R73" s="57">
        <f>R17+R28+R38+R44+R62+R72</f>
        <v>0</v>
      </c>
      <c r="S73" s="58">
        <f>S17+S28+S38+S44+S62+S72</f>
        <v>1624</v>
      </c>
      <c r="T73" s="31"/>
      <c r="U73" s="15"/>
      <c r="V73" s="15"/>
      <c r="W73" s="8"/>
    </row>
    <row r="74" spans="1:23" s="10" customFormat="1" ht="34.9" customHeight="1" x14ac:dyDescent="0.25">
      <c r="A74" s="138"/>
      <c r="B74" s="142" t="s">
        <v>55</v>
      </c>
      <c r="C74" s="96" t="s">
        <v>9</v>
      </c>
      <c r="D74" s="62"/>
      <c r="E74" s="74">
        <f t="shared" si="18"/>
        <v>914820</v>
      </c>
      <c r="F74" s="43">
        <f>F18+F29+F39+F44+F63</f>
        <v>913196</v>
      </c>
      <c r="G74" s="43">
        <f>G18+G29+G39+G44+G63</f>
        <v>0</v>
      </c>
      <c r="H74" s="43">
        <f>H18+H29+H39+H44+H63</f>
        <v>0</v>
      </c>
      <c r="I74" s="44">
        <f>I18+I29+I39+I44+I63</f>
        <v>1624</v>
      </c>
      <c r="J74" s="64">
        <f t="shared" si="19"/>
        <v>975156</v>
      </c>
      <c r="K74" s="43">
        <f>K18+K29+K39+K44+K63</f>
        <v>973532</v>
      </c>
      <c r="L74" s="43">
        <f>L18+L29+L39+L44+L63</f>
        <v>0</v>
      </c>
      <c r="M74" s="43">
        <f>M18+M29+M39+M44+M63</f>
        <v>0</v>
      </c>
      <c r="N74" s="78">
        <f>N18+N29+N39+N44+N63</f>
        <v>1624</v>
      </c>
      <c r="O74" s="74">
        <f t="shared" si="20"/>
        <v>974337</v>
      </c>
      <c r="P74" s="43">
        <f>P18+P29+P39+P44+P63</f>
        <v>972713</v>
      </c>
      <c r="Q74" s="43">
        <f>Q18+Q29+Q39+Q44+Q63</f>
        <v>0</v>
      </c>
      <c r="R74" s="43">
        <f>R18+R29+R39+R44+R63</f>
        <v>0</v>
      </c>
      <c r="S74" s="44">
        <f>S18+S29+S39+S44+S63</f>
        <v>1624</v>
      </c>
      <c r="T74" s="27"/>
    </row>
    <row r="75" spans="1:23" s="10" customFormat="1" ht="42.75" customHeight="1" x14ac:dyDescent="0.25">
      <c r="A75" s="139"/>
      <c r="B75" s="143"/>
      <c r="C75" s="97" t="s">
        <v>58</v>
      </c>
      <c r="D75" s="63"/>
      <c r="E75" s="71">
        <f t="shared" si="18"/>
        <v>572262</v>
      </c>
      <c r="F75" s="3">
        <f>F19+F30+F40+F64</f>
        <v>572262</v>
      </c>
      <c r="G75" s="3">
        <f>G47+G49+G51+G56+G58+G59+G60</f>
        <v>0</v>
      </c>
      <c r="H75" s="3">
        <f>H47+H49+H51+H56+H58+H59+H60</f>
        <v>0</v>
      </c>
      <c r="I75" s="33">
        <f>I47+I49+I51+I56+I58+I59+I60</f>
        <v>0</v>
      </c>
      <c r="J75" s="65">
        <f t="shared" si="19"/>
        <v>581062</v>
      </c>
      <c r="K75" s="3">
        <f>K19+K30+K40+K64</f>
        <v>581062</v>
      </c>
      <c r="L75" s="3">
        <f>L19+L30+L40+L64</f>
        <v>0</v>
      </c>
      <c r="M75" s="3">
        <f>M19+M30+M40+M64</f>
        <v>0</v>
      </c>
      <c r="N75" s="79">
        <f>N19+N30+N40+N64</f>
        <v>0</v>
      </c>
      <c r="O75" s="71">
        <f t="shared" si="20"/>
        <v>388704</v>
      </c>
      <c r="P75" s="3">
        <f>P19+P30+P40+P64</f>
        <v>388704</v>
      </c>
      <c r="Q75" s="3">
        <f>Q19+Q30+Q40+Q64</f>
        <v>0</v>
      </c>
      <c r="R75" s="3">
        <f>R19+R30+R40+R64</f>
        <v>0</v>
      </c>
      <c r="S75" s="33">
        <f>S19+S30+S40+S64</f>
        <v>0</v>
      </c>
      <c r="T75" s="27"/>
    </row>
    <row r="76" spans="1:23" s="19" customFormat="1" ht="49.9" customHeight="1" thickBot="1" x14ac:dyDescent="0.3">
      <c r="A76" s="140"/>
      <c r="B76" s="144"/>
      <c r="C76" s="141" t="s">
        <v>59</v>
      </c>
      <c r="D76" s="134"/>
      <c r="E76" s="136">
        <f t="shared" si="18"/>
        <v>125940</v>
      </c>
      <c r="F76" s="34">
        <f>F72</f>
        <v>125940</v>
      </c>
      <c r="G76" s="34">
        <f t="shared" ref="G76:I76" si="21">G72</f>
        <v>0</v>
      </c>
      <c r="H76" s="34">
        <f t="shared" si="21"/>
        <v>0</v>
      </c>
      <c r="I76" s="35">
        <f t="shared" si="21"/>
        <v>0</v>
      </c>
      <c r="J76" s="135">
        <f t="shared" si="19"/>
        <v>154446</v>
      </c>
      <c r="K76" s="34">
        <f>K72</f>
        <v>154446</v>
      </c>
      <c r="L76" s="34">
        <f t="shared" ref="L76:N76" si="22">L72</f>
        <v>0</v>
      </c>
      <c r="M76" s="34">
        <f t="shared" si="22"/>
        <v>0</v>
      </c>
      <c r="N76" s="137">
        <f t="shared" si="22"/>
        <v>0</v>
      </c>
      <c r="O76" s="136">
        <f t="shared" si="20"/>
        <v>85465</v>
      </c>
      <c r="P76" s="34">
        <f>P72</f>
        <v>85465</v>
      </c>
      <c r="Q76" s="34">
        <f t="shared" ref="Q76:S76" si="23">Q72</f>
        <v>0</v>
      </c>
      <c r="R76" s="34">
        <f t="shared" si="23"/>
        <v>0</v>
      </c>
      <c r="S76" s="35">
        <f t="shared" si="23"/>
        <v>0</v>
      </c>
      <c r="T76" s="30"/>
      <c r="U76" s="17"/>
    </row>
    <row r="77" spans="1:23" s="1" customFormat="1" ht="33" customHeight="1" x14ac:dyDescent="0.25">
      <c r="B77" s="242" t="s">
        <v>34</v>
      </c>
      <c r="C77" s="242"/>
      <c r="D77" s="242"/>
      <c r="E77" s="242"/>
      <c r="F77" s="242"/>
      <c r="G77" s="242"/>
      <c r="H77" s="242"/>
      <c r="I77" s="242"/>
      <c r="J77" s="242"/>
      <c r="K77" s="242"/>
      <c r="L77" s="242"/>
      <c r="M77" s="242"/>
      <c r="N77" s="242"/>
      <c r="O77" s="162"/>
      <c r="P77" s="162"/>
      <c r="Q77" s="162"/>
      <c r="T77" s="7"/>
      <c r="U77" s="16"/>
    </row>
    <row r="78" spans="1:23" s="1" customFormat="1" ht="33" customHeight="1" x14ac:dyDescent="0.25">
      <c r="B78" s="16"/>
      <c r="C78" s="16"/>
      <c r="D78" s="16"/>
      <c r="E78" s="154"/>
      <c r="F78" s="154"/>
      <c r="G78" s="5"/>
      <c r="J78" s="5"/>
      <c r="K78" s="5"/>
      <c r="L78" s="5"/>
      <c r="M78" s="5"/>
      <c r="N78" s="5"/>
      <c r="T78" s="7"/>
      <c r="U78" s="16"/>
    </row>
    <row r="79" spans="1:23" ht="39.6" customHeight="1" x14ac:dyDescent="0.25"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2" spans="5:7" x14ac:dyDescent="0.25">
      <c r="E82" s="4"/>
    </row>
    <row r="83" spans="5:7" ht="33" customHeight="1" x14ac:dyDescent="0.25"/>
    <row r="84" spans="5:7" x14ac:dyDescent="0.25">
      <c r="G84" s="4"/>
    </row>
  </sheetData>
  <mergeCells count="44">
    <mergeCell ref="A66:S66"/>
    <mergeCell ref="A62:D62"/>
    <mergeCell ref="A72:D72"/>
    <mergeCell ref="A73:D73"/>
    <mergeCell ref="B77:N77"/>
    <mergeCell ref="A50:A51"/>
    <mergeCell ref="B50:B51"/>
    <mergeCell ref="A53:A54"/>
    <mergeCell ref="B53:B54"/>
    <mergeCell ref="A55:A56"/>
    <mergeCell ref="B55:B56"/>
    <mergeCell ref="A41:S41"/>
    <mergeCell ref="A45:S45"/>
    <mergeCell ref="A46:A47"/>
    <mergeCell ref="B46:B47"/>
    <mergeCell ref="A48:A49"/>
    <mergeCell ref="B48:B49"/>
    <mergeCell ref="A44:D44"/>
    <mergeCell ref="A38:D38"/>
    <mergeCell ref="A20:S20"/>
    <mergeCell ref="A22:A23"/>
    <mergeCell ref="B22:B23"/>
    <mergeCell ref="A24:A25"/>
    <mergeCell ref="B24:B25"/>
    <mergeCell ref="A26:A27"/>
    <mergeCell ref="B26:B27"/>
    <mergeCell ref="D26:D27"/>
    <mergeCell ref="A31:S31"/>
    <mergeCell ref="A28:D28"/>
    <mergeCell ref="P1:S1"/>
    <mergeCell ref="A17:D17"/>
    <mergeCell ref="O4:S4"/>
    <mergeCell ref="A7:S7"/>
    <mergeCell ref="A8:S8"/>
    <mergeCell ref="A13:A14"/>
    <mergeCell ref="B13:B14"/>
    <mergeCell ref="D13:D14"/>
    <mergeCell ref="A3:A5"/>
    <mergeCell ref="B3:B5"/>
    <mergeCell ref="C3:C5"/>
    <mergeCell ref="D3:D5"/>
    <mergeCell ref="E3:S3"/>
    <mergeCell ref="E4:I4"/>
    <mergeCell ref="J4:N4"/>
  </mergeCells>
  <printOptions horizontalCentered="1"/>
  <pageMargins left="0.15748031496062992" right="0.15748031496062992" top="0.43307086614173229" bottom="0.35433070866141736" header="0.31496062992125984" footer="0.31496062992125984"/>
  <pageSetup paperSize="9" scale="60" firstPageNumber="13" orientation="landscape" useFirstPageNumber="1" r:id="rId1"/>
  <headerFooter>
    <oddHeader>&amp;C&amp;10&amp;P</oddHeader>
  </headerFooter>
  <rowBreaks count="5" manualBreakCount="5">
    <brk id="19" max="18" man="1"/>
    <brk id="34" max="18" man="1"/>
    <brk id="47" max="18" man="1"/>
    <brk id="60" max="18" man="1"/>
    <brk id="79" max="3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2"/>
  <sheetViews>
    <sheetView topLeftCell="A25" zoomScale="60" zoomScaleNormal="60" workbookViewId="0">
      <selection activeCell="F31" sqref="F31"/>
    </sheetView>
  </sheetViews>
  <sheetFormatPr defaultColWidth="9.140625" defaultRowHeight="15.75" x14ac:dyDescent="0.25"/>
  <cols>
    <col min="1" max="1" width="6.28515625" style="2" customWidth="1"/>
    <col min="2" max="2" width="44.5703125" style="2" customWidth="1"/>
    <col min="3" max="3" width="14.85546875" style="2" customWidth="1"/>
    <col min="4" max="4" width="7.7109375" style="2" customWidth="1"/>
    <col min="5" max="5" width="10.85546875" style="2" customWidth="1"/>
    <col min="6" max="6" width="13" style="2" bestFit="1" customWidth="1"/>
    <col min="7" max="7" width="10" style="2" customWidth="1"/>
    <col min="8" max="8" width="9.5703125" style="2" customWidth="1"/>
    <col min="9" max="9" width="12.28515625" style="2" customWidth="1"/>
    <col min="10" max="10" width="12.28515625" style="6" bestFit="1" customWidth="1"/>
    <col min="11" max="11" width="14.42578125" style="2" bestFit="1" customWidth="1"/>
    <col min="12" max="13" width="14" style="2" bestFit="1" customWidth="1"/>
    <col min="14" max="16384" width="9.140625" style="2"/>
  </cols>
  <sheetData>
    <row r="1" spans="1:11" ht="21.75" customHeight="1" x14ac:dyDescent="0.25">
      <c r="F1" s="243" t="s">
        <v>127</v>
      </c>
      <c r="G1" s="243"/>
      <c r="H1" s="243"/>
      <c r="I1" s="243"/>
    </row>
    <row r="2" spans="1:11" ht="18" customHeight="1" thickBot="1" x14ac:dyDescent="0.3"/>
    <row r="3" spans="1:11" s="10" customFormat="1" ht="53.25" customHeight="1" thickBot="1" x14ac:dyDescent="0.3">
      <c r="A3" s="229" t="s">
        <v>109</v>
      </c>
      <c r="B3" s="172" t="s">
        <v>0</v>
      </c>
      <c r="C3" s="183" t="s">
        <v>1</v>
      </c>
      <c r="D3" s="187" t="s">
        <v>2</v>
      </c>
      <c r="E3" s="244" t="s">
        <v>126</v>
      </c>
      <c r="F3" s="245"/>
      <c r="G3" s="245"/>
      <c r="H3" s="245"/>
      <c r="I3" s="246"/>
      <c r="J3" s="21"/>
    </row>
    <row r="4" spans="1:11" s="10" customFormat="1" ht="90" customHeight="1" thickBot="1" x14ac:dyDescent="0.3">
      <c r="A4" s="231"/>
      <c r="B4" s="174"/>
      <c r="C4" s="233"/>
      <c r="D4" s="235"/>
      <c r="E4" s="54" t="s">
        <v>4</v>
      </c>
      <c r="F4" s="38" t="s">
        <v>5</v>
      </c>
      <c r="G4" s="38" t="s">
        <v>6</v>
      </c>
      <c r="H4" s="38" t="s">
        <v>7</v>
      </c>
      <c r="I4" s="39" t="s">
        <v>8</v>
      </c>
      <c r="J4" s="21"/>
    </row>
    <row r="5" spans="1:11" s="10" customFormat="1" ht="15.75" customHeight="1" thickBot="1" x14ac:dyDescent="0.3">
      <c r="A5" s="45">
        <v>1</v>
      </c>
      <c r="B5" s="47">
        <v>2</v>
      </c>
      <c r="C5" s="40">
        <v>3</v>
      </c>
      <c r="D5" s="42">
        <v>4</v>
      </c>
      <c r="E5" s="40">
        <v>5</v>
      </c>
      <c r="F5" s="41">
        <v>6</v>
      </c>
      <c r="G5" s="41">
        <v>7</v>
      </c>
      <c r="H5" s="41">
        <v>8</v>
      </c>
      <c r="I5" s="42">
        <v>9</v>
      </c>
      <c r="J5" s="21"/>
    </row>
    <row r="6" spans="1:11" s="10" customFormat="1" ht="36.75" customHeight="1" thickBot="1" x14ac:dyDescent="0.3">
      <c r="A6" s="226" t="s">
        <v>42</v>
      </c>
      <c r="B6" s="227"/>
      <c r="C6" s="227"/>
      <c r="D6" s="227"/>
      <c r="E6" s="227"/>
      <c r="F6" s="227"/>
      <c r="G6" s="227"/>
      <c r="H6" s="227"/>
      <c r="I6" s="228"/>
      <c r="J6" s="21"/>
    </row>
    <row r="7" spans="1:11" s="10" customFormat="1" ht="21" customHeight="1" thickBot="1" x14ac:dyDescent="0.3">
      <c r="A7" s="164" t="s">
        <v>20</v>
      </c>
      <c r="B7" s="165"/>
      <c r="C7" s="165"/>
      <c r="D7" s="165"/>
      <c r="E7" s="165"/>
      <c r="F7" s="165"/>
      <c r="G7" s="165"/>
      <c r="H7" s="165"/>
      <c r="I7" s="166"/>
      <c r="J7" s="21"/>
    </row>
    <row r="8" spans="1:11" s="10" customFormat="1" ht="174.75" customHeight="1" x14ac:dyDescent="0.25">
      <c r="A8" s="93" t="s">
        <v>14</v>
      </c>
      <c r="B8" s="99" t="s">
        <v>115</v>
      </c>
      <c r="C8" s="96" t="s">
        <v>9</v>
      </c>
      <c r="D8" s="59" t="s">
        <v>108</v>
      </c>
      <c r="E8" s="68">
        <f>F8+G8+H8+I8</f>
        <v>66408</v>
      </c>
      <c r="F8" s="69">
        <v>66408</v>
      </c>
      <c r="G8" s="69">
        <v>0</v>
      </c>
      <c r="H8" s="69">
        <v>0</v>
      </c>
      <c r="I8" s="70">
        <v>0</v>
      </c>
      <c r="J8" s="21"/>
    </row>
    <row r="9" spans="1:11" s="10" customFormat="1" ht="66.599999999999994" customHeight="1" x14ac:dyDescent="0.25">
      <c r="A9" s="94" t="s">
        <v>66</v>
      </c>
      <c r="B9" s="100" t="s">
        <v>116</v>
      </c>
      <c r="C9" s="97" t="s">
        <v>9</v>
      </c>
      <c r="D9" s="60" t="s">
        <v>44</v>
      </c>
      <c r="E9" s="71">
        <f>F9+G9+H9+I9</f>
        <v>428927</v>
      </c>
      <c r="F9" s="3">
        <v>428927</v>
      </c>
      <c r="G9" s="3">
        <v>0</v>
      </c>
      <c r="H9" s="3">
        <v>0</v>
      </c>
      <c r="I9" s="33">
        <v>0</v>
      </c>
      <c r="J9" s="22"/>
      <c r="K9" s="11"/>
    </row>
    <row r="10" spans="1:11" s="10" customFormat="1" ht="54" customHeight="1" x14ac:dyDescent="0.25">
      <c r="A10" s="94" t="s">
        <v>15</v>
      </c>
      <c r="B10" s="100" t="s">
        <v>35</v>
      </c>
      <c r="C10" s="97" t="s">
        <v>9</v>
      </c>
      <c r="D10" s="60" t="s">
        <v>61</v>
      </c>
      <c r="E10" s="71">
        <f>F10+G10+H10+I10</f>
        <v>387073</v>
      </c>
      <c r="F10" s="3">
        <v>387073</v>
      </c>
      <c r="G10" s="3">
        <v>0</v>
      </c>
      <c r="H10" s="3">
        <v>0</v>
      </c>
      <c r="I10" s="33">
        <v>0</v>
      </c>
      <c r="J10" s="23"/>
      <c r="K10" s="11"/>
    </row>
    <row r="11" spans="1:11" s="10" customFormat="1" ht="45.6" customHeight="1" x14ac:dyDescent="0.25">
      <c r="A11" s="94" t="s">
        <v>16</v>
      </c>
      <c r="B11" s="100" t="s">
        <v>74</v>
      </c>
      <c r="C11" s="97" t="s">
        <v>9</v>
      </c>
      <c r="D11" s="60" t="s">
        <v>43</v>
      </c>
      <c r="E11" s="71">
        <f>F11+G11+H11+I11</f>
        <v>811007</v>
      </c>
      <c r="F11" s="3">
        <v>811007</v>
      </c>
      <c r="G11" s="3">
        <v>0</v>
      </c>
      <c r="H11" s="3">
        <v>0</v>
      </c>
      <c r="I11" s="33">
        <v>0</v>
      </c>
      <c r="J11" s="21"/>
    </row>
    <row r="12" spans="1:11" s="10" customFormat="1" ht="36" customHeight="1" x14ac:dyDescent="0.25">
      <c r="A12" s="167" t="s">
        <v>85</v>
      </c>
      <c r="B12" s="168" t="s">
        <v>63</v>
      </c>
      <c r="C12" s="97" t="s">
        <v>9</v>
      </c>
      <c r="D12" s="188" t="s">
        <v>44</v>
      </c>
      <c r="E12" s="71">
        <f>F12+G12+H12+I12</f>
        <v>18394</v>
      </c>
      <c r="F12" s="3">
        <v>18394</v>
      </c>
      <c r="G12" s="3">
        <v>0</v>
      </c>
      <c r="H12" s="3">
        <v>0</v>
      </c>
      <c r="I12" s="33">
        <v>0</v>
      </c>
      <c r="J12" s="21"/>
    </row>
    <row r="13" spans="1:11" s="10" customFormat="1" ht="46.5" customHeight="1" x14ac:dyDescent="0.25">
      <c r="A13" s="167"/>
      <c r="B13" s="168"/>
      <c r="C13" s="97" t="s">
        <v>57</v>
      </c>
      <c r="D13" s="188"/>
      <c r="E13" s="71">
        <f t="shared" ref="E13" si="0">F13+G13+H13+I13</f>
        <v>14160</v>
      </c>
      <c r="F13" s="3">
        <v>14160</v>
      </c>
      <c r="G13" s="3">
        <v>0</v>
      </c>
      <c r="H13" s="3">
        <v>0</v>
      </c>
      <c r="I13" s="33">
        <v>0</v>
      </c>
      <c r="J13" s="21"/>
    </row>
    <row r="14" spans="1:11" s="10" customFormat="1" ht="54" customHeight="1" x14ac:dyDescent="0.25">
      <c r="A14" s="94" t="s">
        <v>64</v>
      </c>
      <c r="B14" s="100" t="s">
        <v>75</v>
      </c>
      <c r="C14" s="97" t="s">
        <v>9</v>
      </c>
      <c r="D14" s="60" t="s">
        <v>44</v>
      </c>
      <c r="E14" s="71">
        <f>F14+G14+H14+I14</f>
        <v>207026</v>
      </c>
      <c r="F14" s="3">
        <v>207026</v>
      </c>
      <c r="G14" s="3">
        <v>0</v>
      </c>
      <c r="H14" s="3">
        <v>0</v>
      </c>
      <c r="I14" s="33">
        <v>0</v>
      </c>
      <c r="J14" s="21"/>
    </row>
    <row r="15" spans="1:11" s="10" customFormat="1" ht="54" customHeight="1" thickBot="1" x14ac:dyDescent="0.3">
      <c r="A15" s="95" t="s">
        <v>65</v>
      </c>
      <c r="B15" s="110" t="s">
        <v>107</v>
      </c>
      <c r="C15" s="98" t="s">
        <v>9</v>
      </c>
      <c r="D15" s="61" t="s">
        <v>44</v>
      </c>
      <c r="E15" s="72">
        <f>F15+I15</f>
        <v>436599</v>
      </c>
      <c r="F15" s="55">
        <v>423500</v>
      </c>
      <c r="G15" s="55">
        <v>0</v>
      </c>
      <c r="H15" s="55">
        <v>0</v>
      </c>
      <c r="I15" s="56">
        <v>13099</v>
      </c>
      <c r="J15" s="24"/>
    </row>
    <row r="16" spans="1:11" s="13" customFormat="1" ht="35.25" customHeight="1" thickBot="1" x14ac:dyDescent="0.3">
      <c r="A16" s="220" t="s">
        <v>10</v>
      </c>
      <c r="B16" s="221"/>
      <c r="C16" s="221"/>
      <c r="D16" s="222"/>
      <c r="E16" s="73">
        <f>F16+I16</f>
        <v>2369594</v>
      </c>
      <c r="F16" s="57">
        <f>SUM(F8:F15)</f>
        <v>2356495</v>
      </c>
      <c r="G16" s="57">
        <f>SUM(G8:G15)</f>
        <v>0</v>
      </c>
      <c r="H16" s="57">
        <f>SUM(H8:H15)</f>
        <v>0</v>
      </c>
      <c r="I16" s="58">
        <f>SUM(I8:I15)</f>
        <v>13099</v>
      </c>
      <c r="J16" s="25"/>
      <c r="K16" s="12"/>
    </row>
    <row r="17" spans="1:11" s="10" customFormat="1" ht="32.450000000000003" customHeight="1" x14ac:dyDescent="0.25">
      <c r="A17" s="102"/>
      <c r="B17" s="105" t="s">
        <v>55</v>
      </c>
      <c r="C17" s="104" t="s">
        <v>9</v>
      </c>
      <c r="D17" s="85"/>
      <c r="E17" s="68">
        <f>F17+G17+H17+I17</f>
        <v>2355434</v>
      </c>
      <c r="F17" s="69">
        <f>F8+F9+F11+F14+F15+F12+F10</f>
        <v>2342335</v>
      </c>
      <c r="G17" s="69">
        <f>G8+G9</f>
        <v>0</v>
      </c>
      <c r="H17" s="69">
        <f>H8+H9</f>
        <v>0</v>
      </c>
      <c r="I17" s="70">
        <f>I16</f>
        <v>13099</v>
      </c>
      <c r="J17" s="26"/>
      <c r="K17" s="14"/>
    </row>
    <row r="18" spans="1:11" s="10" customFormat="1" ht="51.6" customHeight="1" thickBot="1" x14ac:dyDescent="0.3">
      <c r="A18" s="103"/>
      <c r="B18" s="106"/>
      <c r="C18" s="49" t="s">
        <v>57</v>
      </c>
      <c r="D18" s="90"/>
      <c r="E18" s="75">
        <f>F18+G18+H18+I18</f>
        <v>14160</v>
      </c>
      <c r="F18" s="76">
        <f>F13</f>
        <v>14160</v>
      </c>
      <c r="G18" s="76">
        <f>G10</f>
        <v>0</v>
      </c>
      <c r="H18" s="76">
        <f>H10</f>
        <v>0</v>
      </c>
      <c r="I18" s="77">
        <f>I10</f>
        <v>0</v>
      </c>
      <c r="J18" s="26"/>
    </row>
    <row r="19" spans="1:11" s="10" customFormat="1" ht="30" customHeight="1" thickBot="1" x14ac:dyDescent="0.3">
      <c r="A19" s="164" t="s">
        <v>77</v>
      </c>
      <c r="B19" s="165"/>
      <c r="C19" s="165"/>
      <c r="D19" s="165"/>
      <c r="E19" s="165"/>
      <c r="F19" s="165"/>
      <c r="G19" s="165"/>
      <c r="H19" s="165"/>
      <c r="I19" s="166"/>
      <c r="J19" s="24"/>
    </row>
    <row r="20" spans="1:11" s="10" customFormat="1" ht="66" customHeight="1" x14ac:dyDescent="0.25">
      <c r="A20" s="93" t="s">
        <v>17</v>
      </c>
      <c r="B20" s="99" t="s">
        <v>76</v>
      </c>
      <c r="C20" s="96" t="s">
        <v>9</v>
      </c>
      <c r="D20" s="59" t="s">
        <v>44</v>
      </c>
      <c r="E20" s="68">
        <f>F20</f>
        <v>296065</v>
      </c>
      <c r="F20" s="69">
        <v>296065</v>
      </c>
      <c r="G20" s="69">
        <v>0</v>
      </c>
      <c r="H20" s="69">
        <v>0</v>
      </c>
      <c r="I20" s="70">
        <v>0</v>
      </c>
      <c r="J20" s="21"/>
    </row>
    <row r="21" spans="1:11" s="10" customFormat="1" ht="49.15" customHeight="1" x14ac:dyDescent="0.25">
      <c r="A21" s="167" t="s">
        <v>86</v>
      </c>
      <c r="B21" s="168" t="s">
        <v>87</v>
      </c>
      <c r="C21" s="97" t="s">
        <v>9</v>
      </c>
      <c r="D21" s="107" t="s">
        <v>44</v>
      </c>
      <c r="E21" s="71">
        <f t="shared" ref="E21:E29" si="1">F21+G21+H21+I21</f>
        <v>21951</v>
      </c>
      <c r="F21" s="3">
        <v>21951</v>
      </c>
      <c r="G21" s="3">
        <v>0</v>
      </c>
      <c r="H21" s="3">
        <v>0</v>
      </c>
      <c r="I21" s="33">
        <v>0</v>
      </c>
      <c r="J21" s="21"/>
    </row>
    <row r="22" spans="1:11" s="10" customFormat="1" ht="54" customHeight="1" x14ac:dyDescent="0.25">
      <c r="A22" s="167"/>
      <c r="B22" s="168"/>
      <c r="C22" s="97" t="s">
        <v>57</v>
      </c>
      <c r="D22" s="107" t="s">
        <v>113</v>
      </c>
      <c r="E22" s="71">
        <f t="shared" si="1"/>
        <v>786</v>
      </c>
      <c r="F22" s="3">
        <v>786</v>
      </c>
      <c r="G22" s="3">
        <v>0</v>
      </c>
      <c r="H22" s="3">
        <v>0</v>
      </c>
      <c r="I22" s="33">
        <v>0</v>
      </c>
      <c r="J22" s="21"/>
    </row>
    <row r="23" spans="1:11" s="10" customFormat="1" ht="39.6" customHeight="1" x14ac:dyDescent="0.25">
      <c r="A23" s="167" t="s">
        <v>89</v>
      </c>
      <c r="B23" s="168" t="s">
        <v>88</v>
      </c>
      <c r="C23" s="97" t="s">
        <v>9</v>
      </c>
      <c r="D23" s="107" t="s">
        <v>44</v>
      </c>
      <c r="E23" s="71">
        <f t="shared" si="1"/>
        <v>81849</v>
      </c>
      <c r="F23" s="3">
        <v>81849</v>
      </c>
      <c r="G23" s="3">
        <v>0</v>
      </c>
      <c r="H23" s="3">
        <v>0</v>
      </c>
      <c r="I23" s="33">
        <v>0</v>
      </c>
      <c r="J23" s="27"/>
    </row>
    <row r="24" spans="1:11" s="10" customFormat="1" ht="45" customHeight="1" x14ac:dyDescent="0.25">
      <c r="A24" s="167"/>
      <c r="B24" s="168"/>
      <c r="C24" s="97" t="s">
        <v>58</v>
      </c>
      <c r="D24" s="107" t="s">
        <v>44</v>
      </c>
      <c r="E24" s="71">
        <f t="shared" si="1"/>
        <v>15008</v>
      </c>
      <c r="F24" s="3">
        <v>15008</v>
      </c>
      <c r="G24" s="3">
        <v>0</v>
      </c>
      <c r="H24" s="3">
        <v>0</v>
      </c>
      <c r="I24" s="33">
        <v>0</v>
      </c>
      <c r="J24" s="27"/>
    </row>
    <row r="25" spans="1:11" s="10" customFormat="1" ht="42.75" customHeight="1" x14ac:dyDescent="0.25">
      <c r="A25" s="167" t="s">
        <v>90</v>
      </c>
      <c r="B25" s="168" t="s">
        <v>117</v>
      </c>
      <c r="C25" s="97" t="s">
        <v>58</v>
      </c>
      <c r="D25" s="191" t="s">
        <v>44</v>
      </c>
      <c r="E25" s="71">
        <f t="shared" si="1"/>
        <v>119616</v>
      </c>
      <c r="F25" s="3">
        <v>119616</v>
      </c>
      <c r="G25" s="3">
        <v>0</v>
      </c>
      <c r="H25" s="3">
        <v>0</v>
      </c>
      <c r="I25" s="33">
        <v>0</v>
      </c>
      <c r="J25" s="27"/>
    </row>
    <row r="26" spans="1:11" s="10" customFormat="1" ht="48.75" customHeight="1" thickBot="1" x14ac:dyDescent="0.3">
      <c r="A26" s="193"/>
      <c r="B26" s="200"/>
      <c r="C26" s="98" t="s">
        <v>9</v>
      </c>
      <c r="D26" s="192"/>
      <c r="E26" s="72">
        <f>F26</f>
        <v>3403</v>
      </c>
      <c r="F26" s="55">
        <v>3403</v>
      </c>
      <c r="G26" s="55">
        <v>0</v>
      </c>
      <c r="H26" s="55">
        <v>0</v>
      </c>
      <c r="I26" s="56">
        <v>0</v>
      </c>
      <c r="J26" s="27"/>
    </row>
    <row r="27" spans="1:11" s="13" customFormat="1" ht="36" customHeight="1" thickBot="1" x14ac:dyDescent="0.3">
      <c r="A27" s="194" t="s">
        <v>56</v>
      </c>
      <c r="B27" s="195"/>
      <c r="C27" s="195"/>
      <c r="D27" s="195"/>
      <c r="E27" s="73">
        <f t="shared" si="1"/>
        <v>538678</v>
      </c>
      <c r="F27" s="57">
        <f>SUM(F20:F26)</f>
        <v>538678</v>
      </c>
      <c r="G27" s="57">
        <f>SUM(G20:G22)</f>
        <v>0</v>
      </c>
      <c r="H27" s="57">
        <f>SUM(H20:H22)</f>
        <v>0</v>
      </c>
      <c r="I27" s="58">
        <f>SUM(I20:I22)</f>
        <v>0</v>
      </c>
      <c r="J27" s="28"/>
    </row>
    <row r="28" spans="1:11" s="10" customFormat="1" ht="32.450000000000003" customHeight="1" x14ac:dyDescent="0.25">
      <c r="A28" s="82"/>
      <c r="B28" s="83" t="s">
        <v>55</v>
      </c>
      <c r="C28" s="84" t="s">
        <v>9</v>
      </c>
      <c r="D28" s="85"/>
      <c r="E28" s="68">
        <f t="shared" si="1"/>
        <v>403268</v>
      </c>
      <c r="F28" s="69">
        <f>F20+F21+F23+F26</f>
        <v>403268</v>
      </c>
      <c r="G28" s="69">
        <f>G20+G21</f>
        <v>0</v>
      </c>
      <c r="H28" s="69">
        <f>H20+H21</f>
        <v>0</v>
      </c>
      <c r="I28" s="70">
        <f>I20+I21</f>
        <v>0</v>
      </c>
      <c r="J28" s="26"/>
      <c r="K28" s="14"/>
    </row>
    <row r="29" spans="1:11" s="10" customFormat="1" ht="51.6" customHeight="1" thickBot="1" x14ac:dyDescent="0.3">
      <c r="A29" s="88"/>
      <c r="B29" s="89"/>
      <c r="C29" s="37" t="s">
        <v>57</v>
      </c>
      <c r="D29" s="90"/>
      <c r="E29" s="75">
        <f t="shared" si="1"/>
        <v>135410</v>
      </c>
      <c r="F29" s="76">
        <f>F22+F24+F25</f>
        <v>135410</v>
      </c>
      <c r="G29" s="76">
        <f>G22</f>
        <v>0</v>
      </c>
      <c r="H29" s="76">
        <f>H22</f>
        <v>0</v>
      </c>
      <c r="I29" s="77">
        <f>I22</f>
        <v>0</v>
      </c>
      <c r="J29" s="26"/>
    </row>
    <row r="30" spans="1:11" s="10" customFormat="1" ht="38.450000000000003" customHeight="1" thickBot="1" x14ac:dyDescent="0.3">
      <c r="A30" s="164" t="s">
        <v>78</v>
      </c>
      <c r="B30" s="165"/>
      <c r="C30" s="165"/>
      <c r="D30" s="165"/>
      <c r="E30" s="165"/>
      <c r="F30" s="165"/>
      <c r="G30" s="165"/>
      <c r="H30" s="165"/>
      <c r="I30" s="166"/>
      <c r="J30" s="21"/>
    </row>
    <row r="31" spans="1:11" s="10" customFormat="1" ht="69" customHeight="1" x14ac:dyDescent="0.25">
      <c r="A31" s="93" t="s">
        <v>18</v>
      </c>
      <c r="B31" s="146" t="s">
        <v>73</v>
      </c>
      <c r="C31" s="36" t="s">
        <v>9</v>
      </c>
      <c r="D31" s="59" t="s">
        <v>45</v>
      </c>
      <c r="E31" s="74">
        <f>F31+G31+H31+I31</f>
        <v>15423</v>
      </c>
      <c r="F31" s="43">
        <v>15423</v>
      </c>
      <c r="G31" s="43">
        <v>0</v>
      </c>
      <c r="H31" s="43">
        <v>0</v>
      </c>
      <c r="I31" s="44">
        <v>0</v>
      </c>
      <c r="J31" s="21"/>
    </row>
    <row r="32" spans="1:11" s="10" customFormat="1" ht="80.25" customHeight="1" x14ac:dyDescent="0.25">
      <c r="A32" s="94" t="s">
        <v>19</v>
      </c>
      <c r="B32" s="100" t="s">
        <v>84</v>
      </c>
      <c r="C32" s="32" t="s">
        <v>9</v>
      </c>
      <c r="D32" s="60" t="s">
        <v>79</v>
      </c>
      <c r="E32" s="71">
        <f>F32+G32+H32+I32</f>
        <v>8270</v>
      </c>
      <c r="F32" s="3">
        <v>8270</v>
      </c>
      <c r="G32" s="3">
        <v>0</v>
      </c>
      <c r="H32" s="3">
        <v>0</v>
      </c>
      <c r="I32" s="33">
        <v>0</v>
      </c>
      <c r="J32" s="21"/>
    </row>
    <row r="33" spans="1:10" s="10" customFormat="1" ht="75.599999999999994" customHeight="1" x14ac:dyDescent="0.25">
      <c r="A33" s="94" t="s">
        <v>30</v>
      </c>
      <c r="B33" s="100" t="s">
        <v>36</v>
      </c>
      <c r="C33" s="32" t="s">
        <v>9</v>
      </c>
      <c r="D33" s="60" t="s">
        <v>44</v>
      </c>
      <c r="E33" s="71">
        <f>F33+G33+H33+I33</f>
        <v>1040</v>
      </c>
      <c r="F33" s="3">
        <v>1040</v>
      </c>
      <c r="G33" s="3">
        <v>0</v>
      </c>
      <c r="H33" s="3">
        <v>0</v>
      </c>
      <c r="I33" s="33">
        <v>0</v>
      </c>
      <c r="J33" s="21"/>
    </row>
    <row r="34" spans="1:10" s="10" customFormat="1" ht="56.25" customHeight="1" x14ac:dyDescent="0.25">
      <c r="A34" s="94" t="s">
        <v>31</v>
      </c>
      <c r="B34" s="100" t="s">
        <v>21</v>
      </c>
      <c r="C34" s="32" t="s">
        <v>9</v>
      </c>
      <c r="D34" s="60" t="s">
        <v>44</v>
      </c>
      <c r="E34" s="71">
        <f>F34</f>
        <v>14380</v>
      </c>
      <c r="F34" s="3">
        <v>14380</v>
      </c>
      <c r="G34" s="3">
        <v>0</v>
      </c>
      <c r="H34" s="3">
        <v>0</v>
      </c>
      <c r="I34" s="33">
        <v>0</v>
      </c>
      <c r="J34" s="21"/>
    </row>
    <row r="35" spans="1:10" s="10" customFormat="1" ht="39.75" customHeight="1" x14ac:dyDescent="0.25">
      <c r="A35" s="94" t="s">
        <v>32</v>
      </c>
      <c r="B35" s="100" t="s">
        <v>22</v>
      </c>
      <c r="C35" s="32" t="s">
        <v>9</v>
      </c>
      <c r="D35" s="60" t="s">
        <v>47</v>
      </c>
      <c r="E35" s="71">
        <f>F35+G35+H35+I35</f>
        <v>28463</v>
      </c>
      <c r="F35" s="3">
        <v>28463</v>
      </c>
      <c r="G35" s="3">
        <v>0</v>
      </c>
      <c r="H35" s="3">
        <v>0</v>
      </c>
      <c r="I35" s="33">
        <v>0</v>
      </c>
      <c r="J35" s="21"/>
    </row>
    <row r="36" spans="1:10" s="10" customFormat="1" ht="84.75" customHeight="1" thickBot="1" x14ac:dyDescent="0.3">
      <c r="A36" s="95" t="s">
        <v>91</v>
      </c>
      <c r="B36" s="110" t="s">
        <v>118</v>
      </c>
      <c r="C36" s="51" t="s">
        <v>58</v>
      </c>
      <c r="D36" s="145" t="s">
        <v>44</v>
      </c>
      <c r="E36" s="72">
        <f>F36+G36+H36+I36</f>
        <v>646511</v>
      </c>
      <c r="F36" s="55">
        <v>646511</v>
      </c>
      <c r="G36" s="55">
        <v>0</v>
      </c>
      <c r="H36" s="55">
        <v>0</v>
      </c>
      <c r="I36" s="56">
        <v>0</v>
      </c>
      <c r="J36" s="27"/>
    </row>
    <row r="37" spans="1:10" s="13" customFormat="1" ht="43.15" customHeight="1" thickBot="1" x14ac:dyDescent="0.3">
      <c r="A37" s="208" t="s">
        <v>11</v>
      </c>
      <c r="B37" s="209"/>
      <c r="C37" s="209"/>
      <c r="D37" s="209"/>
      <c r="E37" s="73">
        <f>F37+G37+H37+I37</f>
        <v>714087</v>
      </c>
      <c r="F37" s="57">
        <f>SUM(F31:F36)</f>
        <v>714087</v>
      </c>
      <c r="G37" s="57">
        <f>SUM(G31:G36)</f>
        <v>0</v>
      </c>
      <c r="H37" s="57">
        <f>SUM(H31:H36)</f>
        <v>0</v>
      </c>
      <c r="I37" s="58">
        <f>SUM(I31:I36)</f>
        <v>0</v>
      </c>
      <c r="J37" s="28"/>
    </row>
    <row r="38" spans="1:10" s="10" customFormat="1" ht="45.75" customHeight="1" x14ac:dyDescent="0.25">
      <c r="A38" s="147"/>
      <c r="B38" s="148" t="s">
        <v>55</v>
      </c>
      <c r="C38" s="84" t="s">
        <v>9</v>
      </c>
      <c r="D38" s="85"/>
      <c r="E38" s="68">
        <f>F38+G38+H38+I38</f>
        <v>67576</v>
      </c>
      <c r="F38" s="69">
        <f>SUM(F31:F35)</f>
        <v>67576</v>
      </c>
      <c r="G38" s="69">
        <f>SUM(G31:G36)</f>
        <v>0</v>
      </c>
      <c r="H38" s="69">
        <f>SUM(H31:H36)</f>
        <v>0</v>
      </c>
      <c r="I38" s="70">
        <f>SUM(I31:I36)</f>
        <v>0</v>
      </c>
      <c r="J38" s="26"/>
    </row>
    <row r="39" spans="1:10" s="10" customFormat="1" ht="57" customHeight="1" thickBot="1" x14ac:dyDescent="0.3">
      <c r="A39" s="111"/>
      <c r="B39" s="112"/>
      <c r="C39" s="37" t="s">
        <v>58</v>
      </c>
      <c r="D39" s="90"/>
      <c r="E39" s="75">
        <f>F39+G39+H39+I39</f>
        <v>646511</v>
      </c>
      <c r="F39" s="76">
        <f>F36</f>
        <v>646511</v>
      </c>
      <c r="G39" s="76">
        <f>G36</f>
        <v>0</v>
      </c>
      <c r="H39" s="76">
        <f>H36</f>
        <v>0</v>
      </c>
      <c r="I39" s="77">
        <f>I36</f>
        <v>0</v>
      </c>
      <c r="J39" s="26"/>
    </row>
    <row r="40" spans="1:10" s="10" customFormat="1" ht="37.9" customHeight="1" thickBot="1" x14ac:dyDescent="0.3">
      <c r="A40" s="164" t="s">
        <v>80</v>
      </c>
      <c r="B40" s="165"/>
      <c r="C40" s="165"/>
      <c r="D40" s="165"/>
      <c r="E40" s="165"/>
      <c r="F40" s="165"/>
      <c r="G40" s="165"/>
      <c r="H40" s="165"/>
      <c r="I40" s="166"/>
      <c r="J40" s="21"/>
    </row>
    <row r="41" spans="1:10" s="10" customFormat="1" ht="128.44999999999999" customHeight="1" x14ac:dyDescent="0.25">
      <c r="A41" s="118" t="s">
        <v>13</v>
      </c>
      <c r="B41" s="119" t="s">
        <v>81</v>
      </c>
      <c r="C41" s="96" t="s">
        <v>9</v>
      </c>
      <c r="D41" s="59"/>
      <c r="E41" s="68">
        <f>F41+G41+H41+I41</f>
        <v>0</v>
      </c>
      <c r="F41" s="69">
        <v>0</v>
      </c>
      <c r="G41" s="69">
        <v>0</v>
      </c>
      <c r="H41" s="69">
        <v>0</v>
      </c>
      <c r="I41" s="70">
        <v>0</v>
      </c>
      <c r="J41" s="21"/>
    </row>
    <row r="42" spans="1:10" s="10" customFormat="1" ht="87.75" customHeight="1" thickBot="1" x14ac:dyDescent="0.3">
      <c r="A42" s="121" t="s">
        <v>29</v>
      </c>
      <c r="B42" s="120" t="s">
        <v>82</v>
      </c>
      <c r="C42" s="98" t="s">
        <v>9</v>
      </c>
      <c r="D42" s="61"/>
      <c r="E42" s="72">
        <v>0</v>
      </c>
      <c r="F42" s="55">
        <v>0</v>
      </c>
      <c r="G42" s="55">
        <v>0</v>
      </c>
      <c r="H42" s="55">
        <v>0</v>
      </c>
      <c r="I42" s="56">
        <v>0</v>
      </c>
      <c r="J42" s="21"/>
    </row>
    <row r="43" spans="1:10" s="13" customFormat="1" ht="38.450000000000003" customHeight="1" thickBot="1" x14ac:dyDescent="0.3">
      <c r="A43" s="217" t="s">
        <v>12</v>
      </c>
      <c r="B43" s="218"/>
      <c r="C43" s="218"/>
      <c r="D43" s="241"/>
      <c r="E43" s="73">
        <f t="shared" ref="E43:I43" si="2">E41+E40</f>
        <v>0</v>
      </c>
      <c r="F43" s="57">
        <f t="shared" si="2"/>
        <v>0</v>
      </c>
      <c r="G43" s="57">
        <f t="shared" si="2"/>
        <v>0</v>
      </c>
      <c r="H43" s="57">
        <f t="shared" si="2"/>
        <v>0</v>
      </c>
      <c r="I43" s="58">
        <f t="shared" si="2"/>
        <v>0</v>
      </c>
      <c r="J43" s="29"/>
    </row>
    <row r="44" spans="1:10" s="10" customFormat="1" ht="36" customHeight="1" thickBot="1" x14ac:dyDescent="0.3">
      <c r="A44" s="211" t="s">
        <v>83</v>
      </c>
      <c r="B44" s="212"/>
      <c r="C44" s="212"/>
      <c r="D44" s="212"/>
      <c r="E44" s="212"/>
      <c r="F44" s="212"/>
      <c r="G44" s="212"/>
      <c r="H44" s="212"/>
      <c r="I44" s="213"/>
      <c r="J44" s="27"/>
    </row>
    <row r="45" spans="1:10" s="10" customFormat="1" ht="46.15" customHeight="1" x14ac:dyDescent="0.25">
      <c r="A45" s="214" t="s">
        <v>68</v>
      </c>
      <c r="B45" s="215" t="s">
        <v>121</v>
      </c>
      <c r="C45" s="96" t="s">
        <v>9</v>
      </c>
      <c r="D45" s="124" t="s">
        <v>44</v>
      </c>
      <c r="E45" s="68">
        <f>F45+G45+H45+I45</f>
        <v>1875605</v>
      </c>
      <c r="F45" s="69">
        <v>1875605</v>
      </c>
      <c r="G45" s="69">
        <v>0</v>
      </c>
      <c r="H45" s="69">
        <v>0</v>
      </c>
      <c r="I45" s="70">
        <v>0</v>
      </c>
      <c r="J45" s="27"/>
    </row>
    <row r="46" spans="1:10" s="10" customFormat="1" ht="46.15" customHeight="1" x14ac:dyDescent="0.25">
      <c r="A46" s="167"/>
      <c r="B46" s="168"/>
      <c r="C46" s="97" t="s">
        <v>57</v>
      </c>
      <c r="D46" s="107" t="s">
        <v>44</v>
      </c>
      <c r="E46" s="71">
        <f t="shared" ref="E46:E60" si="3">F46+G46+H46+I46</f>
        <v>897253</v>
      </c>
      <c r="F46" s="3">
        <v>897253</v>
      </c>
      <c r="G46" s="3">
        <v>0</v>
      </c>
      <c r="H46" s="3">
        <v>0</v>
      </c>
      <c r="I46" s="33">
        <v>0</v>
      </c>
      <c r="J46" s="27"/>
    </row>
    <row r="47" spans="1:10" s="10" customFormat="1" ht="46.15" customHeight="1" x14ac:dyDescent="0.25">
      <c r="A47" s="167" t="s">
        <v>92</v>
      </c>
      <c r="B47" s="168" t="s">
        <v>120</v>
      </c>
      <c r="C47" s="97" t="s">
        <v>9</v>
      </c>
      <c r="D47" s="107" t="s">
        <v>44</v>
      </c>
      <c r="E47" s="71">
        <f t="shared" si="3"/>
        <v>181764</v>
      </c>
      <c r="F47" s="3">
        <v>181764</v>
      </c>
      <c r="G47" s="3">
        <v>0</v>
      </c>
      <c r="H47" s="3">
        <v>0</v>
      </c>
      <c r="I47" s="33">
        <v>0</v>
      </c>
      <c r="J47" s="27"/>
    </row>
    <row r="48" spans="1:10" s="10" customFormat="1" ht="46.15" customHeight="1" x14ac:dyDescent="0.25">
      <c r="A48" s="167"/>
      <c r="B48" s="168"/>
      <c r="C48" s="97" t="s">
        <v>58</v>
      </c>
      <c r="D48" s="107" t="s">
        <v>44</v>
      </c>
      <c r="E48" s="71">
        <f>F48+G48+H48+I48</f>
        <v>526682</v>
      </c>
      <c r="F48" s="3">
        <v>526682</v>
      </c>
      <c r="G48" s="3">
        <v>0</v>
      </c>
      <c r="H48" s="3">
        <v>0</v>
      </c>
      <c r="I48" s="33">
        <v>0</v>
      </c>
      <c r="J48" s="27"/>
    </row>
    <row r="49" spans="1:10" s="10" customFormat="1" ht="49.9" customHeight="1" x14ac:dyDescent="0.25">
      <c r="A49" s="167" t="s">
        <v>67</v>
      </c>
      <c r="B49" s="168" t="s">
        <v>93</v>
      </c>
      <c r="C49" s="97" t="s">
        <v>9</v>
      </c>
      <c r="D49" s="60" t="s">
        <v>44</v>
      </c>
      <c r="E49" s="71">
        <f>F49+G49+H49+I49</f>
        <v>42320</v>
      </c>
      <c r="F49" s="3">
        <v>42320</v>
      </c>
      <c r="G49" s="3">
        <v>0</v>
      </c>
      <c r="H49" s="3">
        <v>0</v>
      </c>
      <c r="I49" s="33">
        <v>0</v>
      </c>
      <c r="J49" s="21"/>
    </row>
    <row r="50" spans="1:10" s="10" customFormat="1" ht="49.9" customHeight="1" x14ac:dyDescent="0.25">
      <c r="A50" s="167"/>
      <c r="B50" s="168"/>
      <c r="C50" s="97" t="s">
        <v>58</v>
      </c>
      <c r="D50" s="60" t="s">
        <v>44</v>
      </c>
      <c r="E50" s="71">
        <f>F50+G50+H50+I50</f>
        <v>4963</v>
      </c>
      <c r="F50" s="3">
        <v>4963</v>
      </c>
      <c r="G50" s="3">
        <v>0</v>
      </c>
      <c r="H50" s="3">
        <v>0</v>
      </c>
      <c r="I50" s="33">
        <v>0</v>
      </c>
      <c r="J50" s="21"/>
    </row>
    <row r="51" spans="1:10" s="10" customFormat="1" ht="66" customHeight="1" x14ac:dyDescent="0.25">
      <c r="A51" s="94" t="s">
        <v>94</v>
      </c>
      <c r="B51" s="122" t="s">
        <v>119</v>
      </c>
      <c r="C51" s="97" t="s">
        <v>9</v>
      </c>
      <c r="D51" s="107" t="s">
        <v>44</v>
      </c>
      <c r="E51" s="71">
        <f>F51+G51+H51+I51</f>
        <v>14158</v>
      </c>
      <c r="F51" s="3">
        <v>14158</v>
      </c>
      <c r="G51" s="3">
        <v>0</v>
      </c>
      <c r="H51" s="3">
        <v>0</v>
      </c>
      <c r="I51" s="33">
        <v>0</v>
      </c>
      <c r="J51" s="27"/>
    </row>
    <row r="52" spans="1:10" s="10" customFormat="1" ht="83.25" customHeight="1" x14ac:dyDescent="0.25">
      <c r="A52" s="167" t="s">
        <v>69</v>
      </c>
      <c r="B52" s="168" t="s">
        <v>129</v>
      </c>
      <c r="C52" s="97" t="s">
        <v>9</v>
      </c>
      <c r="D52" s="60" t="s">
        <v>46</v>
      </c>
      <c r="E52" s="71">
        <f>F52+G52+H52+I52</f>
        <v>2076</v>
      </c>
      <c r="F52" s="151">
        <v>1538</v>
      </c>
      <c r="G52" s="3">
        <v>538</v>
      </c>
      <c r="H52" s="3">
        <v>0</v>
      </c>
      <c r="I52" s="33">
        <v>0</v>
      </c>
      <c r="J52" s="27"/>
    </row>
    <row r="53" spans="1:10" s="10" customFormat="1" ht="83.25" customHeight="1" x14ac:dyDescent="0.25">
      <c r="A53" s="167"/>
      <c r="B53" s="168"/>
      <c r="C53" s="97" t="s">
        <v>60</v>
      </c>
      <c r="D53" s="60">
        <v>2025</v>
      </c>
      <c r="E53" s="71">
        <f>F53+G53</f>
        <v>1894</v>
      </c>
      <c r="F53" s="3">
        <v>95</v>
      </c>
      <c r="G53" s="3">
        <v>1799</v>
      </c>
      <c r="H53" s="3">
        <v>0</v>
      </c>
      <c r="I53" s="33">
        <v>0</v>
      </c>
      <c r="J53" s="27"/>
    </row>
    <row r="54" spans="1:10" s="10" customFormat="1" ht="47.45" customHeight="1" x14ac:dyDescent="0.25">
      <c r="A54" s="167" t="s">
        <v>95</v>
      </c>
      <c r="B54" s="168" t="s">
        <v>48</v>
      </c>
      <c r="C54" s="97" t="s">
        <v>9</v>
      </c>
      <c r="D54" s="107" t="s">
        <v>44</v>
      </c>
      <c r="E54" s="71">
        <f t="shared" si="3"/>
        <v>237982</v>
      </c>
      <c r="F54" s="3">
        <v>237982</v>
      </c>
      <c r="G54" s="3">
        <v>0</v>
      </c>
      <c r="H54" s="3">
        <v>0</v>
      </c>
      <c r="I54" s="33">
        <v>0</v>
      </c>
      <c r="J54" s="27"/>
    </row>
    <row r="55" spans="1:10" s="10" customFormat="1" ht="46.15" customHeight="1" x14ac:dyDescent="0.25">
      <c r="A55" s="167"/>
      <c r="B55" s="168"/>
      <c r="C55" s="97" t="s">
        <v>58</v>
      </c>
      <c r="D55" s="107" t="s">
        <v>44</v>
      </c>
      <c r="E55" s="71">
        <f t="shared" si="3"/>
        <v>65144</v>
      </c>
      <c r="F55" s="3">
        <v>65144</v>
      </c>
      <c r="G55" s="3">
        <v>0</v>
      </c>
      <c r="H55" s="3">
        <v>0</v>
      </c>
      <c r="I55" s="33">
        <v>0</v>
      </c>
      <c r="J55" s="27"/>
    </row>
    <row r="56" spans="1:10" s="10" customFormat="1" ht="57.6" customHeight="1" x14ac:dyDescent="0.25">
      <c r="A56" s="94" t="s">
        <v>96</v>
      </c>
      <c r="B56" s="100" t="s">
        <v>49</v>
      </c>
      <c r="C56" s="97" t="s">
        <v>9</v>
      </c>
      <c r="D56" s="107" t="s">
        <v>44</v>
      </c>
      <c r="E56" s="71">
        <f t="shared" si="3"/>
        <v>6852</v>
      </c>
      <c r="F56" s="3">
        <v>6852</v>
      </c>
      <c r="G56" s="3">
        <v>0</v>
      </c>
      <c r="H56" s="3">
        <v>0</v>
      </c>
      <c r="I56" s="33">
        <v>0</v>
      </c>
      <c r="J56" s="27"/>
    </row>
    <row r="57" spans="1:10" s="10" customFormat="1" ht="93" customHeight="1" x14ac:dyDescent="0.25">
      <c r="A57" s="94" t="s">
        <v>97</v>
      </c>
      <c r="B57" s="100" t="s">
        <v>122</v>
      </c>
      <c r="C57" s="97" t="s">
        <v>57</v>
      </c>
      <c r="D57" s="107" t="s">
        <v>44</v>
      </c>
      <c r="E57" s="71">
        <f t="shared" si="3"/>
        <v>84057</v>
      </c>
      <c r="F57" s="3">
        <v>84057</v>
      </c>
      <c r="G57" s="3">
        <v>0</v>
      </c>
      <c r="H57" s="3">
        <v>0</v>
      </c>
      <c r="I57" s="33">
        <v>0</v>
      </c>
      <c r="J57" s="27"/>
    </row>
    <row r="58" spans="1:10" s="10" customFormat="1" ht="64.900000000000006" customHeight="1" x14ac:dyDescent="0.25">
      <c r="A58" s="94" t="s">
        <v>98</v>
      </c>
      <c r="B58" s="100" t="s">
        <v>123</v>
      </c>
      <c r="C58" s="97" t="s">
        <v>58</v>
      </c>
      <c r="D58" s="60" t="s">
        <v>44</v>
      </c>
      <c r="E58" s="71">
        <f>F58</f>
        <v>89495</v>
      </c>
      <c r="F58" s="3">
        <v>89495</v>
      </c>
      <c r="G58" s="3">
        <v>0</v>
      </c>
      <c r="H58" s="3">
        <v>0</v>
      </c>
      <c r="I58" s="33">
        <v>0</v>
      </c>
      <c r="J58" s="21"/>
    </row>
    <row r="59" spans="1:10" s="10" customFormat="1" ht="54.6" customHeight="1" x14ac:dyDescent="0.25">
      <c r="A59" s="94" t="s">
        <v>99</v>
      </c>
      <c r="B59" s="123" t="s">
        <v>100</v>
      </c>
      <c r="C59" s="97" t="s">
        <v>57</v>
      </c>
      <c r="D59" s="107" t="s">
        <v>50</v>
      </c>
      <c r="E59" s="71">
        <f t="shared" si="3"/>
        <v>530455</v>
      </c>
      <c r="F59" s="3">
        <v>530455</v>
      </c>
      <c r="G59" s="3">
        <v>0</v>
      </c>
      <c r="H59" s="3">
        <v>0</v>
      </c>
      <c r="I59" s="33">
        <v>0</v>
      </c>
      <c r="J59" s="27"/>
    </row>
    <row r="60" spans="1:10" s="10" customFormat="1" ht="56.45" customHeight="1" thickBot="1" x14ac:dyDescent="0.3">
      <c r="A60" s="95" t="s">
        <v>111</v>
      </c>
      <c r="B60" s="120" t="s">
        <v>112</v>
      </c>
      <c r="C60" s="98" t="s">
        <v>57</v>
      </c>
      <c r="D60" s="113" t="s">
        <v>46</v>
      </c>
      <c r="E60" s="72">
        <f t="shared" si="3"/>
        <v>13</v>
      </c>
      <c r="F60" s="55">
        <v>13</v>
      </c>
      <c r="G60" s="55">
        <v>0</v>
      </c>
      <c r="H60" s="55">
        <v>0</v>
      </c>
      <c r="I60" s="56">
        <v>0</v>
      </c>
      <c r="J60" s="27"/>
    </row>
    <row r="61" spans="1:10" s="13" customFormat="1" ht="41.25" customHeight="1" thickBot="1" x14ac:dyDescent="0.3">
      <c r="A61" s="208" t="s">
        <v>71</v>
      </c>
      <c r="B61" s="209"/>
      <c r="C61" s="209"/>
      <c r="D61" s="210"/>
      <c r="E61" s="73">
        <f>F61+G61+H61+I61</f>
        <v>4560713</v>
      </c>
      <c r="F61" s="57">
        <f>SUM(F45:F60)</f>
        <v>4558376</v>
      </c>
      <c r="G61" s="57">
        <f>SUM(G45:G60)</f>
        <v>2337</v>
      </c>
      <c r="H61" s="57">
        <f>SUM(H45:H60)</f>
        <v>0</v>
      </c>
      <c r="I61" s="58">
        <f>SUM(I45:I60)</f>
        <v>0</v>
      </c>
      <c r="J61" s="30"/>
    </row>
    <row r="62" spans="1:10" s="10" customFormat="1" ht="42" customHeight="1" x14ac:dyDescent="0.25">
      <c r="A62" s="128"/>
      <c r="B62" s="142" t="s">
        <v>55</v>
      </c>
      <c r="C62" s="104" t="s">
        <v>9</v>
      </c>
      <c r="D62" s="150"/>
      <c r="E62" s="68">
        <f>F62+G62+H62+I62</f>
        <v>2360757</v>
      </c>
      <c r="F62" s="69">
        <f>F45+F47+F49+F51+F52+F54+F56</f>
        <v>2360219</v>
      </c>
      <c r="G62" s="69">
        <f>G52+G45+G47+G49+G51+G54+G56</f>
        <v>538</v>
      </c>
      <c r="H62" s="69">
        <f>H45+H54+H56+H51</f>
        <v>0</v>
      </c>
      <c r="I62" s="70">
        <f>SUM(I45:I60)</f>
        <v>0</v>
      </c>
      <c r="J62" s="28"/>
    </row>
    <row r="63" spans="1:10" s="10" customFormat="1" ht="47.25" customHeight="1" x14ac:dyDescent="0.25">
      <c r="A63" s="129"/>
      <c r="B63" s="100"/>
      <c r="C63" s="97" t="s">
        <v>57</v>
      </c>
      <c r="D63" s="107"/>
      <c r="E63" s="71">
        <f>F63+G63+H63+I63</f>
        <v>2198062</v>
      </c>
      <c r="F63" s="3">
        <f>F46+F48+F50+F55+F57+F58+F59+F60</f>
        <v>2198062</v>
      </c>
      <c r="G63" s="3">
        <f>G46+G55+G48+G57+G59</f>
        <v>0</v>
      </c>
      <c r="H63" s="3">
        <f>H46+H55+H48+H57+H59</f>
        <v>0</v>
      </c>
      <c r="I63" s="33">
        <f>I46+I55+I48+I57+I59</f>
        <v>0</v>
      </c>
      <c r="J63" s="28"/>
    </row>
    <row r="64" spans="1:10" s="10" customFormat="1" ht="42" customHeight="1" thickBot="1" x14ac:dyDescent="0.3">
      <c r="A64" s="130"/>
      <c r="B64" s="149"/>
      <c r="C64" s="49" t="s">
        <v>60</v>
      </c>
      <c r="D64" s="145"/>
      <c r="E64" s="75">
        <f>E53</f>
        <v>1894</v>
      </c>
      <c r="F64" s="76">
        <f>F53</f>
        <v>95</v>
      </c>
      <c r="G64" s="76">
        <f t="shared" ref="G64:I64" si="4">G53</f>
        <v>1799</v>
      </c>
      <c r="H64" s="76">
        <f t="shared" si="4"/>
        <v>0</v>
      </c>
      <c r="I64" s="77">
        <f t="shared" si="4"/>
        <v>0</v>
      </c>
      <c r="J64" s="28"/>
    </row>
    <row r="65" spans="1:13" s="10" customFormat="1" ht="37.15" customHeight="1" thickBot="1" x14ac:dyDescent="0.3">
      <c r="A65" s="202" t="s">
        <v>70</v>
      </c>
      <c r="B65" s="203"/>
      <c r="C65" s="203"/>
      <c r="D65" s="203"/>
      <c r="E65" s="203"/>
      <c r="F65" s="203"/>
      <c r="G65" s="203"/>
      <c r="H65" s="203"/>
      <c r="I65" s="204"/>
      <c r="J65" s="27"/>
    </row>
    <row r="66" spans="1:13" s="10" customFormat="1" ht="54" customHeight="1" x14ac:dyDescent="0.25">
      <c r="A66" s="93" t="s">
        <v>101</v>
      </c>
      <c r="B66" s="99" t="s">
        <v>102</v>
      </c>
      <c r="C66" s="131" t="s">
        <v>59</v>
      </c>
      <c r="D66" s="124" t="s">
        <v>44</v>
      </c>
      <c r="E66" s="74">
        <f t="shared" ref="E66:E75" si="5">F66+G66+H66+I66</f>
        <v>298001</v>
      </c>
      <c r="F66" s="43">
        <v>298001</v>
      </c>
      <c r="G66" s="43">
        <v>0</v>
      </c>
      <c r="H66" s="43">
        <v>0</v>
      </c>
      <c r="I66" s="44">
        <v>0</v>
      </c>
      <c r="J66" s="27"/>
    </row>
    <row r="67" spans="1:13" s="10" customFormat="1" ht="54" customHeight="1" x14ac:dyDescent="0.25">
      <c r="A67" s="94" t="s">
        <v>103</v>
      </c>
      <c r="B67" s="123" t="s">
        <v>51</v>
      </c>
      <c r="C67" s="132" t="s">
        <v>59</v>
      </c>
      <c r="D67" s="107" t="s">
        <v>110</v>
      </c>
      <c r="E67" s="71">
        <f t="shared" si="5"/>
        <v>21161</v>
      </c>
      <c r="F67" s="3">
        <v>21161</v>
      </c>
      <c r="G67" s="3">
        <v>0</v>
      </c>
      <c r="H67" s="3">
        <v>0</v>
      </c>
      <c r="I67" s="33">
        <v>0</v>
      </c>
      <c r="J67" s="27"/>
    </row>
    <row r="68" spans="1:13" s="10" customFormat="1" ht="54" customHeight="1" x14ac:dyDescent="0.25">
      <c r="A68" s="94" t="s">
        <v>104</v>
      </c>
      <c r="B68" s="123" t="s">
        <v>52</v>
      </c>
      <c r="C68" s="132" t="s">
        <v>59</v>
      </c>
      <c r="D68" s="107" t="s">
        <v>50</v>
      </c>
      <c r="E68" s="71">
        <f t="shared" si="5"/>
        <v>111646</v>
      </c>
      <c r="F68" s="3">
        <v>111646</v>
      </c>
      <c r="G68" s="3">
        <v>0</v>
      </c>
      <c r="H68" s="3">
        <v>0</v>
      </c>
      <c r="I68" s="33">
        <v>0</v>
      </c>
      <c r="J68" s="27"/>
    </row>
    <row r="69" spans="1:13" s="10" customFormat="1" ht="48.75" customHeight="1" x14ac:dyDescent="0.25">
      <c r="A69" s="94" t="s">
        <v>105</v>
      </c>
      <c r="B69" s="123" t="s">
        <v>53</v>
      </c>
      <c r="C69" s="132" t="s">
        <v>60</v>
      </c>
      <c r="D69" s="107" t="s">
        <v>44</v>
      </c>
      <c r="E69" s="71">
        <f t="shared" si="5"/>
        <v>134942</v>
      </c>
      <c r="F69" s="3">
        <v>134942</v>
      </c>
      <c r="G69" s="3">
        <v>0</v>
      </c>
      <c r="H69" s="3">
        <v>0</v>
      </c>
      <c r="I69" s="33">
        <v>0</v>
      </c>
      <c r="J69" s="27"/>
    </row>
    <row r="70" spans="1:13" s="10" customFormat="1" ht="54" customHeight="1" thickBot="1" x14ac:dyDescent="0.3">
      <c r="A70" s="95" t="s">
        <v>106</v>
      </c>
      <c r="B70" s="120" t="s">
        <v>54</v>
      </c>
      <c r="C70" s="133" t="s">
        <v>59</v>
      </c>
      <c r="D70" s="113" t="s">
        <v>44</v>
      </c>
      <c r="E70" s="72">
        <f t="shared" si="5"/>
        <v>35479</v>
      </c>
      <c r="F70" s="55">
        <v>35479</v>
      </c>
      <c r="G70" s="55">
        <v>0</v>
      </c>
      <c r="H70" s="55">
        <v>0</v>
      </c>
      <c r="I70" s="56">
        <v>0</v>
      </c>
      <c r="J70" s="27"/>
    </row>
    <row r="71" spans="1:13" s="13" customFormat="1" ht="37.15" customHeight="1" thickBot="1" x14ac:dyDescent="0.3">
      <c r="A71" s="194" t="s">
        <v>72</v>
      </c>
      <c r="B71" s="195"/>
      <c r="C71" s="195"/>
      <c r="D71" s="196"/>
      <c r="E71" s="73">
        <f t="shared" si="5"/>
        <v>601229</v>
      </c>
      <c r="F71" s="57">
        <f>SUM(F66:F70)</f>
        <v>601229</v>
      </c>
      <c r="G71" s="57">
        <f>SUM(G66:G70)</f>
        <v>0</v>
      </c>
      <c r="H71" s="57">
        <f>SUM(H66:H70)</f>
        <v>0</v>
      </c>
      <c r="I71" s="58">
        <f>SUM(I66:I70)</f>
        <v>0</v>
      </c>
      <c r="J71" s="26"/>
    </row>
    <row r="72" spans="1:13" s="10" customFormat="1" ht="41.25" customHeight="1" thickBot="1" x14ac:dyDescent="0.3">
      <c r="A72" s="194" t="s">
        <v>33</v>
      </c>
      <c r="B72" s="195"/>
      <c r="C72" s="195"/>
      <c r="D72" s="196"/>
      <c r="E72" s="73">
        <f t="shared" si="5"/>
        <v>8784301</v>
      </c>
      <c r="F72" s="57">
        <f>F16+F27+F37+F43+F61+F71</f>
        <v>8768865</v>
      </c>
      <c r="G72" s="57">
        <f>G16+G27+G37+G43+G61+G71</f>
        <v>2337</v>
      </c>
      <c r="H72" s="57">
        <f>H16+H27+H37+H43+H61+H71</f>
        <v>0</v>
      </c>
      <c r="I72" s="58">
        <f>I16+I27+I37+I43+I61+I71</f>
        <v>13099</v>
      </c>
      <c r="J72" s="31"/>
      <c r="K72" s="15"/>
      <c r="L72" s="15"/>
      <c r="M72" s="8"/>
    </row>
    <row r="73" spans="1:13" s="10" customFormat="1" ht="34.9" customHeight="1" x14ac:dyDescent="0.25">
      <c r="A73" s="138"/>
      <c r="B73" s="142" t="s">
        <v>55</v>
      </c>
      <c r="C73" s="96" t="s">
        <v>9</v>
      </c>
      <c r="D73" s="62"/>
      <c r="E73" s="74">
        <f t="shared" si="5"/>
        <v>5187035</v>
      </c>
      <c r="F73" s="43">
        <f>F17+F28+F38+F43+F62</f>
        <v>5173398</v>
      </c>
      <c r="G73" s="43">
        <f>G17+G28+G38+G43+G62</f>
        <v>538</v>
      </c>
      <c r="H73" s="43">
        <f>H17+H28+H38+H43+H62</f>
        <v>0</v>
      </c>
      <c r="I73" s="44">
        <f>I17+I28+I38+I43+I62</f>
        <v>13099</v>
      </c>
      <c r="J73" s="27"/>
    </row>
    <row r="74" spans="1:13" s="10" customFormat="1" ht="42.75" customHeight="1" x14ac:dyDescent="0.25">
      <c r="A74" s="139"/>
      <c r="B74" s="143"/>
      <c r="C74" s="97" t="s">
        <v>58</v>
      </c>
      <c r="D74" s="63"/>
      <c r="E74" s="71">
        <f t="shared" si="5"/>
        <v>2994143</v>
      </c>
      <c r="F74" s="3">
        <f>F18+F29+F39+F63</f>
        <v>2994143</v>
      </c>
      <c r="G74" s="3">
        <f>G18+G29+G39+G63</f>
        <v>0</v>
      </c>
      <c r="H74" s="3">
        <f>H18+H29+H39+H63</f>
        <v>0</v>
      </c>
      <c r="I74" s="33">
        <f>I18+I29+I39+I63</f>
        <v>0</v>
      </c>
      <c r="J74" s="27"/>
    </row>
    <row r="75" spans="1:13" s="19" customFormat="1" ht="49.9" customHeight="1" thickBot="1" x14ac:dyDescent="0.3">
      <c r="A75" s="140"/>
      <c r="B75" s="144"/>
      <c r="C75" s="141" t="s">
        <v>59</v>
      </c>
      <c r="D75" s="134"/>
      <c r="E75" s="136">
        <f t="shared" si="5"/>
        <v>603123</v>
      </c>
      <c r="F75" s="34">
        <f>F71+F64</f>
        <v>601324</v>
      </c>
      <c r="G75" s="34">
        <f>G71+G64</f>
        <v>1799</v>
      </c>
      <c r="H75" s="34">
        <f t="shared" ref="H75:I75" si="6">H71</f>
        <v>0</v>
      </c>
      <c r="I75" s="35">
        <f t="shared" si="6"/>
        <v>0</v>
      </c>
      <c r="J75" s="30"/>
      <c r="K75" s="17"/>
    </row>
    <row r="76" spans="1:13" s="1" customFormat="1" ht="33" customHeight="1" x14ac:dyDescent="0.25">
      <c r="B76" s="201" t="s">
        <v>34</v>
      </c>
      <c r="C76" s="201"/>
      <c r="D76" s="201"/>
      <c r="J76" s="7"/>
      <c r="K76" s="16"/>
    </row>
    <row r="77" spans="1:13" s="1" customFormat="1" ht="33" customHeight="1" x14ac:dyDescent="0.25">
      <c r="B77" s="16"/>
      <c r="C77" s="16"/>
      <c r="D77" s="16"/>
      <c r="J77" s="7"/>
      <c r="K77" s="16"/>
    </row>
    <row r="78" spans="1:13" ht="39.6" customHeight="1" x14ac:dyDescent="0.25">
      <c r="E78" s="4"/>
      <c r="F78" s="4"/>
      <c r="G78" s="4"/>
      <c r="H78" s="4"/>
      <c r="I78" s="4"/>
    </row>
    <row r="82" ht="33" customHeight="1" x14ac:dyDescent="0.25"/>
  </sheetData>
  <mergeCells count="41">
    <mergeCell ref="A71:D71"/>
    <mergeCell ref="A72:D72"/>
    <mergeCell ref="B76:D76"/>
    <mergeCell ref="A52:A53"/>
    <mergeCell ref="B52:B53"/>
    <mergeCell ref="A54:A55"/>
    <mergeCell ref="B54:B55"/>
    <mergeCell ref="A61:D61"/>
    <mergeCell ref="A65:I65"/>
    <mergeCell ref="A45:A46"/>
    <mergeCell ref="B45:B46"/>
    <mergeCell ref="A47:A48"/>
    <mergeCell ref="B47:B48"/>
    <mergeCell ref="A49:A50"/>
    <mergeCell ref="B49:B50"/>
    <mergeCell ref="A44:I44"/>
    <mergeCell ref="A19:I19"/>
    <mergeCell ref="A21:A22"/>
    <mergeCell ref="B21:B22"/>
    <mergeCell ref="A23:A24"/>
    <mergeCell ref="B23:B24"/>
    <mergeCell ref="A25:A26"/>
    <mergeCell ref="B25:B26"/>
    <mergeCell ref="D25:D26"/>
    <mergeCell ref="A27:D27"/>
    <mergeCell ref="A30:I30"/>
    <mergeCell ref="A37:D37"/>
    <mergeCell ref="A40:I40"/>
    <mergeCell ref="A43:D43"/>
    <mergeCell ref="A16:D16"/>
    <mergeCell ref="F1:I1"/>
    <mergeCell ref="A3:A4"/>
    <mergeCell ref="B3:B4"/>
    <mergeCell ref="C3:C4"/>
    <mergeCell ref="D3:D4"/>
    <mergeCell ref="E3:I3"/>
    <mergeCell ref="A6:I6"/>
    <mergeCell ref="A7:I7"/>
    <mergeCell ref="A12:A13"/>
    <mergeCell ref="B12:B13"/>
    <mergeCell ref="D12:D13"/>
  </mergeCells>
  <printOptions horizontalCentered="1"/>
  <pageMargins left="0.15748031496062992" right="0.15748031496062992" top="0.51181102362204722" bottom="0.35433070866141736" header="0.31496062992125984" footer="0.31496062992125984"/>
  <pageSetup paperSize="9" scale="77" firstPageNumber="18" orientation="portrait" useFirstPageNumber="1" r:id="rId1"/>
  <headerFooter>
    <oddHeader>&amp;C&amp;10&amp;P</oddHeader>
  </headerFooter>
  <rowBreaks count="5" manualBreakCount="5">
    <brk id="18" max="18" man="1"/>
    <brk id="36" max="8" man="1"/>
    <brk id="53" max="8" man="1"/>
    <brk id="71" max="8" man="1"/>
    <brk id="78" max="3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2025-2027</vt:lpstr>
      <vt:lpstr>2028-2030</vt:lpstr>
      <vt:lpstr>2025-2030</vt:lpstr>
      <vt:lpstr>'2025-2027'!Заголовки_для_печати</vt:lpstr>
      <vt:lpstr>'2025-2030'!Заголовки_для_печати</vt:lpstr>
      <vt:lpstr>'2028-2030'!Заголовки_для_печати</vt:lpstr>
      <vt:lpstr>'2025-2027'!Область_печати</vt:lpstr>
      <vt:lpstr>'2025-2030'!Область_печати</vt:lpstr>
      <vt:lpstr>'2028-2030'!Область_печати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Томшивер Александр Яковлевич</cp:lastModifiedBy>
  <cp:lastPrinted>2025-02-26T09:19:49Z</cp:lastPrinted>
  <dcterms:created xsi:type="dcterms:W3CDTF">2016-09-27T05:07:00Z</dcterms:created>
  <dcterms:modified xsi:type="dcterms:W3CDTF">2025-03-12T10:12:13Z</dcterms:modified>
</cp:coreProperties>
</file>