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60" yWindow="3045" windowWidth="13110" windowHeight="6825" tabRatio="581"/>
  </bookViews>
  <sheets>
    <sheet name="Приложение 1 " sheetId="10" r:id="rId1"/>
    <sheet name="Приложение 2 " sheetId="9" r:id="rId2"/>
  </sheets>
  <definedNames>
    <definedName name="_xlnm._FilterDatabase" localSheetId="0" hidden="1">'Приложение 1 '!$A$13:$AK$80</definedName>
    <definedName name="_xlnm.Print_Titles" localSheetId="0">'Приложение 1 '!$13:$13</definedName>
    <definedName name="_xlnm.Print_Titles" localSheetId="1">'Приложение 2 '!$11:$11</definedName>
    <definedName name="_xlnm.Print_Area" localSheetId="0">'Приложение 1 '!$A$1:$AI$82</definedName>
    <definedName name="_xlnm.Print_Area" localSheetId="1">'Приложение 2 '!$A$1:$K$84</definedName>
  </definedNames>
  <calcPr calcId="145621"/>
</workbook>
</file>

<file path=xl/calcChain.xml><?xml version="1.0" encoding="utf-8"?>
<calcChain xmlns="http://schemas.openxmlformats.org/spreadsheetml/2006/main">
  <c r="AJ66" i="10" l="1"/>
  <c r="K65" i="10" l="1"/>
  <c r="F65" i="10"/>
  <c r="F64" i="10"/>
  <c r="U66" i="10"/>
  <c r="AJ24" i="10"/>
  <c r="U17" i="10"/>
  <c r="T17" i="10"/>
  <c r="T17" i="9" l="1"/>
  <c r="U17" i="9" l="1"/>
  <c r="AE17" i="10" l="1"/>
  <c r="I55" i="9" l="1"/>
  <c r="J55" i="9"/>
  <c r="K55" i="9"/>
  <c r="H55" i="9"/>
  <c r="G55" i="9"/>
  <c r="F55" i="9" l="1"/>
  <c r="G45" i="9"/>
  <c r="G44" i="9"/>
  <c r="H44" i="9"/>
  <c r="I44" i="9"/>
  <c r="J44" i="9"/>
  <c r="K44" i="9"/>
  <c r="F44" i="9"/>
  <c r="F43" i="9"/>
  <c r="F42" i="9"/>
  <c r="G41" i="9"/>
  <c r="H41" i="9"/>
  <c r="I41" i="9"/>
  <c r="J41" i="9"/>
  <c r="K41" i="9"/>
  <c r="F45" i="9"/>
  <c r="F47" i="9"/>
  <c r="F49" i="9"/>
  <c r="F41" i="9"/>
  <c r="G49" i="9"/>
  <c r="H49" i="9"/>
  <c r="I49" i="9"/>
  <c r="J49" i="9"/>
  <c r="K49" i="9"/>
  <c r="K15" i="9"/>
  <c r="J15" i="9"/>
  <c r="E23" i="10" l="1"/>
  <c r="Z19" i="10" l="1"/>
  <c r="X45" i="10" l="1"/>
  <c r="W45" i="10"/>
  <c r="V45" i="10"/>
  <c r="U45" i="10"/>
  <c r="S45" i="10"/>
  <c r="R45" i="10"/>
  <c r="Q45" i="10"/>
  <c r="P44" i="10"/>
  <c r="P45" i="10"/>
  <c r="N45" i="10"/>
  <c r="M45" i="10"/>
  <c r="L45" i="10"/>
  <c r="K45" i="10"/>
  <c r="F45" i="10"/>
  <c r="I45" i="10"/>
  <c r="H45" i="10"/>
  <c r="G45" i="10"/>
  <c r="Z55" i="10" l="1"/>
  <c r="V78" i="10"/>
  <c r="W78" i="10"/>
  <c r="X78" i="10"/>
  <c r="P64" i="10"/>
  <c r="K64" i="10"/>
  <c r="AE55" i="10"/>
  <c r="U55" i="10"/>
  <c r="P55" i="10"/>
  <c r="K55" i="10"/>
  <c r="F55" i="10"/>
  <c r="AD54" i="10"/>
  <c r="AE52" i="10"/>
  <c r="Y54" i="10"/>
  <c r="Z52" i="10"/>
  <c r="T54" i="10"/>
  <c r="U52" i="10"/>
  <c r="O54" i="10"/>
  <c r="P52" i="10"/>
  <c r="J54" i="10"/>
  <c r="K52" i="10"/>
  <c r="E54" i="10"/>
  <c r="AI54" i="10" s="1"/>
  <c r="F52" i="10"/>
  <c r="AH75" i="10" l="1"/>
  <c r="AH79" i="10" s="1"/>
  <c r="AG75" i="10"/>
  <c r="AG79" i="10" s="1"/>
  <c r="AF75" i="10"/>
  <c r="AF79" i="10" s="1"/>
  <c r="AC75" i="10"/>
  <c r="AC79" i="10" s="1"/>
  <c r="AB75" i="10"/>
  <c r="AB79" i="10" s="1"/>
  <c r="AA75" i="10"/>
  <c r="AA79" i="10" s="1"/>
  <c r="X75" i="10"/>
  <c r="X79" i="10" s="1"/>
  <c r="W75" i="10"/>
  <c r="W79" i="10" s="1"/>
  <c r="V75" i="10"/>
  <c r="V79" i="10" s="1"/>
  <c r="S75" i="10"/>
  <c r="S79" i="10" s="1"/>
  <c r="R75" i="10"/>
  <c r="R79" i="10" s="1"/>
  <c r="Q75" i="10"/>
  <c r="Q79" i="10" s="1"/>
  <c r="N75" i="10"/>
  <c r="N79" i="10" s="1"/>
  <c r="M75" i="10"/>
  <c r="M79" i="10" s="1"/>
  <c r="L75" i="10"/>
  <c r="L79" i="10" s="1"/>
  <c r="I75" i="10"/>
  <c r="I79" i="10" s="1"/>
  <c r="H75" i="10"/>
  <c r="H79" i="10" s="1"/>
  <c r="G75" i="10"/>
  <c r="G79" i="10" s="1"/>
  <c r="AD74" i="10"/>
  <c r="Y74" i="10"/>
  <c r="T74" i="10"/>
  <c r="O74" i="10"/>
  <c r="J74" i="10"/>
  <c r="E74" i="10"/>
  <c r="AD73" i="10"/>
  <c r="Y73" i="10"/>
  <c r="T73" i="10"/>
  <c r="O73" i="10"/>
  <c r="J73" i="10"/>
  <c r="E73" i="10"/>
  <c r="AD72" i="10"/>
  <c r="Y72" i="10"/>
  <c r="T72" i="10"/>
  <c r="O72" i="10"/>
  <c r="J72" i="10"/>
  <c r="E72" i="10"/>
  <c r="AD71" i="10"/>
  <c r="Y71" i="10"/>
  <c r="T71" i="10"/>
  <c r="O71" i="10"/>
  <c r="J71" i="10"/>
  <c r="E71" i="10"/>
  <c r="AE70" i="10"/>
  <c r="AE75" i="10" s="1"/>
  <c r="Z70" i="10"/>
  <c r="Z75" i="10" s="1"/>
  <c r="U70" i="10"/>
  <c r="U75" i="10" s="1"/>
  <c r="P70" i="10"/>
  <c r="P75" i="10" s="1"/>
  <c r="K70" i="10"/>
  <c r="K75" i="10" s="1"/>
  <c r="F70" i="10"/>
  <c r="E70" i="10" s="1"/>
  <c r="AH68" i="10"/>
  <c r="AG68" i="10"/>
  <c r="AF68" i="10"/>
  <c r="AC68" i="10"/>
  <c r="AB68" i="10"/>
  <c r="AA68" i="10"/>
  <c r="X68" i="10"/>
  <c r="W68" i="10"/>
  <c r="V68" i="10"/>
  <c r="S68" i="10"/>
  <c r="R68" i="10"/>
  <c r="Q68" i="10"/>
  <c r="N68" i="10"/>
  <c r="M68" i="10"/>
  <c r="L68" i="10"/>
  <c r="I68" i="10"/>
  <c r="H68" i="10"/>
  <c r="G68" i="10"/>
  <c r="AH67" i="10"/>
  <c r="AG67" i="10"/>
  <c r="AF67" i="10"/>
  <c r="AC67" i="10"/>
  <c r="AB67" i="10"/>
  <c r="AA67" i="10"/>
  <c r="X67" i="10"/>
  <c r="W67" i="10"/>
  <c r="V67" i="10"/>
  <c r="S67" i="10"/>
  <c r="R67" i="10"/>
  <c r="Q67" i="10"/>
  <c r="N67" i="10"/>
  <c r="M67" i="10"/>
  <c r="L67" i="10"/>
  <c r="I67" i="10"/>
  <c r="H67" i="10"/>
  <c r="G67" i="10"/>
  <c r="AH66" i="10"/>
  <c r="AG66" i="10"/>
  <c r="AF66" i="10"/>
  <c r="AC66" i="10"/>
  <c r="AB66" i="10"/>
  <c r="AA66" i="10"/>
  <c r="X66" i="10"/>
  <c r="W66" i="10"/>
  <c r="V66" i="10"/>
  <c r="S66" i="10"/>
  <c r="R66" i="10"/>
  <c r="Q66" i="10"/>
  <c r="N66" i="10"/>
  <c r="M66" i="10"/>
  <c r="L66" i="10"/>
  <c r="I66" i="10"/>
  <c r="H66" i="10"/>
  <c r="G66" i="10"/>
  <c r="AD65" i="10"/>
  <c r="Y65" i="10"/>
  <c r="T65" i="10"/>
  <c r="P65" i="10"/>
  <c r="O65" i="10" s="1"/>
  <c r="J65" i="10"/>
  <c r="E65" i="10"/>
  <c r="AE63" i="10"/>
  <c r="AD63" i="10" s="1"/>
  <c r="Z63" i="10"/>
  <c r="Y63" i="10" s="1"/>
  <c r="U63" i="10"/>
  <c r="T63" i="10" s="1"/>
  <c r="AD62" i="10"/>
  <c r="Y62" i="10"/>
  <c r="T62" i="10"/>
  <c r="O62" i="10"/>
  <c r="J62" i="10"/>
  <c r="E62" i="10"/>
  <c r="AD55" i="10"/>
  <c r="Y55" i="10"/>
  <c r="T55" i="10"/>
  <c r="O55" i="10"/>
  <c r="J55" i="10"/>
  <c r="E55" i="10"/>
  <c r="AD61" i="10"/>
  <c r="Y61" i="10"/>
  <c r="T61" i="10"/>
  <c r="O61" i="10"/>
  <c r="J61" i="10"/>
  <c r="E61" i="10"/>
  <c r="AD60" i="10"/>
  <c r="Y60" i="10"/>
  <c r="T60" i="10"/>
  <c r="O60" i="10"/>
  <c r="J60" i="10"/>
  <c r="E60" i="10"/>
  <c r="AE58" i="10"/>
  <c r="AE67" i="10" s="1"/>
  <c r="Z58" i="10"/>
  <c r="Z67" i="10" s="1"/>
  <c r="U58" i="10"/>
  <c r="U67" i="10" s="1"/>
  <c r="P58" i="10"/>
  <c r="P67" i="10" s="1"/>
  <c r="K58" i="10"/>
  <c r="K67" i="10" s="1"/>
  <c r="F58" i="10"/>
  <c r="F67" i="10" s="1"/>
  <c r="AD57" i="10"/>
  <c r="Y57" i="10"/>
  <c r="T57" i="10"/>
  <c r="O57" i="10"/>
  <c r="J57" i="10"/>
  <c r="E57" i="10"/>
  <c r="AD56" i="10"/>
  <c r="Y56" i="10"/>
  <c r="T56" i="10"/>
  <c r="O56" i="10"/>
  <c r="J56" i="10"/>
  <c r="E56" i="10"/>
  <c r="AD59" i="10"/>
  <c r="Y59" i="10"/>
  <c r="T59" i="10"/>
  <c r="O59" i="10"/>
  <c r="J59" i="10"/>
  <c r="E59" i="10"/>
  <c r="AH50" i="10"/>
  <c r="AG50" i="10"/>
  <c r="AF50" i="10"/>
  <c r="AE50" i="10"/>
  <c r="AC50" i="10"/>
  <c r="AB50" i="10"/>
  <c r="AA50" i="10"/>
  <c r="Z50" i="10"/>
  <c r="X50" i="10"/>
  <c r="W50" i="10"/>
  <c r="V50" i="10"/>
  <c r="U50" i="10"/>
  <c r="S50" i="10"/>
  <c r="R50" i="10"/>
  <c r="Q50" i="10"/>
  <c r="P50" i="10"/>
  <c r="P77" i="10" s="1"/>
  <c r="N50" i="10"/>
  <c r="M50" i="10"/>
  <c r="L50" i="10"/>
  <c r="K50" i="10"/>
  <c r="I50" i="10"/>
  <c r="H50" i="10"/>
  <c r="G50" i="10"/>
  <c r="F50" i="10"/>
  <c r="Y49" i="10"/>
  <c r="T49" i="10"/>
  <c r="O49" i="10"/>
  <c r="J49" i="10"/>
  <c r="E49" i="10"/>
  <c r="AD48" i="10"/>
  <c r="AD50" i="10" s="1"/>
  <c r="Y48" i="10"/>
  <c r="Y50" i="10" s="1"/>
  <c r="T48" i="10"/>
  <c r="O48" i="10"/>
  <c r="J48" i="10"/>
  <c r="E48" i="10"/>
  <c r="AH46" i="10"/>
  <c r="AG46" i="10"/>
  <c r="AF46" i="10"/>
  <c r="AC46" i="10"/>
  <c r="AB46" i="10"/>
  <c r="AA46" i="10"/>
  <c r="X46" i="10"/>
  <c r="W46" i="10"/>
  <c r="V46" i="10"/>
  <c r="S46" i="10"/>
  <c r="R46" i="10"/>
  <c r="Q46" i="10"/>
  <c r="N46" i="10"/>
  <c r="M46" i="10"/>
  <c r="L46" i="10"/>
  <c r="I46" i="10"/>
  <c r="H46" i="10"/>
  <c r="G46" i="10"/>
  <c r="AH45" i="10"/>
  <c r="AG45" i="10"/>
  <c r="AF45" i="10"/>
  <c r="AE45" i="10"/>
  <c r="AD45" i="10" s="1"/>
  <c r="AC45" i="10"/>
  <c r="AB45" i="10"/>
  <c r="AA45" i="10"/>
  <c r="Z45" i="10"/>
  <c r="Y45" i="10" s="1"/>
  <c r="AH44" i="10"/>
  <c r="AG44" i="10"/>
  <c r="AF44" i="10"/>
  <c r="AC44" i="10"/>
  <c r="AB44" i="10"/>
  <c r="AA44" i="10"/>
  <c r="X44" i="10"/>
  <c r="W44" i="10"/>
  <c r="V44" i="10"/>
  <c r="S44" i="10"/>
  <c r="R44" i="10"/>
  <c r="Q44" i="10"/>
  <c r="N44" i="10"/>
  <c r="M44" i="10"/>
  <c r="L44" i="10"/>
  <c r="I44" i="10"/>
  <c r="H44" i="10"/>
  <c r="G44" i="10"/>
  <c r="AE46" i="10"/>
  <c r="Z46" i="10"/>
  <c r="U46" i="10"/>
  <c r="P46" i="10"/>
  <c r="K46" i="10"/>
  <c r="F46" i="10"/>
  <c r="AD42" i="10"/>
  <c r="Y42" i="10"/>
  <c r="T42" i="10"/>
  <c r="P42" i="10"/>
  <c r="J42" i="10"/>
  <c r="E42" i="10"/>
  <c r="AD41" i="10"/>
  <c r="Y41" i="10"/>
  <c r="T41" i="10"/>
  <c r="O41" i="10"/>
  <c r="J41" i="10"/>
  <c r="E41" i="10"/>
  <c r="AD40" i="10"/>
  <c r="Y40" i="10"/>
  <c r="T40" i="10"/>
  <c r="O40" i="10"/>
  <c r="J40" i="10"/>
  <c r="F40" i="10"/>
  <c r="AD39" i="10"/>
  <c r="Y39" i="10"/>
  <c r="U39" i="10"/>
  <c r="T45" i="10" s="1"/>
  <c r="O39" i="10"/>
  <c r="J39" i="10"/>
  <c r="E39" i="10"/>
  <c r="AD38" i="10"/>
  <c r="Y38" i="10"/>
  <c r="T38" i="10"/>
  <c r="O38" i="10"/>
  <c r="J38" i="10"/>
  <c r="E38" i="10"/>
  <c r="AH36" i="10"/>
  <c r="AG36" i="10"/>
  <c r="AF36" i="10"/>
  <c r="AC36" i="10"/>
  <c r="AB36" i="10"/>
  <c r="AA36" i="10"/>
  <c r="X36" i="10"/>
  <c r="W36" i="10"/>
  <c r="V36" i="10"/>
  <c r="S36" i="10"/>
  <c r="R36" i="10"/>
  <c r="Q36" i="10"/>
  <c r="N36" i="10"/>
  <c r="M36" i="10"/>
  <c r="L36" i="10"/>
  <c r="I36" i="10"/>
  <c r="H36" i="10"/>
  <c r="G36" i="10"/>
  <c r="AH35" i="10"/>
  <c r="AG35" i="10"/>
  <c r="AF35" i="10"/>
  <c r="AE35" i="10"/>
  <c r="AC35" i="10"/>
  <c r="AB35" i="10"/>
  <c r="AA35" i="10"/>
  <c r="Z35" i="10"/>
  <c r="X35" i="10"/>
  <c r="W35" i="10"/>
  <c r="V35" i="10"/>
  <c r="U35" i="10"/>
  <c r="S35" i="10"/>
  <c r="R35" i="10"/>
  <c r="Q35" i="10"/>
  <c r="N35" i="10"/>
  <c r="M35" i="10"/>
  <c r="L35" i="10"/>
  <c r="K35" i="10"/>
  <c r="I35" i="10"/>
  <c r="H35" i="10"/>
  <c r="G35" i="10"/>
  <c r="AH34" i="10"/>
  <c r="AG34" i="10"/>
  <c r="AF34" i="10"/>
  <c r="AC34" i="10"/>
  <c r="AB34" i="10"/>
  <c r="AA34" i="10"/>
  <c r="X34" i="10"/>
  <c r="W34" i="10"/>
  <c r="V34" i="10"/>
  <c r="S34" i="10"/>
  <c r="R34" i="10"/>
  <c r="Q34" i="10"/>
  <c r="N34" i="10"/>
  <c r="M34" i="10"/>
  <c r="L34" i="10"/>
  <c r="I34" i="10"/>
  <c r="H34" i="10"/>
  <c r="G34" i="10"/>
  <c r="AE33" i="10"/>
  <c r="Z33" i="10"/>
  <c r="U33" i="10"/>
  <c r="P33" i="10"/>
  <c r="K33" i="10"/>
  <c r="K36" i="10" s="1"/>
  <c r="F33" i="10"/>
  <c r="E34" i="10" s="1"/>
  <c r="J64" i="10"/>
  <c r="AD32" i="10"/>
  <c r="Y32" i="10"/>
  <c r="T32" i="10"/>
  <c r="O32" i="10"/>
  <c r="J32" i="10"/>
  <c r="E32" i="10"/>
  <c r="AD31" i="10"/>
  <c r="Y31" i="10"/>
  <c r="T31" i="10"/>
  <c r="O31" i="10"/>
  <c r="J31" i="10"/>
  <c r="E31" i="10"/>
  <c r="AD30" i="10"/>
  <c r="Y30" i="10"/>
  <c r="T30" i="10"/>
  <c r="O30" i="10"/>
  <c r="J30" i="10"/>
  <c r="E30" i="10"/>
  <c r="AD29" i="10"/>
  <c r="Y29" i="10"/>
  <c r="T29" i="10"/>
  <c r="O29" i="10"/>
  <c r="J29" i="10"/>
  <c r="E29" i="10"/>
  <c r="AD28" i="10"/>
  <c r="Y28" i="10"/>
  <c r="T28" i="10"/>
  <c r="AH26" i="10"/>
  <c r="AH78" i="10" s="1"/>
  <c r="AG26" i="10"/>
  <c r="AG78" i="10" s="1"/>
  <c r="AF26" i="10"/>
  <c r="AF78" i="10" s="1"/>
  <c r="AC26" i="10"/>
  <c r="AC78" i="10" s="1"/>
  <c r="AB26" i="10"/>
  <c r="AB78" i="10" s="1"/>
  <c r="AA26" i="10"/>
  <c r="AA78" i="10" s="1"/>
  <c r="X26" i="10"/>
  <c r="W26" i="10"/>
  <c r="V26" i="10"/>
  <c r="S26" i="10"/>
  <c r="R26" i="10"/>
  <c r="Q26" i="10"/>
  <c r="N26" i="10"/>
  <c r="M26" i="10"/>
  <c r="L26" i="10"/>
  <c r="K26" i="10"/>
  <c r="I26" i="10"/>
  <c r="I78" i="10" s="1"/>
  <c r="H26" i="10"/>
  <c r="H78" i="10" s="1"/>
  <c r="G26" i="10"/>
  <c r="G78" i="10" s="1"/>
  <c r="AG25" i="10"/>
  <c r="AG77" i="10" s="1"/>
  <c r="AF25" i="10"/>
  <c r="AF77" i="10" s="1"/>
  <c r="AB25" i="10"/>
  <c r="AB77" i="10" s="1"/>
  <c r="AA25" i="10"/>
  <c r="AA77" i="10" s="1"/>
  <c r="W25" i="10"/>
  <c r="W77" i="10" s="1"/>
  <c r="V25" i="10"/>
  <c r="V77" i="10" s="1"/>
  <c r="R25" i="10"/>
  <c r="R77" i="10" s="1"/>
  <c r="Q25" i="10"/>
  <c r="Q77" i="10" s="1"/>
  <c r="M25" i="10"/>
  <c r="M77" i="10" s="1"/>
  <c r="L25" i="10"/>
  <c r="L77" i="10" s="1"/>
  <c r="H25" i="10"/>
  <c r="H77" i="10" s="1"/>
  <c r="G25" i="10"/>
  <c r="G77" i="10" s="1"/>
  <c r="AH24" i="10"/>
  <c r="AH76" i="10" s="1"/>
  <c r="AG24" i="10"/>
  <c r="AG76" i="10" s="1"/>
  <c r="AF24" i="10"/>
  <c r="AF76" i="10" s="1"/>
  <c r="AC24" i="10"/>
  <c r="AC76" i="10" s="1"/>
  <c r="AB24" i="10"/>
  <c r="AB76" i="10" s="1"/>
  <c r="AA24" i="10"/>
  <c r="AA76" i="10" s="1"/>
  <c r="X24" i="10"/>
  <c r="X76" i="10" s="1"/>
  <c r="W24" i="10"/>
  <c r="W76" i="10" s="1"/>
  <c r="V24" i="10"/>
  <c r="V76" i="10" s="1"/>
  <c r="S24" i="10"/>
  <c r="S76" i="10" s="1"/>
  <c r="R24" i="10"/>
  <c r="R76" i="10" s="1"/>
  <c r="Q24" i="10"/>
  <c r="Q76" i="10" s="1"/>
  <c r="N24" i="10"/>
  <c r="N76" i="10" s="1"/>
  <c r="M24" i="10"/>
  <c r="M76" i="10" s="1"/>
  <c r="L24" i="10"/>
  <c r="L76" i="10" s="1"/>
  <c r="I24" i="10"/>
  <c r="I76" i="10" s="1"/>
  <c r="H24" i="10"/>
  <c r="H76" i="10" s="1"/>
  <c r="G24" i="10"/>
  <c r="G76" i="10" s="1"/>
  <c r="AD23" i="10"/>
  <c r="Y23" i="10"/>
  <c r="T23" i="10"/>
  <c r="O23" i="10"/>
  <c r="J23" i="10"/>
  <c r="AE22" i="10"/>
  <c r="AD22" i="10" s="1"/>
  <c r="Z22" i="10"/>
  <c r="Y22" i="10" s="1"/>
  <c r="U22" i="10"/>
  <c r="T22" i="10" s="1"/>
  <c r="P21" i="10"/>
  <c r="J21" i="10"/>
  <c r="F21" i="10"/>
  <c r="AD20" i="10"/>
  <c r="Y20" i="10"/>
  <c r="T20" i="10"/>
  <c r="AE19" i="10"/>
  <c r="AD19" i="10" s="1"/>
  <c r="Y19" i="10"/>
  <c r="U19" i="10"/>
  <c r="T19" i="10" s="1"/>
  <c r="P19" i="10"/>
  <c r="O19" i="10" s="1"/>
  <c r="AD18" i="10"/>
  <c r="Y18" i="10"/>
  <c r="T18" i="10"/>
  <c r="O18" i="10"/>
  <c r="J18" i="10"/>
  <c r="E18" i="10"/>
  <c r="Z17" i="10"/>
  <c r="AD16" i="10"/>
  <c r="Y16" i="10"/>
  <c r="U16" i="10"/>
  <c r="P16" i="10"/>
  <c r="K16" i="10"/>
  <c r="F16" i="10"/>
  <c r="F77" i="10" s="1"/>
  <c r="T33" i="10" l="1"/>
  <c r="U36" i="10"/>
  <c r="AD33" i="10"/>
  <c r="AE36" i="10"/>
  <c r="E68" i="10"/>
  <c r="O68" i="10"/>
  <c r="E33" i="10"/>
  <c r="F36" i="10"/>
  <c r="E36" i="10" s="1"/>
  <c r="O33" i="10"/>
  <c r="P36" i="10"/>
  <c r="Y33" i="10"/>
  <c r="Z36" i="10"/>
  <c r="J45" i="10"/>
  <c r="K77" i="10"/>
  <c r="L78" i="10"/>
  <c r="N78" i="10"/>
  <c r="R78" i="10"/>
  <c r="M78" i="10"/>
  <c r="Q78" i="10"/>
  <c r="S78" i="10"/>
  <c r="AD70" i="10"/>
  <c r="J26" i="10"/>
  <c r="AI29" i="10"/>
  <c r="AI30" i="10"/>
  <c r="AI31" i="10"/>
  <c r="AI32" i="10"/>
  <c r="E64" i="10"/>
  <c r="J33" i="10"/>
  <c r="AI33" i="10" s="1"/>
  <c r="J35" i="10"/>
  <c r="T35" i="10"/>
  <c r="AD35" i="10"/>
  <c r="J68" i="10"/>
  <c r="J70" i="10"/>
  <c r="O70" i="10"/>
  <c r="T70" i="10"/>
  <c r="Y70" i="10"/>
  <c r="O35" i="10"/>
  <c r="E43" i="10"/>
  <c r="J43" i="10"/>
  <c r="O43" i="10"/>
  <c r="T43" i="10"/>
  <c r="Y43" i="10"/>
  <c r="AD43" i="10"/>
  <c r="Z25" i="10"/>
  <c r="Z77" i="10" s="1"/>
  <c r="Y17" i="10"/>
  <c r="F26" i="10"/>
  <c r="E21" i="10"/>
  <c r="J50" i="10"/>
  <c r="U25" i="10"/>
  <c r="U77" i="10" s="1"/>
  <c r="AE25" i="10"/>
  <c r="AE77" i="10" s="1"/>
  <c r="AD17" i="10"/>
  <c r="O45" i="10"/>
  <c r="O42" i="10"/>
  <c r="T50" i="10"/>
  <c r="AI57" i="10"/>
  <c r="AI71" i="10"/>
  <c r="AI72" i="10"/>
  <c r="AI74" i="10"/>
  <c r="O34" i="10"/>
  <c r="E35" i="10"/>
  <c r="Y35" i="10"/>
  <c r="E45" i="10"/>
  <c r="E46" i="10"/>
  <c r="J46" i="10"/>
  <c r="O46" i="10"/>
  <c r="T46" i="10"/>
  <c r="Y46" i="10"/>
  <c r="AD46" i="10"/>
  <c r="AI48" i="10"/>
  <c r="E50" i="10"/>
  <c r="O50" i="10"/>
  <c r="AI56" i="10"/>
  <c r="E58" i="10"/>
  <c r="J58" i="10"/>
  <c r="O58" i="10"/>
  <c r="T58" i="10"/>
  <c r="Y58" i="10"/>
  <c r="AD58" i="10"/>
  <c r="E52" i="10"/>
  <c r="J52" i="10"/>
  <c r="O52" i="10"/>
  <c r="T52" i="10"/>
  <c r="Y52" i="10"/>
  <c r="AD52" i="10"/>
  <c r="Y53" i="10"/>
  <c r="AD53" i="10"/>
  <c r="F75" i="10"/>
  <c r="F79" i="10" s="1"/>
  <c r="E79" i="10" s="1"/>
  <c r="AI18" i="10"/>
  <c r="AI23" i="10"/>
  <c r="AI38" i="10"/>
  <c r="AI41" i="10"/>
  <c r="AI42" i="10"/>
  <c r="AI60" i="10"/>
  <c r="AI61" i="10"/>
  <c r="AI55" i="10"/>
  <c r="AI62" i="10"/>
  <c r="AI65" i="10"/>
  <c r="U26" i="10"/>
  <c r="T21" i="10"/>
  <c r="Z24" i="10"/>
  <c r="J36" i="10"/>
  <c r="E16" i="10"/>
  <c r="J16" i="10"/>
  <c r="O16" i="10"/>
  <c r="T16" i="10"/>
  <c r="O21" i="10"/>
  <c r="N25" i="10"/>
  <c r="N77" i="10" s="1"/>
  <c r="X25" i="10"/>
  <c r="X77" i="10" s="1"/>
  <c r="AH25" i="10"/>
  <c r="AH77" i="10" s="1"/>
  <c r="P26" i="10"/>
  <c r="O26" i="10" s="1"/>
  <c r="O64" i="10"/>
  <c r="K34" i="10"/>
  <c r="J34" i="10" s="1"/>
  <c r="E67" i="10"/>
  <c r="J67" i="10"/>
  <c r="O67" i="10"/>
  <c r="T67" i="10"/>
  <c r="Y67" i="10"/>
  <c r="AD67" i="10"/>
  <c r="U24" i="10"/>
  <c r="I25" i="10"/>
  <c r="I77" i="10" s="1"/>
  <c r="E77" i="10" s="1"/>
  <c r="S25" i="10"/>
  <c r="S77" i="10" s="1"/>
  <c r="AC25" i="10"/>
  <c r="AC77" i="10" s="1"/>
  <c r="U68" i="10"/>
  <c r="T68" i="10" s="1"/>
  <c r="T39" i="10"/>
  <c r="AI39" i="10" s="1"/>
  <c r="E40" i="10"/>
  <c r="AI40" i="10" s="1"/>
  <c r="K44" i="10"/>
  <c r="J44" i="10" s="1"/>
  <c r="U44" i="10"/>
  <c r="T44" i="10" s="1"/>
  <c r="AE44" i="10"/>
  <c r="AD44" i="10" s="1"/>
  <c r="AI59" i="10"/>
  <c r="E53" i="10"/>
  <c r="J53" i="10"/>
  <c r="O53" i="10"/>
  <c r="T53" i="10"/>
  <c r="J66" i="10"/>
  <c r="T66" i="10"/>
  <c r="AI73" i="10"/>
  <c r="F44" i="10"/>
  <c r="O44" i="10"/>
  <c r="Z44" i="10"/>
  <c r="Y44" i="10" s="1"/>
  <c r="AI49" i="10"/>
  <c r="AJ50" i="10" s="1"/>
  <c r="E66" i="10"/>
  <c r="O66" i="10"/>
  <c r="E75" i="10"/>
  <c r="J75" i="10"/>
  <c r="K79" i="10"/>
  <c r="J79" i="10" s="1"/>
  <c r="P79" i="10"/>
  <c r="O79" i="10" s="1"/>
  <c r="O75" i="10"/>
  <c r="T75" i="10"/>
  <c r="U79" i="10"/>
  <c r="T79" i="10" s="1"/>
  <c r="Z79" i="10"/>
  <c r="Y79" i="10" s="1"/>
  <c r="Y75" i="10"/>
  <c r="AD75" i="10"/>
  <c r="AE79" i="10"/>
  <c r="AD79" i="10" s="1"/>
  <c r="E44" i="10" l="1"/>
  <c r="T26" i="10"/>
  <c r="U78" i="10"/>
  <c r="E26" i="10"/>
  <c r="E78" i="10"/>
  <c r="AI35" i="10"/>
  <c r="AI45" i="10"/>
  <c r="AI50" i="10"/>
  <c r="AI70" i="10"/>
  <c r="AJ75" i="10" s="1"/>
  <c r="AI43" i="10"/>
  <c r="AJ44" i="10" s="1"/>
  <c r="AJ76" i="10" s="1"/>
  <c r="AI52" i="10"/>
  <c r="AI46" i="10"/>
  <c r="AI44" i="10"/>
  <c r="AI58" i="10"/>
  <c r="AI79" i="10"/>
  <c r="AI53" i="10"/>
  <c r="T24" i="10"/>
  <c r="AI67" i="10"/>
  <c r="O78" i="10"/>
  <c r="O36" i="10"/>
  <c r="Y24" i="10"/>
  <c r="E24" i="10"/>
  <c r="J78" i="10"/>
  <c r="O25" i="10"/>
  <c r="E25" i="10"/>
  <c r="Z26" i="10"/>
  <c r="Y21" i="10"/>
  <c r="AD25" i="10"/>
  <c r="Y25" i="10"/>
  <c r="T25" i="10"/>
  <c r="J25" i="10"/>
  <c r="AI75" i="10"/>
  <c r="U34" i="10"/>
  <c r="T34" i="10" s="1"/>
  <c r="T64" i="10"/>
  <c r="J24" i="10"/>
  <c r="O24" i="10"/>
  <c r="AI16" i="10"/>
  <c r="O77" i="10"/>
  <c r="Y77" i="10"/>
  <c r="T77" i="10"/>
  <c r="J77" i="10"/>
  <c r="H45" i="9"/>
  <c r="I45" i="9"/>
  <c r="J45" i="9"/>
  <c r="K45" i="9"/>
  <c r="G40" i="9"/>
  <c r="H40" i="9"/>
  <c r="I40" i="9"/>
  <c r="J40" i="9"/>
  <c r="K40" i="9"/>
  <c r="F40" i="9"/>
  <c r="AI77" i="10" l="1"/>
  <c r="AI24" i="10"/>
  <c r="AJ45" i="10"/>
  <c r="Z66" i="10"/>
  <c r="Y66" i="10" s="1"/>
  <c r="Z68" i="10"/>
  <c r="Y68" i="10" s="1"/>
  <c r="Y26" i="10"/>
  <c r="Z78" i="10"/>
  <c r="U76" i="10"/>
  <c r="AI25" i="10"/>
  <c r="T78" i="10"/>
  <c r="T36" i="10"/>
  <c r="Z34" i="10"/>
  <c r="Z76" i="10" s="1"/>
  <c r="Y64" i="10"/>
  <c r="AE26" i="10"/>
  <c r="AD21" i="10"/>
  <c r="AI21" i="10" s="1"/>
  <c r="AE24" i="10"/>
  <c r="G47" i="9"/>
  <c r="H47" i="9"/>
  <c r="I47" i="9"/>
  <c r="J47" i="9"/>
  <c r="K47" i="9"/>
  <c r="AD26" i="10" l="1"/>
  <c r="AI26" i="10" s="1"/>
  <c r="AE66" i="10"/>
  <c r="AD66" i="10" s="1"/>
  <c r="AI66" i="10" s="1"/>
  <c r="AE68" i="10"/>
  <c r="AD68" i="10" s="1"/>
  <c r="AI68" i="10" s="1"/>
  <c r="AJ67" i="10" s="1"/>
  <c r="Y34" i="10"/>
  <c r="Y78" i="10"/>
  <c r="Y36" i="10"/>
  <c r="AE34" i="10"/>
  <c r="AD34" i="10" s="1"/>
  <c r="AD64" i="10"/>
  <c r="AI64" i="10" s="1"/>
  <c r="AD24" i="10"/>
  <c r="AJ25" i="10"/>
  <c r="G24" i="9"/>
  <c r="H24" i="9"/>
  <c r="I24" i="9"/>
  <c r="J24" i="9"/>
  <c r="K24" i="9"/>
  <c r="F24" i="9"/>
  <c r="AE78" i="10" l="1"/>
  <c r="AD78" i="10" s="1"/>
  <c r="AI78" i="10" s="1"/>
  <c r="AE76" i="10"/>
  <c r="AJ34" i="10"/>
  <c r="AD36" i="10"/>
  <c r="AI36" i="10" s="1"/>
  <c r="AJ35" i="10" s="1"/>
  <c r="AI34" i="10"/>
  <c r="H14" i="9" l="1"/>
  <c r="G14" i="9"/>
  <c r="F14" i="9"/>
  <c r="G25" i="9" l="1"/>
  <c r="F25" i="9"/>
  <c r="K73" i="9"/>
  <c r="J73" i="9"/>
  <c r="I73" i="9"/>
  <c r="H73" i="9"/>
  <c r="G73" i="9"/>
  <c r="F73" i="9"/>
  <c r="K72" i="9"/>
  <c r="J72" i="9"/>
  <c r="I72" i="9"/>
  <c r="H72" i="9"/>
  <c r="G72" i="9"/>
  <c r="F72" i="9"/>
  <c r="K70" i="9"/>
  <c r="J70" i="9"/>
  <c r="I70" i="9"/>
  <c r="H70" i="9"/>
  <c r="G70" i="9"/>
  <c r="F70" i="9"/>
  <c r="K69" i="9"/>
  <c r="J69" i="9"/>
  <c r="I69" i="9"/>
  <c r="H69" i="9"/>
  <c r="G69" i="9"/>
  <c r="F69" i="9"/>
  <c r="K68" i="9"/>
  <c r="J68" i="9"/>
  <c r="I68" i="9"/>
  <c r="H68" i="9"/>
  <c r="G68" i="9"/>
  <c r="F68" i="9"/>
  <c r="J76" i="10" l="1"/>
  <c r="O76" i="10"/>
  <c r="Y76" i="10"/>
  <c r="AD77" i="10"/>
  <c r="AD76" i="10"/>
  <c r="T76" i="10"/>
  <c r="E76" i="10"/>
  <c r="AI76" i="10" l="1"/>
</calcChain>
</file>

<file path=xl/comments1.xml><?xml version="1.0" encoding="utf-8"?>
<comments xmlns="http://schemas.openxmlformats.org/spreadsheetml/2006/main">
  <authors>
    <author>user</author>
  </authors>
  <commentList>
    <comment ref="Z2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было 116659</t>
        </r>
      </text>
    </comment>
    <comment ref="AE2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было 421941 + 19 год</t>
        </r>
      </text>
    </comment>
    <comment ref="Z6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было 116659</t>
        </r>
      </text>
    </comment>
    <comment ref="AE6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было 421941 + 19 год</t>
        </r>
      </text>
    </comment>
  </commentList>
</comments>
</file>

<file path=xl/sharedStrings.xml><?xml version="1.0" encoding="utf-8"?>
<sst xmlns="http://schemas.openxmlformats.org/spreadsheetml/2006/main" count="561" uniqueCount="285">
  <si>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</si>
  <si>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</si>
  <si>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</si>
  <si>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</si>
  <si>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</si>
  <si>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</si>
  <si>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</si>
  <si>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</si>
  <si>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</si>
  <si>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</si>
  <si>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ДГХ</t>
  </si>
  <si>
    <t>Итого по задаче 1:</t>
  </si>
  <si>
    <t>Итого по задаче 3:</t>
  </si>
  <si>
    <t>Итого по задаче 4:</t>
  </si>
  <si>
    <t>4.1</t>
  </si>
  <si>
    <t>1.1</t>
  </si>
  <si>
    <t>1.3</t>
  </si>
  <si>
    <t>1.4</t>
  </si>
  <si>
    <t>2.1</t>
  </si>
  <si>
    <t>3.1</t>
  </si>
  <si>
    <t>3.2</t>
  </si>
  <si>
    <t>Задача 1: Обеспечение комплексного благоустройства внутриквартальных территорий</t>
  </si>
  <si>
    <t>итого</t>
  </si>
  <si>
    <t xml:space="preserve">Содержание системы поверхностного водоотвода объектов гидротехнических сооружений </t>
  </si>
  <si>
    <t xml:space="preserve">Ремонт объектов гидротехнических сооружений </t>
  </si>
  <si>
    <t>План на 2025 год</t>
  </si>
  <si>
    <t>План на 2026 год</t>
  </si>
  <si>
    <t>План на 2027 год</t>
  </si>
  <si>
    <t>План на 2028 год</t>
  </si>
  <si>
    <t>План на 2029 год</t>
  </si>
  <si>
    <t>План на 2030 год</t>
  </si>
  <si>
    <t>4.2</t>
  </si>
  <si>
    <t>3.3</t>
  </si>
  <si>
    <t>3.4</t>
  </si>
  <si>
    <t>3.5</t>
  </si>
  <si>
    <t xml:space="preserve">Итого по Программе </t>
  </si>
  <si>
    <t>&lt;1&gt; - за исключением объектов, вкюченных в иные муниципальные программы с аналогичным видом работ</t>
  </si>
  <si>
    <t>Ремонт, восстановление и устройство внутриквартального освещения &lt;1&gt;</t>
  </si>
  <si>
    <t>1.6.</t>
  </si>
  <si>
    <t>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</si>
  <si>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к Муниципальной программе</t>
  </si>
  <si>
    <t>"Благоустройство территории</t>
  </si>
  <si>
    <t>городского округа Тольятти</t>
  </si>
  <si>
    <t>на 2025 - 2030 годы"</t>
  </si>
  <si>
    <t>Приложение № 1</t>
  </si>
  <si>
    <t>Цель: Обеспечение соответствия городских общественных пространств высоким стандартам качества городской среды и качества досуга жителей</t>
  </si>
  <si>
    <t>2025 - 2029</t>
  </si>
  <si>
    <t>2027-2030</t>
  </si>
  <si>
    <t>2025-2030</t>
  </si>
  <si>
    <t>2025-2028</t>
  </si>
  <si>
    <t>2025-2026</t>
  </si>
  <si>
    <t>2027-2028</t>
  </si>
  <si>
    <t>Ремонт, восстановление и устройство покрытий тротуаров, проездов, площадок для временной парковки автомашин &lt;1&gt;</t>
  </si>
  <si>
    <t>-</t>
  </si>
  <si>
    <t>Ед.</t>
  </si>
  <si>
    <t>Количество территорий, на которых установлены и отремонтированы контейнерные площадки</t>
  </si>
  <si>
    <t>ед.</t>
  </si>
  <si>
    <t>Количество реализованных инициативных проектов по благоустройству территорий городского округа Тольятти</t>
  </si>
  <si>
    <t>4.2.</t>
  </si>
  <si>
    <t>Количество реализованных общественных проектов по благоустройству территорий городского округа Тольятти</t>
  </si>
  <si>
    <t>4.1.</t>
  </si>
  <si>
    <t>%</t>
  </si>
  <si>
    <t>Доля выполненных работ от общего объема работ по ремонту объектов гидротехнических сооружений</t>
  </si>
  <si>
    <t>Ремонт объектов гидротехнических сооружений</t>
  </si>
  <si>
    <t>Содержание системы поверхностного водоотвода объектов гидротехнических сооружений</t>
  </si>
  <si>
    <t>3.5.</t>
  </si>
  <si>
    <t>Количество застрахованных гидротехнических сооружений</t>
  </si>
  <si>
    <t>3.4.</t>
  </si>
  <si>
    <t>3.3.</t>
  </si>
  <si>
    <t>3.2.</t>
  </si>
  <si>
    <t>Доля выполненных работ от общего объема проектных работ и изысканий, запланированных в текущем году</t>
  </si>
  <si>
    <t>3.1.</t>
  </si>
  <si>
    <t>2.1.</t>
  </si>
  <si>
    <t>1.5.</t>
  </si>
  <si>
    <t>1.4.</t>
  </si>
  <si>
    <t>Количество объектов, на территории которых устроено внутриквартальное освещение</t>
  </si>
  <si>
    <t>Ремонт, восстановление и устройство внутриквартального освещения</t>
  </si>
  <si>
    <t>1.3.</t>
  </si>
  <si>
    <t>Ремонт, восстановление и устройство покрытий тротуаров, проездов, площадок для временной парковки автомашин</t>
  </si>
  <si>
    <t>Количество подготовленных проектов</t>
  </si>
  <si>
    <t>1.1.</t>
  </si>
  <si>
    <t>Значение показателей (индикаторов) по годам</t>
  </si>
  <si>
    <t>Базовое значение</t>
  </si>
  <si>
    <t>Ед. изм.</t>
  </si>
  <si>
    <t>Наименование показателей (индикаторов)</t>
  </si>
  <si>
    <t>№</t>
  </si>
  <si>
    <t>ПОКАЗАТЕЛИ (ИНДИКАТОРЫ) МУНИЦИПАЛЬНОЙ ПРОГРАММЫ "БЛАГОУСТРОЙСТВО ТЕРРИТОРИИ ГОРОДСКОГО ОКРУГА ТОЛЬЯТТИ НА 2025 - 2030 ГОДЫ"</t>
  </si>
  <si>
    <t>Приложение № 2</t>
  </si>
  <si>
    <t>Валка и обрезка аварийно опасных и сухостойных деревьев</t>
  </si>
  <si>
    <t>Акарицидная обработка и дератизация территорий общего пользования</t>
  </si>
  <si>
    <t>2025-2029</t>
  </si>
  <si>
    <t xml:space="preserve">Ремонт покрытий проездов и пешеходных дорожек, ремонт автомобильных дорог </t>
  </si>
  <si>
    <t>2027-2029</t>
  </si>
  <si>
    <t>Инвентаризация захоронений</t>
  </si>
  <si>
    <t>Содержание МКУ "Ритуал"</t>
  </si>
  <si>
    <t xml:space="preserve">Перевозка трупов и трупного материала автомобильным транспортом с экипажем в морг </t>
  </si>
  <si>
    <t>в том числе:</t>
  </si>
  <si>
    <t>Итого по задаче 2:</t>
  </si>
  <si>
    <t xml:space="preserve">МБУ "Зеленстрой" </t>
  </si>
  <si>
    <t>МБУ "Зеленстрой"</t>
  </si>
  <si>
    <t xml:space="preserve">МКУ "Ритуал" </t>
  </si>
  <si>
    <t>МКУ "Ритуал"</t>
  </si>
  <si>
    <t xml:space="preserve">Площадь тротуаров </t>
  </si>
  <si>
    <t xml:space="preserve">м2            </t>
  </si>
  <si>
    <t>Площадь газонов</t>
  </si>
  <si>
    <t>Площадь автодорог</t>
  </si>
  <si>
    <t>м2</t>
  </si>
  <si>
    <t>Длина ливневой канализации</t>
  </si>
  <si>
    <t>п/м</t>
  </si>
  <si>
    <t>Очистка колодцев</t>
  </si>
  <si>
    <t>шт.</t>
  </si>
  <si>
    <t xml:space="preserve">Площадь цветников </t>
  </si>
  <si>
    <t xml:space="preserve">Площадь  катков и кортов </t>
  </si>
  <si>
    <t>Площадь отремонтированного асфальтобетонного покрытия</t>
  </si>
  <si>
    <t xml:space="preserve">Объем удаленных аварийно опасных, сухостойных и упавших деревьев </t>
  </si>
  <si>
    <t>м3</t>
  </si>
  <si>
    <t>14</t>
  </si>
  <si>
    <t xml:space="preserve">16 </t>
  </si>
  <si>
    <t>Количество объектов, содержащихся в надлежащем состоянии</t>
  </si>
  <si>
    <t xml:space="preserve"> -</t>
  </si>
  <si>
    <t>Площадь обрабатываемых территорий пляжей</t>
  </si>
  <si>
    <t>Площадь обрабатываемых территорий парков</t>
  </si>
  <si>
    <t>Количество сооружений</t>
  </si>
  <si>
    <t>Объем принятых ТКО</t>
  </si>
  <si>
    <t>Объем собранного мусора</t>
  </si>
  <si>
    <t>Количество отработанных машино-часов</t>
  </si>
  <si>
    <t>маш-час</t>
  </si>
  <si>
    <t>Количество приобретаемой техники и оборудования</t>
  </si>
  <si>
    <t>Уровень исполнения обязательств по лизингу 1 с нарастающим итогом</t>
  </si>
  <si>
    <t>Уровень исполнения обязательств по лизингу 2 с нарастающим итогом</t>
  </si>
  <si>
    <t xml:space="preserve"> %</t>
  </si>
  <si>
    <t>Количество отремонтированных зданий</t>
  </si>
  <si>
    <t>Площадь территории содержания</t>
  </si>
  <si>
    <t>Объем удаленных аварийно опасных, сухостойных и упавших деревьев</t>
  </si>
  <si>
    <t xml:space="preserve">м3              </t>
  </si>
  <si>
    <t>Количество удаленных пней деревьев</t>
  </si>
  <si>
    <t>Объем ликвидированных несанкционированных свалок</t>
  </si>
  <si>
    <t xml:space="preserve">Площадь зеленых насаждений </t>
  </si>
  <si>
    <t>Объем подаваемой воды</t>
  </si>
  <si>
    <t xml:space="preserve">Площадь обрабатываемой территории, подлежащей акарицидной обработке </t>
  </si>
  <si>
    <t>Площадь обрабатываемой территории , подлежащей дератизации</t>
  </si>
  <si>
    <t>Площадь покрытий проездов и пешеходных дорожек</t>
  </si>
  <si>
    <t>Площадь инвентаризируемой территории</t>
  </si>
  <si>
    <t>Уровень исполнения бюджетной сметы расходов учреждения</t>
  </si>
  <si>
    <t>Количество трупного материала, трупов</t>
  </si>
  <si>
    <t xml:space="preserve">ед.   </t>
  </si>
  <si>
    <t>Количество празднично оформленных объектов</t>
  </si>
  <si>
    <t xml:space="preserve">Количество флагов </t>
  </si>
  <si>
    <t xml:space="preserve">Количество установленных барьерных ограждений </t>
  </si>
  <si>
    <t>Задача 1:  Обеспечение комплексного благоустройства внутриквартальных территорий</t>
  </si>
  <si>
    <r>
      <t xml:space="preserve">Устройство и ремонт контейнерных площадок </t>
    </r>
    <r>
      <rPr>
        <i/>
        <sz val="11"/>
        <color theme="1"/>
        <rFont val="Times New Roman"/>
        <family val="1"/>
        <charset val="204"/>
      </rPr>
      <t>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  </r>
  </si>
  <si>
    <t>2025, 2027-2030</t>
  </si>
  <si>
    <t>*</t>
  </si>
  <si>
    <t>с учетом поступления средств из вышестоящих бюджетов</t>
  </si>
  <si>
    <t xml:space="preserve">ПЕРЕЧЕНЬ МЕРОПРИЯТИЙ МУНИЦИПАЛЬНОЙ ПРОГРАММЫ "БЛАГОУСТРОЙСТВО ТЕРРИТОРИИ ГОРОДСКОГО ОКРУГА ТОЛЬЯТТИ НА 2025 - 2030 ГОДЫ" </t>
  </si>
  <si>
    <t>Ремонт и установка МАФ &lt;1&gt;</t>
  </si>
  <si>
    <t>1.6</t>
  </si>
  <si>
    <t>1.7</t>
  </si>
  <si>
    <t xml:space="preserve">1.2 </t>
  </si>
  <si>
    <t>Приобретение, установка и содержание туалетов</t>
  </si>
  <si>
    <t>Освобождение земельных участков от незаконно размещенных нестационарных сооружений</t>
  </si>
  <si>
    <t>5.3</t>
  </si>
  <si>
    <t>Транспортирование и утилизация твердых коммунальных отходов в период проведения субботников и праздничных мероприятий</t>
  </si>
  <si>
    <t xml:space="preserve">1.2. </t>
  </si>
  <si>
    <t>Площадь отремонтированных покрытий тротуаров, проездов, площадок для временной парковки автомашин</t>
  </si>
  <si>
    <t>Количество объектов, на территории которых установлены детские и спортивные площадки</t>
  </si>
  <si>
    <t>Количество объектов, на территории которых установлены МАФ</t>
  </si>
  <si>
    <t>Ремонт и установка МАФ</t>
  </si>
  <si>
    <t>Количество объектов, на территории которых отремонтированы МАФ</t>
  </si>
  <si>
    <t>1.7.</t>
  </si>
  <si>
    <t>2.2.</t>
  </si>
  <si>
    <t>2.3.</t>
  </si>
  <si>
    <t>2.4.</t>
  </si>
  <si>
    <r>
      <t>Приобретение, установка и содержание туалетов</t>
    </r>
    <r>
      <rPr>
        <i/>
        <sz val="12"/>
        <color indexed="10"/>
        <rFont val="Times New Roman"/>
        <family val="1"/>
        <charset val="204"/>
      </rPr>
      <t xml:space="preserve"> </t>
    </r>
  </si>
  <si>
    <t>Количество общественных туалетов подлежащих содержанию</t>
  </si>
  <si>
    <t>Количество деревьев  и кустарников, подлежащих уходу</t>
  </si>
  <si>
    <t>Длина живой изгороди, подлежащей уходу</t>
  </si>
  <si>
    <t>Содержание территорий объектов гидротехнических сооружений, пляжей и прибрежных территорий</t>
  </si>
  <si>
    <t>5.2.</t>
  </si>
  <si>
    <t>Количество освобожденных муниципальных помещений</t>
  </si>
  <si>
    <t>5.3.</t>
  </si>
  <si>
    <t xml:space="preserve">5.1 </t>
  </si>
  <si>
    <t>5.5</t>
  </si>
  <si>
    <t xml:space="preserve">Задача 6: Содержание мест погребения (мест захоронения) городского округа Тольятти </t>
  </si>
  <si>
    <t xml:space="preserve">Итого по задаче 5:                    </t>
  </si>
  <si>
    <t>Итого по задаче 6:</t>
  </si>
  <si>
    <t>Праздничное оформление городских территорий</t>
  </si>
  <si>
    <t>Подготовка проектной документации, проведение государственной экспертизы такой документации, в том числе предпроектные работы и изыскания</t>
  </si>
  <si>
    <t>Восстановление и устройство детских и спортивных площадок  &lt;1&gt;</t>
  </si>
  <si>
    <t xml:space="preserve">Восстановление и устройство хоккейных кортов и катков </t>
  </si>
  <si>
    <t>Благоустройство территорий общего пользования</t>
  </si>
  <si>
    <t>Задача 2: Сохранение и улучшение эксплуатационных характеристик общественных пространств</t>
  </si>
  <si>
    <t>Задача 3: Создание условий для массового отдыха на береговых зонах водных объектов</t>
  </si>
  <si>
    <t>2025-2027</t>
  </si>
  <si>
    <t>Задача 4: Вовлечение населения в благоустройство городской среды</t>
  </si>
  <si>
    <t>Реализация общественных проектов, направленных на благоустройство городских территорий (государственная программа Самарской области «Поддержка инициатив населения муниципальных образований в Самарской области»)</t>
  </si>
  <si>
    <t xml:space="preserve">Реализация инициативных проектов, направленных на благоустройство городских территорий </t>
  </si>
  <si>
    <t xml:space="preserve">Задача 5: Эксплуатация объектов благоустройства городских территорий </t>
  </si>
  <si>
    <t>Устройство и ремонт контейнерных площадок (государственная программа Самарской области «Совершенствование системы обращения с отходами, в том числе с твердыми коммунальными отходами, на территории Самарской области»)</t>
  </si>
  <si>
    <t>5.5.</t>
  </si>
  <si>
    <t>Преддекларационные обследования и разработка деклараций безопасности объектов гидротехнических сооружений с государственной экспертизой</t>
  </si>
  <si>
    <t xml:space="preserve">Количество объектов, на территории которых восстановлены корты, катки </t>
  </si>
  <si>
    <t>Ремонт и восстановление памятных мест, объектов, направленных на сохранение исторической памяти</t>
  </si>
  <si>
    <t>Количество отремонтированных объектов</t>
  </si>
  <si>
    <t>5.9.</t>
  </si>
  <si>
    <t xml:space="preserve">Цветочное оформление территорий </t>
  </si>
  <si>
    <t xml:space="preserve">Доля выполненных работ от общего объема запланированных работ </t>
  </si>
  <si>
    <r>
      <rPr>
        <sz val="12"/>
        <color rgb="FF000000"/>
        <rFont val="Times New Roman"/>
        <family val="1"/>
        <charset val="204"/>
      </rPr>
      <t>3.6</t>
    </r>
    <r>
      <rPr>
        <sz val="11"/>
        <color rgb="FF000000"/>
        <rFont val="Times New Roman"/>
        <family val="1"/>
        <charset val="204"/>
      </rPr>
      <t xml:space="preserve"> </t>
    </r>
  </si>
  <si>
    <r>
      <t xml:space="preserve">Реализация общественных проектов, направленных на благоустройство городских территорий                                                  </t>
    </r>
    <r>
      <rPr>
        <sz val="11"/>
        <color theme="1"/>
        <rFont val="Times New Roman"/>
        <family val="1"/>
        <charset val="204"/>
      </rPr>
      <t xml:space="preserve"> </t>
    </r>
    <r>
      <rPr>
        <i/>
        <sz val="11"/>
        <color theme="1"/>
        <rFont val="Times New Roman"/>
        <family val="1"/>
        <charset val="204"/>
      </rPr>
      <t>(государственная программа Самарской области "Поддержка инициатив населения муниципальных образований в Самарской области")</t>
    </r>
  </si>
  <si>
    <t xml:space="preserve">Комплексное содержание внутриквартальных территорий </t>
  </si>
  <si>
    <t xml:space="preserve">Содержание мест отдыха </t>
  </si>
  <si>
    <t>Площадь содержания скверов, парков и площадок  семейного отдыха</t>
  </si>
  <si>
    <t>Обращение с твердыми коммунальными отходами</t>
  </si>
  <si>
    <t>5.4.</t>
  </si>
  <si>
    <t xml:space="preserve">5.6. </t>
  </si>
  <si>
    <t>5.7.</t>
  </si>
  <si>
    <t>Площадь обрабатываемых территорий общего пользования при дератизации</t>
  </si>
  <si>
    <t>Площадь территорий общего пользования, на которых проведена акарицидная обработка</t>
  </si>
  <si>
    <t>5.8.</t>
  </si>
  <si>
    <t xml:space="preserve">Количество приобретенных и установленных общественных туалетов </t>
  </si>
  <si>
    <t>1</t>
  </si>
  <si>
    <t>Материально-техническое обеспечение эксплуатации объектов благоустройства</t>
  </si>
  <si>
    <t>5.10.</t>
  </si>
  <si>
    <t>Задача 6: Содержание мест погребения (мест захоронения) городского округа Тольятти</t>
  </si>
  <si>
    <t>6.1.</t>
  </si>
  <si>
    <t xml:space="preserve">Содержание муниципальных кладбищ     </t>
  </si>
  <si>
    <t>6.2.</t>
  </si>
  <si>
    <t>6.3.</t>
  </si>
  <si>
    <t>6.4.</t>
  </si>
  <si>
    <t>6.5.</t>
  </si>
  <si>
    <t xml:space="preserve">1.5 </t>
  </si>
  <si>
    <r>
      <t>2.2</t>
    </r>
    <r>
      <rPr>
        <i/>
        <sz val="12"/>
        <rFont val="Times New Roman"/>
        <family val="1"/>
        <charset val="204"/>
      </rPr>
      <t xml:space="preserve"> </t>
    </r>
  </si>
  <si>
    <r>
      <t>Ремонт и восстановление памятных мест, объектов, направленных на сохранение исторической памяти</t>
    </r>
    <r>
      <rPr>
        <i/>
        <sz val="12"/>
        <rFont val="Times New Roman"/>
        <family val="1"/>
        <charset val="204"/>
      </rPr>
      <t xml:space="preserve"> </t>
    </r>
  </si>
  <si>
    <t xml:space="preserve">Праздничное оформление городских территорий </t>
  </si>
  <si>
    <t xml:space="preserve">2.3 </t>
  </si>
  <si>
    <t xml:space="preserve">2.4 </t>
  </si>
  <si>
    <t xml:space="preserve">3.6 </t>
  </si>
  <si>
    <t xml:space="preserve">5.2 </t>
  </si>
  <si>
    <t xml:space="preserve">Обращение с твердыми коммунальными отходами </t>
  </si>
  <si>
    <r>
      <t>5.4</t>
    </r>
    <r>
      <rPr>
        <i/>
        <sz val="10"/>
        <rFont val="Times New Roman"/>
        <family val="1"/>
        <charset val="204"/>
      </rPr>
      <t xml:space="preserve"> </t>
    </r>
  </si>
  <si>
    <t xml:space="preserve">5.6 </t>
  </si>
  <si>
    <t xml:space="preserve">5.7 </t>
  </si>
  <si>
    <t xml:space="preserve">5.8 </t>
  </si>
  <si>
    <r>
      <t>5.9</t>
    </r>
    <r>
      <rPr>
        <i/>
        <sz val="10"/>
        <rFont val="Times New Roman"/>
        <family val="1"/>
        <charset val="204"/>
      </rPr>
      <t xml:space="preserve"> </t>
    </r>
  </si>
  <si>
    <t xml:space="preserve">5.10 </t>
  </si>
  <si>
    <t xml:space="preserve">Материально-техническое обеспечение эксплуатации объектов благоустройства </t>
  </si>
  <si>
    <r>
      <t>6.1</t>
    </r>
    <r>
      <rPr>
        <sz val="10"/>
        <rFont val="Times New Roman"/>
        <family val="1"/>
        <charset val="204"/>
      </rPr>
      <t xml:space="preserve"> </t>
    </r>
  </si>
  <si>
    <t xml:space="preserve">Содержание муниципальных кладбищ                        </t>
  </si>
  <si>
    <t xml:space="preserve">6.2 </t>
  </si>
  <si>
    <t xml:space="preserve">6.3 </t>
  </si>
  <si>
    <t xml:space="preserve">6.4 </t>
  </si>
  <si>
    <t xml:space="preserve">6.5 </t>
  </si>
  <si>
    <t>Восстановление и устройство детских и спортивных площадок</t>
  </si>
  <si>
    <t>2025г.</t>
  </si>
  <si>
    <t>2026г.</t>
  </si>
  <si>
    <t>2027г.</t>
  </si>
  <si>
    <t>2028г.</t>
  </si>
  <si>
    <t>2029г.</t>
  </si>
  <si>
    <t>2030г.</t>
  </si>
  <si>
    <t>Благоустройство придомовых территорий многоквартирных домов &lt;1&gt;</t>
  </si>
  <si>
    <t>Благоустройство придомовых территорий многоквартирных домов</t>
  </si>
  <si>
    <t>24 928*</t>
  </si>
  <si>
    <t>19 256*</t>
  </si>
  <si>
    <t>5 100*</t>
  </si>
  <si>
    <t>39 231*</t>
  </si>
  <si>
    <t>* - финансовые средства приведены в объемах, доведенных контрольных цифр Проекта бюджета городского округа Тольятти на 2025 год и плановый период 2026 и 2027 годов</t>
  </si>
  <si>
    <t>4*</t>
  </si>
  <si>
    <t>2*</t>
  </si>
  <si>
    <t>1*</t>
  </si>
  <si>
    <t>5**</t>
  </si>
  <si>
    <t>**</t>
  </si>
  <si>
    <t>приведены ориентировочно, будут уточнены после формирования адресных перечней, по итогам рейтингового голосования</t>
  </si>
  <si>
    <t>49 964*</t>
  </si>
  <si>
    <t>32 036*</t>
  </si>
  <si>
    <t>33 318*</t>
  </si>
  <si>
    <t>2 197*</t>
  </si>
  <si>
    <t>2 285*</t>
  </si>
  <si>
    <t>15 287*</t>
  </si>
  <si>
    <t>15 698*</t>
  </si>
  <si>
    <t>Доля выполненных работ (по объектам) в общем количестве запланированных работ по благоустройству придомовых территорий</t>
  </si>
  <si>
    <t>52 297*</t>
  </si>
  <si>
    <t>86 240*</t>
  </si>
  <si>
    <t>121 635*</t>
  </si>
  <si>
    <t>Количество благоустроенных объектов, в том числе частично*</t>
  </si>
  <si>
    <t>2 110*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</si>
</sst>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&quot;Да&quot;;&quot;Да&quot;;&quot;Нет&quot;"/>
    <numFmt numFmtId="167" formatCode="#,##0.0"/>
    <numFmt numFmtId="168" formatCode="0.000"/>
    <numFmt numFmtId="169" formatCode="0.0"/>
  </numFmts>
  <fonts count="4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8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1" fillId="0" borderId="0" applyNumberFormat="0" applyFill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8" borderId="57" applyNumberFormat="0" applyAlignment="0" applyProtection="0"/>
    <xf numFmtId="0" fontId="8" fillId="21" borderId="58" applyNumberFormat="0" applyAlignment="0" applyProtection="0"/>
    <xf numFmtId="0" fontId="9" fillId="21" borderId="57" applyNumberFormat="0" applyAlignment="0" applyProtection="0"/>
    <xf numFmtId="0" fontId="10" fillId="0" borderId="59" applyNumberFormat="0" applyFill="0" applyAlignment="0" applyProtection="0"/>
    <xf numFmtId="0" fontId="11" fillId="0" borderId="60" applyNumberFormat="0" applyFill="0" applyAlignment="0" applyProtection="0"/>
    <xf numFmtId="0" fontId="12" fillId="0" borderId="61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2" applyNumberFormat="0" applyFill="0" applyAlignment="0" applyProtection="0"/>
    <xf numFmtId="0" fontId="14" fillId="22" borderId="63" applyNumberFormat="0" applyAlignment="0" applyProtection="0"/>
    <xf numFmtId="0" fontId="15" fillId="0" borderId="0" applyNumberFormat="0" applyFill="0" applyBorder="0" applyAlignment="0" applyProtection="0"/>
    <xf numFmtId="0" fontId="16" fillId="23" borderId="0" applyNumberFormat="0" applyBorder="0" applyAlignment="0" applyProtection="0"/>
    <xf numFmtId="0" fontId="5" fillId="0" borderId="0"/>
    <xf numFmtId="0" fontId="5" fillId="0" borderId="0"/>
    <xf numFmtId="0" fontId="4" fillId="0" borderId="0"/>
    <xf numFmtId="0" fontId="5" fillId="0" borderId="0"/>
    <xf numFmtId="0" fontId="17" fillId="0" borderId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5" fillId="24" borderId="64" applyNumberFormat="0" applyFont="0" applyAlignment="0" applyProtection="0"/>
    <xf numFmtId="0" fontId="20" fillId="0" borderId="65" applyNumberFormat="0" applyFill="0" applyAlignment="0" applyProtection="0"/>
    <xf numFmtId="0" fontId="21" fillId="0" borderId="0" applyNumberForma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6" fontId="5" fillId="0" borderId="0" applyFill="0" applyBorder="0" applyAlignment="0" applyProtection="0"/>
    <xf numFmtId="0" fontId="22" fillId="5" borderId="0" applyNumberFormat="0" applyBorder="0" applyAlignment="0" applyProtection="0"/>
    <xf numFmtId="0" fontId="17" fillId="0" borderId="0"/>
    <xf numFmtId="0" fontId="23" fillId="0" borderId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7" fillId="0" borderId="0"/>
    <xf numFmtId="0" fontId="23" fillId="0" borderId="0"/>
    <xf numFmtId="0" fontId="41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392">
    <xf numFmtId="0" fontId="0" fillId="0" borderId="0" xfId="0"/>
    <xf numFmtId="0" fontId="25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/>
    </xf>
    <xf numFmtId="0" fontId="25" fillId="2" borderId="0" xfId="0" applyFont="1" applyFill="1"/>
    <xf numFmtId="0" fontId="25" fillId="2" borderId="37" xfId="0" applyFont="1" applyFill="1" applyBorder="1" applyAlignment="1">
      <alignment horizontal="center"/>
    </xf>
    <xf numFmtId="49" fontId="25" fillId="2" borderId="2" xfId="0" applyNumberFormat="1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vertical="center" wrapText="1"/>
    </xf>
    <xf numFmtId="0" fontId="25" fillId="2" borderId="51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3" fontId="25" fillId="2" borderId="38" xfId="0" applyNumberFormat="1" applyFont="1" applyFill="1" applyBorder="1" applyAlignment="1">
      <alignment horizontal="center" vertical="center" wrapText="1"/>
    </xf>
    <xf numFmtId="3" fontId="25" fillId="2" borderId="35" xfId="0" applyNumberFormat="1" applyFont="1" applyFill="1" applyBorder="1" applyAlignment="1">
      <alignment horizontal="center" vertical="center" wrapText="1"/>
    </xf>
    <xf numFmtId="3" fontId="25" fillId="2" borderId="36" xfId="0" applyNumberFormat="1" applyFont="1" applyFill="1" applyBorder="1" applyAlignment="1">
      <alignment horizontal="center" vertical="center" wrapText="1"/>
    </xf>
    <xf numFmtId="3" fontId="25" fillId="2" borderId="46" xfId="0" applyNumberFormat="1" applyFont="1" applyFill="1" applyBorder="1" applyAlignment="1">
      <alignment horizontal="center" vertical="center" wrapText="1"/>
    </xf>
    <xf numFmtId="3" fontId="25" fillId="2" borderId="26" xfId="0" applyNumberFormat="1" applyFont="1" applyFill="1" applyBorder="1" applyAlignment="1">
      <alignment horizontal="center" vertical="center"/>
    </xf>
    <xf numFmtId="0" fontId="25" fillId="2" borderId="27" xfId="0" applyFont="1" applyFill="1" applyBorder="1" applyAlignment="1">
      <alignment vertical="center" wrapText="1"/>
    </xf>
    <xf numFmtId="3" fontId="25" fillId="2" borderId="16" xfId="0" applyNumberFormat="1" applyFont="1" applyFill="1" applyBorder="1" applyAlignment="1">
      <alignment horizontal="center" vertical="center" wrapText="1"/>
    </xf>
    <xf numFmtId="3" fontId="25" fillId="2" borderId="8" xfId="0" applyNumberFormat="1" applyFont="1" applyFill="1" applyBorder="1" applyAlignment="1">
      <alignment horizontal="center" vertical="center" wrapText="1"/>
    </xf>
    <xf numFmtId="3" fontId="25" fillId="2" borderId="17" xfId="0" applyNumberFormat="1" applyFont="1" applyFill="1" applyBorder="1" applyAlignment="1">
      <alignment horizontal="center" vertical="center" wrapText="1"/>
    </xf>
    <xf numFmtId="3" fontId="25" fillId="2" borderId="55" xfId="0" applyNumberFormat="1" applyFont="1" applyFill="1" applyBorder="1" applyAlignment="1">
      <alignment horizontal="center" vertical="center" wrapText="1"/>
    </xf>
    <xf numFmtId="3" fontId="25" fillId="2" borderId="27" xfId="0" applyNumberFormat="1" applyFont="1" applyFill="1" applyBorder="1" applyAlignment="1">
      <alignment horizontal="center" vertical="center"/>
    </xf>
    <xf numFmtId="3" fontId="25" fillId="2" borderId="0" xfId="0" applyNumberFormat="1" applyFont="1" applyFill="1"/>
    <xf numFmtId="49" fontId="25" fillId="2" borderId="3" xfId="0" applyNumberFormat="1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vertical="center" wrapText="1"/>
    </xf>
    <xf numFmtId="0" fontId="25" fillId="2" borderId="0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3" fontId="25" fillId="2" borderId="29" xfId="0" applyNumberFormat="1" applyFont="1" applyFill="1" applyBorder="1" applyAlignment="1">
      <alignment horizontal="center" vertical="center" wrapText="1"/>
    </xf>
    <xf numFmtId="3" fontId="25" fillId="2" borderId="41" xfId="0" applyNumberFormat="1" applyFont="1" applyFill="1" applyBorder="1" applyAlignment="1">
      <alignment horizontal="center" vertical="center" wrapText="1"/>
    </xf>
    <xf numFmtId="3" fontId="25" fillId="2" borderId="45" xfId="0" applyNumberFormat="1" applyFont="1" applyFill="1" applyBorder="1" applyAlignment="1">
      <alignment horizontal="center" vertical="center" wrapText="1"/>
    </xf>
    <xf numFmtId="3" fontId="25" fillId="2" borderId="40" xfId="0" applyNumberFormat="1" applyFont="1" applyFill="1" applyBorder="1" applyAlignment="1">
      <alignment horizontal="center" vertical="center" wrapText="1"/>
    </xf>
    <xf numFmtId="49" fontId="25" fillId="2" borderId="66" xfId="0" applyNumberFormat="1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vertical="center" wrapText="1"/>
    </xf>
    <xf numFmtId="3" fontId="25" fillId="2" borderId="13" xfId="0" applyNumberFormat="1" applyFont="1" applyFill="1" applyBorder="1" applyAlignment="1">
      <alignment horizontal="center" vertical="center" wrapText="1"/>
    </xf>
    <xf numFmtId="3" fontId="25" fillId="2" borderId="14" xfId="0" applyNumberFormat="1" applyFont="1" applyFill="1" applyBorder="1" applyAlignment="1">
      <alignment horizontal="center" vertical="center" wrapText="1"/>
    </xf>
    <xf numFmtId="3" fontId="25" fillId="2" borderId="15" xfId="0" applyNumberFormat="1" applyFont="1" applyFill="1" applyBorder="1" applyAlignment="1">
      <alignment horizontal="center" vertical="center" wrapText="1"/>
    </xf>
    <xf numFmtId="3" fontId="25" fillId="2" borderId="37" xfId="0" applyNumberFormat="1" applyFont="1" applyFill="1" applyBorder="1" applyAlignment="1">
      <alignment horizontal="center" vertical="center"/>
    </xf>
    <xf numFmtId="0" fontId="25" fillId="2" borderId="30" xfId="0" applyFont="1" applyFill="1" applyBorder="1" applyAlignment="1">
      <alignment vertical="center" wrapText="1"/>
    </xf>
    <xf numFmtId="3" fontId="25" fillId="2" borderId="20" xfId="0" applyNumberFormat="1" applyFont="1" applyFill="1" applyBorder="1" applyAlignment="1">
      <alignment horizontal="center" vertical="center" wrapText="1"/>
    </xf>
    <xf numFmtId="3" fontId="25" fillId="2" borderId="54" xfId="0" applyNumberFormat="1" applyFont="1" applyFill="1" applyBorder="1" applyAlignment="1">
      <alignment horizontal="center" vertical="center" wrapText="1"/>
    </xf>
    <xf numFmtId="0" fontId="25" fillId="2" borderId="28" xfId="0" applyFont="1" applyFill="1" applyBorder="1" applyAlignment="1">
      <alignment horizontal="center" vertical="center" wrapText="1"/>
    </xf>
    <xf numFmtId="3" fontId="25" fillId="2" borderId="9" xfId="0" applyNumberFormat="1" applyFont="1" applyFill="1" applyBorder="1" applyAlignment="1">
      <alignment horizontal="center" vertical="center" wrapText="1"/>
    </xf>
    <xf numFmtId="3" fontId="25" fillId="2" borderId="19" xfId="0" applyNumberFormat="1" applyFont="1" applyFill="1" applyBorder="1" applyAlignment="1">
      <alignment horizontal="center" vertical="center" wrapText="1"/>
    </xf>
    <xf numFmtId="3" fontId="25" fillId="2" borderId="33" xfId="0" applyNumberFormat="1" applyFont="1" applyFill="1" applyBorder="1" applyAlignment="1">
      <alignment horizontal="center" vertical="center" wrapText="1"/>
    </xf>
    <xf numFmtId="3" fontId="25" fillId="2" borderId="18" xfId="0" applyNumberFormat="1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vertical="center" wrapText="1"/>
    </xf>
    <xf numFmtId="3" fontId="25" fillId="2" borderId="42" xfId="0" applyNumberFormat="1" applyFont="1" applyFill="1" applyBorder="1" applyAlignment="1">
      <alignment horizontal="center" vertical="center" wrapText="1"/>
    </xf>
    <xf numFmtId="49" fontId="25" fillId="2" borderId="2" xfId="0" applyNumberFormat="1" applyFont="1" applyFill="1" applyBorder="1" applyAlignment="1">
      <alignment horizontal="center" vertical="center"/>
    </xf>
    <xf numFmtId="0" fontId="25" fillId="2" borderId="68" xfId="0" applyFont="1" applyFill="1" applyBorder="1" applyAlignment="1">
      <alignment horizontal="left" vertical="center" wrapText="1"/>
    </xf>
    <xf numFmtId="3" fontId="25" fillId="2" borderId="39" xfId="0" applyNumberFormat="1" applyFont="1" applyFill="1" applyBorder="1" applyAlignment="1">
      <alignment horizontal="center" vertical="center" wrapText="1"/>
    </xf>
    <xf numFmtId="3" fontId="25" fillId="2" borderId="2" xfId="0" applyNumberFormat="1" applyFont="1" applyFill="1" applyBorder="1" applyAlignment="1">
      <alignment horizontal="center" vertical="center"/>
    </xf>
    <xf numFmtId="3" fontId="25" fillId="2" borderId="28" xfId="0" applyNumberFormat="1" applyFont="1" applyFill="1" applyBorder="1" applyAlignment="1">
      <alignment horizontal="center" vertical="center"/>
    </xf>
    <xf numFmtId="0" fontId="25" fillId="2" borderId="56" xfId="0" applyFont="1" applyFill="1" applyBorder="1" applyAlignment="1">
      <alignment vertical="center" wrapText="1"/>
    </xf>
    <xf numFmtId="3" fontId="25" fillId="2" borderId="0" xfId="0" applyNumberFormat="1" applyFont="1" applyFill="1" applyAlignment="1">
      <alignment horizontal="center" vertical="center"/>
    </xf>
    <xf numFmtId="3" fontId="25" fillId="2" borderId="24" xfId="0" applyNumberFormat="1" applyFont="1" applyFill="1" applyBorder="1" applyAlignment="1">
      <alignment horizontal="center" vertical="center" wrapText="1"/>
    </xf>
    <xf numFmtId="3" fontId="25" fillId="2" borderId="21" xfId="0" applyNumberFormat="1" applyFont="1" applyFill="1" applyBorder="1" applyAlignment="1">
      <alignment horizontal="center" vertical="center" wrapText="1"/>
    </xf>
    <xf numFmtId="3" fontId="25" fillId="2" borderId="44" xfId="0" applyNumberFormat="1" applyFont="1" applyFill="1" applyBorder="1" applyAlignment="1">
      <alignment horizontal="center" vertical="center" wrapText="1"/>
    </xf>
    <xf numFmtId="3" fontId="25" fillId="2" borderId="22" xfId="0" applyNumberFormat="1" applyFont="1" applyFill="1" applyBorder="1" applyAlignment="1">
      <alignment horizontal="center" vertical="center" wrapText="1"/>
    </xf>
    <xf numFmtId="3" fontId="25" fillId="2" borderId="23" xfId="0" applyNumberFormat="1" applyFont="1" applyFill="1" applyBorder="1" applyAlignment="1">
      <alignment horizontal="center" vertical="center" wrapText="1"/>
    </xf>
    <xf numFmtId="0" fontId="24" fillId="0" borderId="0" xfId="0" applyFont="1"/>
    <xf numFmtId="0" fontId="24" fillId="0" borderId="0" xfId="0" applyFont="1" applyAlignment="1">
      <alignment horizontal="right" vertical="center"/>
    </xf>
    <xf numFmtId="0" fontId="24" fillId="0" borderId="0" xfId="0" applyFont="1" applyAlignment="1">
      <alignment horizontal="justify" vertical="center"/>
    </xf>
    <xf numFmtId="0" fontId="24" fillId="0" borderId="8" xfId="0" applyFont="1" applyBorder="1" applyAlignment="1">
      <alignment horizontal="center" vertical="center" wrapText="1"/>
    </xf>
    <xf numFmtId="0" fontId="24" fillId="2" borderId="0" xfId="0" applyFont="1" applyFill="1"/>
    <xf numFmtId="0" fontId="24" fillId="2" borderId="8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3" fontId="25" fillId="0" borderId="8" xfId="0" applyNumberFormat="1" applyFont="1" applyFill="1" applyBorder="1" applyAlignment="1">
      <alignment horizontal="center" vertical="center" wrapText="1"/>
    </xf>
    <xf numFmtId="49" fontId="25" fillId="2" borderId="37" xfId="0" applyNumberFormat="1" applyFont="1" applyFill="1" applyBorder="1" applyAlignment="1">
      <alignment horizontal="center" vertical="center" wrapText="1"/>
    </xf>
    <xf numFmtId="49" fontId="25" fillId="0" borderId="37" xfId="0" applyNumberFormat="1" applyFont="1" applyFill="1" applyBorder="1" applyAlignment="1">
      <alignment horizontal="center" vertical="center" wrapText="1"/>
    </xf>
    <xf numFmtId="3" fontId="25" fillId="2" borderId="77" xfId="0" applyNumberFormat="1" applyFont="1" applyFill="1" applyBorder="1" applyAlignment="1">
      <alignment horizontal="center" vertical="center" wrapText="1"/>
    </xf>
    <xf numFmtId="3" fontId="25" fillId="0" borderId="21" xfId="0" applyNumberFormat="1" applyFont="1" applyFill="1" applyBorder="1" applyAlignment="1">
      <alignment horizontal="center" vertical="center" wrapText="1"/>
    </xf>
    <xf numFmtId="3" fontId="25" fillId="0" borderId="22" xfId="0" applyNumberFormat="1" applyFont="1" applyFill="1" applyBorder="1" applyAlignment="1">
      <alignment horizontal="center" vertical="center" wrapText="1"/>
    </xf>
    <xf numFmtId="3" fontId="25" fillId="0" borderId="23" xfId="0" applyNumberFormat="1" applyFont="1" applyFill="1" applyBorder="1" applyAlignment="1">
      <alignment horizontal="center" vertical="center" wrapText="1"/>
    </xf>
    <xf numFmtId="3" fontId="25" fillId="2" borderId="78" xfId="0" applyNumberFormat="1" applyFont="1" applyFill="1" applyBorder="1" applyAlignment="1">
      <alignment horizontal="center" vertical="center" wrapText="1"/>
    </xf>
    <xf numFmtId="3" fontId="25" fillId="2" borderId="79" xfId="0" applyNumberFormat="1" applyFont="1" applyFill="1" applyBorder="1" applyAlignment="1">
      <alignment horizontal="center" vertical="center" wrapText="1"/>
    </xf>
    <xf numFmtId="3" fontId="25" fillId="2" borderId="37" xfId="0" applyNumberFormat="1" applyFont="1" applyFill="1" applyBorder="1" applyAlignment="1">
      <alignment horizontal="center" vertical="center" wrapText="1"/>
    </xf>
    <xf numFmtId="0" fontId="25" fillId="2" borderId="69" xfId="0" applyFont="1" applyFill="1" applyBorder="1" applyAlignment="1">
      <alignment vertical="center" wrapText="1"/>
    </xf>
    <xf numFmtId="0" fontId="25" fillId="2" borderId="56" xfId="0" applyFont="1" applyFill="1" applyBorder="1" applyAlignment="1">
      <alignment horizontal="center" vertical="center" wrapText="1"/>
    </xf>
    <xf numFmtId="3" fontId="25" fillId="2" borderId="76" xfId="0" applyNumberFormat="1" applyFont="1" applyFill="1" applyBorder="1" applyAlignment="1">
      <alignment horizontal="center" vertical="center" wrapText="1"/>
    </xf>
    <xf numFmtId="3" fontId="25" fillId="2" borderId="80" xfId="0" applyNumberFormat="1" applyFont="1" applyFill="1" applyBorder="1" applyAlignment="1">
      <alignment horizontal="center" vertical="center" wrapText="1"/>
    </xf>
    <xf numFmtId="3" fontId="25" fillId="2" borderId="81" xfId="0" applyNumberFormat="1" applyFont="1" applyFill="1" applyBorder="1" applyAlignment="1">
      <alignment horizontal="center" vertical="center" wrapText="1"/>
    </xf>
    <xf numFmtId="3" fontId="25" fillId="2" borderId="56" xfId="0" applyNumberFormat="1" applyFont="1" applyFill="1" applyBorder="1" applyAlignment="1">
      <alignment horizontal="center" vertical="center"/>
    </xf>
    <xf numFmtId="0" fontId="25" fillId="0" borderId="74" xfId="0" applyFont="1" applyFill="1" applyBorder="1" applyAlignment="1">
      <alignment vertical="center" wrapText="1"/>
    </xf>
    <xf numFmtId="0" fontId="24" fillId="0" borderId="73" xfId="0" applyFont="1" applyFill="1" applyBorder="1" applyAlignment="1">
      <alignment horizontal="left" vertical="center" wrapText="1"/>
    </xf>
    <xf numFmtId="3" fontId="25" fillId="0" borderId="13" xfId="0" applyNumberFormat="1" applyFont="1" applyFill="1" applyBorder="1" applyAlignment="1">
      <alignment horizontal="center" vertical="center" wrapText="1"/>
    </xf>
    <xf numFmtId="3" fontId="25" fillId="0" borderId="14" xfId="0" applyNumberFormat="1" applyFont="1" applyFill="1" applyBorder="1" applyAlignment="1">
      <alignment horizontal="center" vertical="center" wrapText="1"/>
    </xf>
    <xf numFmtId="3" fontId="25" fillId="0" borderId="15" xfId="0" applyNumberFormat="1" applyFont="1" applyFill="1" applyBorder="1" applyAlignment="1">
      <alignment horizontal="center" vertical="center" wrapText="1"/>
    </xf>
    <xf numFmtId="3" fontId="25" fillId="0" borderId="16" xfId="0" applyNumberFormat="1" applyFont="1" applyFill="1" applyBorder="1" applyAlignment="1">
      <alignment horizontal="center" vertical="center" wrapText="1"/>
    </xf>
    <xf numFmtId="3" fontId="25" fillId="0" borderId="17" xfId="0" applyNumberFormat="1" applyFont="1" applyFill="1" applyBorder="1" applyAlignment="1">
      <alignment horizontal="center" vertical="center" wrapText="1"/>
    </xf>
    <xf numFmtId="3" fontId="25" fillId="0" borderId="18" xfId="0" applyNumberFormat="1" applyFont="1" applyFill="1" applyBorder="1" applyAlignment="1">
      <alignment horizontal="center" vertical="center" wrapText="1"/>
    </xf>
    <xf numFmtId="3" fontId="25" fillId="0" borderId="9" xfId="0" applyNumberFormat="1" applyFont="1" applyFill="1" applyBorder="1" applyAlignment="1">
      <alignment horizontal="center" vertical="center" wrapText="1"/>
    </xf>
    <xf numFmtId="3" fontId="25" fillId="0" borderId="19" xfId="0" applyNumberFormat="1" applyFont="1" applyFill="1" applyBorder="1" applyAlignment="1">
      <alignment horizontal="center" vertical="center" wrapText="1"/>
    </xf>
    <xf numFmtId="3" fontId="25" fillId="0" borderId="24" xfId="0" applyNumberFormat="1" applyFont="1" applyFill="1" applyBorder="1" applyAlignment="1">
      <alignment horizontal="center" vertical="center" wrapText="1"/>
    </xf>
    <xf numFmtId="3" fontId="25" fillId="2" borderId="26" xfId="0" applyNumberFormat="1" applyFont="1" applyFill="1" applyBorder="1" applyAlignment="1">
      <alignment horizontal="center" vertical="center" wrapText="1"/>
    </xf>
    <xf numFmtId="3" fontId="25" fillId="2" borderId="27" xfId="0" applyNumberFormat="1" applyFont="1" applyFill="1" applyBorder="1" applyAlignment="1">
      <alignment horizontal="center" vertical="center" wrapText="1"/>
    </xf>
    <xf numFmtId="0" fontId="25" fillId="0" borderId="75" xfId="0" applyFont="1" applyFill="1" applyBorder="1" applyAlignment="1">
      <alignment vertical="center" wrapText="1"/>
    </xf>
    <xf numFmtId="0" fontId="24" fillId="0" borderId="74" xfId="0" applyFont="1" applyFill="1" applyBorder="1" applyAlignment="1">
      <alignment horizontal="left" vertical="center" wrapText="1"/>
    </xf>
    <xf numFmtId="4" fontId="25" fillId="2" borderId="26" xfId="0" applyNumberFormat="1" applyFont="1" applyFill="1" applyBorder="1" applyAlignment="1">
      <alignment horizontal="center" vertical="center" wrapText="1"/>
    </xf>
    <xf numFmtId="4" fontId="25" fillId="2" borderId="27" xfId="0" applyNumberFormat="1" applyFont="1" applyFill="1" applyBorder="1" applyAlignment="1">
      <alignment horizontal="center" vertical="center" wrapText="1"/>
    </xf>
    <xf numFmtId="4" fontId="25" fillId="2" borderId="28" xfId="0" applyNumberFormat="1" applyFont="1" applyFill="1" applyBorder="1" applyAlignment="1">
      <alignment horizontal="center" vertical="center" wrapText="1"/>
    </xf>
    <xf numFmtId="3" fontId="25" fillId="2" borderId="28" xfId="0" applyNumberFormat="1" applyFont="1" applyFill="1" applyBorder="1" applyAlignment="1">
      <alignment horizontal="center" vertical="center" wrapText="1"/>
    </xf>
    <xf numFmtId="3" fontId="25" fillId="0" borderId="44" xfId="0" applyNumberFormat="1" applyFont="1" applyFill="1" applyBorder="1" applyAlignment="1">
      <alignment horizontal="center" vertical="center" wrapText="1"/>
    </xf>
    <xf numFmtId="0" fontId="25" fillId="2" borderId="50" xfId="0" applyFont="1" applyFill="1" applyBorder="1" applyAlignment="1">
      <alignment vertical="center" wrapText="1"/>
    </xf>
    <xf numFmtId="0" fontId="25" fillId="2" borderId="32" xfId="0" applyFont="1" applyFill="1" applyBorder="1" applyAlignment="1">
      <alignment vertical="center" wrapText="1"/>
    </xf>
    <xf numFmtId="0" fontId="25" fillId="2" borderId="43" xfId="0" applyFont="1" applyFill="1" applyBorder="1" applyAlignment="1">
      <alignment vertical="center" wrapText="1"/>
    </xf>
    <xf numFmtId="0" fontId="25" fillId="0" borderId="31" xfId="0" applyFont="1" applyFill="1" applyBorder="1" applyAlignment="1">
      <alignment vertical="center" wrapText="1"/>
    </xf>
    <xf numFmtId="3" fontId="25" fillId="0" borderId="33" xfId="0" applyNumberFormat="1" applyFont="1" applyFill="1" applyBorder="1" applyAlignment="1">
      <alignment horizontal="center" vertical="center" wrapText="1"/>
    </xf>
    <xf numFmtId="3" fontId="25" fillId="2" borderId="23" xfId="0" applyNumberFormat="1" applyFont="1" applyFill="1" applyBorder="1" applyAlignment="1">
      <alignment horizontal="center" vertical="center"/>
    </xf>
    <xf numFmtId="3" fontId="25" fillId="0" borderId="84" xfId="0" applyNumberFormat="1" applyFont="1" applyFill="1" applyBorder="1" applyAlignment="1">
      <alignment horizontal="center" vertical="center" wrapText="1"/>
    </xf>
    <xf numFmtId="0" fontId="25" fillId="2" borderId="26" xfId="0" applyFont="1" applyFill="1" applyBorder="1" applyAlignment="1">
      <alignment vertical="center" wrapText="1"/>
    </xf>
    <xf numFmtId="0" fontId="25" fillId="2" borderId="37" xfId="0" applyFont="1" applyFill="1" applyBorder="1" applyAlignment="1">
      <alignment vertical="center" wrapText="1"/>
    </xf>
    <xf numFmtId="3" fontId="25" fillId="2" borderId="84" xfId="0" applyNumberFormat="1" applyFont="1" applyFill="1" applyBorder="1" applyAlignment="1">
      <alignment horizontal="center" vertical="center" wrapText="1"/>
    </xf>
    <xf numFmtId="3" fontId="30" fillId="2" borderId="0" xfId="0" applyNumberFormat="1" applyFont="1" applyFill="1" applyAlignment="1">
      <alignment horizontal="right" vertical="center"/>
    </xf>
    <xf numFmtId="3" fontId="25" fillId="0" borderId="79" xfId="0" applyNumberFormat="1" applyFont="1" applyFill="1" applyBorder="1" applyAlignment="1">
      <alignment horizontal="center" vertical="center" wrapText="1"/>
    </xf>
    <xf numFmtId="3" fontId="25" fillId="0" borderId="78" xfId="0" applyNumberFormat="1" applyFont="1" applyFill="1" applyBorder="1" applyAlignment="1">
      <alignment horizontal="center" vertical="center" wrapText="1"/>
    </xf>
    <xf numFmtId="3" fontId="30" fillId="2" borderId="0" xfId="0" applyNumberFormat="1" applyFont="1" applyFill="1" applyAlignment="1">
      <alignment vertical="center"/>
    </xf>
    <xf numFmtId="3" fontId="25" fillId="2" borderId="22" xfId="0" applyNumberFormat="1" applyFont="1" applyFill="1" applyBorder="1" applyAlignment="1">
      <alignment horizontal="center" vertical="center"/>
    </xf>
    <xf numFmtId="0" fontId="25" fillId="2" borderId="8" xfId="0" applyFont="1" applyFill="1" applyBorder="1" applyAlignment="1">
      <alignment horizontal="left" vertical="center" wrapText="1"/>
    </xf>
    <xf numFmtId="3" fontId="25" fillId="0" borderId="55" xfId="0" applyNumberFormat="1" applyFont="1" applyFill="1" applyBorder="1" applyAlignment="1">
      <alignment horizontal="center" vertical="center" wrapText="1"/>
    </xf>
    <xf numFmtId="3" fontId="25" fillId="0" borderId="54" xfId="0" applyNumberFormat="1" applyFont="1" applyFill="1" applyBorder="1" applyAlignment="1">
      <alignment horizontal="center" vertical="center" wrapText="1"/>
    </xf>
    <xf numFmtId="4" fontId="25" fillId="2" borderId="37" xfId="0" applyNumberFormat="1" applyFont="1" applyFill="1" applyBorder="1" applyAlignment="1">
      <alignment horizontal="center" vertical="center" wrapText="1"/>
    </xf>
    <xf numFmtId="0" fontId="25" fillId="2" borderId="37" xfId="0" applyFont="1" applyFill="1" applyBorder="1" applyAlignment="1">
      <alignment horizontal="center" vertical="center"/>
    </xf>
    <xf numFmtId="3" fontId="25" fillId="2" borderId="44" xfId="0" applyNumberFormat="1" applyFont="1" applyFill="1" applyBorder="1" applyAlignment="1">
      <alignment horizontal="center" vertical="center"/>
    </xf>
    <xf numFmtId="3" fontId="25" fillId="2" borderId="21" xfId="0" applyNumberFormat="1" applyFont="1" applyFill="1" applyBorder="1" applyAlignment="1">
      <alignment horizontal="center" vertical="center"/>
    </xf>
    <xf numFmtId="3" fontId="25" fillId="2" borderId="78" xfId="0" applyNumberFormat="1" applyFont="1" applyFill="1" applyBorder="1" applyAlignment="1">
      <alignment horizontal="center" vertical="center"/>
    </xf>
    <xf numFmtId="0" fontId="25" fillId="2" borderId="50" xfId="0" applyFont="1" applyFill="1" applyBorder="1" applyAlignment="1">
      <alignment vertical="top" wrapText="1"/>
    </xf>
    <xf numFmtId="0" fontId="25" fillId="2" borderId="66" xfId="0" applyFont="1" applyFill="1" applyBorder="1" applyAlignment="1">
      <alignment vertical="top" wrapText="1"/>
    </xf>
    <xf numFmtId="0" fontId="25" fillId="2" borderId="70" xfId="0" applyFont="1" applyFill="1" applyBorder="1" applyAlignment="1">
      <alignment vertical="top" wrapText="1"/>
    </xf>
    <xf numFmtId="0" fontId="25" fillId="2" borderId="52" xfId="0" applyFont="1" applyFill="1" applyBorder="1" applyAlignment="1">
      <alignment vertical="top" wrapText="1"/>
    </xf>
    <xf numFmtId="0" fontId="25" fillId="2" borderId="71" xfId="0" applyFont="1" applyFill="1" applyBorder="1" applyAlignment="1">
      <alignment vertical="top" wrapText="1"/>
    </xf>
    <xf numFmtId="0" fontId="25" fillId="2" borderId="68" xfId="0" applyFont="1" applyFill="1" applyBorder="1" applyAlignment="1">
      <alignment horizontal="right" vertical="center" wrapText="1"/>
    </xf>
    <xf numFmtId="0" fontId="31" fillId="2" borderId="3" xfId="0" applyFont="1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3" fontId="31" fillId="0" borderId="40" xfId="0" applyNumberFormat="1" applyFont="1" applyFill="1" applyBorder="1" applyAlignment="1">
      <alignment horizontal="center" vertical="center" wrapText="1"/>
    </xf>
    <xf numFmtId="3" fontId="31" fillId="0" borderId="41" xfId="0" applyNumberFormat="1" applyFont="1" applyFill="1" applyBorder="1" applyAlignment="1">
      <alignment horizontal="center" vertical="center" wrapText="1"/>
    </xf>
    <xf numFmtId="3" fontId="31" fillId="0" borderId="10" xfId="0" applyNumberFormat="1" applyFont="1" applyFill="1" applyBorder="1" applyAlignment="1">
      <alignment horizontal="center" vertical="center" wrapText="1"/>
    </xf>
    <xf numFmtId="3" fontId="31" fillId="0" borderId="11" xfId="0" applyNumberFormat="1" applyFont="1" applyFill="1" applyBorder="1" applyAlignment="1">
      <alignment horizontal="center" vertical="center" wrapText="1"/>
    </xf>
    <xf numFmtId="3" fontId="31" fillId="0" borderId="12" xfId="0" applyNumberFormat="1" applyFont="1" applyFill="1" applyBorder="1" applyAlignment="1">
      <alignment horizontal="center" vertical="center" wrapText="1"/>
    </xf>
    <xf numFmtId="3" fontId="31" fillId="2" borderId="10" xfId="0" applyNumberFormat="1" applyFont="1" applyFill="1" applyBorder="1" applyAlignment="1">
      <alignment horizontal="center" vertical="center" wrapText="1"/>
    </xf>
    <xf numFmtId="3" fontId="31" fillId="2" borderId="11" xfId="0" applyNumberFormat="1" applyFont="1" applyFill="1" applyBorder="1" applyAlignment="1">
      <alignment horizontal="center" vertical="center" wrapText="1"/>
    </xf>
    <xf numFmtId="3" fontId="31" fillId="2" borderId="12" xfId="0" applyNumberFormat="1" applyFont="1" applyFill="1" applyBorder="1" applyAlignment="1">
      <alignment horizontal="center" vertical="center" wrapText="1"/>
    </xf>
    <xf numFmtId="0" fontId="25" fillId="2" borderId="50" xfId="1" applyFont="1" applyFill="1" applyBorder="1" applyAlignment="1">
      <alignment vertical="center" wrapText="1"/>
    </xf>
    <xf numFmtId="0" fontId="25" fillId="2" borderId="52" xfId="1" applyFont="1" applyFill="1" applyBorder="1" applyAlignment="1">
      <alignment vertical="center" wrapText="1"/>
    </xf>
    <xf numFmtId="0" fontId="25" fillId="2" borderId="71" xfId="1" applyFont="1" applyFill="1" applyBorder="1" applyAlignment="1">
      <alignment vertical="center" wrapText="1"/>
    </xf>
    <xf numFmtId="0" fontId="25" fillId="2" borderId="68" xfId="1" applyFont="1" applyFill="1" applyBorder="1" applyAlignment="1">
      <alignment horizontal="right" vertical="center" wrapText="1"/>
    </xf>
    <xf numFmtId="0" fontId="31" fillId="2" borderId="2" xfId="0" applyFont="1" applyFill="1" applyBorder="1" applyAlignment="1">
      <alignment horizontal="center" vertical="center" wrapText="1"/>
    </xf>
    <xf numFmtId="3" fontId="31" fillId="2" borderId="38" xfId="0" applyNumberFormat="1" applyFont="1" applyFill="1" applyBorder="1" applyAlignment="1">
      <alignment horizontal="center" vertical="center" wrapText="1"/>
    </xf>
    <xf numFmtId="3" fontId="31" fillId="2" borderId="35" xfId="0" applyNumberFormat="1" applyFont="1" applyFill="1" applyBorder="1" applyAlignment="1">
      <alignment horizontal="center" vertical="center" wrapText="1"/>
    </xf>
    <xf numFmtId="0" fontId="31" fillId="2" borderId="0" xfId="0" applyFont="1" applyFill="1"/>
    <xf numFmtId="0" fontId="31" fillId="2" borderId="1" xfId="0" applyFont="1" applyFill="1" applyBorder="1" applyAlignment="1">
      <alignment horizontal="center" vertical="center" wrapText="1"/>
    </xf>
    <xf numFmtId="0" fontId="31" fillId="2" borderId="1" xfId="0" applyFont="1" applyFill="1" applyBorder="1" applyAlignment="1">
      <alignment vertical="center" wrapText="1"/>
    </xf>
    <xf numFmtId="3" fontId="31" fillId="2" borderId="34" xfId="0" applyNumberFormat="1" applyFont="1" applyFill="1" applyBorder="1" applyAlignment="1">
      <alignment horizontal="center" vertical="center" wrapText="1"/>
    </xf>
    <xf numFmtId="3" fontId="31" fillId="2" borderId="25" xfId="0" applyNumberFormat="1" applyFont="1" applyFill="1" applyBorder="1" applyAlignment="1">
      <alignment horizontal="center" vertical="center" wrapText="1"/>
    </xf>
    <xf numFmtId="3" fontId="31" fillId="2" borderId="1" xfId="0" applyNumberFormat="1" applyFont="1" applyFill="1" applyBorder="1" applyAlignment="1">
      <alignment horizontal="center" vertical="center"/>
    </xf>
    <xf numFmtId="0" fontId="24" fillId="2" borderId="52" xfId="0" applyFont="1" applyFill="1" applyBorder="1" applyAlignment="1">
      <alignment vertical="center"/>
    </xf>
    <xf numFmtId="0" fontId="24" fillId="2" borderId="71" xfId="0" applyFont="1" applyFill="1" applyBorder="1" applyAlignment="1">
      <alignment vertical="center"/>
    </xf>
    <xf numFmtId="0" fontId="25" fillId="2" borderId="72" xfId="0" applyFont="1" applyFill="1" applyBorder="1" applyAlignment="1">
      <alignment horizontal="center" vertical="center" wrapText="1"/>
    </xf>
    <xf numFmtId="0" fontId="25" fillId="2" borderId="85" xfId="0" applyFont="1" applyFill="1" applyBorder="1" applyAlignment="1">
      <alignment horizontal="center" vertical="center" wrapText="1"/>
    </xf>
    <xf numFmtId="0" fontId="24" fillId="2" borderId="66" xfId="0" applyFont="1" applyFill="1" applyBorder="1" applyAlignment="1">
      <alignment vertical="center"/>
    </xf>
    <xf numFmtId="0" fontId="24" fillId="2" borderId="70" xfId="0" applyFont="1" applyFill="1" applyBorder="1" applyAlignment="1">
      <alignment horizontal="right" vertical="center"/>
    </xf>
    <xf numFmtId="49" fontId="31" fillId="0" borderId="6" xfId="0" applyNumberFormat="1" applyFont="1" applyFill="1" applyBorder="1" applyAlignment="1">
      <alignment horizontal="center" vertical="center" wrapText="1"/>
    </xf>
    <xf numFmtId="3" fontId="31" fillId="2" borderId="1" xfId="0" applyNumberFormat="1" applyFont="1" applyFill="1" applyBorder="1" applyAlignment="1">
      <alignment horizontal="center" vertical="center" wrapText="1"/>
    </xf>
    <xf numFmtId="0" fontId="25" fillId="2" borderId="86" xfId="0" applyFont="1" applyFill="1" applyBorder="1" applyAlignment="1">
      <alignment horizontal="center" vertical="center" wrapText="1"/>
    </xf>
    <xf numFmtId="3" fontId="25" fillId="0" borderId="77" xfId="0" applyNumberFormat="1" applyFont="1" applyFill="1" applyBorder="1" applyAlignment="1">
      <alignment horizontal="center" vertical="center" wrapText="1"/>
    </xf>
    <xf numFmtId="3" fontId="25" fillId="0" borderId="20" xfId="0" applyNumberFormat="1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3" fontId="31" fillId="0" borderId="25" xfId="0" applyNumberFormat="1" applyFont="1" applyFill="1" applyBorder="1" applyAlignment="1">
      <alignment horizontal="center" vertical="center" wrapText="1"/>
    </xf>
    <xf numFmtId="3" fontId="32" fillId="2" borderId="0" xfId="0" applyNumberFormat="1" applyFont="1" applyFill="1" applyAlignment="1">
      <alignment horizontal="right" vertical="center"/>
    </xf>
    <xf numFmtId="0" fontId="26" fillId="0" borderId="0" xfId="0" applyFont="1"/>
    <xf numFmtId="0" fontId="28" fillId="2" borderId="0" xfId="0" applyFont="1" applyFill="1"/>
    <xf numFmtId="0" fontId="28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right" vertical="center"/>
    </xf>
    <xf numFmtId="3" fontId="33" fillId="2" borderId="0" xfId="0" applyNumberFormat="1" applyFont="1" applyFill="1" applyAlignment="1">
      <alignment vertical="center"/>
    </xf>
    <xf numFmtId="3" fontId="28" fillId="2" borderId="0" xfId="0" applyNumberFormat="1" applyFont="1" applyFill="1"/>
    <xf numFmtId="3" fontId="28" fillId="2" borderId="0" xfId="0" applyNumberFormat="1" applyFont="1" applyFill="1" applyAlignment="1">
      <alignment horizontal="right" vertical="center"/>
    </xf>
    <xf numFmtId="0" fontId="25" fillId="2" borderId="52" xfId="0" applyFont="1" applyFill="1" applyBorder="1" applyAlignment="1">
      <alignment vertical="center" wrapText="1"/>
    </xf>
    <xf numFmtId="0" fontId="25" fillId="2" borderId="71" xfId="0" applyFont="1" applyFill="1" applyBorder="1" applyAlignment="1">
      <alignment vertical="center" wrapText="1"/>
    </xf>
    <xf numFmtId="0" fontId="31" fillId="2" borderId="51" xfId="0" applyFont="1" applyFill="1" applyBorder="1" applyAlignment="1">
      <alignment vertical="center" wrapText="1"/>
    </xf>
    <xf numFmtId="3" fontId="31" fillId="2" borderId="36" xfId="0" applyNumberFormat="1" applyFont="1" applyFill="1" applyBorder="1" applyAlignment="1">
      <alignment horizontal="center" vertical="center" wrapText="1"/>
    </xf>
    <xf numFmtId="167" fontId="31" fillId="2" borderId="1" xfId="0" applyNumberFormat="1" applyFont="1" applyFill="1" applyBorder="1" applyAlignment="1">
      <alignment horizontal="center" vertical="center" wrapText="1"/>
    </xf>
    <xf numFmtId="3" fontId="33" fillId="2" borderId="0" xfId="0" applyNumberFormat="1" applyFont="1" applyFill="1"/>
    <xf numFmtId="1" fontId="25" fillId="2" borderId="8" xfId="0" applyNumberFormat="1" applyFont="1" applyFill="1" applyBorder="1" applyAlignment="1">
      <alignment horizontal="center" vertical="center"/>
    </xf>
    <xf numFmtId="0" fontId="25" fillId="2" borderId="8" xfId="0" applyFont="1" applyFill="1" applyBorder="1" applyAlignment="1">
      <alignment horizontal="center" vertical="center"/>
    </xf>
    <xf numFmtId="168" fontId="36" fillId="2" borderId="8" xfId="0" applyNumberFormat="1" applyFont="1" applyFill="1" applyBorder="1" applyAlignment="1">
      <alignment horizontal="center" vertical="center" wrapText="1"/>
    </xf>
    <xf numFmtId="169" fontId="25" fillId="2" borderId="8" xfId="48" applyNumberFormat="1" applyFont="1" applyFill="1" applyBorder="1" applyAlignment="1">
      <alignment horizontal="center" vertical="center" wrapText="1"/>
    </xf>
    <xf numFmtId="1" fontId="25" fillId="2" borderId="8" xfId="48" applyNumberFormat="1" applyFont="1" applyFill="1" applyBorder="1" applyAlignment="1">
      <alignment horizontal="center" vertical="center" wrapText="1"/>
    </xf>
    <xf numFmtId="1" fontId="25" fillId="2" borderId="8" xfId="48" applyNumberFormat="1" applyFont="1" applyFill="1" applyBorder="1" applyAlignment="1">
      <alignment horizontal="center" vertical="center"/>
    </xf>
    <xf numFmtId="168" fontId="36" fillId="2" borderId="8" xfId="0" applyNumberFormat="1" applyFont="1" applyFill="1" applyBorder="1" applyAlignment="1">
      <alignment horizontal="center" vertical="center"/>
    </xf>
    <xf numFmtId="1" fontId="25" fillId="2" borderId="8" xfId="0" applyNumberFormat="1" applyFont="1" applyFill="1" applyBorder="1" applyAlignment="1">
      <alignment horizontal="center" vertical="center" wrapText="1" readingOrder="1"/>
    </xf>
    <xf numFmtId="49" fontId="24" fillId="2" borderId="8" xfId="0" applyNumberFormat="1" applyFont="1" applyFill="1" applyBorder="1" applyAlignment="1">
      <alignment horizontal="center" vertical="center" wrapText="1" readingOrder="1"/>
    </xf>
    <xf numFmtId="167" fontId="24" fillId="2" borderId="8" xfId="0" applyNumberFormat="1" applyFont="1" applyFill="1" applyBorder="1" applyAlignment="1">
      <alignment horizontal="center" vertical="center" wrapText="1"/>
    </xf>
    <xf numFmtId="1" fontId="25" fillId="2" borderId="8" xfId="48" applyNumberFormat="1" applyFont="1" applyFill="1" applyBorder="1" applyAlignment="1">
      <alignment horizontal="center" vertical="center" readingOrder="1"/>
    </xf>
    <xf numFmtId="169" fontId="25" fillId="2" borderId="8" xfId="48" applyNumberFormat="1" applyFont="1" applyFill="1" applyBorder="1" applyAlignment="1">
      <alignment horizontal="center" vertical="center" wrapText="1" readingOrder="1"/>
    </xf>
    <xf numFmtId="0" fontId="24" fillId="2" borderId="8" xfId="0" applyFont="1" applyFill="1" applyBorder="1" applyAlignment="1">
      <alignment horizontal="center" vertical="center"/>
    </xf>
    <xf numFmtId="169" fontId="25" fillId="2" borderId="8" xfId="0" applyNumberFormat="1" applyFont="1" applyFill="1" applyBorder="1" applyAlignment="1">
      <alignment horizontal="center" vertical="center"/>
    </xf>
    <xf numFmtId="168" fontId="25" fillId="2" borderId="8" xfId="0" applyNumberFormat="1" applyFont="1" applyFill="1" applyBorder="1" applyAlignment="1">
      <alignment horizontal="center" vertical="center" wrapText="1"/>
    </xf>
    <xf numFmtId="49" fontId="25" fillId="0" borderId="8" xfId="0" applyNumberFormat="1" applyFont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left" vertical="center" wrapText="1"/>
    </xf>
    <xf numFmtId="3" fontId="24" fillId="2" borderId="8" xfId="0" applyNumberFormat="1" applyFont="1" applyFill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4" fillId="0" borderId="8" xfId="0" applyFont="1" applyBorder="1" applyAlignment="1">
      <alignment vertical="center" wrapText="1"/>
    </xf>
    <xf numFmtId="0" fontId="24" fillId="2" borderId="8" xfId="0" applyFont="1" applyFill="1" applyBorder="1" applyAlignment="1">
      <alignment vertical="center" wrapText="1"/>
    </xf>
    <xf numFmtId="2" fontId="24" fillId="0" borderId="8" xfId="0" applyNumberFormat="1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0" fontId="36" fillId="2" borderId="8" xfId="0" applyFont="1" applyFill="1" applyBorder="1" applyAlignment="1">
      <alignment horizontal="left" vertical="center" wrapText="1"/>
    </xf>
    <xf numFmtId="0" fontId="25" fillId="2" borderId="31" xfId="0" applyFont="1" applyFill="1" applyBorder="1" applyAlignment="1">
      <alignment horizontal="left" vertical="center"/>
    </xf>
    <xf numFmtId="3" fontId="25" fillId="2" borderId="31" xfId="0" applyNumberFormat="1" applyFont="1" applyFill="1" applyBorder="1" applyAlignment="1">
      <alignment horizontal="center" vertical="center"/>
    </xf>
    <xf numFmtId="0" fontId="25" fillId="2" borderId="31" xfId="0" applyFont="1" applyFill="1" applyBorder="1" applyAlignment="1">
      <alignment horizontal="center" vertical="center"/>
    </xf>
    <xf numFmtId="3" fontId="30" fillId="2" borderId="0" xfId="0" applyNumberFormat="1" applyFont="1" applyFill="1" applyAlignment="1">
      <alignment horizontal="center" vertical="center"/>
    </xf>
    <xf numFmtId="0" fontId="25" fillId="2" borderId="8" xfId="0" applyFont="1" applyFill="1" applyBorder="1" applyAlignment="1">
      <alignment horizontal="left" vertical="center" wrapText="1"/>
    </xf>
    <xf numFmtId="0" fontId="24" fillId="2" borderId="76" xfId="0" applyFont="1" applyFill="1" applyBorder="1" applyAlignment="1">
      <alignment vertical="center" wrapText="1"/>
    </xf>
    <xf numFmtId="0" fontId="25" fillId="2" borderId="8" xfId="0" applyFont="1" applyFill="1" applyBorder="1" applyAlignment="1">
      <alignment horizontal="center" vertical="center" wrapText="1"/>
    </xf>
    <xf numFmtId="3" fontId="25" fillId="2" borderId="8" xfId="0" applyNumberFormat="1" applyFont="1" applyFill="1" applyBorder="1" applyAlignment="1">
      <alignment horizontal="center" vertical="center"/>
    </xf>
    <xf numFmtId="49" fontId="25" fillId="0" borderId="26" xfId="0" applyNumberFormat="1" applyFont="1" applyFill="1" applyBorder="1" applyAlignment="1">
      <alignment horizontal="center" vertical="center" wrapText="1"/>
    </xf>
    <xf numFmtId="0" fontId="24" fillId="0" borderId="8" xfId="0" applyFont="1" applyBorder="1" applyAlignment="1">
      <alignment vertical="center" wrapText="1"/>
    </xf>
    <xf numFmtId="0" fontId="24" fillId="0" borderId="8" xfId="0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0" fontId="25" fillId="2" borderId="8" xfId="0" applyFont="1" applyFill="1" applyBorder="1" applyAlignment="1">
      <alignment horizontal="left" vertical="center" wrapText="1"/>
    </xf>
    <xf numFmtId="49" fontId="25" fillId="2" borderId="30" xfId="0" applyNumberFormat="1" applyFont="1" applyFill="1" applyBorder="1" applyAlignment="1">
      <alignment horizontal="center" vertical="center" wrapText="1"/>
    </xf>
    <xf numFmtId="49" fontId="25" fillId="2" borderId="31" xfId="0" applyNumberFormat="1" applyFont="1" applyFill="1" applyBorder="1" applyAlignment="1">
      <alignment horizontal="center" vertical="center" wrapText="1"/>
    </xf>
    <xf numFmtId="0" fontId="25" fillId="2" borderId="31" xfId="0" applyFont="1" applyFill="1" applyBorder="1" applyAlignment="1">
      <alignment horizontal="center" vertical="center" wrapText="1"/>
    </xf>
    <xf numFmtId="3" fontId="25" fillId="2" borderId="3" xfId="0" applyNumberFormat="1" applyFont="1" applyFill="1" applyBorder="1" applyAlignment="1">
      <alignment horizontal="center" vertical="center"/>
    </xf>
    <xf numFmtId="3" fontId="31" fillId="2" borderId="40" xfId="0" applyNumberFormat="1" applyFont="1" applyFill="1" applyBorder="1" applyAlignment="1">
      <alignment horizontal="center" vertical="center" wrapText="1"/>
    </xf>
    <xf numFmtId="3" fontId="31" fillId="2" borderId="41" xfId="0" applyNumberFormat="1" applyFont="1" applyFill="1" applyBorder="1" applyAlignment="1">
      <alignment horizontal="center" vertical="center" wrapText="1"/>
    </xf>
    <xf numFmtId="0" fontId="24" fillId="2" borderId="76" xfId="0" applyFont="1" applyFill="1" applyBorder="1" applyAlignment="1">
      <alignment horizontal="center" vertical="center" wrapText="1"/>
    </xf>
    <xf numFmtId="49" fontId="25" fillId="2" borderId="8" xfId="0" applyNumberFormat="1" applyFont="1" applyFill="1" applyBorder="1" applyAlignment="1">
      <alignment horizontal="center" vertical="center" wrapText="1"/>
    </xf>
    <xf numFmtId="49" fontId="35" fillId="2" borderId="8" xfId="0" applyNumberFormat="1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vertical="center" wrapText="1"/>
    </xf>
    <xf numFmtId="0" fontId="36" fillId="2" borderId="8" xfId="0" applyFont="1" applyFill="1" applyBorder="1" applyAlignment="1">
      <alignment horizontal="center" vertical="center"/>
    </xf>
    <xf numFmtId="49" fontId="25" fillId="2" borderId="9" xfId="0" applyNumberFormat="1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vertical="center" wrapText="1"/>
    </xf>
    <xf numFmtId="0" fontId="25" fillId="0" borderId="4" xfId="0" applyFont="1" applyFill="1" applyBorder="1" applyAlignment="1">
      <alignment vertical="center" wrapText="1"/>
    </xf>
    <xf numFmtId="49" fontId="25" fillId="0" borderId="4" xfId="0" applyNumberFormat="1" applyFont="1" applyFill="1" applyBorder="1" applyAlignment="1">
      <alignment horizontal="center" vertical="center" wrapText="1"/>
    </xf>
    <xf numFmtId="0" fontId="25" fillId="2" borderId="67" xfId="0" applyFont="1" applyFill="1" applyBorder="1" applyAlignment="1">
      <alignment horizontal="left" vertical="center" wrapText="1"/>
    </xf>
    <xf numFmtId="49" fontId="25" fillId="2" borderId="28" xfId="0" applyNumberFormat="1" applyFont="1" applyFill="1" applyBorder="1" applyAlignment="1">
      <alignment horizontal="center" vertical="center"/>
    </xf>
    <xf numFmtId="49" fontId="25" fillId="2" borderId="26" xfId="0" applyNumberFormat="1" applyFont="1" applyFill="1" applyBorder="1" applyAlignment="1">
      <alignment horizontal="center" vertical="center" wrapText="1"/>
    </xf>
    <xf numFmtId="49" fontId="25" fillId="2" borderId="27" xfId="0" applyNumberFormat="1" applyFont="1" applyFill="1" applyBorder="1" applyAlignment="1">
      <alignment horizontal="center" vertical="center" wrapText="1"/>
    </xf>
    <xf numFmtId="49" fontId="25" fillId="2" borderId="28" xfId="0" applyNumberFormat="1" applyFont="1" applyFill="1" applyBorder="1" applyAlignment="1">
      <alignment horizontal="center" vertical="center" wrapText="1"/>
    </xf>
    <xf numFmtId="49" fontId="25" fillId="0" borderId="27" xfId="0" applyNumberFormat="1" applyFont="1" applyFill="1" applyBorder="1" applyAlignment="1">
      <alignment horizontal="center" vertical="center" wrapText="1"/>
    </xf>
    <xf numFmtId="49" fontId="25" fillId="0" borderId="28" xfId="0" applyNumberFormat="1" applyFont="1" applyFill="1" applyBorder="1" applyAlignment="1">
      <alignment horizontal="center" vertical="center" wrapText="1"/>
    </xf>
    <xf numFmtId="0" fontId="25" fillId="2" borderId="26" xfId="0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horizontal="center" vertical="center" wrapText="1"/>
    </xf>
    <xf numFmtId="0" fontId="25" fillId="2" borderId="37" xfId="0" applyFont="1" applyFill="1" applyBorder="1" applyAlignment="1">
      <alignment horizontal="center" vertical="center" wrapText="1"/>
    </xf>
    <xf numFmtId="0" fontId="25" fillId="2" borderId="30" xfId="0" applyFont="1" applyFill="1" applyBorder="1" applyAlignment="1">
      <alignment horizontal="center" vertical="center" wrapText="1"/>
    </xf>
    <xf numFmtId="49" fontId="25" fillId="2" borderId="56" xfId="0" applyNumberFormat="1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left" vertical="center"/>
    </xf>
    <xf numFmtId="0" fontId="24" fillId="0" borderId="0" xfId="0" applyFont="1" applyAlignment="1">
      <alignment horizontal="right" vertical="center"/>
    </xf>
    <xf numFmtId="0" fontId="25" fillId="0" borderId="82" xfId="0" applyFont="1" applyFill="1" applyBorder="1" applyAlignment="1">
      <alignment vertical="center" wrapText="1"/>
    </xf>
    <xf numFmtId="49" fontId="25" fillId="2" borderId="28" xfId="0" applyNumberFormat="1" applyFont="1" applyFill="1" applyBorder="1" applyAlignment="1">
      <alignment horizontal="center" vertical="center" wrapText="1"/>
    </xf>
    <xf numFmtId="0" fontId="25" fillId="2" borderId="26" xfId="0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horizontal="center" vertical="center" wrapText="1"/>
    </xf>
    <xf numFmtId="0" fontId="25" fillId="2" borderId="37" xfId="0" applyFont="1" applyFill="1" applyBorder="1" applyAlignment="1">
      <alignment horizontal="center" vertical="center" wrapText="1"/>
    </xf>
    <xf numFmtId="49" fontId="25" fillId="2" borderId="27" xfId="0" applyNumberFormat="1" applyFont="1" applyFill="1" applyBorder="1" applyAlignment="1">
      <alignment horizontal="center" vertical="center" wrapText="1"/>
    </xf>
    <xf numFmtId="49" fontId="25" fillId="0" borderId="27" xfId="0" applyNumberFormat="1" applyFont="1" applyFill="1" applyBorder="1" applyAlignment="1">
      <alignment horizontal="center" vertical="center" wrapText="1"/>
    </xf>
    <xf numFmtId="0" fontId="25" fillId="0" borderId="82" xfId="0" applyFont="1" applyFill="1" applyBorder="1" applyAlignment="1">
      <alignment horizontal="left" vertical="center" wrapText="1"/>
    </xf>
    <xf numFmtId="3" fontId="25" fillId="2" borderId="0" xfId="0" applyNumberFormat="1" applyFont="1" applyFill="1" applyAlignment="1">
      <alignment horizontal="left" vertical="center"/>
    </xf>
    <xf numFmtId="0" fontId="25" fillId="2" borderId="9" xfId="0" applyFont="1" applyFill="1" applyBorder="1" applyAlignment="1">
      <alignment horizontal="center" vertical="center" wrapText="1" readingOrder="1"/>
    </xf>
    <xf numFmtId="49" fontId="36" fillId="0" borderId="8" xfId="0" applyNumberFormat="1" applyFont="1" applyBorder="1" applyAlignment="1">
      <alignment horizontal="center" vertical="center" wrapText="1"/>
    </xf>
    <xf numFmtId="0" fontId="36" fillId="2" borderId="8" xfId="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horizontal="center" vertical="center"/>
    </xf>
    <xf numFmtId="0" fontId="25" fillId="2" borderId="8" xfId="0" applyFont="1" applyFill="1" applyBorder="1" applyAlignment="1">
      <alignment horizontal="center" vertical="center" wrapText="1"/>
    </xf>
    <xf numFmtId="0" fontId="40" fillId="2" borderId="0" xfId="0" applyFont="1" applyFill="1" applyAlignment="1">
      <alignment vertical="center"/>
    </xf>
    <xf numFmtId="0" fontId="25" fillId="2" borderId="31" xfId="0" applyFont="1" applyFill="1" applyBorder="1" applyAlignment="1">
      <alignment vertical="center" wrapText="1"/>
    </xf>
    <xf numFmtId="0" fontId="24" fillId="0" borderId="0" xfId="0" applyFont="1" applyAlignment="1">
      <alignment vertical="center"/>
    </xf>
    <xf numFmtId="0" fontId="36" fillId="2" borderId="9" xfId="0" applyFont="1" applyFill="1" applyBorder="1" applyAlignment="1">
      <alignment vertical="center" wrapText="1"/>
    </xf>
    <xf numFmtId="0" fontId="36" fillId="2" borderId="41" xfId="0" applyFont="1" applyFill="1" applyBorder="1" applyAlignment="1">
      <alignment vertical="center" wrapText="1"/>
    </xf>
    <xf numFmtId="0" fontId="36" fillId="2" borderId="76" xfId="0" applyFont="1" applyFill="1" applyBorder="1" applyAlignment="1">
      <alignment vertical="center" wrapText="1"/>
    </xf>
    <xf numFmtId="3" fontId="25" fillId="2" borderId="9" xfId="0" applyNumberFormat="1" applyFont="1" applyFill="1" applyBorder="1" applyAlignment="1">
      <alignment horizontal="center" vertical="center" wrapText="1" readingOrder="1"/>
    </xf>
    <xf numFmtId="3" fontId="25" fillId="2" borderId="8" xfId="48" applyNumberFormat="1" applyFont="1" applyFill="1" applyBorder="1" applyAlignment="1">
      <alignment horizontal="center" vertical="center" wrapText="1"/>
    </xf>
    <xf numFmtId="3" fontId="25" fillId="2" borderId="8" xfId="48" applyNumberFormat="1" applyFont="1" applyFill="1" applyBorder="1" applyAlignment="1">
      <alignment horizontal="center" vertical="center"/>
    </xf>
    <xf numFmtId="3" fontId="25" fillId="2" borderId="8" xfId="48" applyNumberFormat="1" applyFont="1" applyFill="1" applyBorder="1" applyAlignment="1">
      <alignment horizontal="center" vertical="center" wrapText="1" readingOrder="1"/>
    </xf>
    <xf numFmtId="3" fontId="25" fillId="2" borderId="8" xfId="48" applyNumberFormat="1" applyFont="1" applyFill="1" applyBorder="1" applyAlignment="1">
      <alignment horizontal="center" vertical="center" readingOrder="1"/>
    </xf>
    <xf numFmtId="3" fontId="25" fillId="2" borderId="8" xfId="0" applyNumberFormat="1" applyFont="1" applyFill="1" applyBorder="1" applyAlignment="1">
      <alignment horizontal="center" vertical="center" wrapText="1" readingOrder="1"/>
    </xf>
    <xf numFmtId="3" fontId="38" fillId="2" borderId="8" xfId="0" applyNumberFormat="1" applyFont="1" applyFill="1" applyBorder="1" applyAlignment="1">
      <alignment horizontal="center" vertical="center" wrapText="1"/>
    </xf>
    <xf numFmtId="3" fontId="38" fillId="2" borderId="8" xfId="0" applyNumberFormat="1" applyFont="1" applyFill="1" applyBorder="1" applyAlignment="1">
      <alignment horizontal="center" vertical="center"/>
    </xf>
    <xf numFmtId="3" fontId="36" fillId="2" borderId="8" xfId="0" applyNumberFormat="1" applyFont="1" applyFill="1" applyBorder="1" applyAlignment="1">
      <alignment horizontal="center" vertical="center"/>
    </xf>
    <xf numFmtId="3" fontId="36" fillId="2" borderId="8" xfId="0" applyNumberFormat="1" applyFont="1" applyFill="1" applyBorder="1" applyAlignment="1">
      <alignment horizontal="center" vertical="center" wrapText="1"/>
    </xf>
    <xf numFmtId="3" fontId="24" fillId="2" borderId="8" xfId="0" applyNumberFormat="1" applyFont="1" applyFill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18" xfId="0" applyFont="1" applyFill="1" applyBorder="1" applyAlignment="1">
      <alignment horizontal="center" vertical="center" wrapText="1"/>
    </xf>
    <xf numFmtId="0" fontId="25" fillId="2" borderId="9" xfId="0" applyFont="1" applyFill="1" applyBorder="1" applyAlignment="1">
      <alignment horizontal="center" vertical="center" textRotation="90" wrapText="1"/>
    </xf>
    <xf numFmtId="0" fontId="25" fillId="2" borderId="19" xfId="0" applyFont="1" applyFill="1" applyBorder="1" applyAlignment="1">
      <alignment horizontal="center" vertical="center" textRotation="90" wrapText="1"/>
    </xf>
    <xf numFmtId="0" fontId="25" fillId="2" borderId="18" xfId="0" applyFont="1" applyFill="1" applyBorder="1" applyAlignment="1">
      <alignment horizontal="center" vertical="center" textRotation="90" wrapText="1"/>
    </xf>
    <xf numFmtId="0" fontId="25" fillId="2" borderId="56" xfId="0" applyFont="1" applyFill="1" applyBorder="1" applyAlignment="1">
      <alignment horizontal="center"/>
    </xf>
    <xf numFmtId="0" fontId="25" fillId="2" borderId="10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  <xf numFmtId="0" fontId="25" fillId="2" borderId="12" xfId="0" applyFont="1" applyFill="1" applyBorder="1" applyAlignment="1">
      <alignment horizontal="center" vertical="center" wrapText="1"/>
    </xf>
    <xf numFmtId="0" fontId="25" fillId="2" borderId="25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34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3" fontId="24" fillId="0" borderId="0" xfId="0" applyNumberFormat="1" applyFont="1" applyAlignment="1">
      <alignment horizontal="center" vertical="center"/>
    </xf>
    <xf numFmtId="0" fontId="25" fillId="2" borderId="0" xfId="0" applyFont="1" applyFill="1" applyAlignment="1">
      <alignment horizontal="left" vertical="center"/>
    </xf>
    <xf numFmtId="1" fontId="24" fillId="0" borderId="0" xfId="0" applyNumberFormat="1" applyFont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left" vertical="center"/>
    </xf>
    <xf numFmtId="0" fontId="25" fillId="2" borderId="6" xfId="0" applyFont="1" applyFill="1" applyBorder="1" applyAlignment="1">
      <alignment horizontal="left" vertical="center"/>
    </xf>
    <xf numFmtId="0" fontId="25" fillId="2" borderId="5" xfId="0" applyFont="1" applyFill="1" applyBorder="1" applyAlignment="1">
      <alignment horizontal="left" vertical="center"/>
    </xf>
    <xf numFmtId="49" fontId="25" fillId="2" borderId="26" xfId="0" applyNumberFormat="1" applyFont="1" applyFill="1" applyBorder="1" applyAlignment="1">
      <alignment horizontal="center" vertical="center" wrapText="1"/>
    </xf>
    <xf numFmtId="49" fontId="25" fillId="2" borderId="27" xfId="0" applyNumberFormat="1" applyFont="1" applyFill="1" applyBorder="1" applyAlignment="1">
      <alignment horizontal="center" vertical="center" wrapText="1"/>
    </xf>
    <xf numFmtId="0" fontId="25" fillId="0" borderId="75" xfId="0" applyFont="1" applyFill="1" applyBorder="1" applyAlignment="1">
      <alignment horizontal="left" vertical="center" wrapText="1"/>
    </xf>
    <xf numFmtId="0" fontId="25" fillId="0" borderId="74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49" fontId="25" fillId="2" borderId="28" xfId="0" applyNumberFormat="1" applyFont="1" applyFill="1" applyBorder="1" applyAlignment="1">
      <alignment horizontal="center" vertical="center" wrapText="1"/>
    </xf>
    <xf numFmtId="49" fontId="25" fillId="2" borderId="56" xfId="0" applyNumberFormat="1" applyFont="1" applyFill="1" applyBorder="1" applyAlignment="1">
      <alignment horizontal="center" vertical="center" wrapText="1"/>
    </xf>
    <xf numFmtId="0" fontId="25" fillId="0" borderId="28" xfId="0" applyFont="1" applyFill="1" applyBorder="1" applyAlignment="1">
      <alignment horizontal="left" vertical="center" wrapText="1"/>
    </xf>
    <xf numFmtId="0" fontId="25" fillId="0" borderId="56" xfId="0" applyFont="1" applyFill="1" applyBorder="1" applyAlignment="1">
      <alignment horizontal="left" vertical="center" wrapText="1"/>
    </xf>
    <xf numFmtId="0" fontId="25" fillId="2" borderId="82" xfId="0" applyFont="1" applyFill="1" applyBorder="1" applyAlignment="1">
      <alignment horizontal="left" vertical="center" wrapText="1"/>
    </xf>
    <xf numFmtId="0" fontId="25" fillId="2" borderId="83" xfId="0" applyFont="1" applyFill="1" applyBorder="1" applyAlignment="1">
      <alignment horizontal="left" vertical="center" wrapText="1"/>
    </xf>
    <xf numFmtId="49" fontId="31" fillId="2" borderId="7" xfId="0" applyNumberFormat="1" applyFont="1" applyFill="1" applyBorder="1" applyAlignment="1">
      <alignment horizontal="right" vertical="center" wrapText="1"/>
    </xf>
    <xf numFmtId="49" fontId="31" fillId="2" borderId="5" xfId="0" applyNumberFormat="1" applyFont="1" applyFill="1" applyBorder="1" applyAlignment="1">
      <alignment horizontal="right" vertical="center" wrapText="1"/>
    </xf>
    <xf numFmtId="49" fontId="25" fillId="2" borderId="47" xfId="0" applyNumberFormat="1" applyFont="1" applyFill="1" applyBorder="1" applyAlignment="1">
      <alignment horizontal="left" vertical="center" wrapText="1"/>
    </xf>
    <xf numFmtId="49" fontId="25" fillId="2" borderId="48" xfId="0" applyNumberFormat="1" applyFont="1" applyFill="1" applyBorder="1" applyAlignment="1">
      <alignment horizontal="left" vertical="center" wrapText="1"/>
    </xf>
    <xf numFmtId="49" fontId="25" fillId="2" borderId="49" xfId="0" applyNumberFormat="1" applyFont="1" applyFill="1" applyBorder="1" applyAlignment="1">
      <alignment horizontal="left" vertical="center" wrapText="1"/>
    </xf>
    <xf numFmtId="0" fontId="31" fillId="0" borderId="7" xfId="0" applyFont="1" applyFill="1" applyBorder="1" applyAlignment="1">
      <alignment horizontal="right" vertical="center" wrapText="1"/>
    </xf>
    <xf numFmtId="0" fontId="31" fillId="0" borderId="5" xfId="0" applyFont="1" applyFill="1" applyBorder="1" applyAlignment="1">
      <alignment horizontal="right" vertical="center" wrapText="1"/>
    </xf>
    <xf numFmtId="0" fontId="31" fillId="2" borderId="7" xfId="0" applyFont="1" applyFill="1" applyBorder="1" applyAlignment="1">
      <alignment horizontal="right" vertical="center" wrapText="1"/>
    </xf>
    <xf numFmtId="0" fontId="31" fillId="2" borderId="5" xfId="0" applyFont="1" applyFill="1" applyBorder="1" applyAlignment="1">
      <alignment horizontal="right" vertical="center" wrapText="1"/>
    </xf>
    <xf numFmtId="0" fontId="25" fillId="2" borderId="28" xfId="0" applyFont="1" applyFill="1" applyBorder="1" applyAlignment="1">
      <alignment horizontal="left" vertical="center" wrapText="1"/>
    </xf>
    <xf numFmtId="0" fontId="25" fillId="2" borderId="56" xfId="0" applyFont="1" applyFill="1" applyBorder="1" applyAlignment="1">
      <alignment horizontal="left" vertical="center" wrapText="1"/>
    </xf>
    <xf numFmtId="0" fontId="31" fillId="0" borderId="50" xfId="0" applyFont="1" applyFill="1" applyBorder="1" applyAlignment="1">
      <alignment horizontal="right" vertical="center" wrapText="1"/>
    </xf>
    <xf numFmtId="0" fontId="31" fillId="0" borderId="68" xfId="0" applyFont="1" applyFill="1" applyBorder="1" applyAlignment="1">
      <alignment horizontal="right" vertical="center" wrapText="1"/>
    </xf>
    <xf numFmtId="0" fontId="25" fillId="2" borderId="52" xfId="0" applyFont="1" applyFill="1" applyBorder="1" applyAlignment="1">
      <alignment horizontal="left" vertical="center" wrapText="1"/>
    </xf>
    <xf numFmtId="0" fontId="25" fillId="2" borderId="53" xfId="0" applyFont="1" applyFill="1" applyBorder="1" applyAlignment="1">
      <alignment horizontal="left" vertical="center" wrapText="1"/>
    </xf>
    <xf numFmtId="0" fontId="25" fillId="2" borderId="71" xfId="0" applyFont="1" applyFill="1" applyBorder="1" applyAlignment="1">
      <alignment horizontal="left" vertical="center" wrapText="1"/>
    </xf>
    <xf numFmtId="0" fontId="25" fillId="2" borderId="6" xfId="0" applyFont="1" applyFill="1" applyBorder="1" applyAlignment="1">
      <alignment horizontal="left" vertical="center" wrapText="1"/>
    </xf>
    <xf numFmtId="0" fontId="25" fillId="2" borderId="25" xfId="0" applyFont="1" applyFill="1" applyBorder="1" applyAlignment="1">
      <alignment horizontal="left" vertical="center" wrapText="1"/>
    </xf>
    <xf numFmtId="0" fontId="31" fillId="2" borderId="6" xfId="0" applyFont="1" applyFill="1" applyBorder="1" applyAlignment="1">
      <alignment horizontal="right" vertical="center"/>
    </xf>
    <xf numFmtId="0" fontId="31" fillId="2" borderId="5" xfId="0" applyFont="1" applyFill="1" applyBorder="1" applyAlignment="1">
      <alignment horizontal="right" vertical="center"/>
    </xf>
    <xf numFmtId="0" fontId="31" fillId="2" borderId="7" xfId="1" applyFont="1" applyFill="1" applyBorder="1" applyAlignment="1">
      <alignment horizontal="left" vertical="center" wrapText="1"/>
    </xf>
    <xf numFmtId="0" fontId="31" fillId="2" borderId="6" xfId="1" applyFont="1" applyFill="1" applyBorder="1" applyAlignment="1">
      <alignment horizontal="left" vertical="center" wrapText="1"/>
    </xf>
    <xf numFmtId="0" fontId="25" fillId="2" borderId="7" xfId="0" applyFont="1" applyFill="1" applyBorder="1" applyAlignment="1">
      <alignment horizontal="left" vertical="center" wrapText="1"/>
    </xf>
    <xf numFmtId="0" fontId="25" fillId="2" borderId="5" xfId="0" applyFont="1" applyFill="1" applyBorder="1" applyAlignment="1">
      <alignment horizontal="left" vertical="center" wrapText="1"/>
    </xf>
    <xf numFmtId="0" fontId="25" fillId="2" borderId="74" xfId="0" applyFont="1" applyFill="1" applyBorder="1" applyAlignment="1">
      <alignment horizontal="left" vertical="center" wrapText="1"/>
    </xf>
    <xf numFmtId="49" fontId="25" fillId="0" borderId="27" xfId="0" applyNumberFormat="1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left" vertical="center" wrapText="1"/>
    </xf>
    <xf numFmtId="0" fontId="25" fillId="2" borderId="13" xfId="0" applyFont="1" applyFill="1" applyBorder="1" applyAlignment="1">
      <alignment horizontal="center" vertical="center" wrapText="1"/>
    </xf>
    <xf numFmtId="0" fontId="25" fillId="2" borderId="14" xfId="0" applyFont="1" applyFill="1" applyBorder="1" applyAlignment="1">
      <alignment horizontal="center" vertical="center" wrapText="1"/>
    </xf>
    <xf numFmtId="0" fontId="25" fillId="2" borderId="15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25" fillId="2" borderId="66" xfId="0" applyFont="1" applyFill="1" applyBorder="1" applyAlignment="1">
      <alignment horizontal="left" vertical="center" wrapText="1"/>
    </xf>
    <xf numFmtId="0" fontId="25" fillId="2" borderId="0" xfId="0" applyFont="1" applyFill="1" applyBorder="1" applyAlignment="1">
      <alignment horizontal="left" vertical="center" wrapText="1"/>
    </xf>
    <xf numFmtId="0" fontId="25" fillId="2" borderId="26" xfId="0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horizontal="center" vertical="center" wrapText="1"/>
    </xf>
    <xf numFmtId="0" fontId="25" fillId="2" borderId="28" xfId="0" applyFont="1" applyFill="1" applyBorder="1" applyAlignment="1">
      <alignment horizontal="center" vertical="center" wrapText="1"/>
    </xf>
    <xf numFmtId="0" fontId="25" fillId="2" borderId="32" xfId="0" applyFont="1" applyFill="1" applyBorder="1" applyAlignment="1">
      <alignment horizontal="center" vertical="center" wrapText="1"/>
    </xf>
    <xf numFmtId="0" fontId="25" fillId="2" borderId="30" xfId="0" applyFont="1" applyFill="1" applyBorder="1" applyAlignment="1">
      <alignment horizontal="center" vertical="center" wrapText="1"/>
    </xf>
    <xf numFmtId="0" fontId="25" fillId="2" borderId="31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24" fillId="0" borderId="0" xfId="0" applyFont="1" applyAlignment="1">
      <alignment horizontal="right" vertical="center"/>
    </xf>
    <xf numFmtId="49" fontId="28" fillId="0" borderId="8" xfId="0" applyNumberFormat="1" applyFont="1" applyBorder="1" applyAlignment="1">
      <alignment horizontal="center" vertical="center" wrapText="1"/>
    </xf>
    <xf numFmtId="49" fontId="25" fillId="0" borderId="8" xfId="0" applyNumberFormat="1" applyFont="1" applyBorder="1" applyAlignment="1">
      <alignment horizontal="center" vertical="center" wrapText="1"/>
    </xf>
    <xf numFmtId="168" fontId="36" fillId="2" borderId="8" xfId="0" applyNumberFormat="1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left" vertical="center" wrapText="1"/>
    </xf>
    <xf numFmtId="0" fontId="24" fillId="0" borderId="41" xfId="0" applyFont="1" applyBorder="1" applyAlignment="1">
      <alignment horizontal="left" vertical="center" wrapText="1"/>
    </xf>
    <xf numFmtId="0" fontId="24" fillId="0" borderId="76" xfId="0" applyFont="1" applyBorder="1" applyAlignment="1">
      <alignment horizontal="left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41" xfId="0" applyFont="1" applyBorder="1" applyAlignment="1">
      <alignment horizontal="center" vertical="center" wrapText="1"/>
    </xf>
    <xf numFmtId="0" fontId="24" fillId="0" borderId="76" xfId="0" applyFont="1" applyBorder="1" applyAlignment="1">
      <alignment horizontal="center" vertical="center" wrapText="1"/>
    </xf>
    <xf numFmtId="49" fontId="36" fillId="0" borderId="8" xfId="0" applyNumberFormat="1" applyFont="1" applyBorder="1" applyAlignment="1">
      <alignment horizontal="center" vertical="center" wrapText="1"/>
    </xf>
    <xf numFmtId="0" fontId="25" fillId="2" borderId="8" xfId="0" applyFont="1" applyFill="1" applyBorder="1" applyAlignment="1">
      <alignment horizontal="left" vertical="center" wrapText="1"/>
    </xf>
    <xf numFmtId="168" fontId="36" fillId="2" borderId="54" xfId="0" applyNumberFormat="1" applyFont="1" applyFill="1" applyBorder="1" applyAlignment="1">
      <alignment horizontal="left" vertical="center"/>
    </xf>
    <xf numFmtId="168" fontId="36" fillId="2" borderId="30" xfId="0" applyNumberFormat="1" applyFont="1" applyFill="1" applyBorder="1" applyAlignment="1">
      <alignment horizontal="left" vertical="center"/>
    </xf>
    <xf numFmtId="168" fontId="36" fillId="2" borderId="55" xfId="0" applyNumberFormat="1" applyFont="1" applyFill="1" applyBorder="1" applyAlignment="1">
      <alignment horizontal="left" vertical="center"/>
    </xf>
    <xf numFmtId="0" fontId="24" fillId="2" borderId="8" xfId="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center" vertical="center" wrapText="1"/>
    </xf>
    <xf numFmtId="0" fontId="25" fillId="2" borderId="76" xfId="0" applyFont="1" applyFill="1" applyBorder="1" applyAlignment="1">
      <alignment horizontal="center" vertical="center" wrapText="1"/>
    </xf>
    <xf numFmtId="49" fontId="25" fillId="2" borderId="9" xfId="0" applyNumberFormat="1" applyFont="1" applyFill="1" applyBorder="1" applyAlignment="1">
      <alignment horizontal="center" vertical="center" wrapText="1"/>
    </xf>
    <xf numFmtId="49" fontId="25" fillId="2" borderId="76" xfId="0" applyNumberFormat="1" applyFont="1" applyFill="1" applyBorder="1" applyAlignment="1">
      <alignment horizontal="center" vertical="center" wrapText="1"/>
    </xf>
    <xf numFmtId="49" fontId="25" fillId="0" borderId="9" xfId="0" applyNumberFormat="1" applyFont="1" applyBorder="1" applyAlignment="1">
      <alignment horizontal="center" vertical="center" wrapText="1"/>
    </xf>
    <xf numFmtId="49" fontId="25" fillId="0" borderId="41" xfId="0" applyNumberFormat="1" applyFont="1" applyBorder="1" applyAlignment="1">
      <alignment horizontal="center" vertical="center" wrapText="1"/>
    </xf>
    <xf numFmtId="49" fontId="25" fillId="0" borderId="76" xfId="0" applyNumberFormat="1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8" xfId="0" applyFont="1" applyBorder="1" applyAlignment="1">
      <alignment vertical="center" wrapText="1"/>
    </xf>
    <xf numFmtId="0" fontId="24" fillId="0" borderId="8" xfId="0" applyFont="1" applyBorder="1" applyAlignment="1">
      <alignment horizontal="left" vertical="center" wrapText="1"/>
    </xf>
    <xf numFmtId="0" fontId="24" fillId="2" borderId="8" xfId="0" applyFont="1" applyFill="1" applyBorder="1" applyAlignment="1">
      <alignment horizontal="center" vertical="center" wrapText="1"/>
    </xf>
    <xf numFmtId="49" fontId="36" fillId="0" borderId="9" xfId="0" applyNumberFormat="1" applyFont="1" applyBorder="1" applyAlignment="1">
      <alignment horizontal="center" vertical="center" wrapText="1"/>
    </xf>
    <xf numFmtId="49" fontId="36" fillId="0" borderId="41" xfId="0" applyNumberFormat="1" applyFont="1" applyBorder="1" applyAlignment="1">
      <alignment horizontal="center" vertical="center" wrapText="1"/>
    </xf>
    <xf numFmtId="49" fontId="36" fillId="0" borderId="76" xfId="0" applyNumberFormat="1" applyFont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4" fontId="24" fillId="0" borderId="0" xfId="0" applyNumberFormat="1" applyFont="1" applyAlignment="1">
      <alignment horizontal="center" vertical="center" wrapText="1"/>
    </xf>
    <xf numFmtId="0" fontId="24" fillId="0" borderId="8" xfId="0" applyFont="1" applyBorder="1" applyAlignment="1">
      <alignment horizontal="justify" vertical="center" wrapText="1"/>
    </xf>
  </cellXfs>
  <cellStyles count="61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1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37"/>
    <cellStyle name="Обычный 2 2" xfId="38"/>
    <cellStyle name="Обычный 2 3" xfId="51"/>
    <cellStyle name="Обычный 2 4" xfId="56"/>
    <cellStyle name="Обычный 2 7" xfId="57"/>
    <cellStyle name="Обычный 3" xfId="39"/>
    <cellStyle name="Обычный 3 2" xfId="40"/>
    <cellStyle name="Обычный 3 3" xfId="58"/>
    <cellStyle name="Обычный 4" xfId="41"/>
    <cellStyle name="Обычный 8" xfId="52"/>
    <cellStyle name="Плохой 2" xfId="42"/>
    <cellStyle name="Пояснение 2" xfId="43"/>
    <cellStyle name="Примечание 2" xfId="44"/>
    <cellStyle name="Процентный 2" xfId="53"/>
    <cellStyle name="Связанная ячейка 2" xfId="45"/>
    <cellStyle name="Текст предупреждения 2" xfId="46"/>
    <cellStyle name="Финансовый [0] 2" xfId="55"/>
    <cellStyle name="Финансовый [0] 3" xfId="54"/>
    <cellStyle name="Финансовый 2" xfId="47"/>
    <cellStyle name="Финансовый 2 2" xfId="48"/>
    <cellStyle name="Финансовый 2 3" xfId="49"/>
    <cellStyle name="Финансовый 3" xfId="59"/>
    <cellStyle name="Финансовый 3 2" xfId="60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90"/>
  <sheetViews>
    <sheetView tabSelected="1" topLeftCell="D7" zoomScale="70" zoomScaleNormal="70" zoomScaleSheetLayoutView="50" workbookViewId="0">
      <pane ySplit="7" topLeftCell="A71" activePane="bottomLeft" state="frozen"/>
      <selection activeCell="A7" sqref="A7"/>
      <selection pane="bottomLeft" activeCell="O75" sqref="O75"/>
    </sheetView>
  </sheetViews>
  <sheetFormatPr defaultColWidth="9.140625" defaultRowHeight="15.75" x14ac:dyDescent="0.25"/>
  <cols>
    <col min="1" max="1" width="6.28515625" style="3" customWidth="1"/>
    <col min="2" max="2" width="43" style="3" customWidth="1"/>
    <col min="3" max="3" width="10.85546875" style="3" customWidth="1"/>
    <col min="4" max="4" width="7.7109375" style="3" customWidth="1"/>
    <col min="5" max="5" width="15" style="3" customWidth="1"/>
    <col min="6" max="6" width="9.140625" style="3" customWidth="1"/>
    <col min="7" max="7" width="10.42578125" style="3" bestFit="1" customWidth="1"/>
    <col min="8" max="8" width="6.85546875" style="3" customWidth="1"/>
    <col min="9" max="9" width="8.28515625" style="3" customWidth="1"/>
    <col min="10" max="10" width="9.28515625" style="3" customWidth="1"/>
    <col min="11" max="11" width="9.7109375" style="3" customWidth="1"/>
    <col min="12" max="12" width="8.5703125" style="3" customWidth="1"/>
    <col min="13" max="13" width="7.140625" style="3" customWidth="1"/>
    <col min="14" max="14" width="7.85546875" style="3" customWidth="1"/>
    <col min="15" max="15" width="11.7109375" style="3" customWidth="1"/>
    <col min="16" max="16" width="11.5703125" style="3" customWidth="1"/>
    <col min="17" max="17" width="7.140625" style="3" customWidth="1"/>
    <col min="18" max="18" width="7.7109375" style="3" customWidth="1"/>
    <col min="19" max="19" width="7.5703125" style="3" customWidth="1"/>
    <col min="20" max="20" width="11.140625" style="3" customWidth="1"/>
    <col min="21" max="21" width="11.85546875" style="3" customWidth="1"/>
    <col min="22" max="22" width="7.140625" style="3" customWidth="1"/>
    <col min="23" max="23" width="7.5703125" style="3" customWidth="1"/>
    <col min="24" max="24" width="7.7109375" style="3" customWidth="1"/>
    <col min="25" max="25" width="11.5703125" style="3" bestFit="1" customWidth="1"/>
    <col min="26" max="26" width="11.7109375" style="3" customWidth="1"/>
    <col min="27" max="27" width="8.42578125" style="3" customWidth="1"/>
    <col min="28" max="28" width="6.7109375" style="3" customWidth="1"/>
    <col min="29" max="29" width="8.140625" style="3" customWidth="1"/>
    <col min="30" max="30" width="10.85546875" style="3" customWidth="1"/>
    <col min="31" max="31" width="12.85546875" style="3" bestFit="1" customWidth="1"/>
    <col min="32" max="32" width="7.5703125" style="3" customWidth="1"/>
    <col min="33" max="33" width="7.140625" style="3" customWidth="1"/>
    <col min="34" max="34" width="9.140625" style="3" customWidth="1"/>
    <col min="35" max="35" width="12.85546875" style="2" customWidth="1"/>
    <col min="36" max="36" width="12.140625" style="168" bestFit="1" customWidth="1"/>
    <col min="37" max="37" width="12.140625" style="3" bestFit="1" customWidth="1"/>
    <col min="38" max="16384" width="9.140625" style="3"/>
  </cols>
  <sheetData>
    <row r="1" spans="1:36" s="57" customFormat="1" x14ac:dyDescent="0.25">
      <c r="A1" s="246"/>
      <c r="H1" s="359" t="s">
        <v>44</v>
      </c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359"/>
      <c r="AD1" s="359"/>
      <c r="AE1" s="359"/>
      <c r="AF1" s="359"/>
      <c r="AG1" s="359"/>
      <c r="AH1" s="359"/>
      <c r="AI1" s="359"/>
      <c r="AJ1" s="167"/>
    </row>
    <row r="2" spans="1:36" s="57" customFormat="1" x14ac:dyDescent="0.25">
      <c r="A2" s="246"/>
      <c r="H2" s="359" t="s">
        <v>40</v>
      </c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59"/>
      <c r="X2" s="359"/>
      <c r="Y2" s="359"/>
      <c r="Z2" s="359"/>
      <c r="AA2" s="359"/>
      <c r="AB2" s="359"/>
      <c r="AC2" s="359"/>
      <c r="AD2" s="359"/>
      <c r="AE2" s="359"/>
      <c r="AF2" s="359"/>
      <c r="AG2" s="359"/>
      <c r="AH2" s="359"/>
      <c r="AI2" s="359"/>
      <c r="AJ2" s="167"/>
    </row>
    <row r="3" spans="1:36" s="57" customFormat="1" x14ac:dyDescent="0.25">
      <c r="A3" s="246"/>
      <c r="H3" s="359" t="s">
        <v>41</v>
      </c>
      <c r="I3" s="359"/>
      <c r="J3" s="359"/>
      <c r="K3" s="359"/>
      <c r="L3" s="359"/>
      <c r="M3" s="359"/>
      <c r="N3" s="359"/>
      <c r="O3" s="359"/>
      <c r="P3" s="359"/>
      <c r="Q3" s="359"/>
      <c r="R3" s="359"/>
      <c r="S3" s="359"/>
      <c r="T3" s="359"/>
      <c r="U3" s="359"/>
      <c r="V3" s="359"/>
      <c r="W3" s="359"/>
      <c r="X3" s="359"/>
      <c r="Y3" s="359"/>
      <c r="Z3" s="359"/>
      <c r="AA3" s="359"/>
      <c r="AB3" s="359"/>
      <c r="AC3" s="359"/>
      <c r="AD3" s="359"/>
      <c r="AE3" s="359"/>
      <c r="AF3" s="359"/>
      <c r="AG3" s="359"/>
      <c r="AH3" s="359"/>
      <c r="AI3" s="359"/>
      <c r="AJ3" s="167"/>
    </row>
    <row r="4" spans="1:36" s="57" customFormat="1" x14ac:dyDescent="0.25">
      <c r="A4" s="246"/>
      <c r="H4" s="359" t="s">
        <v>42</v>
      </c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59"/>
      <c r="AB4" s="359"/>
      <c r="AC4" s="359"/>
      <c r="AD4" s="359"/>
      <c r="AE4" s="359"/>
      <c r="AF4" s="359"/>
      <c r="AG4" s="359"/>
      <c r="AH4" s="359"/>
      <c r="AI4" s="359"/>
      <c r="AJ4" s="167"/>
    </row>
    <row r="5" spans="1:36" s="57" customFormat="1" x14ac:dyDescent="0.25">
      <c r="A5" s="246"/>
      <c r="H5" s="359" t="s">
        <v>43</v>
      </c>
      <c r="I5" s="359"/>
      <c r="J5" s="359"/>
      <c r="K5" s="359"/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359"/>
      <c r="AE5" s="359"/>
      <c r="AF5" s="359"/>
      <c r="AG5" s="359"/>
      <c r="AH5" s="359"/>
      <c r="AI5" s="359"/>
      <c r="AJ5" s="167"/>
    </row>
    <row r="6" spans="1:36" s="57" customFormat="1" ht="15.6" x14ac:dyDescent="0.3">
      <c r="A6" s="246"/>
      <c r="H6" s="246"/>
      <c r="I6" s="246"/>
      <c r="J6" s="246"/>
      <c r="K6" s="246"/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167"/>
    </row>
    <row r="7" spans="1:36" s="57" customFormat="1" ht="15.6" x14ac:dyDescent="0.3">
      <c r="A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  <c r="AB7" s="246"/>
      <c r="AC7" s="246"/>
      <c r="AD7" s="246"/>
      <c r="AE7" s="246"/>
      <c r="AF7" s="246"/>
      <c r="AG7" s="246"/>
      <c r="AH7" s="246"/>
      <c r="AI7" s="246"/>
      <c r="AJ7" s="167"/>
    </row>
    <row r="8" spans="1:36" x14ac:dyDescent="0.25">
      <c r="B8" s="358" t="s">
        <v>154</v>
      </c>
      <c r="C8" s="358"/>
      <c r="D8" s="358"/>
      <c r="E8" s="358"/>
      <c r="F8" s="358"/>
      <c r="G8" s="358"/>
      <c r="H8" s="358"/>
      <c r="I8" s="358"/>
      <c r="J8" s="358"/>
      <c r="K8" s="358"/>
      <c r="L8" s="358"/>
      <c r="M8" s="358"/>
      <c r="N8" s="358"/>
      <c r="O8" s="358"/>
      <c r="P8" s="358"/>
      <c r="Q8" s="358"/>
      <c r="R8" s="358"/>
      <c r="S8" s="358"/>
      <c r="T8" s="358"/>
      <c r="U8" s="358"/>
      <c r="V8" s="358"/>
      <c r="W8" s="358"/>
      <c r="X8" s="358"/>
      <c r="Y8" s="358"/>
      <c r="Z8" s="358"/>
      <c r="AA8" s="358"/>
      <c r="AB8" s="358"/>
      <c r="AC8" s="358"/>
      <c r="AD8" s="358"/>
      <c r="AE8" s="358"/>
      <c r="AF8" s="358"/>
      <c r="AG8" s="358"/>
      <c r="AH8" s="358"/>
    </row>
    <row r="9" spans="1:36" ht="12.75" customHeight="1" thickBot="1" x14ac:dyDescent="0.3"/>
    <row r="10" spans="1:36" ht="22.5" customHeight="1" thickBot="1" x14ac:dyDescent="0.3">
      <c r="A10" s="349" t="s">
        <v>0</v>
      </c>
      <c r="B10" s="352" t="s">
        <v>1</v>
      </c>
      <c r="C10" s="349" t="s">
        <v>2</v>
      </c>
      <c r="D10" s="349" t="s">
        <v>3</v>
      </c>
      <c r="E10" s="355" t="s">
        <v>4</v>
      </c>
      <c r="F10" s="356"/>
      <c r="G10" s="356"/>
      <c r="H10" s="356"/>
      <c r="I10" s="356"/>
      <c r="J10" s="356"/>
      <c r="K10" s="356"/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6"/>
      <c r="Z10" s="356"/>
      <c r="AA10" s="356"/>
      <c r="AB10" s="356"/>
      <c r="AC10" s="356"/>
      <c r="AD10" s="356"/>
      <c r="AE10" s="356"/>
      <c r="AF10" s="356"/>
      <c r="AG10" s="356"/>
      <c r="AH10" s="356"/>
      <c r="AI10" s="357"/>
    </row>
    <row r="11" spans="1:36" ht="23.25" customHeight="1" x14ac:dyDescent="0.25">
      <c r="A11" s="350"/>
      <c r="B11" s="353"/>
      <c r="C11" s="350"/>
      <c r="D11" s="350"/>
      <c r="E11" s="342" t="s">
        <v>25</v>
      </c>
      <c r="F11" s="343"/>
      <c r="G11" s="343"/>
      <c r="H11" s="343"/>
      <c r="I11" s="344"/>
      <c r="J11" s="342" t="s">
        <v>26</v>
      </c>
      <c r="K11" s="343"/>
      <c r="L11" s="343"/>
      <c r="M11" s="343"/>
      <c r="N11" s="344"/>
      <c r="O11" s="342" t="s">
        <v>27</v>
      </c>
      <c r="P11" s="343"/>
      <c r="Q11" s="343"/>
      <c r="R11" s="343"/>
      <c r="S11" s="344"/>
      <c r="T11" s="342" t="s">
        <v>28</v>
      </c>
      <c r="U11" s="343"/>
      <c r="V11" s="343"/>
      <c r="W11" s="343"/>
      <c r="X11" s="344"/>
      <c r="Y11" s="342" t="s">
        <v>29</v>
      </c>
      <c r="Z11" s="343"/>
      <c r="AA11" s="343"/>
      <c r="AB11" s="343"/>
      <c r="AC11" s="344"/>
      <c r="AD11" s="342" t="s">
        <v>30</v>
      </c>
      <c r="AE11" s="343"/>
      <c r="AF11" s="343"/>
      <c r="AG11" s="343"/>
      <c r="AH11" s="344"/>
      <c r="AI11" s="345" t="s">
        <v>22</v>
      </c>
    </row>
    <row r="12" spans="1:36" ht="90" customHeight="1" thickBot="1" x14ac:dyDescent="0.3">
      <c r="A12" s="351"/>
      <c r="B12" s="354"/>
      <c r="C12" s="351"/>
      <c r="D12" s="351"/>
      <c r="E12" s="283" t="s">
        <v>5</v>
      </c>
      <c r="F12" s="284" t="s">
        <v>6</v>
      </c>
      <c r="G12" s="284" t="s">
        <v>7</v>
      </c>
      <c r="H12" s="284" t="s">
        <v>8</v>
      </c>
      <c r="I12" s="285" t="s">
        <v>9</v>
      </c>
      <c r="J12" s="286" t="s">
        <v>5</v>
      </c>
      <c r="K12" s="284" t="s">
        <v>6</v>
      </c>
      <c r="L12" s="284" t="s">
        <v>7</v>
      </c>
      <c r="M12" s="284" t="s">
        <v>8</v>
      </c>
      <c r="N12" s="285" t="s">
        <v>9</v>
      </c>
      <c r="O12" s="286" t="s">
        <v>5</v>
      </c>
      <c r="P12" s="284" t="s">
        <v>6</v>
      </c>
      <c r="Q12" s="284" t="s">
        <v>7</v>
      </c>
      <c r="R12" s="284" t="s">
        <v>8</v>
      </c>
      <c r="S12" s="285" t="s">
        <v>9</v>
      </c>
      <c r="T12" s="286" t="s">
        <v>5</v>
      </c>
      <c r="U12" s="284" t="s">
        <v>6</v>
      </c>
      <c r="V12" s="284" t="s">
        <v>7</v>
      </c>
      <c r="W12" s="284" t="s">
        <v>8</v>
      </c>
      <c r="X12" s="285" t="s">
        <v>9</v>
      </c>
      <c r="Y12" s="286" t="s">
        <v>5</v>
      </c>
      <c r="Z12" s="284" t="s">
        <v>6</v>
      </c>
      <c r="AA12" s="284" t="s">
        <v>7</v>
      </c>
      <c r="AB12" s="284" t="s">
        <v>8</v>
      </c>
      <c r="AC12" s="285" t="s">
        <v>9</v>
      </c>
      <c r="AD12" s="286" t="s">
        <v>5</v>
      </c>
      <c r="AE12" s="284" t="s">
        <v>6</v>
      </c>
      <c r="AF12" s="284" t="s">
        <v>7</v>
      </c>
      <c r="AG12" s="284" t="s">
        <v>8</v>
      </c>
      <c r="AH12" s="285" t="s">
        <v>9</v>
      </c>
      <c r="AI12" s="346"/>
    </row>
    <row r="13" spans="1:36" ht="15.75" customHeight="1" thickBot="1" x14ac:dyDescent="0.3">
      <c r="A13" s="280">
        <v>1</v>
      </c>
      <c r="B13" s="292">
        <v>2</v>
      </c>
      <c r="C13" s="281">
        <v>3</v>
      </c>
      <c r="D13" s="292">
        <v>4</v>
      </c>
      <c r="E13" s="291">
        <v>5</v>
      </c>
      <c r="F13" s="289">
        <v>6</v>
      </c>
      <c r="G13" s="289">
        <v>7</v>
      </c>
      <c r="H13" s="289">
        <v>8</v>
      </c>
      <c r="I13" s="293">
        <v>9</v>
      </c>
      <c r="J13" s="288">
        <v>10</v>
      </c>
      <c r="K13" s="289">
        <v>11</v>
      </c>
      <c r="L13" s="289">
        <v>12</v>
      </c>
      <c r="M13" s="289">
        <v>13</v>
      </c>
      <c r="N13" s="290">
        <v>14</v>
      </c>
      <c r="O13" s="291">
        <v>15</v>
      </c>
      <c r="P13" s="289">
        <v>16</v>
      </c>
      <c r="Q13" s="289">
        <v>17</v>
      </c>
      <c r="R13" s="289">
        <v>18</v>
      </c>
      <c r="S13" s="293">
        <v>19</v>
      </c>
      <c r="T13" s="288">
        <v>20</v>
      </c>
      <c r="U13" s="289">
        <v>21</v>
      </c>
      <c r="V13" s="289">
        <v>22</v>
      </c>
      <c r="W13" s="289">
        <v>23</v>
      </c>
      <c r="X13" s="290">
        <v>24</v>
      </c>
      <c r="Y13" s="291">
        <v>25</v>
      </c>
      <c r="Z13" s="289">
        <v>26</v>
      </c>
      <c r="AA13" s="289">
        <v>27</v>
      </c>
      <c r="AB13" s="289">
        <v>28</v>
      </c>
      <c r="AC13" s="293">
        <v>29</v>
      </c>
      <c r="AD13" s="288">
        <v>30</v>
      </c>
      <c r="AE13" s="289">
        <v>31</v>
      </c>
      <c r="AF13" s="289">
        <v>32</v>
      </c>
      <c r="AG13" s="289">
        <v>33</v>
      </c>
      <c r="AH13" s="290">
        <v>34</v>
      </c>
      <c r="AI13" s="282">
        <v>35</v>
      </c>
    </row>
    <row r="14" spans="1:36" ht="36.75" customHeight="1" thickBot="1" x14ac:dyDescent="0.3">
      <c r="A14" s="347" t="s">
        <v>45</v>
      </c>
      <c r="B14" s="348"/>
      <c r="C14" s="348"/>
      <c r="D14" s="348"/>
      <c r="E14" s="348"/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287"/>
    </row>
    <row r="15" spans="1:36" ht="21" customHeight="1" thickBot="1" x14ac:dyDescent="0.3">
      <c r="A15" s="337" t="s">
        <v>21</v>
      </c>
      <c r="B15" s="331"/>
      <c r="C15" s="331"/>
      <c r="D15" s="331"/>
      <c r="E15" s="331"/>
      <c r="F15" s="331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331"/>
      <c r="T15" s="331"/>
      <c r="U15" s="331"/>
      <c r="V15" s="331"/>
      <c r="W15" s="331"/>
      <c r="X15" s="331"/>
      <c r="Y15" s="331"/>
      <c r="Z15" s="331"/>
      <c r="AA15" s="331"/>
      <c r="AB15" s="331"/>
      <c r="AC15" s="331"/>
      <c r="AD15" s="331"/>
      <c r="AE15" s="331"/>
      <c r="AF15" s="331"/>
      <c r="AG15" s="331"/>
      <c r="AH15" s="331"/>
      <c r="AI15" s="4"/>
    </row>
    <row r="16" spans="1:36" ht="68.45" customHeight="1" x14ac:dyDescent="0.25">
      <c r="A16" s="5" t="s">
        <v>15</v>
      </c>
      <c r="B16" s="6" t="s">
        <v>187</v>
      </c>
      <c r="C16" s="7" t="s">
        <v>10</v>
      </c>
      <c r="D16" s="8" t="s">
        <v>46</v>
      </c>
      <c r="E16" s="9">
        <f t="shared" ref="E16:E18" si="0">F16+G16+H16+I16</f>
        <v>7524</v>
      </c>
      <c r="F16" s="10">
        <f>3330+4194</f>
        <v>7524</v>
      </c>
      <c r="G16" s="10">
        <v>0</v>
      </c>
      <c r="H16" s="10">
        <v>0</v>
      </c>
      <c r="I16" s="11">
        <v>0</v>
      </c>
      <c r="J16" s="12">
        <f t="shared" ref="J16:J23" si="1">K16+L16+M16+N16</f>
        <v>13144</v>
      </c>
      <c r="K16" s="10">
        <f>3330+9814</f>
        <v>13144</v>
      </c>
      <c r="L16" s="10">
        <v>0</v>
      </c>
      <c r="M16" s="10">
        <v>0</v>
      </c>
      <c r="N16" s="11">
        <v>0</v>
      </c>
      <c r="O16" s="12">
        <f t="shared" ref="O16:O23" si="2">P16+Q16+R16+S16</f>
        <v>7149</v>
      </c>
      <c r="P16" s="10">
        <f>405+6744</f>
        <v>7149</v>
      </c>
      <c r="Q16" s="10">
        <v>0</v>
      </c>
      <c r="R16" s="10">
        <v>0</v>
      </c>
      <c r="S16" s="11">
        <v>0</v>
      </c>
      <c r="T16" s="12">
        <f t="shared" ref="T16:T23" si="3">U16+V16+W16+X16</f>
        <v>7037</v>
      </c>
      <c r="U16" s="10">
        <f>7037</f>
        <v>7037</v>
      </c>
      <c r="V16" s="10">
        <v>0</v>
      </c>
      <c r="W16" s="10">
        <v>0</v>
      </c>
      <c r="X16" s="11">
        <v>0</v>
      </c>
      <c r="Y16" s="12">
        <f>Z16+AA16+AB16+AC16</f>
        <v>7216</v>
      </c>
      <c r="Z16" s="10">
        <v>7216</v>
      </c>
      <c r="AA16" s="10">
        <v>0</v>
      </c>
      <c r="AB16" s="10">
        <v>0</v>
      </c>
      <c r="AC16" s="11">
        <v>0</v>
      </c>
      <c r="AD16" s="12">
        <f>AE16+AF16+AG16+AH16</f>
        <v>7805</v>
      </c>
      <c r="AE16" s="10">
        <v>7805</v>
      </c>
      <c r="AF16" s="10">
        <v>0</v>
      </c>
      <c r="AG16" s="10">
        <v>0</v>
      </c>
      <c r="AH16" s="11">
        <v>0</v>
      </c>
      <c r="AI16" s="13">
        <f>E16+J16+O16+T16+AD16+Y16</f>
        <v>49875</v>
      </c>
    </row>
    <row r="17" spans="1:37" ht="66.599999999999994" customHeight="1" x14ac:dyDescent="0.25">
      <c r="A17" s="236" t="s">
        <v>158</v>
      </c>
      <c r="B17" s="14" t="s">
        <v>52</v>
      </c>
      <c r="C17" s="243" t="s">
        <v>10</v>
      </c>
      <c r="D17" s="241" t="s">
        <v>48</v>
      </c>
      <c r="E17" s="15" t="s">
        <v>272</v>
      </c>
      <c r="F17" s="16" t="s">
        <v>272</v>
      </c>
      <c r="G17" s="16">
        <v>0</v>
      </c>
      <c r="H17" s="16">
        <v>0</v>
      </c>
      <c r="I17" s="17">
        <v>0</v>
      </c>
      <c r="J17" s="18" t="s">
        <v>280</v>
      </c>
      <c r="K17" s="16" t="s">
        <v>280</v>
      </c>
      <c r="L17" s="16">
        <v>0</v>
      </c>
      <c r="M17" s="16">
        <v>0</v>
      </c>
      <c r="N17" s="17">
        <v>0</v>
      </c>
      <c r="O17" s="18" t="s">
        <v>281</v>
      </c>
      <c r="P17" s="16" t="s">
        <v>281</v>
      </c>
      <c r="Q17" s="16">
        <v>0</v>
      </c>
      <c r="R17" s="16">
        <v>0</v>
      </c>
      <c r="S17" s="17">
        <v>0</v>
      </c>
      <c r="T17" s="18">
        <f t="shared" si="3"/>
        <v>83005</v>
      </c>
      <c r="U17" s="16">
        <f>69900+13105</f>
        <v>83005</v>
      </c>
      <c r="V17" s="16">
        <v>0</v>
      </c>
      <c r="W17" s="16">
        <v>0</v>
      </c>
      <c r="X17" s="17">
        <v>0</v>
      </c>
      <c r="Y17" s="18">
        <f>Z17+AA17+AB17+AC17</f>
        <v>80015</v>
      </c>
      <c r="Z17" s="16">
        <f>66386+13629</f>
        <v>80015</v>
      </c>
      <c r="AA17" s="16">
        <v>0</v>
      </c>
      <c r="AB17" s="16">
        <v>0</v>
      </c>
      <c r="AC17" s="17">
        <v>0</v>
      </c>
      <c r="AD17" s="18">
        <f>AE17+AF17+AG17+AH17</f>
        <v>77406</v>
      </c>
      <c r="AE17" s="16">
        <f>63231+14175</f>
        <v>77406</v>
      </c>
      <c r="AF17" s="16">
        <v>0</v>
      </c>
      <c r="AG17" s="16">
        <v>0</v>
      </c>
      <c r="AH17" s="17">
        <v>0</v>
      </c>
      <c r="AI17" s="19">
        <v>428927</v>
      </c>
      <c r="AJ17" s="169"/>
      <c r="AK17" s="20"/>
    </row>
    <row r="18" spans="1:37" ht="54" customHeight="1" x14ac:dyDescent="0.25">
      <c r="A18" s="236" t="s">
        <v>16</v>
      </c>
      <c r="B18" s="50" t="s">
        <v>37</v>
      </c>
      <c r="C18" s="243" t="s">
        <v>10</v>
      </c>
      <c r="D18" s="241" t="s">
        <v>151</v>
      </c>
      <c r="E18" s="15">
        <f t="shared" si="0"/>
        <v>16452</v>
      </c>
      <c r="F18" s="16">
        <v>16452</v>
      </c>
      <c r="G18" s="16">
        <v>0</v>
      </c>
      <c r="H18" s="16">
        <v>0</v>
      </c>
      <c r="I18" s="17">
        <v>0</v>
      </c>
      <c r="J18" s="18">
        <f t="shared" si="1"/>
        <v>0</v>
      </c>
      <c r="K18" s="16">
        <v>0</v>
      </c>
      <c r="L18" s="16">
        <v>0</v>
      </c>
      <c r="M18" s="16">
        <v>0</v>
      </c>
      <c r="N18" s="17">
        <v>0</v>
      </c>
      <c r="O18" s="18">
        <f t="shared" si="2"/>
        <v>155890</v>
      </c>
      <c r="P18" s="16">
        <v>155890</v>
      </c>
      <c r="Q18" s="16">
        <v>0</v>
      </c>
      <c r="R18" s="16">
        <v>0</v>
      </c>
      <c r="S18" s="17">
        <v>0</v>
      </c>
      <c r="T18" s="18">
        <f t="shared" si="3"/>
        <v>94496</v>
      </c>
      <c r="U18" s="16">
        <v>94496</v>
      </c>
      <c r="V18" s="16">
        <v>0</v>
      </c>
      <c r="W18" s="16">
        <v>0</v>
      </c>
      <c r="X18" s="17">
        <v>0</v>
      </c>
      <c r="Y18" s="18">
        <f>Z18</f>
        <v>100702</v>
      </c>
      <c r="Z18" s="16">
        <v>100702</v>
      </c>
      <c r="AA18" s="16">
        <v>0</v>
      </c>
      <c r="AB18" s="16">
        <v>0</v>
      </c>
      <c r="AC18" s="17">
        <v>0</v>
      </c>
      <c r="AD18" s="18">
        <f>AE18+AF18+AG18+AH18</f>
        <v>110484</v>
      </c>
      <c r="AE18" s="16">
        <v>110484</v>
      </c>
      <c r="AF18" s="16">
        <v>0</v>
      </c>
      <c r="AG18" s="16">
        <v>0</v>
      </c>
      <c r="AH18" s="17">
        <v>0</v>
      </c>
      <c r="AI18" s="19">
        <f t="shared" ref="AI18:AI23" si="4">E18+J18+O18+T18+Y18+AD18</f>
        <v>478024</v>
      </c>
      <c r="AJ18" s="169"/>
      <c r="AK18" s="20"/>
    </row>
    <row r="19" spans="1:37" ht="45.6" customHeight="1" x14ac:dyDescent="0.25">
      <c r="A19" s="21" t="s">
        <v>17</v>
      </c>
      <c r="B19" s="22" t="s">
        <v>188</v>
      </c>
      <c r="C19" s="23" t="s">
        <v>10</v>
      </c>
      <c r="D19" s="24" t="s">
        <v>47</v>
      </c>
      <c r="E19" s="25" t="s">
        <v>273</v>
      </c>
      <c r="F19" s="26" t="s">
        <v>273</v>
      </c>
      <c r="G19" s="26">
        <v>0</v>
      </c>
      <c r="H19" s="26">
        <v>0</v>
      </c>
      <c r="I19" s="27">
        <v>0</v>
      </c>
      <c r="J19" s="28" t="s">
        <v>274</v>
      </c>
      <c r="K19" s="26" t="s">
        <v>274</v>
      </c>
      <c r="L19" s="26">
        <v>0</v>
      </c>
      <c r="M19" s="26">
        <v>0</v>
      </c>
      <c r="N19" s="27">
        <v>0</v>
      </c>
      <c r="O19" s="28">
        <f t="shared" si="2"/>
        <v>178477</v>
      </c>
      <c r="P19" s="26">
        <f>34269+144208</f>
        <v>178477</v>
      </c>
      <c r="Q19" s="26">
        <v>0</v>
      </c>
      <c r="R19" s="26">
        <v>0</v>
      </c>
      <c r="S19" s="27">
        <v>0</v>
      </c>
      <c r="T19" s="28">
        <f t="shared" si="3"/>
        <v>181485</v>
      </c>
      <c r="U19" s="26">
        <f>35640+145845</f>
        <v>181485</v>
      </c>
      <c r="V19" s="26">
        <v>0</v>
      </c>
      <c r="W19" s="26">
        <v>0</v>
      </c>
      <c r="X19" s="27">
        <v>0</v>
      </c>
      <c r="Y19" s="28">
        <f>Z19+AA19+AB19+AC19</f>
        <v>193040</v>
      </c>
      <c r="Z19" s="26">
        <f>155975+37065</f>
        <v>193040</v>
      </c>
      <c r="AA19" s="26">
        <v>0</v>
      </c>
      <c r="AB19" s="26">
        <v>0</v>
      </c>
      <c r="AC19" s="27">
        <v>0</v>
      </c>
      <c r="AD19" s="52">
        <f>AE19+AF19+AG19+AH19</f>
        <v>192651</v>
      </c>
      <c r="AE19" s="26">
        <f>38548+154103</f>
        <v>192651</v>
      </c>
      <c r="AF19" s="26">
        <v>0</v>
      </c>
      <c r="AG19" s="26">
        <v>0</v>
      </c>
      <c r="AH19" s="27">
        <v>0</v>
      </c>
      <c r="AI19" s="49">
        <v>811007</v>
      </c>
    </row>
    <row r="20" spans="1:37" ht="42" customHeight="1" x14ac:dyDescent="0.25">
      <c r="A20" s="309" t="s">
        <v>230</v>
      </c>
      <c r="B20" s="324" t="s">
        <v>155</v>
      </c>
      <c r="C20" s="243" t="s">
        <v>10</v>
      </c>
      <c r="D20" s="241"/>
      <c r="E20" s="15" t="s">
        <v>284</v>
      </c>
      <c r="F20" s="16" t="s">
        <v>284</v>
      </c>
      <c r="G20" s="16">
        <v>0</v>
      </c>
      <c r="H20" s="16">
        <v>0</v>
      </c>
      <c r="I20" s="17">
        <v>0</v>
      </c>
      <c r="J20" s="18" t="s">
        <v>275</v>
      </c>
      <c r="K20" s="16" t="s">
        <v>275</v>
      </c>
      <c r="L20" s="16">
        <v>0</v>
      </c>
      <c r="M20" s="16">
        <v>0</v>
      </c>
      <c r="N20" s="17">
        <v>0</v>
      </c>
      <c r="O20" s="18" t="s">
        <v>276</v>
      </c>
      <c r="P20" s="16" t="s">
        <v>276</v>
      </c>
      <c r="Q20" s="16">
        <v>0</v>
      </c>
      <c r="R20" s="16">
        <v>0</v>
      </c>
      <c r="S20" s="17">
        <v>0</v>
      </c>
      <c r="T20" s="18">
        <f>U20+V20+W20+X20</f>
        <v>3781</v>
      </c>
      <c r="U20" s="16">
        <v>3781</v>
      </c>
      <c r="V20" s="16">
        <v>0</v>
      </c>
      <c r="W20" s="16">
        <v>0</v>
      </c>
      <c r="X20" s="17">
        <v>0</v>
      </c>
      <c r="Y20" s="18">
        <f>Z20+AA20+AB20+AC20</f>
        <v>3932</v>
      </c>
      <c r="Z20" s="16">
        <v>3932</v>
      </c>
      <c r="AA20" s="16">
        <v>0</v>
      </c>
      <c r="AB20" s="16">
        <v>0</v>
      </c>
      <c r="AC20" s="17">
        <v>0</v>
      </c>
      <c r="AD20" s="18">
        <f>AE20+AF20+AG20+AH20</f>
        <v>4089</v>
      </c>
      <c r="AE20" s="16">
        <v>4089</v>
      </c>
      <c r="AF20" s="16">
        <v>0</v>
      </c>
      <c r="AG20" s="16">
        <v>0</v>
      </c>
      <c r="AH20" s="17">
        <v>0</v>
      </c>
      <c r="AI20" s="49">
        <v>18394</v>
      </c>
    </row>
    <row r="21" spans="1:37" ht="57.75" customHeight="1" x14ac:dyDescent="0.25">
      <c r="A21" s="310"/>
      <c r="B21" s="325"/>
      <c r="C21" s="243" t="s">
        <v>98</v>
      </c>
      <c r="D21" s="241" t="s">
        <v>48</v>
      </c>
      <c r="E21" s="15">
        <f>F21+G21+H21+I21</f>
        <v>946</v>
      </c>
      <c r="F21" s="16">
        <f>946</f>
        <v>946</v>
      </c>
      <c r="G21" s="16">
        <v>0</v>
      </c>
      <c r="H21" s="16">
        <v>0</v>
      </c>
      <c r="I21" s="17">
        <v>0</v>
      </c>
      <c r="J21" s="18">
        <f t="shared" si="1"/>
        <v>946</v>
      </c>
      <c r="K21" s="16">
        <v>946</v>
      </c>
      <c r="L21" s="16">
        <v>0</v>
      </c>
      <c r="M21" s="16">
        <v>0</v>
      </c>
      <c r="N21" s="17">
        <v>0</v>
      </c>
      <c r="O21" s="18">
        <f t="shared" ref="O21" si="5">P21+Q21+R21+S21</f>
        <v>983.84</v>
      </c>
      <c r="P21" s="16">
        <f>K21*1.04</f>
        <v>983.84</v>
      </c>
      <c r="Q21" s="16">
        <v>0</v>
      </c>
      <c r="R21" s="16">
        <v>0</v>
      </c>
      <c r="S21" s="17">
        <v>0</v>
      </c>
      <c r="T21" s="18">
        <f t="shared" ref="T21" si="6">U21+V21+W21+X21</f>
        <v>1023</v>
      </c>
      <c r="U21" s="16">
        <v>1023</v>
      </c>
      <c r="V21" s="16">
        <v>0</v>
      </c>
      <c r="W21" s="16">
        <v>0</v>
      </c>
      <c r="X21" s="17">
        <v>0</v>
      </c>
      <c r="Y21" s="18">
        <f t="shared" ref="Y21" si="7">Z21+AA21+AB21+AC21</f>
        <v>1064</v>
      </c>
      <c r="Z21" s="16">
        <v>1064</v>
      </c>
      <c r="AA21" s="16">
        <v>0</v>
      </c>
      <c r="AB21" s="16">
        <v>0</v>
      </c>
      <c r="AC21" s="17">
        <v>0</v>
      </c>
      <c r="AD21" s="18">
        <f t="shared" ref="AD21" si="8">AE21+AF21+AG21+AH21</f>
        <v>1107</v>
      </c>
      <c r="AE21" s="16">
        <v>1107</v>
      </c>
      <c r="AF21" s="16">
        <v>0</v>
      </c>
      <c r="AG21" s="16">
        <v>0</v>
      </c>
      <c r="AH21" s="17">
        <v>0</v>
      </c>
      <c r="AI21" s="49">
        <f t="shared" si="4"/>
        <v>6069.84</v>
      </c>
    </row>
    <row r="22" spans="1:37" ht="54" customHeight="1" x14ac:dyDescent="0.25">
      <c r="A22" s="236" t="s">
        <v>156</v>
      </c>
      <c r="B22" s="14" t="s">
        <v>189</v>
      </c>
      <c r="C22" s="243" t="s">
        <v>10</v>
      </c>
      <c r="D22" s="241" t="s">
        <v>47</v>
      </c>
      <c r="E22" s="15" t="s">
        <v>261</v>
      </c>
      <c r="F22" s="16" t="s">
        <v>261</v>
      </c>
      <c r="G22" s="16">
        <v>0</v>
      </c>
      <c r="H22" s="16">
        <v>0</v>
      </c>
      <c r="I22" s="17">
        <v>0</v>
      </c>
      <c r="J22" s="18" t="s">
        <v>262</v>
      </c>
      <c r="K22" s="16" t="s">
        <v>262</v>
      </c>
      <c r="L22" s="16">
        <v>0</v>
      </c>
      <c r="M22" s="16">
        <v>0</v>
      </c>
      <c r="N22" s="17">
        <v>0</v>
      </c>
      <c r="O22" s="18" t="s">
        <v>263</v>
      </c>
      <c r="P22" s="16" t="s">
        <v>263</v>
      </c>
      <c r="Q22" s="16">
        <v>0</v>
      </c>
      <c r="R22" s="16">
        <v>0</v>
      </c>
      <c r="S22" s="17">
        <v>0</v>
      </c>
      <c r="T22" s="18">
        <f t="shared" si="3"/>
        <v>47142</v>
      </c>
      <c r="U22" s="16">
        <f>47142</f>
        <v>47142</v>
      </c>
      <c r="V22" s="16">
        <v>0</v>
      </c>
      <c r="W22" s="16">
        <v>0</v>
      </c>
      <c r="X22" s="17">
        <v>0</v>
      </c>
      <c r="Y22" s="18">
        <f>Z22+AA22+AB22+AC22</f>
        <v>55163</v>
      </c>
      <c r="Z22" s="16">
        <f>55163</f>
        <v>55163</v>
      </c>
      <c r="AA22" s="16">
        <v>0</v>
      </c>
      <c r="AB22" s="16">
        <v>0</v>
      </c>
      <c r="AC22" s="17">
        <v>0</v>
      </c>
      <c r="AD22" s="18">
        <f>AE22+AF22+AG22+AH22</f>
        <v>55437</v>
      </c>
      <c r="AE22" s="16">
        <f>55437</f>
        <v>55437</v>
      </c>
      <c r="AF22" s="16">
        <v>0</v>
      </c>
      <c r="AG22" s="16">
        <v>0</v>
      </c>
      <c r="AH22" s="17">
        <v>0</v>
      </c>
      <c r="AI22" s="19">
        <v>207026</v>
      </c>
    </row>
    <row r="23" spans="1:37" ht="54" customHeight="1" thickBot="1" x14ac:dyDescent="0.3">
      <c r="A23" s="29" t="s">
        <v>157</v>
      </c>
      <c r="B23" s="30" t="s">
        <v>259</v>
      </c>
      <c r="C23" s="23" t="s">
        <v>10</v>
      </c>
      <c r="D23" s="24" t="s">
        <v>48</v>
      </c>
      <c r="E23" s="25">
        <f>F23+G23+H23+I23</f>
        <v>54124</v>
      </c>
      <c r="F23" s="26">
        <v>52500</v>
      </c>
      <c r="G23" s="26">
        <v>0</v>
      </c>
      <c r="H23" s="26">
        <v>0</v>
      </c>
      <c r="I23" s="27">
        <v>1624</v>
      </c>
      <c r="J23" s="28">
        <f t="shared" si="1"/>
        <v>54124</v>
      </c>
      <c r="K23" s="26">
        <v>52500</v>
      </c>
      <c r="L23" s="26">
        <v>0</v>
      </c>
      <c r="M23" s="26">
        <v>0</v>
      </c>
      <c r="N23" s="27">
        <v>1624</v>
      </c>
      <c r="O23" s="28">
        <f t="shared" si="2"/>
        <v>54124</v>
      </c>
      <c r="P23" s="26">
        <v>52500</v>
      </c>
      <c r="Q23" s="26">
        <v>0</v>
      </c>
      <c r="R23" s="26">
        <v>0</v>
      </c>
      <c r="S23" s="27">
        <v>1624</v>
      </c>
      <c r="T23" s="28">
        <f t="shared" si="3"/>
        <v>54124</v>
      </c>
      <c r="U23" s="26">
        <v>52500</v>
      </c>
      <c r="V23" s="26">
        <v>0</v>
      </c>
      <c r="W23" s="26">
        <v>0</v>
      </c>
      <c r="X23" s="27">
        <v>1624</v>
      </c>
      <c r="Y23" s="28">
        <f>Z23+AA23+AB23+AC23</f>
        <v>54124</v>
      </c>
      <c r="Z23" s="26">
        <v>52500</v>
      </c>
      <c r="AA23" s="26">
        <v>0</v>
      </c>
      <c r="AB23" s="26">
        <v>0</v>
      </c>
      <c r="AC23" s="27">
        <v>1624</v>
      </c>
      <c r="AD23" s="18">
        <f>AE23+AH23</f>
        <v>54124</v>
      </c>
      <c r="AE23" s="26">
        <v>52500</v>
      </c>
      <c r="AF23" s="26">
        <v>0</v>
      </c>
      <c r="AG23" s="26">
        <v>0</v>
      </c>
      <c r="AH23" s="27">
        <v>1624</v>
      </c>
      <c r="AI23" s="19">
        <f t="shared" si="4"/>
        <v>324744</v>
      </c>
      <c r="AJ23" s="170"/>
    </row>
    <row r="24" spans="1:37" s="146" customFormat="1" ht="35.25" customHeight="1" thickBot="1" x14ac:dyDescent="0.3">
      <c r="A24" s="335" t="s">
        <v>11</v>
      </c>
      <c r="B24" s="336"/>
      <c r="C24" s="147"/>
      <c r="D24" s="148"/>
      <c r="E24" s="136">
        <f>F24+I24</f>
        <v>188084</v>
      </c>
      <c r="F24" s="137">
        <v>186460</v>
      </c>
      <c r="G24" s="137">
        <f>G22+G19+G17+G16+G18+G23</f>
        <v>0</v>
      </c>
      <c r="H24" s="137">
        <f>H22+H19+H17+H16+H18+H23</f>
        <v>0</v>
      </c>
      <c r="I24" s="149">
        <f>I22+I19+I17+I16+I18+I23</f>
        <v>1624</v>
      </c>
      <c r="J24" s="136">
        <f>K24+N24</f>
        <v>175282</v>
      </c>
      <c r="K24" s="137">
        <v>173658</v>
      </c>
      <c r="L24" s="137">
        <f>L22+L19+L17+L16+L18+L23</f>
        <v>0</v>
      </c>
      <c r="M24" s="137">
        <f>M22+M19+M17+M16+M18+M23</f>
        <v>0</v>
      </c>
      <c r="N24" s="138">
        <f>N22+N19+N17+N16+N18+N23</f>
        <v>1624</v>
      </c>
      <c r="O24" s="150">
        <f>P24+S24</f>
        <v>490249</v>
      </c>
      <c r="P24" s="137">
        <v>488625</v>
      </c>
      <c r="Q24" s="137">
        <f>Q18+Q22+Q19+Q17+Q16+Q23</f>
        <v>0</v>
      </c>
      <c r="R24" s="137">
        <f>R18+R22+R19+R17+R16+R23</f>
        <v>0</v>
      </c>
      <c r="S24" s="149">
        <f>S18+S22+S19+S17+S16+S23</f>
        <v>1624</v>
      </c>
      <c r="T24" s="136">
        <f>U24+X24</f>
        <v>472093</v>
      </c>
      <c r="U24" s="137">
        <f>SUM(U16:U23)</f>
        <v>470469</v>
      </c>
      <c r="V24" s="137">
        <f>SUM(V16:V23)</f>
        <v>0</v>
      </c>
      <c r="W24" s="137">
        <f>SUM(W16:W23)</f>
        <v>0</v>
      </c>
      <c r="X24" s="138">
        <f>SUM(X16:X23)</f>
        <v>1624</v>
      </c>
      <c r="Y24" s="150">
        <f>Z24+AC24</f>
        <v>495256</v>
      </c>
      <c r="Z24" s="137">
        <f>SUM(Z16:Z23)</f>
        <v>493632</v>
      </c>
      <c r="AA24" s="137">
        <f>SUM(AA16:AA23)</f>
        <v>0</v>
      </c>
      <c r="AB24" s="137">
        <f>SUM(AB16:AB23)</f>
        <v>0</v>
      </c>
      <c r="AC24" s="149">
        <f>SUM(AC16:AC23)</f>
        <v>1624</v>
      </c>
      <c r="AD24" s="136">
        <f>AE24+AH24</f>
        <v>503103</v>
      </c>
      <c r="AE24" s="137">
        <f>SUM(AE16:AE23)</f>
        <v>501479</v>
      </c>
      <c r="AF24" s="137">
        <f>SUM(AF16:AF23)</f>
        <v>0</v>
      </c>
      <c r="AG24" s="137">
        <f>SUM(AG16:AG23)</f>
        <v>0</v>
      </c>
      <c r="AH24" s="138">
        <f>SUM(AH16:AH23)</f>
        <v>1624</v>
      </c>
      <c r="AI24" s="151">
        <f>E24+J24+O24+T24+AD24+Y24</f>
        <v>2324067</v>
      </c>
      <c r="AJ24" s="171">
        <f>SUM(AI16:AI23)</f>
        <v>2324066.84</v>
      </c>
    </row>
    <row r="25" spans="1:37" ht="32.450000000000003" customHeight="1" x14ac:dyDescent="0.25">
      <c r="A25" s="139"/>
      <c r="B25" s="142" t="s">
        <v>96</v>
      </c>
      <c r="C25" s="154" t="s">
        <v>10</v>
      </c>
      <c r="D25" s="101"/>
      <c r="E25" s="82">
        <f>F25+G25+H25+I25</f>
        <v>187138</v>
      </c>
      <c r="F25" s="32">
        <v>185514</v>
      </c>
      <c r="G25" s="32">
        <f>G16+G17</f>
        <v>0</v>
      </c>
      <c r="H25" s="32">
        <f>H16+H17</f>
        <v>0</v>
      </c>
      <c r="I25" s="33">
        <f>I24</f>
        <v>1624</v>
      </c>
      <c r="J25" s="82">
        <f>K25+L25+M25+N25</f>
        <v>174336</v>
      </c>
      <c r="K25" s="32">
        <v>172712</v>
      </c>
      <c r="L25" s="32">
        <f>L16+L17</f>
        <v>0</v>
      </c>
      <c r="M25" s="32">
        <f>M16+M17</f>
        <v>0</v>
      </c>
      <c r="N25" s="33">
        <f>N24</f>
        <v>1624</v>
      </c>
      <c r="O25" s="31">
        <f t="shared" ref="O25:O26" si="9">P25+Q25+R25+S25</f>
        <v>489265</v>
      </c>
      <c r="P25" s="32">
        <v>487641</v>
      </c>
      <c r="Q25" s="32">
        <f>Q16+Q17</f>
        <v>0</v>
      </c>
      <c r="R25" s="32">
        <f>R16+R17</f>
        <v>0</v>
      </c>
      <c r="S25" s="33">
        <f>S24</f>
        <v>1624</v>
      </c>
      <c r="T25" s="31">
        <f t="shared" ref="T25:T26" si="10">U25+V25+W25+X25</f>
        <v>471070</v>
      </c>
      <c r="U25" s="32">
        <f>U16+U17+U19+U22+U23+U20+U18</f>
        <v>469446</v>
      </c>
      <c r="V25" s="32">
        <f>V16+V17</f>
        <v>0</v>
      </c>
      <c r="W25" s="32">
        <f>W16+W17</f>
        <v>0</v>
      </c>
      <c r="X25" s="33">
        <f>X24</f>
        <v>1624</v>
      </c>
      <c r="Y25" s="31">
        <f t="shared" ref="Y25:Y26" si="11">Z25+AA25+AB25+AC25</f>
        <v>494192</v>
      </c>
      <c r="Z25" s="32">
        <f>Z16+Z17+Z19+Z22+Z23+Z20+Z18</f>
        <v>492568</v>
      </c>
      <c r="AA25" s="32">
        <f>AA16+AA17</f>
        <v>0</v>
      </c>
      <c r="AB25" s="32">
        <f>AB16+AB17</f>
        <v>0</v>
      </c>
      <c r="AC25" s="33">
        <f>AC24</f>
        <v>1624</v>
      </c>
      <c r="AD25" s="31">
        <f>AE25+AF25+AG25+AH25</f>
        <v>501996</v>
      </c>
      <c r="AE25" s="32">
        <f>AE16+AE17+AE19+AE22+AE23+AE20+AE18</f>
        <v>500372</v>
      </c>
      <c r="AF25" s="32">
        <f>AF16+AF17</f>
        <v>0</v>
      </c>
      <c r="AG25" s="32">
        <f>AG16+AG17</f>
        <v>0</v>
      </c>
      <c r="AH25" s="33">
        <f>AH24</f>
        <v>1624</v>
      </c>
      <c r="AI25" s="13">
        <f>E25+J25+O25+T25+Y25+AD25</f>
        <v>2317997</v>
      </c>
      <c r="AJ25" s="113">
        <f>AI25+AI26</f>
        <v>2324066.84</v>
      </c>
      <c r="AK25" s="207"/>
    </row>
    <row r="26" spans="1:37" ht="51.6" customHeight="1" thickBot="1" x14ac:dyDescent="0.3">
      <c r="A26" s="140"/>
      <c r="B26" s="141"/>
      <c r="C26" s="155" t="s">
        <v>98</v>
      </c>
      <c r="D26" s="102"/>
      <c r="E26" s="68">
        <f>F26+G26+H26+I26</f>
        <v>946</v>
      </c>
      <c r="F26" s="55">
        <f>F21</f>
        <v>946</v>
      </c>
      <c r="G26" s="55">
        <f>G18</f>
        <v>0</v>
      </c>
      <c r="H26" s="55">
        <f>H18</f>
        <v>0</v>
      </c>
      <c r="I26" s="56">
        <f>I18</f>
        <v>0</v>
      </c>
      <c r="J26" s="68">
        <f>K26+L26+M26+N26</f>
        <v>946</v>
      </c>
      <c r="K26" s="55">
        <f>K21</f>
        <v>946</v>
      </c>
      <c r="L26" s="55">
        <f>L18</f>
        <v>0</v>
      </c>
      <c r="M26" s="55">
        <f>M18</f>
        <v>0</v>
      </c>
      <c r="N26" s="56">
        <f>N18</f>
        <v>0</v>
      </c>
      <c r="O26" s="53">
        <f t="shared" si="9"/>
        <v>983.84</v>
      </c>
      <c r="P26" s="55">
        <f>P21</f>
        <v>983.84</v>
      </c>
      <c r="Q26" s="55">
        <f>Q18</f>
        <v>0</v>
      </c>
      <c r="R26" s="55">
        <f>R18</f>
        <v>0</v>
      </c>
      <c r="S26" s="56">
        <f>S18</f>
        <v>0</v>
      </c>
      <c r="T26" s="53">
        <f t="shared" si="10"/>
        <v>1023</v>
      </c>
      <c r="U26" s="55">
        <f>U21</f>
        <v>1023</v>
      </c>
      <c r="V26" s="55">
        <f>V18</f>
        <v>0</v>
      </c>
      <c r="W26" s="55">
        <f>W18</f>
        <v>0</v>
      </c>
      <c r="X26" s="56">
        <f>X18</f>
        <v>0</v>
      </c>
      <c r="Y26" s="53">
        <f t="shared" si="11"/>
        <v>1064</v>
      </c>
      <c r="Z26" s="55">
        <f>Z21</f>
        <v>1064</v>
      </c>
      <c r="AA26" s="55">
        <f>AA18</f>
        <v>0</v>
      </c>
      <c r="AB26" s="55">
        <f>AB18</f>
        <v>0</v>
      </c>
      <c r="AC26" s="56">
        <f>AC18</f>
        <v>0</v>
      </c>
      <c r="AD26" s="53">
        <f>AE26+AF26+AG26+AH26</f>
        <v>1107</v>
      </c>
      <c r="AE26" s="55">
        <f>AE21</f>
        <v>1107</v>
      </c>
      <c r="AF26" s="55">
        <f>AF18</f>
        <v>0</v>
      </c>
      <c r="AG26" s="55">
        <f>AG18</f>
        <v>0</v>
      </c>
      <c r="AH26" s="56">
        <f>AH18</f>
        <v>0</v>
      </c>
      <c r="AI26" s="34">
        <f>E26+J26+O26+T26+Y26+AD26</f>
        <v>6069.84</v>
      </c>
      <c r="AJ26" s="113"/>
    </row>
    <row r="27" spans="1:37" ht="30" customHeight="1" thickBot="1" x14ac:dyDescent="0.3">
      <c r="A27" s="337" t="s">
        <v>191</v>
      </c>
      <c r="B27" s="331"/>
      <c r="C27" s="331"/>
      <c r="D27" s="331"/>
      <c r="E27" s="331"/>
      <c r="F27" s="331"/>
      <c r="G27" s="331"/>
      <c r="H27" s="331"/>
      <c r="I27" s="331"/>
      <c r="J27" s="331"/>
      <c r="K27" s="331"/>
      <c r="L27" s="331"/>
      <c r="M27" s="331"/>
      <c r="N27" s="331"/>
      <c r="O27" s="331"/>
      <c r="P27" s="331"/>
      <c r="Q27" s="331"/>
      <c r="R27" s="331"/>
      <c r="S27" s="331"/>
      <c r="T27" s="331"/>
      <c r="U27" s="331"/>
      <c r="V27" s="331"/>
      <c r="W27" s="331"/>
      <c r="X27" s="331"/>
      <c r="Y27" s="331"/>
      <c r="Z27" s="331"/>
      <c r="AA27" s="331"/>
      <c r="AB27" s="331"/>
      <c r="AC27" s="331"/>
      <c r="AD27" s="331"/>
      <c r="AE27" s="331"/>
      <c r="AF27" s="331"/>
      <c r="AG27" s="331"/>
      <c r="AH27" s="331"/>
      <c r="AI27" s="338"/>
      <c r="AJ27" s="170"/>
    </row>
    <row r="28" spans="1:37" ht="62.25" customHeight="1" x14ac:dyDescent="0.25">
      <c r="A28" s="5" t="s">
        <v>18</v>
      </c>
      <c r="B28" s="100" t="s">
        <v>190</v>
      </c>
      <c r="C28" s="8" t="s">
        <v>10</v>
      </c>
      <c r="D28" s="7" t="s">
        <v>47</v>
      </c>
      <c r="E28" s="9" t="s">
        <v>264</v>
      </c>
      <c r="F28" s="10" t="s">
        <v>264</v>
      </c>
      <c r="G28" s="10">
        <v>0</v>
      </c>
      <c r="H28" s="10">
        <v>0</v>
      </c>
      <c r="I28" s="11">
        <v>0</v>
      </c>
      <c r="J28" s="9">
        <v>0</v>
      </c>
      <c r="K28" s="10">
        <v>0</v>
      </c>
      <c r="L28" s="10">
        <v>0</v>
      </c>
      <c r="M28" s="10">
        <v>0</v>
      </c>
      <c r="N28" s="11">
        <v>0</v>
      </c>
      <c r="O28" s="9" t="s">
        <v>282</v>
      </c>
      <c r="P28" s="10" t="s">
        <v>282</v>
      </c>
      <c r="Q28" s="10">
        <v>0</v>
      </c>
      <c r="R28" s="10">
        <v>0</v>
      </c>
      <c r="S28" s="11">
        <v>0</v>
      </c>
      <c r="T28" s="9">
        <f t="shared" ref="T28:T36" si="12">U28+V28+W28+X28</f>
        <v>31144</v>
      </c>
      <c r="U28" s="10">
        <v>31144</v>
      </c>
      <c r="V28" s="10">
        <v>0</v>
      </c>
      <c r="W28" s="10">
        <v>0</v>
      </c>
      <c r="X28" s="11">
        <v>0</v>
      </c>
      <c r="Y28" s="9">
        <f t="shared" ref="Y28:Y36" si="13">Z28+AA28+AB28+AC28</f>
        <v>64565</v>
      </c>
      <c r="Z28" s="10">
        <v>64565</v>
      </c>
      <c r="AA28" s="10">
        <v>0</v>
      </c>
      <c r="AB28" s="10">
        <v>0</v>
      </c>
      <c r="AC28" s="11">
        <v>0</v>
      </c>
      <c r="AD28" s="9">
        <f>AE28</f>
        <v>39490</v>
      </c>
      <c r="AE28" s="12">
        <v>39490</v>
      </c>
      <c r="AF28" s="10">
        <v>0</v>
      </c>
      <c r="AG28" s="10">
        <v>0</v>
      </c>
      <c r="AH28" s="11">
        <v>0</v>
      </c>
      <c r="AI28" s="48">
        <v>295065</v>
      </c>
    </row>
    <row r="29" spans="1:37" ht="49.15" customHeight="1" x14ac:dyDescent="0.25">
      <c r="A29" s="305" t="s">
        <v>231</v>
      </c>
      <c r="B29" s="339" t="s">
        <v>232</v>
      </c>
      <c r="C29" s="250" t="s">
        <v>10</v>
      </c>
      <c r="D29" s="217" t="s">
        <v>48</v>
      </c>
      <c r="E29" s="15">
        <f t="shared" ref="E29:E36" si="14">F29+G29+H29+I29</f>
        <v>2900</v>
      </c>
      <c r="F29" s="16">
        <v>2900</v>
      </c>
      <c r="G29" s="16">
        <v>0</v>
      </c>
      <c r="H29" s="16">
        <v>0</v>
      </c>
      <c r="I29" s="17">
        <v>0</v>
      </c>
      <c r="J29" s="15">
        <f t="shared" ref="J29:J36" si="15">K29+L29+M29+N29</f>
        <v>2900</v>
      </c>
      <c r="K29" s="16">
        <v>2900</v>
      </c>
      <c r="L29" s="16">
        <v>0</v>
      </c>
      <c r="M29" s="16">
        <v>0</v>
      </c>
      <c r="N29" s="17">
        <v>0</v>
      </c>
      <c r="O29" s="15">
        <f t="shared" ref="O29:O36" si="16">P29+Q29+R29+S29</f>
        <v>3016</v>
      </c>
      <c r="P29" s="16">
        <v>3016</v>
      </c>
      <c r="Q29" s="16">
        <v>0</v>
      </c>
      <c r="R29" s="16">
        <v>0</v>
      </c>
      <c r="S29" s="17">
        <v>0</v>
      </c>
      <c r="T29" s="15">
        <f t="shared" si="12"/>
        <v>3137</v>
      </c>
      <c r="U29" s="16">
        <v>3137</v>
      </c>
      <c r="V29" s="16">
        <v>0</v>
      </c>
      <c r="W29" s="16">
        <v>0</v>
      </c>
      <c r="X29" s="17">
        <v>0</v>
      </c>
      <c r="Y29" s="15">
        <f t="shared" si="13"/>
        <v>3262</v>
      </c>
      <c r="Z29" s="16">
        <v>3262</v>
      </c>
      <c r="AA29" s="16">
        <v>0</v>
      </c>
      <c r="AB29" s="16">
        <v>0</v>
      </c>
      <c r="AC29" s="17">
        <v>0</v>
      </c>
      <c r="AD29" s="15">
        <f t="shared" ref="AD29:AD36" si="17">AE29+AF29+AG29+AH29</f>
        <v>3393</v>
      </c>
      <c r="AE29" s="16">
        <v>3393</v>
      </c>
      <c r="AF29" s="16">
        <v>0</v>
      </c>
      <c r="AG29" s="16">
        <v>0</v>
      </c>
      <c r="AH29" s="17">
        <v>0</v>
      </c>
      <c r="AI29" s="92">
        <f t="shared" ref="AI29:AI34" si="18">E29+J29+O29+T29+Y29+AD29</f>
        <v>18608</v>
      </c>
    </row>
    <row r="30" spans="1:37" ht="66" customHeight="1" x14ac:dyDescent="0.25">
      <c r="A30" s="309"/>
      <c r="B30" s="313"/>
      <c r="C30" s="38" t="s">
        <v>98</v>
      </c>
      <c r="D30" s="218" t="s">
        <v>48</v>
      </c>
      <c r="E30" s="42">
        <f t="shared" si="14"/>
        <v>233</v>
      </c>
      <c r="F30" s="39">
        <v>233</v>
      </c>
      <c r="G30" s="39">
        <v>0</v>
      </c>
      <c r="H30" s="39">
        <v>0</v>
      </c>
      <c r="I30" s="40">
        <v>0</v>
      </c>
      <c r="J30" s="42">
        <f t="shared" si="15"/>
        <v>233</v>
      </c>
      <c r="K30" s="39">
        <v>233</v>
      </c>
      <c r="L30" s="39">
        <v>0</v>
      </c>
      <c r="M30" s="39">
        <v>0</v>
      </c>
      <c r="N30" s="40">
        <v>0</v>
      </c>
      <c r="O30" s="42">
        <f t="shared" si="16"/>
        <v>242</v>
      </c>
      <c r="P30" s="39">
        <v>242</v>
      </c>
      <c r="Q30" s="39">
        <v>0</v>
      </c>
      <c r="R30" s="39">
        <v>0</v>
      </c>
      <c r="S30" s="40">
        <v>0</v>
      </c>
      <c r="T30" s="42">
        <f t="shared" si="12"/>
        <v>252</v>
      </c>
      <c r="U30" s="39">
        <v>252</v>
      </c>
      <c r="V30" s="39">
        <v>0</v>
      </c>
      <c r="W30" s="39">
        <v>0</v>
      </c>
      <c r="X30" s="40">
        <v>0</v>
      </c>
      <c r="Y30" s="42">
        <f t="shared" si="13"/>
        <v>262</v>
      </c>
      <c r="Z30" s="39">
        <v>262</v>
      </c>
      <c r="AA30" s="39">
        <v>0</v>
      </c>
      <c r="AB30" s="39">
        <v>0</v>
      </c>
      <c r="AC30" s="40">
        <v>0</v>
      </c>
      <c r="AD30" s="42">
        <f t="shared" si="17"/>
        <v>272</v>
      </c>
      <c r="AE30" s="39">
        <v>272</v>
      </c>
      <c r="AF30" s="39">
        <v>0</v>
      </c>
      <c r="AG30" s="39">
        <v>0</v>
      </c>
      <c r="AH30" s="40">
        <v>0</v>
      </c>
      <c r="AI30" s="98">
        <f t="shared" si="18"/>
        <v>1494</v>
      </c>
    </row>
    <row r="31" spans="1:37" ht="39.6" customHeight="1" x14ac:dyDescent="0.25">
      <c r="A31" s="340" t="s">
        <v>234</v>
      </c>
      <c r="B31" s="341" t="s">
        <v>233</v>
      </c>
      <c r="C31" s="250" t="s">
        <v>10</v>
      </c>
      <c r="D31" s="253" t="s">
        <v>48</v>
      </c>
      <c r="E31" s="116">
        <f t="shared" si="14"/>
        <v>10090</v>
      </c>
      <c r="F31" s="64">
        <v>10090</v>
      </c>
      <c r="G31" s="64">
        <v>0</v>
      </c>
      <c r="H31" s="64">
        <v>0</v>
      </c>
      <c r="I31" s="117">
        <v>0</v>
      </c>
      <c r="J31" s="85">
        <f t="shared" si="15"/>
        <v>10090</v>
      </c>
      <c r="K31" s="64">
        <v>10090</v>
      </c>
      <c r="L31" s="64">
        <v>0</v>
      </c>
      <c r="M31" s="64">
        <v>0</v>
      </c>
      <c r="N31" s="86">
        <v>0</v>
      </c>
      <c r="O31" s="18">
        <f>P31+Q31+R31+S31</f>
        <v>10494</v>
      </c>
      <c r="P31" s="16">
        <v>10494</v>
      </c>
      <c r="Q31" s="16">
        <v>0</v>
      </c>
      <c r="R31" s="16">
        <v>0</v>
      </c>
      <c r="S31" s="37">
        <v>0</v>
      </c>
      <c r="T31" s="15">
        <f>U31+V31+W31+X31</f>
        <v>10913</v>
      </c>
      <c r="U31" s="16">
        <v>10913</v>
      </c>
      <c r="V31" s="16">
        <v>0</v>
      </c>
      <c r="W31" s="16">
        <v>0</v>
      </c>
      <c r="X31" s="17">
        <v>0</v>
      </c>
      <c r="Y31" s="18">
        <f>Z31+AA31+AB31+AC31</f>
        <v>11350</v>
      </c>
      <c r="Z31" s="16">
        <v>11350</v>
      </c>
      <c r="AA31" s="16">
        <v>0</v>
      </c>
      <c r="AB31" s="16">
        <v>0</v>
      </c>
      <c r="AC31" s="37">
        <v>0</v>
      </c>
      <c r="AD31" s="15">
        <f t="shared" si="17"/>
        <v>11804</v>
      </c>
      <c r="AE31" s="16">
        <v>11804</v>
      </c>
      <c r="AF31" s="16">
        <v>0</v>
      </c>
      <c r="AG31" s="16">
        <v>0</v>
      </c>
      <c r="AH31" s="17">
        <v>0</v>
      </c>
      <c r="AI31" s="92">
        <f t="shared" si="18"/>
        <v>64741</v>
      </c>
      <c r="AJ31" s="172"/>
    </row>
    <row r="32" spans="1:37" ht="55.15" customHeight="1" x14ac:dyDescent="0.25">
      <c r="A32" s="340"/>
      <c r="B32" s="341"/>
      <c r="C32" s="38" t="s">
        <v>99</v>
      </c>
      <c r="D32" s="239" t="s">
        <v>48</v>
      </c>
      <c r="E32" s="90">
        <f t="shared" si="14"/>
        <v>1655</v>
      </c>
      <c r="F32" s="88">
        <v>1655</v>
      </c>
      <c r="G32" s="88">
        <v>0</v>
      </c>
      <c r="H32" s="88">
        <v>0</v>
      </c>
      <c r="I32" s="104">
        <v>0</v>
      </c>
      <c r="J32" s="87">
        <f t="shared" si="15"/>
        <v>1655</v>
      </c>
      <c r="K32" s="88">
        <v>1655</v>
      </c>
      <c r="L32" s="88">
        <v>0</v>
      </c>
      <c r="M32" s="88">
        <v>0</v>
      </c>
      <c r="N32" s="89">
        <v>0</v>
      </c>
      <c r="O32" s="52">
        <f>P32+Q32+R32+S32</f>
        <v>1721</v>
      </c>
      <c r="P32" s="39">
        <v>1721</v>
      </c>
      <c r="Q32" s="39">
        <v>0</v>
      </c>
      <c r="R32" s="39">
        <v>0</v>
      </c>
      <c r="S32" s="41">
        <v>0</v>
      </c>
      <c r="T32" s="42">
        <f>U32+V32+W32+X32</f>
        <v>1790</v>
      </c>
      <c r="U32" s="39">
        <v>1790</v>
      </c>
      <c r="V32" s="39">
        <v>0</v>
      </c>
      <c r="W32" s="39">
        <v>0</v>
      </c>
      <c r="X32" s="40">
        <v>0</v>
      </c>
      <c r="Y32" s="52">
        <f>Z32+AA32+AB32+AC32</f>
        <v>1861</v>
      </c>
      <c r="Z32" s="39">
        <v>1861</v>
      </c>
      <c r="AA32" s="39">
        <v>0</v>
      </c>
      <c r="AB32" s="39">
        <v>0</v>
      </c>
      <c r="AC32" s="41">
        <v>0</v>
      </c>
      <c r="AD32" s="42">
        <f t="shared" si="17"/>
        <v>1936</v>
      </c>
      <c r="AE32" s="39">
        <v>1936</v>
      </c>
      <c r="AF32" s="39">
        <v>0</v>
      </c>
      <c r="AG32" s="39">
        <v>0</v>
      </c>
      <c r="AH32" s="40">
        <v>0</v>
      </c>
      <c r="AI32" s="98">
        <f t="shared" si="18"/>
        <v>10618</v>
      </c>
      <c r="AJ32" s="172"/>
    </row>
    <row r="33" spans="1:37" ht="97.9" customHeight="1" thickBot="1" x14ac:dyDescent="0.3">
      <c r="A33" s="232" t="s">
        <v>235</v>
      </c>
      <c r="B33" s="231" t="s">
        <v>205</v>
      </c>
      <c r="C33" s="251" t="s">
        <v>99</v>
      </c>
      <c r="D33" s="66" t="s">
        <v>48</v>
      </c>
      <c r="E33" s="99">
        <f t="shared" si="14"/>
        <v>14124</v>
      </c>
      <c r="F33" s="69">
        <f>29747-15623</f>
        <v>14124</v>
      </c>
      <c r="G33" s="69">
        <v>0</v>
      </c>
      <c r="H33" s="69">
        <v>0</v>
      </c>
      <c r="I33" s="112">
        <v>0</v>
      </c>
      <c r="J33" s="68">
        <f t="shared" si="15"/>
        <v>14124</v>
      </c>
      <c r="K33" s="69">
        <f>29747-15623</f>
        <v>14124</v>
      </c>
      <c r="L33" s="69">
        <v>0</v>
      </c>
      <c r="M33" s="69">
        <v>0</v>
      </c>
      <c r="N33" s="70">
        <v>0</v>
      </c>
      <c r="O33" s="54">
        <f>P33+Q33+R33+S33</f>
        <v>14689</v>
      </c>
      <c r="P33" s="55">
        <f>30937-16248</f>
        <v>14689</v>
      </c>
      <c r="Q33" s="55">
        <v>0</v>
      </c>
      <c r="R33" s="55">
        <v>0</v>
      </c>
      <c r="S33" s="71">
        <v>0</v>
      </c>
      <c r="T33" s="53">
        <f>U33+V33+W33+X33</f>
        <v>15277</v>
      </c>
      <c r="U33" s="55">
        <f>32174-16897</f>
        <v>15277</v>
      </c>
      <c r="V33" s="55">
        <v>0</v>
      </c>
      <c r="W33" s="55">
        <v>0</v>
      </c>
      <c r="X33" s="56">
        <v>0</v>
      </c>
      <c r="Y33" s="54">
        <f>Z33+AA33+AB33+AC33</f>
        <v>15888</v>
      </c>
      <c r="Z33" s="55">
        <f>33462-17574</f>
        <v>15888</v>
      </c>
      <c r="AA33" s="55">
        <v>0</v>
      </c>
      <c r="AB33" s="55">
        <v>0</v>
      </c>
      <c r="AC33" s="71">
        <v>0</v>
      </c>
      <c r="AD33" s="53">
        <f t="shared" si="17"/>
        <v>16523</v>
      </c>
      <c r="AE33" s="55">
        <f>34800-18277</f>
        <v>16523</v>
      </c>
      <c r="AF33" s="55">
        <v>0</v>
      </c>
      <c r="AG33" s="55">
        <v>0</v>
      </c>
      <c r="AH33" s="56">
        <v>0</v>
      </c>
      <c r="AI33" s="73">
        <f t="shared" si="18"/>
        <v>90625</v>
      </c>
      <c r="AJ33" s="172"/>
    </row>
    <row r="34" spans="1:37" s="146" customFormat="1" ht="36" customHeight="1" thickBot="1" x14ac:dyDescent="0.3">
      <c r="A34" s="326" t="s">
        <v>97</v>
      </c>
      <c r="B34" s="327"/>
      <c r="C34" s="147"/>
      <c r="D34" s="158"/>
      <c r="E34" s="133">
        <f t="shared" si="14"/>
        <v>68233</v>
      </c>
      <c r="F34" s="134">
        <v>68233</v>
      </c>
      <c r="G34" s="134">
        <f>SUM(G28:G30)</f>
        <v>0</v>
      </c>
      <c r="H34" s="134">
        <f>SUM(H28:H30)</f>
        <v>0</v>
      </c>
      <c r="I34" s="134">
        <f>SUM(I28:I30)</f>
        <v>0</v>
      </c>
      <c r="J34" s="133">
        <f t="shared" si="15"/>
        <v>29002</v>
      </c>
      <c r="K34" s="134">
        <f>SUM(K28:K33)</f>
        <v>29002</v>
      </c>
      <c r="L34" s="134">
        <f>SUM(L28:L30)</f>
        <v>0</v>
      </c>
      <c r="M34" s="134">
        <f>SUM(M28:M30)</f>
        <v>0</v>
      </c>
      <c r="N34" s="134">
        <f>SUM(N28:N30)</f>
        <v>0</v>
      </c>
      <c r="O34" s="136">
        <f t="shared" si="16"/>
        <v>151797</v>
      </c>
      <c r="P34" s="137">
        <v>151797</v>
      </c>
      <c r="Q34" s="137">
        <f>SUM(Q28:Q30)</f>
        <v>0</v>
      </c>
      <c r="R34" s="137">
        <f>SUM(R28:R30)</f>
        <v>0</v>
      </c>
      <c r="S34" s="137">
        <f>SUM(S28:S30)</f>
        <v>0</v>
      </c>
      <c r="T34" s="136">
        <f t="shared" si="12"/>
        <v>62513</v>
      </c>
      <c r="U34" s="137">
        <f>SUM(U28:U33)</f>
        <v>62513</v>
      </c>
      <c r="V34" s="137">
        <f>SUM(V28:V30)</f>
        <v>0</v>
      </c>
      <c r="W34" s="137">
        <f>SUM(W28:W30)</f>
        <v>0</v>
      </c>
      <c r="X34" s="137">
        <f>SUM(X28:X30)</f>
        <v>0</v>
      </c>
      <c r="Y34" s="136">
        <f t="shared" si="13"/>
        <v>97188</v>
      </c>
      <c r="Z34" s="137">
        <f>SUM(Z28:Z33)</f>
        <v>97188</v>
      </c>
      <c r="AA34" s="137">
        <f>SUM(AA28:AA30)</f>
        <v>0</v>
      </c>
      <c r="AB34" s="137">
        <f>SUM(AB28:AB30)</f>
        <v>0</v>
      </c>
      <c r="AC34" s="137">
        <f>SUM(AC28:AC30)</f>
        <v>0</v>
      </c>
      <c r="AD34" s="136">
        <f t="shared" si="17"/>
        <v>73418</v>
      </c>
      <c r="AE34" s="137">
        <f>SUM(AE28:AE33)</f>
        <v>73418</v>
      </c>
      <c r="AF34" s="137">
        <f>SUM(AF28:AF30)</f>
        <v>0</v>
      </c>
      <c r="AG34" s="137">
        <f>SUM(AG28:AG30)</f>
        <v>0</v>
      </c>
      <c r="AH34" s="137">
        <f>SUM(AH28:AH30)</f>
        <v>0</v>
      </c>
      <c r="AI34" s="159">
        <f t="shared" si="18"/>
        <v>482151</v>
      </c>
      <c r="AJ34" s="110">
        <f>SUM(AI28:AI33)</f>
        <v>481151</v>
      </c>
    </row>
    <row r="35" spans="1:37" ht="32.450000000000003" customHeight="1" x14ac:dyDescent="0.25">
      <c r="A35" s="139"/>
      <c r="B35" s="142" t="s">
        <v>96</v>
      </c>
      <c r="C35" s="154" t="s">
        <v>10</v>
      </c>
      <c r="D35" s="101"/>
      <c r="E35" s="82">
        <f t="shared" si="14"/>
        <v>52221</v>
      </c>
      <c r="F35" s="32">
        <v>52221</v>
      </c>
      <c r="G35" s="32">
        <f>G28+G29</f>
        <v>0</v>
      </c>
      <c r="H35" s="32">
        <f>H28+H29</f>
        <v>0</v>
      </c>
      <c r="I35" s="33">
        <f>I28+I29</f>
        <v>0</v>
      </c>
      <c r="J35" s="82">
        <f t="shared" si="15"/>
        <v>12990</v>
      </c>
      <c r="K35" s="32">
        <f>K28+K29+K31</f>
        <v>12990</v>
      </c>
      <c r="L35" s="32">
        <f>L28+L29</f>
        <v>0</v>
      </c>
      <c r="M35" s="32">
        <f>M28+M29</f>
        <v>0</v>
      </c>
      <c r="N35" s="33">
        <f>N28+N29</f>
        <v>0</v>
      </c>
      <c r="O35" s="31">
        <f t="shared" si="16"/>
        <v>135145</v>
      </c>
      <c r="P35" s="32">
        <v>135145</v>
      </c>
      <c r="Q35" s="32">
        <f>Q28+Q29</f>
        <v>0</v>
      </c>
      <c r="R35" s="32">
        <f>R28+R29</f>
        <v>0</v>
      </c>
      <c r="S35" s="33">
        <f>S28+S29</f>
        <v>0</v>
      </c>
      <c r="T35" s="31">
        <f t="shared" si="12"/>
        <v>45194</v>
      </c>
      <c r="U35" s="32">
        <f>U28+U29+U31</f>
        <v>45194</v>
      </c>
      <c r="V35" s="32">
        <f>V28+V29</f>
        <v>0</v>
      </c>
      <c r="W35" s="32">
        <f>W28+W29</f>
        <v>0</v>
      </c>
      <c r="X35" s="33">
        <f>X28+X29</f>
        <v>0</v>
      </c>
      <c r="Y35" s="31">
        <f t="shared" si="13"/>
        <v>79177</v>
      </c>
      <c r="Z35" s="32">
        <f>Z28+Z29+Z31</f>
        <v>79177</v>
      </c>
      <c r="AA35" s="32">
        <f>AA28+AA29</f>
        <v>0</v>
      </c>
      <c r="AB35" s="32">
        <f>AB28+AB29</f>
        <v>0</v>
      </c>
      <c r="AC35" s="33">
        <f>AC28+AC29</f>
        <v>0</v>
      </c>
      <c r="AD35" s="31">
        <f t="shared" si="17"/>
        <v>54687</v>
      </c>
      <c r="AE35" s="32">
        <f>AE28+AE29+AE31</f>
        <v>54687</v>
      </c>
      <c r="AF35" s="32">
        <f>AF28+AF29</f>
        <v>0</v>
      </c>
      <c r="AG35" s="32">
        <f>AG28+AG29</f>
        <v>0</v>
      </c>
      <c r="AH35" s="33">
        <f>AH28+AH29</f>
        <v>0</v>
      </c>
      <c r="AI35" s="13">
        <f>AD35+Y35+T35+O35+J35+E35</f>
        <v>379414</v>
      </c>
      <c r="AJ35" s="113">
        <f>AI35+AI36</f>
        <v>482151</v>
      </c>
      <c r="AK35" s="207"/>
    </row>
    <row r="36" spans="1:37" ht="51.6" customHeight="1" thickBot="1" x14ac:dyDescent="0.3">
      <c r="A36" s="140"/>
      <c r="B36" s="141"/>
      <c r="C36" s="155" t="s">
        <v>98</v>
      </c>
      <c r="D36" s="102"/>
      <c r="E36" s="68">
        <f t="shared" si="14"/>
        <v>16012</v>
      </c>
      <c r="F36" s="55">
        <f>F30+F32+F33</f>
        <v>16012</v>
      </c>
      <c r="G36" s="55">
        <f>G30</f>
        <v>0</v>
      </c>
      <c r="H36" s="55">
        <f>H30</f>
        <v>0</v>
      </c>
      <c r="I36" s="56">
        <f>I30</f>
        <v>0</v>
      </c>
      <c r="J36" s="68">
        <f t="shared" si="15"/>
        <v>16012</v>
      </c>
      <c r="K36" s="55">
        <f>K30+K32+K33</f>
        <v>16012</v>
      </c>
      <c r="L36" s="55">
        <f>L30</f>
        <v>0</v>
      </c>
      <c r="M36" s="55">
        <f>M30</f>
        <v>0</v>
      </c>
      <c r="N36" s="56">
        <f>N30</f>
        <v>0</v>
      </c>
      <c r="O36" s="53">
        <f t="shared" si="16"/>
        <v>16652</v>
      </c>
      <c r="P36" s="55">
        <f>P30+P32+P33</f>
        <v>16652</v>
      </c>
      <c r="Q36" s="55">
        <f>Q30</f>
        <v>0</v>
      </c>
      <c r="R36" s="55">
        <f>R30</f>
        <v>0</v>
      </c>
      <c r="S36" s="56">
        <f>S30</f>
        <v>0</v>
      </c>
      <c r="T36" s="53">
        <f t="shared" si="12"/>
        <v>17319</v>
      </c>
      <c r="U36" s="55">
        <f>U30+U32+U33</f>
        <v>17319</v>
      </c>
      <c r="V36" s="55">
        <f>V30</f>
        <v>0</v>
      </c>
      <c r="W36" s="55">
        <f>W30</f>
        <v>0</v>
      </c>
      <c r="X36" s="56">
        <f>X30</f>
        <v>0</v>
      </c>
      <c r="Y36" s="53">
        <f t="shared" si="13"/>
        <v>18011</v>
      </c>
      <c r="Z36" s="55">
        <f>Z30+Z32+Z33</f>
        <v>18011</v>
      </c>
      <c r="AA36" s="55">
        <f>AA30</f>
        <v>0</v>
      </c>
      <c r="AB36" s="55">
        <f>AB30</f>
        <v>0</v>
      </c>
      <c r="AC36" s="56">
        <f>AC30</f>
        <v>0</v>
      </c>
      <c r="AD36" s="53">
        <f t="shared" si="17"/>
        <v>18731</v>
      </c>
      <c r="AE36" s="55">
        <f>AE30+AE32+AE33</f>
        <v>18731</v>
      </c>
      <c r="AF36" s="55">
        <f>AF30</f>
        <v>0</v>
      </c>
      <c r="AG36" s="55">
        <f>AG30</f>
        <v>0</v>
      </c>
      <c r="AH36" s="56">
        <f>AH30</f>
        <v>0</v>
      </c>
      <c r="AI36" s="34">
        <f>E36+J36+O36+T36+Y36+AD36</f>
        <v>102737</v>
      </c>
      <c r="AJ36" s="113"/>
    </row>
    <row r="37" spans="1:37" ht="38.450000000000003" customHeight="1" thickBot="1" x14ac:dyDescent="0.3">
      <c r="A37" s="328" t="s">
        <v>192</v>
      </c>
      <c r="B37" s="329"/>
      <c r="C37" s="329"/>
      <c r="D37" s="329"/>
      <c r="E37" s="329"/>
      <c r="F37" s="329"/>
      <c r="G37" s="329"/>
      <c r="H37" s="329"/>
      <c r="I37" s="329"/>
      <c r="J37" s="329"/>
      <c r="K37" s="329"/>
      <c r="L37" s="329"/>
      <c r="M37" s="329"/>
      <c r="N37" s="329"/>
      <c r="O37" s="329"/>
      <c r="P37" s="329"/>
      <c r="Q37" s="329"/>
      <c r="R37" s="329"/>
      <c r="S37" s="329"/>
      <c r="T37" s="329"/>
      <c r="U37" s="329"/>
      <c r="V37" s="329"/>
      <c r="W37" s="329"/>
      <c r="X37" s="329"/>
      <c r="Y37" s="329"/>
      <c r="Z37" s="329"/>
      <c r="AA37" s="329"/>
      <c r="AB37" s="329"/>
      <c r="AC37" s="329"/>
      <c r="AD37" s="329"/>
      <c r="AE37" s="329"/>
      <c r="AF37" s="329"/>
      <c r="AG37" s="329"/>
      <c r="AH37" s="329"/>
      <c r="AI37" s="330"/>
    </row>
    <row r="38" spans="1:37" ht="69" customHeight="1" x14ac:dyDescent="0.25">
      <c r="A38" s="244" t="s">
        <v>19</v>
      </c>
      <c r="B38" s="74" t="s">
        <v>187</v>
      </c>
      <c r="C38" s="75" t="s">
        <v>10</v>
      </c>
      <c r="D38" s="75" t="s">
        <v>49</v>
      </c>
      <c r="E38" s="67">
        <f t="shared" ref="E38:E46" si="19">F38+G38+H38+I38</f>
        <v>2608</v>
      </c>
      <c r="F38" s="76">
        <v>2608</v>
      </c>
      <c r="G38" s="76">
        <v>0</v>
      </c>
      <c r="H38" s="76">
        <v>0</v>
      </c>
      <c r="I38" s="77">
        <v>0</v>
      </c>
      <c r="J38" s="36">
        <f t="shared" ref="J38:J46" si="20">K38+L38+M38+N38</f>
        <v>2608</v>
      </c>
      <c r="K38" s="76">
        <v>2608</v>
      </c>
      <c r="L38" s="76">
        <v>0</v>
      </c>
      <c r="M38" s="76">
        <v>0</v>
      </c>
      <c r="N38" s="78">
        <v>0</v>
      </c>
      <c r="O38" s="67">
        <f t="shared" ref="O38:O46" si="21">P38+Q38+R38+S38</f>
        <v>8489</v>
      </c>
      <c r="P38" s="76">
        <v>8489</v>
      </c>
      <c r="Q38" s="76">
        <v>0</v>
      </c>
      <c r="R38" s="76">
        <v>0</v>
      </c>
      <c r="S38" s="77">
        <v>0</v>
      </c>
      <c r="T38" s="36">
        <f t="shared" ref="T38:T46" si="22">U38+V38+W38+X38</f>
        <v>10102</v>
      </c>
      <c r="U38" s="76">
        <v>10102</v>
      </c>
      <c r="V38" s="76">
        <v>0</v>
      </c>
      <c r="W38" s="76">
        <v>0</v>
      </c>
      <c r="X38" s="78">
        <v>0</v>
      </c>
      <c r="Y38" s="67">
        <f>Z264+Z38+AA38+AB38+AC38</f>
        <v>0</v>
      </c>
      <c r="Z38" s="76">
        <v>0</v>
      </c>
      <c r="AA38" s="76">
        <v>0</v>
      </c>
      <c r="AB38" s="76">
        <v>0</v>
      </c>
      <c r="AC38" s="77">
        <v>0</v>
      </c>
      <c r="AD38" s="36">
        <f>AE38+AF38+AG38+AH38</f>
        <v>0</v>
      </c>
      <c r="AE38" s="76">
        <v>0</v>
      </c>
      <c r="AF38" s="76">
        <v>0</v>
      </c>
      <c r="AG38" s="76">
        <v>0</v>
      </c>
      <c r="AH38" s="77">
        <v>0</v>
      </c>
      <c r="AI38" s="79">
        <f t="shared" ref="AI38:AI42" si="23">E38+J38+O38+T38+AD38+Y38</f>
        <v>23807</v>
      </c>
    </row>
    <row r="39" spans="1:37" ht="80.25" customHeight="1" x14ac:dyDescent="0.25">
      <c r="A39" s="248" t="s">
        <v>20</v>
      </c>
      <c r="B39" s="35" t="s">
        <v>200</v>
      </c>
      <c r="C39" s="241" t="s">
        <v>10</v>
      </c>
      <c r="D39" s="241" t="s">
        <v>193</v>
      </c>
      <c r="E39" s="18">
        <f t="shared" si="19"/>
        <v>1750</v>
      </c>
      <c r="F39" s="16">
        <v>1750</v>
      </c>
      <c r="G39" s="16">
        <v>0</v>
      </c>
      <c r="H39" s="16">
        <v>0</v>
      </c>
      <c r="I39" s="37">
        <v>0</v>
      </c>
      <c r="J39" s="36">
        <f t="shared" si="20"/>
        <v>1750</v>
      </c>
      <c r="K39" s="16">
        <v>1750</v>
      </c>
      <c r="L39" s="16">
        <v>0</v>
      </c>
      <c r="M39" s="16">
        <v>0</v>
      </c>
      <c r="N39" s="17">
        <v>0</v>
      </c>
      <c r="O39" s="67">
        <f t="shared" si="21"/>
        <v>5089</v>
      </c>
      <c r="P39" s="16">
        <v>5089</v>
      </c>
      <c r="Q39" s="16">
        <v>0</v>
      </c>
      <c r="R39" s="16">
        <v>0</v>
      </c>
      <c r="S39" s="37">
        <v>0</v>
      </c>
      <c r="T39" s="36">
        <f t="shared" si="22"/>
        <v>0</v>
      </c>
      <c r="U39" s="16">
        <f>278-278</f>
        <v>0</v>
      </c>
      <c r="V39" s="16">
        <v>0</v>
      </c>
      <c r="W39" s="16">
        <v>0</v>
      </c>
      <c r="X39" s="17">
        <v>0</v>
      </c>
      <c r="Y39" s="67">
        <f>Z266+Z39+AA39+AB39+AC39</f>
        <v>0</v>
      </c>
      <c r="Z39" s="16">
        <v>0</v>
      </c>
      <c r="AA39" s="16">
        <v>0</v>
      </c>
      <c r="AB39" s="16">
        <v>0</v>
      </c>
      <c r="AC39" s="37">
        <v>0</v>
      </c>
      <c r="AD39" s="36">
        <f>AE39+AF39+AG39+AH39</f>
        <v>0</v>
      </c>
      <c r="AE39" s="16">
        <v>0</v>
      </c>
      <c r="AF39" s="16">
        <v>0</v>
      </c>
      <c r="AG39" s="16">
        <v>0</v>
      </c>
      <c r="AH39" s="37">
        <v>0</v>
      </c>
      <c r="AI39" s="19">
        <f t="shared" si="23"/>
        <v>8589</v>
      </c>
    </row>
    <row r="40" spans="1:37" ht="75.599999999999994" customHeight="1" x14ac:dyDescent="0.25">
      <c r="A40" s="237" t="s">
        <v>32</v>
      </c>
      <c r="B40" s="263" t="s">
        <v>39</v>
      </c>
      <c r="C40" s="38" t="s">
        <v>10</v>
      </c>
      <c r="D40" s="38" t="s">
        <v>48</v>
      </c>
      <c r="E40" s="18">
        <f t="shared" si="19"/>
        <v>180</v>
      </c>
      <c r="F40" s="39">
        <f>152+28</f>
        <v>180</v>
      </c>
      <c r="G40" s="39">
        <v>0</v>
      </c>
      <c r="H40" s="39">
        <v>0</v>
      </c>
      <c r="I40" s="41">
        <v>0</v>
      </c>
      <c r="J40" s="36">
        <f t="shared" si="20"/>
        <v>180</v>
      </c>
      <c r="K40" s="39">
        <v>180</v>
      </c>
      <c r="L40" s="39">
        <v>0</v>
      </c>
      <c r="M40" s="39">
        <v>0</v>
      </c>
      <c r="N40" s="40">
        <v>0</v>
      </c>
      <c r="O40" s="28">
        <f t="shared" si="21"/>
        <v>182</v>
      </c>
      <c r="P40" s="39">
        <v>182</v>
      </c>
      <c r="Q40" s="39">
        <v>0</v>
      </c>
      <c r="R40" s="39">
        <v>0</v>
      </c>
      <c r="S40" s="41">
        <v>0</v>
      </c>
      <c r="T40" s="25">
        <f t="shared" si="22"/>
        <v>183</v>
      </c>
      <c r="U40" s="39">
        <v>183</v>
      </c>
      <c r="V40" s="39">
        <v>0</v>
      </c>
      <c r="W40" s="39">
        <v>0</v>
      </c>
      <c r="X40" s="40">
        <v>0</v>
      </c>
      <c r="Y40" s="67">
        <f>Z268+Z40+AA40+AB40+AC40</f>
        <v>184</v>
      </c>
      <c r="Z40" s="39">
        <v>184</v>
      </c>
      <c r="AA40" s="39">
        <v>0</v>
      </c>
      <c r="AB40" s="39">
        <v>0</v>
      </c>
      <c r="AC40" s="41">
        <v>0</v>
      </c>
      <c r="AD40" s="42">
        <f>AE40+AF40+AG40+AH40</f>
        <v>185</v>
      </c>
      <c r="AE40" s="39">
        <v>185</v>
      </c>
      <c r="AF40" s="39">
        <v>0</v>
      </c>
      <c r="AG40" s="39">
        <v>0</v>
      </c>
      <c r="AH40" s="41">
        <v>0</v>
      </c>
      <c r="AI40" s="19">
        <f t="shared" si="23"/>
        <v>1094</v>
      </c>
    </row>
    <row r="41" spans="1:37" ht="56.25" customHeight="1" x14ac:dyDescent="0.25">
      <c r="A41" s="236" t="s">
        <v>33</v>
      </c>
      <c r="B41" s="35" t="s">
        <v>23</v>
      </c>
      <c r="C41" s="38" t="s">
        <v>10</v>
      </c>
      <c r="D41" s="38" t="s">
        <v>48</v>
      </c>
      <c r="E41" s="18">
        <f t="shared" si="19"/>
        <v>2194</v>
      </c>
      <c r="F41" s="16">
        <v>2194</v>
      </c>
      <c r="G41" s="16">
        <v>0</v>
      </c>
      <c r="H41" s="16">
        <v>0</v>
      </c>
      <c r="I41" s="37">
        <v>0</v>
      </c>
      <c r="J41" s="36">
        <f t="shared" si="20"/>
        <v>2194</v>
      </c>
      <c r="K41" s="16">
        <v>2194</v>
      </c>
      <c r="L41" s="16">
        <v>0</v>
      </c>
      <c r="M41" s="16">
        <v>0</v>
      </c>
      <c r="N41" s="17">
        <v>0</v>
      </c>
      <c r="O41" s="18">
        <f t="shared" si="21"/>
        <v>2309</v>
      </c>
      <c r="P41" s="16">
        <v>2309</v>
      </c>
      <c r="Q41" s="16">
        <v>0</v>
      </c>
      <c r="R41" s="16">
        <v>0</v>
      </c>
      <c r="S41" s="37">
        <v>0</v>
      </c>
      <c r="T41" s="15">
        <f t="shared" si="22"/>
        <v>2401</v>
      </c>
      <c r="U41" s="16">
        <v>2401</v>
      </c>
      <c r="V41" s="16">
        <v>0</v>
      </c>
      <c r="W41" s="16">
        <v>0</v>
      </c>
      <c r="X41" s="17">
        <v>0</v>
      </c>
      <c r="Y41" s="67">
        <f>Z269+Z41+AA41+AB41+AC41</f>
        <v>2497</v>
      </c>
      <c r="Z41" s="16">
        <v>2497</v>
      </c>
      <c r="AA41" s="16">
        <v>0</v>
      </c>
      <c r="AB41" s="16">
        <v>0</v>
      </c>
      <c r="AC41" s="37">
        <v>0</v>
      </c>
      <c r="AD41" s="15">
        <f>AE41</f>
        <v>2597</v>
      </c>
      <c r="AE41" s="16">
        <v>2597</v>
      </c>
      <c r="AF41" s="16">
        <v>0</v>
      </c>
      <c r="AG41" s="16">
        <v>0</v>
      </c>
      <c r="AH41" s="37">
        <v>0</v>
      </c>
      <c r="AI41" s="19">
        <f t="shared" si="23"/>
        <v>14192</v>
      </c>
    </row>
    <row r="42" spans="1:37" ht="39.75" customHeight="1" x14ac:dyDescent="0.25">
      <c r="A42" s="21" t="s">
        <v>34</v>
      </c>
      <c r="B42" s="43" t="s">
        <v>24</v>
      </c>
      <c r="C42" s="38" t="s">
        <v>10</v>
      </c>
      <c r="D42" s="38" t="s">
        <v>51</v>
      </c>
      <c r="E42" s="18">
        <f t="shared" si="19"/>
        <v>0</v>
      </c>
      <c r="F42" s="26">
        <v>0</v>
      </c>
      <c r="G42" s="26">
        <v>0</v>
      </c>
      <c r="H42" s="26">
        <v>0</v>
      </c>
      <c r="I42" s="44">
        <v>0</v>
      </c>
      <c r="J42" s="36">
        <f t="shared" si="20"/>
        <v>0</v>
      </c>
      <c r="K42" s="26">
        <v>0</v>
      </c>
      <c r="L42" s="26">
        <v>0</v>
      </c>
      <c r="M42" s="26">
        <v>0</v>
      </c>
      <c r="N42" s="27">
        <v>0</v>
      </c>
      <c r="O42" s="28">
        <f t="shared" si="21"/>
        <v>3271</v>
      </c>
      <c r="P42" s="26">
        <f>3271</f>
        <v>3271</v>
      </c>
      <c r="Q42" s="26">
        <v>0</v>
      </c>
      <c r="R42" s="26">
        <v>0</v>
      </c>
      <c r="S42" s="44">
        <v>0</v>
      </c>
      <c r="T42" s="25">
        <f t="shared" si="22"/>
        <v>2115</v>
      </c>
      <c r="U42" s="26">
        <v>2115</v>
      </c>
      <c r="V42" s="26">
        <v>0</v>
      </c>
      <c r="W42" s="26">
        <v>0</v>
      </c>
      <c r="X42" s="27">
        <v>0</v>
      </c>
      <c r="Y42" s="28">
        <f>Z270+Z42+AA42+AB42+AC42</f>
        <v>0</v>
      </c>
      <c r="Z42" s="26">
        <v>0</v>
      </c>
      <c r="AA42" s="26">
        <v>0</v>
      </c>
      <c r="AB42" s="26">
        <v>0</v>
      </c>
      <c r="AC42" s="44">
        <v>0</v>
      </c>
      <c r="AD42" s="25">
        <f>AE42+AF42+AG42+AH42</f>
        <v>0</v>
      </c>
      <c r="AE42" s="26">
        <v>0</v>
      </c>
      <c r="AF42" s="26">
        <v>0</v>
      </c>
      <c r="AG42" s="26">
        <v>0</v>
      </c>
      <c r="AH42" s="44">
        <v>0</v>
      </c>
      <c r="AI42" s="19">
        <f t="shared" si="23"/>
        <v>5386</v>
      </c>
    </row>
    <row r="43" spans="1:37" ht="84.75" customHeight="1" thickBot="1" x14ac:dyDescent="0.3">
      <c r="A43" s="237" t="s">
        <v>236</v>
      </c>
      <c r="B43" s="103" t="s">
        <v>177</v>
      </c>
      <c r="C43" s="38" t="s">
        <v>99</v>
      </c>
      <c r="D43" s="239" t="s">
        <v>48</v>
      </c>
      <c r="E43" s="90">
        <f t="shared" si="19"/>
        <v>90786</v>
      </c>
      <c r="F43" s="88">
        <v>90786</v>
      </c>
      <c r="G43" s="88">
        <v>0</v>
      </c>
      <c r="H43" s="88">
        <v>0</v>
      </c>
      <c r="I43" s="104">
        <v>0</v>
      </c>
      <c r="J43" s="87">
        <f t="shared" si="20"/>
        <v>90786</v>
      </c>
      <c r="K43" s="88">
        <v>90786</v>
      </c>
      <c r="L43" s="88">
        <v>0</v>
      </c>
      <c r="M43" s="88">
        <v>0</v>
      </c>
      <c r="N43" s="89">
        <v>0</v>
      </c>
      <c r="O43" s="52">
        <f t="shared" si="21"/>
        <v>94418</v>
      </c>
      <c r="P43" s="39">
        <v>94418</v>
      </c>
      <c r="Q43" s="39">
        <v>0</v>
      </c>
      <c r="R43" s="39">
        <v>0</v>
      </c>
      <c r="S43" s="41">
        <v>0</v>
      </c>
      <c r="T43" s="42">
        <f t="shared" si="22"/>
        <v>98194</v>
      </c>
      <c r="U43" s="39">
        <v>98194</v>
      </c>
      <c r="V43" s="39">
        <v>0</v>
      </c>
      <c r="W43" s="39">
        <v>0</v>
      </c>
      <c r="X43" s="40">
        <v>0</v>
      </c>
      <c r="Y43" s="52">
        <f>Z43+AA43+AB43+AC43</f>
        <v>102122</v>
      </c>
      <c r="Z43" s="39">
        <v>102122</v>
      </c>
      <c r="AA43" s="39">
        <v>0</v>
      </c>
      <c r="AB43" s="39">
        <v>0</v>
      </c>
      <c r="AC43" s="41">
        <v>0</v>
      </c>
      <c r="AD43" s="42">
        <f>AE43+AF43+AG43+AH43</f>
        <v>106207</v>
      </c>
      <c r="AE43" s="39">
        <v>106207</v>
      </c>
      <c r="AF43" s="39">
        <v>0</v>
      </c>
      <c r="AG43" s="39">
        <v>0</v>
      </c>
      <c r="AH43" s="41">
        <v>0</v>
      </c>
      <c r="AI43" s="98">
        <f>E43+J43+O43+T43+Y43+AD43</f>
        <v>582513</v>
      </c>
      <c r="AJ43" s="172"/>
    </row>
    <row r="44" spans="1:37" s="146" customFormat="1" ht="43.15" customHeight="1" thickBot="1" x14ac:dyDescent="0.3">
      <c r="A44" s="315" t="s">
        <v>12</v>
      </c>
      <c r="B44" s="316"/>
      <c r="C44" s="163"/>
      <c r="D44" s="164"/>
      <c r="E44" s="165">
        <f>F44+G44+H44+I44</f>
        <v>97518</v>
      </c>
      <c r="F44" s="134">
        <f>SUM(F38:F43)</f>
        <v>97518</v>
      </c>
      <c r="G44" s="134">
        <f>SUM(G38:G43)</f>
        <v>0</v>
      </c>
      <c r="H44" s="134">
        <f>SUM(H38:H43)</f>
        <v>0</v>
      </c>
      <c r="I44" s="134">
        <f>SUM(I38:I43)</f>
        <v>0</v>
      </c>
      <c r="J44" s="133">
        <f>K44+L44+M44+N44</f>
        <v>97518</v>
      </c>
      <c r="K44" s="134">
        <f>SUM(K38:K43)</f>
        <v>97518</v>
      </c>
      <c r="L44" s="134">
        <f>SUM(L38:L43)</f>
        <v>0</v>
      </c>
      <c r="M44" s="134">
        <f>SUM(M38:M43)</f>
        <v>0</v>
      </c>
      <c r="N44" s="135">
        <f>SUM(N38:N43)</f>
        <v>0</v>
      </c>
      <c r="O44" s="150">
        <f>P44+Q44+R44+S44</f>
        <v>113758</v>
      </c>
      <c r="P44" s="137">
        <f>SUM(P38:P43)</f>
        <v>113758</v>
      </c>
      <c r="Q44" s="137">
        <f>SUM(Q38:Q43)</f>
        <v>0</v>
      </c>
      <c r="R44" s="137">
        <f>SUM(R38:R43)</f>
        <v>0</v>
      </c>
      <c r="S44" s="137">
        <f>SUM(S38:S43)</f>
        <v>0</v>
      </c>
      <c r="T44" s="136">
        <f>U44+V44+W44+X44</f>
        <v>112995</v>
      </c>
      <c r="U44" s="137">
        <f>SUM(U38:U43)</f>
        <v>112995</v>
      </c>
      <c r="V44" s="137">
        <f>SUM(V38:V43)</f>
        <v>0</v>
      </c>
      <c r="W44" s="137">
        <f>SUM(W38:W43)</f>
        <v>0</v>
      </c>
      <c r="X44" s="137">
        <f>SUM(X38:X43)</f>
        <v>0</v>
      </c>
      <c r="Y44" s="150">
        <f>Z44+AA44+AB44+AC44</f>
        <v>104803</v>
      </c>
      <c r="Z44" s="137">
        <f>SUM(Z38:Z43)</f>
        <v>104803</v>
      </c>
      <c r="AA44" s="137">
        <f>SUM(AA38:AA43)</f>
        <v>0</v>
      </c>
      <c r="AB44" s="137">
        <f>SUM(AB38:AB43)</f>
        <v>0</v>
      </c>
      <c r="AC44" s="137">
        <f>SUM(AC38:AC43)</f>
        <v>0</v>
      </c>
      <c r="AD44" s="136">
        <f>AE44+AF44+AG44+AH44</f>
        <v>108989</v>
      </c>
      <c r="AE44" s="137">
        <f>SUM(AE38:AE43)</f>
        <v>108989</v>
      </c>
      <c r="AF44" s="137">
        <f>SUM(AF38:AF43)</f>
        <v>0</v>
      </c>
      <c r="AG44" s="137">
        <f>SUM(AG38:AG43)</f>
        <v>0</v>
      </c>
      <c r="AH44" s="137">
        <f>SUM(AH38:AH43)</f>
        <v>0</v>
      </c>
      <c r="AI44" s="159">
        <f>E44+J44+O44+T44+Y44+AD44</f>
        <v>635581</v>
      </c>
      <c r="AJ44" s="110">
        <f>AI38+AI39+AI40+AI41+AI42+AI43</f>
        <v>635581</v>
      </c>
    </row>
    <row r="45" spans="1:37" ht="45.75" customHeight="1" x14ac:dyDescent="0.25">
      <c r="A45" s="156"/>
      <c r="B45" s="157" t="s">
        <v>96</v>
      </c>
      <c r="C45" s="160" t="s">
        <v>10</v>
      </c>
      <c r="D45" s="50"/>
      <c r="E45" s="161">
        <f t="shared" si="19"/>
        <v>6732</v>
      </c>
      <c r="F45" s="76">
        <f>F39+F38+F40+F41+F42</f>
        <v>6732</v>
      </c>
      <c r="G45" s="76">
        <f>G39+G38+G40+G41+G42+G43</f>
        <v>0</v>
      </c>
      <c r="H45" s="76">
        <f>H39+H38+H40+H41+H42+H43</f>
        <v>0</v>
      </c>
      <c r="I45" s="77">
        <f>I39+I38+I40+I41+I42+I43</f>
        <v>0</v>
      </c>
      <c r="J45" s="162">
        <f t="shared" si="20"/>
        <v>6732</v>
      </c>
      <c r="K45" s="76">
        <f>K39+K38+K40+K41+K42</f>
        <v>6732</v>
      </c>
      <c r="L45" s="76">
        <f>L39+L38+L40+L41+L42+L43</f>
        <v>0</v>
      </c>
      <c r="M45" s="76">
        <f>M39+M38+M40+M41+M42+M43</f>
        <v>0</v>
      </c>
      <c r="N45" s="78">
        <f>N39+N38+N40+N41+N42+N43</f>
        <v>0</v>
      </c>
      <c r="O45" s="67">
        <f t="shared" si="21"/>
        <v>19340</v>
      </c>
      <c r="P45" s="76">
        <f>P38+P39+P40+P41+P42</f>
        <v>19340</v>
      </c>
      <c r="Q45" s="76">
        <f>Q38+Q39+Q40+Q41+Q42+Q43</f>
        <v>0</v>
      </c>
      <c r="R45" s="76">
        <f>R38+R39+R40+R41+R42+R43</f>
        <v>0</v>
      </c>
      <c r="S45" s="77">
        <f>S38+S39+S40+S41+S42+S43</f>
        <v>0</v>
      </c>
      <c r="T45" s="36">
        <f t="shared" si="22"/>
        <v>14801</v>
      </c>
      <c r="U45" s="76">
        <f>U38+U39+U40+U41+U42</f>
        <v>14801</v>
      </c>
      <c r="V45" s="76">
        <f>V38+V39+V40+V41+V42+V43</f>
        <v>0</v>
      </c>
      <c r="W45" s="76">
        <f>W38+W39+W40+W41+W42+W43</f>
        <v>0</v>
      </c>
      <c r="X45" s="77">
        <f>X38+X39+X40+X41+X42+X43</f>
        <v>0</v>
      </c>
      <c r="Y45" s="31">
        <f>Z45+AA45+AB45+AC45</f>
        <v>2681</v>
      </c>
      <c r="Z45" s="32">
        <f>SUM(Z38:Z42)</f>
        <v>2681</v>
      </c>
      <c r="AA45" s="32">
        <f>SUM(AA38:AA43)</f>
        <v>0</v>
      </c>
      <c r="AB45" s="32">
        <f>SUM(AB38:AB43)</f>
        <v>0</v>
      </c>
      <c r="AC45" s="33">
        <f>SUM(AC38:AC43)</f>
        <v>0</v>
      </c>
      <c r="AD45" s="36">
        <f>AE45+AF45+AG45+AH45</f>
        <v>2782</v>
      </c>
      <c r="AE45" s="76">
        <f>SUM(AE38:AE42)</f>
        <v>2782</v>
      </c>
      <c r="AF45" s="76">
        <f>SUM(AF38:AF43)</f>
        <v>0</v>
      </c>
      <c r="AG45" s="76">
        <f>SUM(AG38:AG43)</f>
        <v>0</v>
      </c>
      <c r="AH45" s="78">
        <f>SUM(AH38:AH43)</f>
        <v>0</v>
      </c>
      <c r="AI45" s="79">
        <f>E45+J45+O45+T45+AD45+Y45</f>
        <v>53068</v>
      </c>
      <c r="AJ45" s="113">
        <f>AI45+AI46</f>
        <v>635581</v>
      </c>
    </row>
    <row r="46" spans="1:37" ht="57" customHeight="1" thickBot="1" x14ac:dyDescent="0.3">
      <c r="A46" s="152"/>
      <c r="B46" s="153"/>
      <c r="C46" s="155" t="s">
        <v>99</v>
      </c>
      <c r="D46" s="108"/>
      <c r="E46" s="54">
        <f t="shared" si="19"/>
        <v>90786</v>
      </c>
      <c r="F46" s="55">
        <f>F43</f>
        <v>90786</v>
      </c>
      <c r="G46" s="55">
        <f>G43</f>
        <v>0</v>
      </c>
      <c r="H46" s="55">
        <f>H43</f>
        <v>0</v>
      </c>
      <c r="I46" s="55">
        <f>I43</f>
        <v>0</v>
      </c>
      <c r="J46" s="53">
        <f t="shared" si="20"/>
        <v>90786</v>
      </c>
      <c r="K46" s="55">
        <f>K43</f>
        <v>90786</v>
      </c>
      <c r="L46" s="55">
        <f>L43</f>
        <v>0</v>
      </c>
      <c r="M46" s="55">
        <f>M43</f>
        <v>0</v>
      </c>
      <c r="N46" s="55">
        <f>N43</f>
        <v>0</v>
      </c>
      <c r="O46" s="54">
        <f t="shared" si="21"/>
        <v>94418</v>
      </c>
      <c r="P46" s="55">
        <f>P43</f>
        <v>94418</v>
      </c>
      <c r="Q46" s="55">
        <f>Q43</f>
        <v>0</v>
      </c>
      <c r="R46" s="55">
        <f>R43</f>
        <v>0</v>
      </c>
      <c r="S46" s="55">
        <f>S43</f>
        <v>0</v>
      </c>
      <c r="T46" s="53">
        <f t="shared" si="22"/>
        <v>98194</v>
      </c>
      <c r="U46" s="55">
        <f>U43</f>
        <v>98194</v>
      </c>
      <c r="V46" s="55">
        <f>V43</f>
        <v>0</v>
      </c>
      <c r="W46" s="55">
        <f>W43</f>
        <v>0</v>
      </c>
      <c r="X46" s="71">
        <f>X43</f>
        <v>0</v>
      </c>
      <c r="Y46" s="53">
        <f>Z46+AA46+AB46+AC46</f>
        <v>102122</v>
      </c>
      <c r="Z46" s="55">
        <f>Z43</f>
        <v>102122</v>
      </c>
      <c r="AA46" s="55">
        <f>AA43</f>
        <v>0</v>
      </c>
      <c r="AB46" s="55">
        <f>AB43</f>
        <v>0</v>
      </c>
      <c r="AC46" s="56">
        <f>AC43</f>
        <v>0</v>
      </c>
      <c r="AD46" s="53">
        <f>AE46+AF46+AG46+AH46</f>
        <v>106207</v>
      </c>
      <c r="AE46" s="55">
        <f>AE43</f>
        <v>106207</v>
      </c>
      <c r="AF46" s="55">
        <f>AF43</f>
        <v>0</v>
      </c>
      <c r="AG46" s="55">
        <f>AG43</f>
        <v>0</v>
      </c>
      <c r="AH46" s="55">
        <f>AH43</f>
        <v>0</v>
      </c>
      <c r="AI46" s="34">
        <f>E46+J46+O46+T46+AD46+Y46</f>
        <v>582513</v>
      </c>
      <c r="AJ46" s="113"/>
    </row>
    <row r="47" spans="1:37" ht="37.9" customHeight="1" thickBot="1" x14ac:dyDescent="0.3">
      <c r="A47" s="328" t="s">
        <v>194</v>
      </c>
      <c r="B47" s="329"/>
      <c r="C47" s="331"/>
      <c r="D47" s="331"/>
      <c r="E47" s="331"/>
      <c r="F47" s="331"/>
      <c r="G47" s="331"/>
      <c r="H47" s="331"/>
      <c r="I47" s="331"/>
      <c r="J47" s="331"/>
      <c r="K47" s="331"/>
      <c r="L47" s="331"/>
      <c r="M47" s="331"/>
      <c r="N47" s="331"/>
      <c r="O47" s="331"/>
      <c r="P47" s="331"/>
      <c r="Q47" s="331"/>
      <c r="R47" s="331"/>
      <c r="S47" s="331"/>
      <c r="T47" s="331"/>
      <c r="U47" s="331"/>
      <c r="V47" s="331"/>
      <c r="W47" s="331"/>
      <c r="X47" s="331"/>
      <c r="Y47" s="331"/>
      <c r="Z47" s="331"/>
      <c r="AA47" s="331"/>
      <c r="AB47" s="331"/>
      <c r="AC47" s="331"/>
      <c r="AD47" s="331"/>
      <c r="AE47" s="331"/>
      <c r="AF47" s="331"/>
      <c r="AG47" s="331"/>
      <c r="AH47" s="331"/>
      <c r="AI47" s="332"/>
    </row>
    <row r="48" spans="1:37" ht="128.44999999999999" customHeight="1" x14ac:dyDescent="0.25">
      <c r="A48" s="45" t="s">
        <v>14</v>
      </c>
      <c r="B48" s="46" t="s">
        <v>195</v>
      </c>
      <c r="C48" s="8" t="s">
        <v>10</v>
      </c>
      <c r="D48" s="8">
        <v>2027</v>
      </c>
      <c r="E48" s="9">
        <f>F48+G48+H48+I48</f>
        <v>0</v>
      </c>
      <c r="F48" s="10">
        <v>0</v>
      </c>
      <c r="G48" s="10">
        <v>0</v>
      </c>
      <c r="H48" s="10">
        <v>0</v>
      </c>
      <c r="I48" s="11">
        <v>0</v>
      </c>
      <c r="J48" s="9">
        <f>K48+L48+M48+N48</f>
        <v>0</v>
      </c>
      <c r="K48" s="10">
        <v>0</v>
      </c>
      <c r="L48" s="10">
        <v>0</v>
      </c>
      <c r="M48" s="10">
        <v>0</v>
      </c>
      <c r="N48" s="47">
        <v>0</v>
      </c>
      <c r="O48" s="9">
        <f>P48+Q48+R48+S48</f>
        <v>8966</v>
      </c>
      <c r="P48" s="10">
        <v>8966</v>
      </c>
      <c r="Q48" s="10">
        <v>0</v>
      </c>
      <c r="R48" s="10">
        <v>0</v>
      </c>
      <c r="S48" s="47">
        <v>0</v>
      </c>
      <c r="T48" s="31">
        <f>U48+V48+W48+X48</f>
        <v>0</v>
      </c>
      <c r="U48" s="32">
        <v>0</v>
      </c>
      <c r="V48" s="32">
        <v>0</v>
      </c>
      <c r="W48" s="32">
        <v>0</v>
      </c>
      <c r="X48" s="33">
        <v>0</v>
      </c>
      <c r="Y48" s="12">
        <f>Z48+AA48</f>
        <v>0</v>
      </c>
      <c r="Z48" s="10">
        <v>0</v>
      </c>
      <c r="AA48" s="10">
        <v>0</v>
      </c>
      <c r="AB48" s="10">
        <v>0</v>
      </c>
      <c r="AC48" s="47">
        <v>0</v>
      </c>
      <c r="AD48" s="9">
        <f>AE48+AF48+AG48+AH48</f>
        <v>0</v>
      </c>
      <c r="AE48" s="12">
        <v>0</v>
      </c>
      <c r="AF48" s="10">
        <v>0</v>
      </c>
      <c r="AG48" s="10">
        <v>0</v>
      </c>
      <c r="AH48" s="11">
        <v>0</v>
      </c>
      <c r="AI48" s="48">
        <f>E48+J48+O48+T48+AD48+Y48</f>
        <v>8966</v>
      </c>
    </row>
    <row r="49" spans="1:36" ht="87.75" customHeight="1" thickBot="1" x14ac:dyDescent="0.3">
      <c r="A49" s="234" t="s">
        <v>31</v>
      </c>
      <c r="B49" s="233" t="s">
        <v>196</v>
      </c>
      <c r="C49" s="38" t="s">
        <v>10</v>
      </c>
      <c r="D49" s="38">
        <v>2027</v>
      </c>
      <c r="E49" s="42">
        <f>F49+G49+H49+I49</f>
        <v>0</v>
      </c>
      <c r="F49" s="39">
        <v>0</v>
      </c>
      <c r="G49" s="39">
        <v>0</v>
      </c>
      <c r="H49" s="39">
        <v>0</v>
      </c>
      <c r="I49" s="40">
        <v>0</v>
      </c>
      <c r="J49" s="42">
        <f>K49+L49+M49+N49</f>
        <v>0</v>
      </c>
      <c r="K49" s="39">
        <v>0</v>
      </c>
      <c r="L49" s="39">
        <v>0</v>
      </c>
      <c r="M49" s="39">
        <v>0</v>
      </c>
      <c r="N49" s="41">
        <v>0</v>
      </c>
      <c r="O49" s="42">
        <f>P49+Q49+R49+S49</f>
        <v>4664</v>
      </c>
      <c r="P49" s="39">
        <v>4664</v>
      </c>
      <c r="Q49" s="39">
        <v>0</v>
      </c>
      <c r="R49" s="39">
        <v>0</v>
      </c>
      <c r="S49" s="41">
        <v>0</v>
      </c>
      <c r="T49" s="15">
        <f>U49+V49+W49+X49</f>
        <v>0</v>
      </c>
      <c r="U49" s="16">
        <v>0</v>
      </c>
      <c r="V49" s="16">
        <v>0</v>
      </c>
      <c r="W49" s="16">
        <v>0</v>
      </c>
      <c r="X49" s="17">
        <v>0</v>
      </c>
      <c r="Y49" s="52">
        <f>Z49+AA49</f>
        <v>0</v>
      </c>
      <c r="Z49" s="39">
        <v>0</v>
      </c>
      <c r="AA49" s="39">
        <v>0</v>
      </c>
      <c r="AB49" s="39">
        <v>0</v>
      </c>
      <c r="AC49" s="41">
        <v>0</v>
      </c>
      <c r="AD49" s="53">
        <v>0</v>
      </c>
      <c r="AE49" s="54">
        <v>0</v>
      </c>
      <c r="AF49" s="55">
        <v>0</v>
      </c>
      <c r="AG49" s="55">
        <v>0</v>
      </c>
      <c r="AH49" s="56">
        <v>0</v>
      </c>
      <c r="AI49" s="49">
        <f>E49+J49+O49+T49+AD49+Y49</f>
        <v>4664</v>
      </c>
    </row>
    <row r="50" spans="1:36" s="146" customFormat="1" ht="38.450000000000003" customHeight="1" thickBot="1" x14ac:dyDescent="0.3">
      <c r="A50" s="333" t="s">
        <v>13</v>
      </c>
      <c r="B50" s="334"/>
      <c r="C50" s="143"/>
      <c r="D50" s="176"/>
      <c r="E50" s="144">
        <f t="shared" ref="E50:U50" si="24">E49+E48</f>
        <v>0</v>
      </c>
      <c r="F50" s="145">
        <f t="shared" si="24"/>
        <v>0</v>
      </c>
      <c r="G50" s="145">
        <f t="shared" si="24"/>
        <v>0</v>
      </c>
      <c r="H50" s="145">
        <f t="shared" si="24"/>
        <v>0</v>
      </c>
      <c r="I50" s="177">
        <f t="shared" si="24"/>
        <v>0</v>
      </c>
      <c r="J50" s="144">
        <f t="shared" si="24"/>
        <v>0</v>
      </c>
      <c r="K50" s="145">
        <f t="shared" si="24"/>
        <v>0</v>
      </c>
      <c r="L50" s="145">
        <f t="shared" si="24"/>
        <v>0</v>
      </c>
      <c r="M50" s="145">
        <f t="shared" si="24"/>
        <v>0</v>
      </c>
      <c r="N50" s="145">
        <f t="shared" si="24"/>
        <v>0</v>
      </c>
      <c r="O50" s="144">
        <f t="shared" si="24"/>
        <v>13630</v>
      </c>
      <c r="P50" s="145">
        <f t="shared" si="24"/>
        <v>13630</v>
      </c>
      <c r="Q50" s="145">
        <f t="shared" si="24"/>
        <v>0</v>
      </c>
      <c r="R50" s="145">
        <f t="shared" si="24"/>
        <v>0</v>
      </c>
      <c r="S50" s="145">
        <f t="shared" si="24"/>
        <v>0</v>
      </c>
      <c r="T50" s="144">
        <f t="shared" si="24"/>
        <v>0</v>
      </c>
      <c r="U50" s="145">
        <f t="shared" si="24"/>
        <v>0</v>
      </c>
      <c r="V50" s="145">
        <f>V49+V48</f>
        <v>0</v>
      </c>
      <c r="W50" s="145">
        <f>W49+W48</f>
        <v>0</v>
      </c>
      <c r="X50" s="145">
        <f>X49+X48</f>
        <v>0</v>
      </c>
      <c r="Y50" s="144">
        <f t="shared" ref="Y50:AH50" si="25">Y48+Y47</f>
        <v>0</v>
      </c>
      <c r="Z50" s="145">
        <f t="shared" si="25"/>
        <v>0</v>
      </c>
      <c r="AA50" s="145">
        <f t="shared" si="25"/>
        <v>0</v>
      </c>
      <c r="AB50" s="145">
        <f t="shared" si="25"/>
        <v>0</v>
      </c>
      <c r="AC50" s="145">
        <f t="shared" si="25"/>
        <v>0</v>
      </c>
      <c r="AD50" s="136">
        <f t="shared" si="25"/>
        <v>0</v>
      </c>
      <c r="AE50" s="137">
        <f t="shared" si="25"/>
        <v>0</v>
      </c>
      <c r="AF50" s="137">
        <f t="shared" si="25"/>
        <v>0</v>
      </c>
      <c r="AG50" s="137">
        <f t="shared" si="25"/>
        <v>0</v>
      </c>
      <c r="AH50" s="137">
        <f t="shared" si="25"/>
        <v>0</v>
      </c>
      <c r="AI50" s="151">
        <f>E50+J50+O50+T50+AD50+Y50</f>
        <v>13630</v>
      </c>
      <c r="AJ50" s="179">
        <f>AI48+AI49</f>
        <v>13630</v>
      </c>
    </row>
    <row r="51" spans="1:36" ht="36" customHeight="1" thickBot="1" x14ac:dyDescent="0.3">
      <c r="A51" s="301" t="s">
        <v>197</v>
      </c>
      <c r="B51" s="302"/>
      <c r="C51" s="302"/>
      <c r="D51" s="302"/>
      <c r="E51" s="302"/>
      <c r="F51" s="302"/>
      <c r="G51" s="302"/>
      <c r="H51" s="302"/>
      <c r="I51" s="302"/>
      <c r="J51" s="302"/>
      <c r="K51" s="302"/>
      <c r="L51" s="302"/>
      <c r="M51" s="302"/>
      <c r="N51" s="302"/>
      <c r="O51" s="302"/>
      <c r="P51" s="302"/>
      <c r="Q51" s="302"/>
      <c r="R51" s="302"/>
      <c r="S51" s="302"/>
      <c r="T51" s="302"/>
      <c r="U51" s="302"/>
      <c r="V51" s="302"/>
      <c r="W51" s="302"/>
      <c r="X51" s="302"/>
      <c r="Y51" s="302"/>
      <c r="Z51" s="302"/>
      <c r="AA51" s="302"/>
      <c r="AB51" s="302"/>
      <c r="AC51" s="302"/>
      <c r="AD51" s="302"/>
      <c r="AE51" s="302"/>
      <c r="AF51" s="302"/>
      <c r="AG51" s="302"/>
      <c r="AH51" s="302"/>
      <c r="AI51" s="303"/>
      <c r="AJ51" s="172"/>
    </row>
    <row r="52" spans="1:36" ht="60" customHeight="1" x14ac:dyDescent="0.25">
      <c r="A52" s="304" t="s">
        <v>181</v>
      </c>
      <c r="B52" s="306" t="s">
        <v>209</v>
      </c>
      <c r="C52" s="249" t="s">
        <v>10</v>
      </c>
      <c r="D52" s="212" t="s">
        <v>48</v>
      </c>
      <c r="E52" s="82">
        <f t="shared" ref="E52:E67" si="26">F52+G52+H52+I52</f>
        <v>229934</v>
      </c>
      <c r="F52" s="83">
        <f>62806+61149+55840+9892+6542+33705</f>
        <v>229934</v>
      </c>
      <c r="G52" s="83">
        <v>0</v>
      </c>
      <c r="H52" s="83">
        <v>0</v>
      </c>
      <c r="I52" s="84">
        <v>0</v>
      </c>
      <c r="J52" s="82">
        <f>K52+L52+M52+N52</f>
        <v>266120</v>
      </c>
      <c r="K52" s="83">
        <f>75240+66942+65567+13228+6803+38340</f>
        <v>266120</v>
      </c>
      <c r="L52" s="83">
        <v>0</v>
      </c>
      <c r="M52" s="83">
        <v>0</v>
      </c>
      <c r="N52" s="84">
        <v>0</v>
      </c>
      <c r="O52" s="18">
        <f>P52+Q52+R52+S52</f>
        <v>276765</v>
      </c>
      <c r="P52" s="16">
        <f>78250+69619+68190+13757+7076+39873</f>
        <v>276765</v>
      </c>
      <c r="Q52" s="16">
        <v>0</v>
      </c>
      <c r="R52" s="16">
        <v>0</v>
      </c>
      <c r="S52" s="37">
        <v>0</v>
      </c>
      <c r="T52" s="31">
        <f>U52+V52+W52+X52</f>
        <v>287836</v>
      </c>
      <c r="U52" s="32">
        <f>81379+72404+70918+14308+7359+41468</f>
        <v>287836</v>
      </c>
      <c r="V52" s="32">
        <v>0</v>
      </c>
      <c r="W52" s="32">
        <v>0</v>
      </c>
      <c r="X52" s="33">
        <v>0</v>
      </c>
      <c r="Y52" s="31">
        <f>Z52+AA52+AB52+AC52</f>
        <v>299349</v>
      </c>
      <c r="Z52" s="32">
        <f>84635+75300+73754+14880+7653+43127</f>
        <v>299349</v>
      </c>
      <c r="AA52" s="32">
        <v>0</v>
      </c>
      <c r="AB52" s="32">
        <v>0</v>
      </c>
      <c r="AC52" s="33">
        <v>0</v>
      </c>
      <c r="AD52" s="31">
        <f>AE52+AF52+AG52+AH52</f>
        <v>311323</v>
      </c>
      <c r="AE52" s="32">
        <f>88020+78312+76705+15475+7959+44852</f>
        <v>311323</v>
      </c>
      <c r="AF52" s="32">
        <v>0</v>
      </c>
      <c r="AG52" s="32">
        <v>0</v>
      </c>
      <c r="AH52" s="33">
        <v>0</v>
      </c>
      <c r="AI52" s="91">
        <f>E52+J52+O52+T52+Y52+AD52</f>
        <v>1671327</v>
      </c>
      <c r="AJ52" s="172"/>
    </row>
    <row r="53" spans="1:36" ht="75" customHeight="1" x14ac:dyDescent="0.25">
      <c r="A53" s="305"/>
      <c r="B53" s="307"/>
      <c r="C53" s="250" t="s">
        <v>98</v>
      </c>
      <c r="D53" s="252" t="s">
        <v>48</v>
      </c>
      <c r="E53" s="15">
        <f t="shared" si="26"/>
        <v>124759</v>
      </c>
      <c r="F53" s="16">
        <v>124759</v>
      </c>
      <c r="G53" s="16">
        <v>0</v>
      </c>
      <c r="H53" s="16">
        <v>0</v>
      </c>
      <c r="I53" s="17">
        <v>0</v>
      </c>
      <c r="J53" s="15">
        <f t="shared" ref="J53:J68" si="27">K53+L53+M53+N53</f>
        <v>124759</v>
      </c>
      <c r="K53" s="16">
        <v>124759</v>
      </c>
      <c r="L53" s="16">
        <v>0</v>
      </c>
      <c r="M53" s="16">
        <v>0</v>
      </c>
      <c r="N53" s="17">
        <v>0</v>
      </c>
      <c r="O53" s="18">
        <f t="shared" ref="O53:O68" si="28">P53+Q53+R53+S53</f>
        <v>129749</v>
      </c>
      <c r="P53" s="16">
        <v>129749</v>
      </c>
      <c r="Q53" s="16">
        <v>0</v>
      </c>
      <c r="R53" s="16">
        <v>0</v>
      </c>
      <c r="S53" s="37">
        <v>0</v>
      </c>
      <c r="T53" s="15">
        <f t="shared" ref="T53:T65" si="29">U53+V53+W53+X53</f>
        <v>134939</v>
      </c>
      <c r="U53" s="16">
        <v>134939</v>
      </c>
      <c r="V53" s="16">
        <v>0</v>
      </c>
      <c r="W53" s="16">
        <v>0</v>
      </c>
      <c r="X53" s="17">
        <v>0</v>
      </c>
      <c r="Y53" s="15">
        <f t="shared" ref="Y53:Y68" si="30">Z53+AA53+AB53+AC53</f>
        <v>140337</v>
      </c>
      <c r="Z53" s="16">
        <v>140337</v>
      </c>
      <c r="AA53" s="16">
        <v>0</v>
      </c>
      <c r="AB53" s="16">
        <v>0</v>
      </c>
      <c r="AC53" s="17">
        <v>0</v>
      </c>
      <c r="AD53" s="15">
        <f t="shared" ref="AD53:AD65" si="31">AE53+AF53+AG53+AH53</f>
        <v>145950</v>
      </c>
      <c r="AE53" s="16">
        <v>145950</v>
      </c>
      <c r="AF53" s="16">
        <v>0</v>
      </c>
      <c r="AG53" s="16">
        <v>0</v>
      </c>
      <c r="AH53" s="17">
        <v>0</v>
      </c>
      <c r="AI53" s="92">
        <f t="shared" ref="AI53:AI65" si="32">E53+J53+O53+T53+Y53+AD53</f>
        <v>800493</v>
      </c>
      <c r="AJ53" s="172"/>
    </row>
    <row r="54" spans="1:36" ht="58.9" customHeight="1" x14ac:dyDescent="0.25">
      <c r="A54" s="309" t="s">
        <v>237</v>
      </c>
      <c r="B54" s="311" t="s">
        <v>210</v>
      </c>
      <c r="C54" s="250" t="s">
        <v>10</v>
      </c>
      <c r="D54" s="252" t="s">
        <v>48</v>
      </c>
      <c r="E54" s="15">
        <f t="shared" si="26"/>
        <v>23199</v>
      </c>
      <c r="F54" s="16">
        <v>23199</v>
      </c>
      <c r="G54" s="16">
        <v>0</v>
      </c>
      <c r="H54" s="16">
        <v>0</v>
      </c>
      <c r="I54" s="17">
        <v>0</v>
      </c>
      <c r="J54" s="15">
        <f t="shared" si="27"/>
        <v>26876</v>
      </c>
      <c r="K54" s="16">
        <v>26876</v>
      </c>
      <c r="L54" s="16">
        <v>0</v>
      </c>
      <c r="M54" s="16">
        <v>0</v>
      </c>
      <c r="N54" s="17">
        <v>0</v>
      </c>
      <c r="O54" s="18">
        <f t="shared" si="28"/>
        <v>27951</v>
      </c>
      <c r="P54" s="16">
        <v>27951</v>
      </c>
      <c r="Q54" s="16">
        <v>0</v>
      </c>
      <c r="R54" s="16">
        <v>0</v>
      </c>
      <c r="S54" s="37">
        <v>0</v>
      </c>
      <c r="T54" s="15">
        <f t="shared" si="29"/>
        <v>29069</v>
      </c>
      <c r="U54" s="16">
        <v>29069</v>
      </c>
      <c r="V54" s="16">
        <v>0</v>
      </c>
      <c r="W54" s="16">
        <v>0</v>
      </c>
      <c r="X54" s="17">
        <v>0</v>
      </c>
      <c r="Y54" s="15">
        <f t="shared" si="30"/>
        <v>30232</v>
      </c>
      <c r="Z54" s="16">
        <v>30232</v>
      </c>
      <c r="AA54" s="16">
        <v>0</v>
      </c>
      <c r="AB54" s="16">
        <v>0</v>
      </c>
      <c r="AC54" s="17">
        <v>0</v>
      </c>
      <c r="AD54" s="15">
        <f t="shared" si="31"/>
        <v>31441</v>
      </c>
      <c r="AE54" s="16">
        <v>31441</v>
      </c>
      <c r="AF54" s="16">
        <v>0</v>
      </c>
      <c r="AG54" s="16">
        <v>0</v>
      </c>
      <c r="AH54" s="17">
        <v>0</v>
      </c>
      <c r="AI54" s="92">
        <f t="shared" si="32"/>
        <v>168768</v>
      </c>
      <c r="AJ54" s="172"/>
    </row>
    <row r="55" spans="1:36" ht="58.9" customHeight="1" x14ac:dyDescent="0.25">
      <c r="A55" s="310"/>
      <c r="B55" s="312"/>
      <c r="C55" s="250" t="s">
        <v>99</v>
      </c>
      <c r="D55" s="253" t="s">
        <v>48</v>
      </c>
      <c r="E55" s="85">
        <f>F55+G55+H55+I55</f>
        <v>69351</v>
      </c>
      <c r="F55" s="64">
        <f>32343+37008</f>
        <v>69351</v>
      </c>
      <c r="G55" s="64">
        <v>0</v>
      </c>
      <c r="H55" s="64">
        <v>0</v>
      </c>
      <c r="I55" s="86">
        <v>0</v>
      </c>
      <c r="J55" s="85">
        <f>K55+L55+M55+N55</f>
        <v>69351</v>
      </c>
      <c r="K55" s="64">
        <f>32343+37008</f>
        <v>69351</v>
      </c>
      <c r="L55" s="64">
        <v>0</v>
      </c>
      <c r="M55" s="64">
        <v>0</v>
      </c>
      <c r="N55" s="86">
        <v>0</v>
      </c>
      <c r="O55" s="18">
        <f>P55+Q55+R55+S55</f>
        <v>72125</v>
      </c>
      <c r="P55" s="16">
        <f>33637+38488</f>
        <v>72125</v>
      </c>
      <c r="Q55" s="16">
        <v>0</v>
      </c>
      <c r="R55" s="16">
        <v>0</v>
      </c>
      <c r="S55" s="37">
        <v>0</v>
      </c>
      <c r="T55" s="15">
        <f>U55+V55+W55+X55</f>
        <v>75011</v>
      </c>
      <c r="U55" s="16">
        <f>34983+40028</f>
        <v>75011</v>
      </c>
      <c r="V55" s="16">
        <v>0</v>
      </c>
      <c r="W55" s="16">
        <v>0</v>
      </c>
      <c r="X55" s="17">
        <v>0</v>
      </c>
      <c r="Y55" s="15">
        <f>Z55+AA55+AB55+AC55</f>
        <v>78011</v>
      </c>
      <c r="Z55" s="16">
        <f>36382+41629</f>
        <v>78011</v>
      </c>
      <c r="AA55" s="16">
        <v>0</v>
      </c>
      <c r="AB55" s="16">
        <v>0</v>
      </c>
      <c r="AC55" s="17">
        <v>0</v>
      </c>
      <c r="AD55" s="15">
        <f>AE55+AF55+AG55+AH55</f>
        <v>81131</v>
      </c>
      <c r="AE55" s="16">
        <f>37837+43294</f>
        <v>81131</v>
      </c>
      <c r="AF55" s="16">
        <v>0</v>
      </c>
      <c r="AG55" s="16">
        <v>0</v>
      </c>
      <c r="AH55" s="17">
        <v>0</v>
      </c>
      <c r="AI55" s="92">
        <f>E55+J55+O55+T55+Y55+AD55</f>
        <v>444980</v>
      </c>
      <c r="AJ55" s="172"/>
    </row>
    <row r="56" spans="1:36" ht="50.25" customHeight="1" x14ac:dyDescent="0.25">
      <c r="A56" s="309" t="s">
        <v>161</v>
      </c>
      <c r="B56" s="324" t="s">
        <v>238</v>
      </c>
      <c r="C56" s="38" t="s">
        <v>10</v>
      </c>
      <c r="D56" s="241" t="s">
        <v>48</v>
      </c>
      <c r="E56" s="52">
        <f>F56+G56+H56+I56</f>
        <v>7322</v>
      </c>
      <c r="F56" s="39">
        <v>7322</v>
      </c>
      <c r="G56" s="39">
        <v>0</v>
      </c>
      <c r="H56" s="39">
        <v>0</v>
      </c>
      <c r="I56" s="40">
        <v>0</v>
      </c>
      <c r="J56" s="42">
        <f>K56+L56+M56+N56</f>
        <v>7476</v>
      </c>
      <c r="K56" s="39">
        <v>7476</v>
      </c>
      <c r="L56" s="39">
        <v>0</v>
      </c>
      <c r="M56" s="39">
        <v>0</v>
      </c>
      <c r="N56" s="41">
        <v>0</v>
      </c>
      <c r="O56" s="42">
        <f>P56+Q56+R56+S56</f>
        <v>7640</v>
      </c>
      <c r="P56" s="39">
        <v>7640</v>
      </c>
      <c r="Q56" s="39">
        <v>0</v>
      </c>
      <c r="R56" s="39">
        <v>0</v>
      </c>
      <c r="S56" s="41">
        <v>0</v>
      </c>
      <c r="T56" s="42">
        <f>U56+V56+W56+X56</f>
        <v>7945</v>
      </c>
      <c r="U56" s="39">
        <v>7945</v>
      </c>
      <c r="V56" s="39">
        <v>0</v>
      </c>
      <c r="W56" s="39">
        <v>0</v>
      </c>
      <c r="X56" s="41">
        <v>0</v>
      </c>
      <c r="Y56" s="42">
        <f>Z56+AA56+AB56+AC56</f>
        <v>8263</v>
      </c>
      <c r="Z56" s="39">
        <v>8263</v>
      </c>
      <c r="AA56" s="39">
        <v>0</v>
      </c>
      <c r="AB56" s="39">
        <v>0</v>
      </c>
      <c r="AC56" s="41">
        <v>0</v>
      </c>
      <c r="AD56" s="42">
        <f>AE56+AF56+AG56+AH56</f>
        <v>8396</v>
      </c>
      <c r="AE56" s="52">
        <v>8396</v>
      </c>
      <c r="AF56" s="39">
        <v>0</v>
      </c>
      <c r="AG56" s="39">
        <v>0</v>
      </c>
      <c r="AH56" s="40">
        <v>0</v>
      </c>
      <c r="AI56" s="19">
        <f t="shared" ref="AI56:AI57" si="33">AD56+Y56+T56+O56+J56+E56</f>
        <v>47042</v>
      </c>
    </row>
    <row r="57" spans="1:36" ht="64.5" customHeight="1" x14ac:dyDescent="0.25">
      <c r="A57" s="310"/>
      <c r="B57" s="325"/>
      <c r="C57" s="38" t="s">
        <v>99</v>
      </c>
      <c r="D57" s="38" t="s">
        <v>48</v>
      </c>
      <c r="E57" s="52">
        <f>F57+G57+H57+I57</f>
        <v>324</v>
      </c>
      <c r="F57" s="39">
        <v>324</v>
      </c>
      <c r="G57" s="39">
        <v>0</v>
      </c>
      <c r="H57" s="39">
        <v>0</v>
      </c>
      <c r="I57" s="40">
        <v>0</v>
      </c>
      <c r="J57" s="42">
        <f>K57+L57+M57+N57</f>
        <v>324</v>
      </c>
      <c r="K57" s="39">
        <v>324</v>
      </c>
      <c r="L57" s="39">
        <v>0</v>
      </c>
      <c r="M57" s="39">
        <v>0</v>
      </c>
      <c r="N57" s="41">
        <v>0</v>
      </c>
      <c r="O57" s="42">
        <f>P57+Q57+R57+S57</f>
        <v>337</v>
      </c>
      <c r="P57" s="39">
        <v>337</v>
      </c>
      <c r="Q57" s="39">
        <v>0</v>
      </c>
      <c r="R57" s="39">
        <v>0</v>
      </c>
      <c r="S57" s="41">
        <v>0</v>
      </c>
      <c r="T57" s="42">
        <f>U57+V57+W57+X57</f>
        <v>350</v>
      </c>
      <c r="U57" s="39">
        <v>350</v>
      </c>
      <c r="V57" s="39">
        <v>0</v>
      </c>
      <c r="W57" s="39">
        <v>0</v>
      </c>
      <c r="X57" s="41">
        <v>0</v>
      </c>
      <c r="Y57" s="42">
        <f>Z57+AA57+AB57+AC57</f>
        <v>364</v>
      </c>
      <c r="Z57" s="39">
        <v>364</v>
      </c>
      <c r="AA57" s="39">
        <v>0</v>
      </c>
      <c r="AB57" s="39">
        <v>0</v>
      </c>
      <c r="AC57" s="41">
        <v>0</v>
      </c>
      <c r="AD57" s="42">
        <f>AE57+AF57+AG57+AH57</f>
        <v>379</v>
      </c>
      <c r="AE57" s="52">
        <v>379</v>
      </c>
      <c r="AF57" s="39">
        <v>0</v>
      </c>
      <c r="AG57" s="39">
        <v>0</v>
      </c>
      <c r="AH57" s="40">
        <v>0</v>
      </c>
      <c r="AI57" s="220">
        <f t="shared" si="33"/>
        <v>2078</v>
      </c>
    </row>
    <row r="58" spans="1:36" ht="72.75" customHeight="1" x14ac:dyDescent="0.25">
      <c r="A58" s="248" t="s">
        <v>239</v>
      </c>
      <c r="B58" s="247" t="s">
        <v>162</v>
      </c>
      <c r="C58" s="38" t="s">
        <v>10</v>
      </c>
      <c r="D58" s="239" t="s">
        <v>48</v>
      </c>
      <c r="E58" s="87">
        <f>F58+G58+H58+I58</f>
        <v>1500</v>
      </c>
      <c r="F58" s="88">
        <f>1500</f>
        <v>1500</v>
      </c>
      <c r="G58" s="88">
        <v>0</v>
      </c>
      <c r="H58" s="88">
        <v>0</v>
      </c>
      <c r="I58" s="89">
        <v>0</v>
      </c>
      <c r="J58" s="87">
        <f>K58+L58+M58+N58</f>
        <v>1560</v>
      </c>
      <c r="K58" s="88">
        <f>1560</f>
        <v>1560</v>
      </c>
      <c r="L58" s="88">
        <v>0</v>
      </c>
      <c r="M58" s="88">
        <v>0</v>
      </c>
      <c r="N58" s="89">
        <v>0</v>
      </c>
      <c r="O58" s="52">
        <f>P58+Q58+R58+S58</f>
        <v>1622</v>
      </c>
      <c r="P58" s="39">
        <f>1622</f>
        <v>1622</v>
      </c>
      <c r="Q58" s="39">
        <v>0</v>
      </c>
      <c r="R58" s="39">
        <v>0</v>
      </c>
      <c r="S58" s="41">
        <v>0</v>
      </c>
      <c r="T58" s="42">
        <f>U58+V58+W58+X58</f>
        <v>1687</v>
      </c>
      <c r="U58" s="39">
        <f>1687</f>
        <v>1687</v>
      </c>
      <c r="V58" s="39">
        <v>0</v>
      </c>
      <c r="W58" s="39">
        <v>0</v>
      </c>
      <c r="X58" s="40">
        <v>0</v>
      </c>
      <c r="Y58" s="42">
        <f>Z58+AA58+AB58+AC58</f>
        <v>1755</v>
      </c>
      <c r="Z58" s="39">
        <f>1755</f>
        <v>1755</v>
      </c>
      <c r="AA58" s="39">
        <v>0</v>
      </c>
      <c r="AB58" s="39">
        <v>0</v>
      </c>
      <c r="AC58" s="40">
        <v>0</v>
      </c>
      <c r="AD58" s="42">
        <f>AE58+AF58+AG58+AH58</f>
        <v>1825</v>
      </c>
      <c r="AE58" s="39">
        <f>1825</f>
        <v>1825</v>
      </c>
      <c r="AF58" s="39">
        <v>0</v>
      </c>
      <c r="AG58" s="39">
        <v>0</v>
      </c>
      <c r="AH58" s="40">
        <v>0</v>
      </c>
      <c r="AI58" s="98">
        <f>E58+J58+O58+T58+Y58+AD58</f>
        <v>9949</v>
      </c>
      <c r="AJ58" s="172"/>
    </row>
    <row r="59" spans="1:36" ht="129" customHeight="1" x14ac:dyDescent="0.25">
      <c r="A59" s="252" t="s">
        <v>182</v>
      </c>
      <c r="B59" s="80" t="s">
        <v>198</v>
      </c>
      <c r="C59" s="250" t="s">
        <v>10</v>
      </c>
      <c r="D59" s="250" t="s">
        <v>50</v>
      </c>
      <c r="E59" s="18">
        <f>F59+G59+H59+I59</f>
        <v>500</v>
      </c>
      <c r="F59" s="16">
        <v>500</v>
      </c>
      <c r="G59" s="16">
        <v>0</v>
      </c>
      <c r="H59" s="16">
        <v>0</v>
      </c>
      <c r="I59" s="17">
        <v>0</v>
      </c>
      <c r="J59" s="15">
        <f>K59+L59+M59+N59</f>
        <v>500</v>
      </c>
      <c r="K59" s="16">
        <v>500</v>
      </c>
      <c r="L59" s="16">
        <v>0</v>
      </c>
      <c r="M59" s="16">
        <v>0</v>
      </c>
      <c r="N59" s="37">
        <v>0</v>
      </c>
      <c r="O59" s="15">
        <f>P59+Q59+R59+S59</f>
        <v>0</v>
      </c>
      <c r="P59" s="16">
        <v>0</v>
      </c>
      <c r="Q59" s="16">
        <v>0</v>
      </c>
      <c r="R59" s="16">
        <v>0</v>
      </c>
      <c r="S59" s="17">
        <v>0</v>
      </c>
      <c r="T59" s="15">
        <f>U59+V59+W59+X59</f>
        <v>0</v>
      </c>
      <c r="U59" s="16">
        <v>0</v>
      </c>
      <c r="V59" s="16">
        <v>0</v>
      </c>
      <c r="W59" s="16">
        <v>0</v>
      </c>
      <c r="X59" s="17">
        <v>0</v>
      </c>
      <c r="Y59" s="15">
        <f>Z59+AA59+AB59+AC59</f>
        <v>0</v>
      </c>
      <c r="Z59" s="16">
        <v>0</v>
      </c>
      <c r="AA59" s="16">
        <v>0</v>
      </c>
      <c r="AB59" s="16">
        <v>0</v>
      </c>
      <c r="AC59" s="37">
        <v>0</v>
      </c>
      <c r="AD59" s="15">
        <f>AE59+AF59+AG59+AH59</f>
        <v>0</v>
      </c>
      <c r="AE59" s="18">
        <v>0</v>
      </c>
      <c r="AF59" s="16">
        <v>0</v>
      </c>
      <c r="AG59" s="16">
        <v>0</v>
      </c>
      <c r="AH59" s="17">
        <v>0</v>
      </c>
      <c r="AI59" s="19">
        <f>AD59+Y59+T59+O59+J59+E59</f>
        <v>1000</v>
      </c>
      <c r="AJ59" s="172"/>
    </row>
    <row r="60" spans="1:36" ht="44.45" customHeight="1" x14ac:dyDescent="0.25">
      <c r="A60" s="309" t="s">
        <v>240</v>
      </c>
      <c r="B60" s="313" t="s">
        <v>88</v>
      </c>
      <c r="C60" s="241" t="s">
        <v>10</v>
      </c>
      <c r="D60" s="238" t="s">
        <v>48</v>
      </c>
      <c r="E60" s="15">
        <f t="shared" si="26"/>
        <v>10019</v>
      </c>
      <c r="F60" s="16">
        <v>10019</v>
      </c>
      <c r="G60" s="16">
        <v>0</v>
      </c>
      <c r="H60" s="16">
        <v>0</v>
      </c>
      <c r="I60" s="17">
        <v>0</v>
      </c>
      <c r="J60" s="15">
        <f t="shared" si="27"/>
        <v>10420</v>
      </c>
      <c r="K60" s="16">
        <v>10420</v>
      </c>
      <c r="L60" s="16">
        <v>0</v>
      </c>
      <c r="M60" s="16">
        <v>0</v>
      </c>
      <c r="N60" s="17">
        <v>0</v>
      </c>
      <c r="O60" s="18">
        <f t="shared" si="28"/>
        <v>53907</v>
      </c>
      <c r="P60" s="16">
        <v>53907</v>
      </c>
      <c r="Q60" s="16">
        <v>0</v>
      </c>
      <c r="R60" s="16">
        <v>0</v>
      </c>
      <c r="S60" s="37">
        <v>0</v>
      </c>
      <c r="T60" s="15">
        <f t="shared" si="29"/>
        <v>56063</v>
      </c>
      <c r="U60" s="16">
        <v>56063</v>
      </c>
      <c r="V60" s="16">
        <v>0</v>
      </c>
      <c r="W60" s="16">
        <v>0</v>
      </c>
      <c r="X60" s="17">
        <v>0</v>
      </c>
      <c r="Y60" s="15">
        <f t="shared" si="30"/>
        <v>58306</v>
      </c>
      <c r="Z60" s="16">
        <v>58306</v>
      </c>
      <c r="AA60" s="16">
        <v>0</v>
      </c>
      <c r="AB60" s="16">
        <v>0</v>
      </c>
      <c r="AC60" s="17">
        <v>0</v>
      </c>
      <c r="AD60" s="15">
        <f t="shared" si="31"/>
        <v>60638</v>
      </c>
      <c r="AE60" s="16">
        <v>60638</v>
      </c>
      <c r="AF60" s="16">
        <v>0</v>
      </c>
      <c r="AG60" s="16">
        <v>0</v>
      </c>
      <c r="AH60" s="17">
        <v>0</v>
      </c>
      <c r="AI60" s="92">
        <f t="shared" si="32"/>
        <v>249353</v>
      </c>
      <c r="AJ60" s="172"/>
    </row>
    <row r="61" spans="1:36" ht="62.45" customHeight="1" x14ac:dyDescent="0.25">
      <c r="A61" s="310"/>
      <c r="B61" s="314"/>
      <c r="C61" s="241" t="s">
        <v>99</v>
      </c>
      <c r="D61" s="238" t="s">
        <v>48</v>
      </c>
      <c r="E61" s="15">
        <f t="shared" si="26"/>
        <v>8068</v>
      </c>
      <c r="F61" s="16">
        <v>8068</v>
      </c>
      <c r="G61" s="16">
        <v>0</v>
      </c>
      <c r="H61" s="16">
        <v>0</v>
      </c>
      <c r="I61" s="17">
        <v>0</v>
      </c>
      <c r="J61" s="15">
        <f t="shared" si="27"/>
        <v>8068</v>
      </c>
      <c r="K61" s="16">
        <v>8068</v>
      </c>
      <c r="L61" s="16">
        <v>0</v>
      </c>
      <c r="M61" s="16">
        <v>0</v>
      </c>
      <c r="N61" s="17">
        <v>0</v>
      </c>
      <c r="O61" s="18">
        <f t="shared" si="28"/>
        <v>8391</v>
      </c>
      <c r="P61" s="16">
        <v>8391</v>
      </c>
      <c r="Q61" s="16">
        <v>0</v>
      </c>
      <c r="R61" s="16">
        <v>0</v>
      </c>
      <c r="S61" s="37">
        <v>0</v>
      </c>
      <c r="T61" s="15">
        <f t="shared" si="29"/>
        <v>8726</v>
      </c>
      <c r="U61" s="16">
        <v>8726</v>
      </c>
      <c r="V61" s="16">
        <v>0</v>
      </c>
      <c r="W61" s="16">
        <v>0</v>
      </c>
      <c r="X61" s="17">
        <v>0</v>
      </c>
      <c r="Y61" s="15">
        <f t="shared" si="30"/>
        <v>9075</v>
      </c>
      <c r="Z61" s="16">
        <v>9075</v>
      </c>
      <c r="AA61" s="16">
        <v>0</v>
      </c>
      <c r="AB61" s="16">
        <v>0</v>
      </c>
      <c r="AC61" s="17">
        <v>0</v>
      </c>
      <c r="AD61" s="15">
        <f t="shared" si="31"/>
        <v>9438</v>
      </c>
      <c r="AE61" s="16">
        <v>9438</v>
      </c>
      <c r="AF61" s="16">
        <v>0</v>
      </c>
      <c r="AG61" s="16">
        <v>0</v>
      </c>
      <c r="AH61" s="17">
        <v>0</v>
      </c>
      <c r="AI61" s="92">
        <f t="shared" si="32"/>
        <v>51766</v>
      </c>
      <c r="AJ61" s="172"/>
    </row>
    <row r="62" spans="1:36" ht="57.6" customHeight="1" x14ac:dyDescent="0.25">
      <c r="A62" s="236" t="s">
        <v>241</v>
      </c>
      <c r="B62" s="80" t="s">
        <v>89</v>
      </c>
      <c r="C62" s="241" t="s">
        <v>10</v>
      </c>
      <c r="D62" s="238" t="s">
        <v>48</v>
      </c>
      <c r="E62" s="85">
        <f t="shared" si="26"/>
        <v>1068</v>
      </c>
      <c r="F62" s="64">
        <v>1068</v>
      </c>
      <c r="G62" s="64">
        <v>0</v>
      </c>
      <c r="H62" s="64">
        <v>0</v>
      </c>
      <c r="I62" s="86">
        <v>0</v>
      </c>
      <c r="J62" s="85">
        <f t="shared" si="27"/>
        <v>1068</v>
      </c>
      <c r="K62" s="64">
        <v>1068</v>
      </c>
      <c r="L62" s="64">
        <v>0</v>
      </c>
      <c r="M62" s="64">
        <v>0</v>
      </c>
      <c r="N62" s="86">
        <v>0</v>
      </c>
      <c r="O62" s="18">
        <f t="shared" si="28"/>
        <v>1111</v>
      </c>
      <c r="P62" s="16">
        <v>1111</v>
      </c>
      <c r="Q62" s="16">
        <v>0</v>
      </c>
      <c r="R62" s="16">
        <v>0</v>
      </c>
      <c r="S62" s="37">
        <v>0</v>
      </c>
      <c r="T62" s="15">
        <f t="shared" si="29"/>
        <v>1155</v>
      </c>
      <c r="U62" s="16">
        <v>1155</v>
      </c>
      <c r="V62" s="16">
        <v>0</v>
      </c>
      <c r="W62" s="16">
        <v>0</v>
      </c>
      <c r="X62" s="17">
        <v>0</v>
      </c>
      <c r="Y62" s="15">
        <f t="shared" si="30"/>
        <v>1201</v>
      </c>
      <c r="Z62" s="16">
        <v>1201</v>
      </c>
      <c r="AA62" s="16">
        <v>0</v>
      </c>
      <c r="AB62" s="16">
        <v>0</v>
      </c>
      <c r="AC62" s="17">
        <v>0</v>
      </c>
      <c r="AD62" s="15">
        <f t="shared" si="31"/>
        <v>1249</v>
      </c>
      <c r="AE62" s="16">
        <v>1249</v>
      </c>
      <c r="AF62" s="16">
        <v>0</v>
      </c>
      <c r="AG62" s="16">
        <v>0</v>
      </c>
      <c r="AH62" s="17">
        <v>0</v>
      </c>
      <c r="AI62" s="92">
        <f t="shared" si="32"/>
        <v>6852</v>
      </c>
      <c r="AJ62" s="172"/>
    </row>
    <row r="63" spans="1:36" ht="66" customHeight="1" x14ac:dyDescent="0.25">
      <c r="A63" s="236" t="s">
        <v>242</v>
      </c>
      <c r="B63" s="80" t="s">
        <v>160</v>
      </c>
      <c r="C63" s="241" t="s">
        <v>98</v>
      </c>
      <c r="D63" s="238" t="s">
        <v>48</v>
      </c>
      <c r="E63" s="85" t="s">
        <v>277</v>
      </c>
      <c r="F63" s="64" t="s">
        <v>277</v>
      </c>
      <c r="G63" s="64">
        <v>0</v>
      </c>
      <c r="H63" s="64">
        <v>0</v>
      </c>
      <c r="I63" s="86">
        <v>0</v>
      </c>
      <c r="J63" s="85" t="s">
        <v>277</v>
      </c>
      <c r="K63" s="64" t="s">
        <v>277</v>
      </c>
      <c r="L63" s="64">
        <v>0</v>
      </c>
      <c r="M63" s="64">
        <v>0</v>
      </c>
      <c r="N63" s="86">
        <v>0</v>
      </c>
      <c r="O63" s="18" t="s">
        <v>278</v>
      </c>
      <c r="P63" s="16" t="s">
        <v>278</v>
      </c>
      <c r="Q63" s="16">
        <v>0</v>
      </c>
      <c r="R63" s="16">
        <v>0</v>
      </c>
      <c r="S63" s="37">
        <v>0</v>
      </c>
      <c r="T63" s="15">
        <f t="shared" si="29"/>
        <v>11126</v>
      </c>
      <c r="U63" s="16">
        <f>11126</f>
        <v>11126</v>
      </c>
      <c r="V63" s="16">
        <v>0</v>
      </c>
      <c r="W63" s="16">
        <v>0</v>
      </c>
      <c r="X63" s="17">
        <v>0</v>
      </c>
      <c r="Y63" s="15">
        <f t="shared" si="30"/>
        <v>11571</v>
      </c>
      <c r="Z63" s="16">
        <f>11571</f>
        <v>11571</v>
      </c>
      <c r="AA63" s="16">
        <v>0</v>
      </c>
      <c r="AB63" s="16">
        <v>0</v>
      </c>
      <c r="AC63" s="17">
        <v>0</v>
      </c>
      <c r="AD63" s="15">
        <f t="shared" si="31"/>
        <v>12034</v>
      </c>
      <c r="AE63" s="16">
        <f>12034</f>
        <v>12034</v>
      </c>
      <c r="AF63" s="16">
        <v>0</v>
      </c>
      <c r="AG63" s="16">
        <v>0</v>
      </c>
      <c r="AH63" s="17">
        <v>0</v>
      </c>
      <c r="AI63" s="92">
        <v>81003</v>
      </c>
      <c r="AJ63" s="172"/>
    </row>
    <row r="64" spans="1:36" ht="78.75" customHeight="1" x14ac:dyDescent="0.25">
      <c r="A64" s="236" t="s">
        <v>243</v>
      </c>
      <c r="B64" s="14" t="s">
        <v>159</v>
      </c>
      <c r="C64" s="38" t="s">
        <v>99</v>
      </c>
      <c r="D64" s="219" t="s">
        <v>48</v>
      </c>
      <c r="E64" s="42">
        <f>F64+G64+H64+I64</f>
        <v>14384</v>
      </c>
      <c r="F64" s="39">
        <f>11494+240+2650</f>
        <v>14384</v>
      </c>
      <c r="G64" s="39">
        <v>0</v>
      </c>
      <c r="H64" s="39">
        <v>0</v>
      </c>
      <c r="I64" s="40">
        <v>0</v>
      </c>
      <c r="J64" s="42">
        <f>K64+L64+M64+N64</f>
        <v>14382</v>
      </c>
      <c r="K64" s="39">
        <f>11494+240+2648</f>
        <v>14382</v>
      </c>
      <c r="L64" s="39">
        <v>0</v>
      </c>
      <c r="M64" s="39">
        <v>0</v>
      </c>
      <c r="N64" s="40">
        <v>0</v>
      </c>
      <c r="O64" s="42">
        <f t="shared" ref="O64" si="34">P64+Q64+R64+S64</f>
        <v>12203.36</v>
      </c>
      <c r="P64" s="39">
        <f>11734*1.04</f>
        <v>12203.36</v>
      </c>
      <c r="Q64" s="39">
        <v>0</v>
      </c>
      <c r="R64" s="39">
        <v>0</v>
      </c>
      <c r="S64" s="40">
        <v>0</v>
      </c>
      <c r="T64" s="42">
        <f t="shared" ref="T64" si="35">U64+V64+W64+X64</f>
        <v>12691</v>
      </c>
      <c r="U64" s="39">
        <v>12691</v>
      </c>
      <c r="V64" s="39">
        <v>0</v>
      </c>
      <c r="W64" s="39">
        <v>0</v>
      </c>
      <c r="X64" s="40">
        <v>0</v>
      </c>
      <c r="Y64" s="42">
        <f t="shared" ref="Y64" si="36">Z64+AA64+AB64+AC64</f>
        <v>13199</v>
      </c>
      <c r="Z64" s="39">
        <v>13199</v>
      </c>
      <c r="AA64" s="39">
        <v>0</v>
      </c>
      <c r="AB64" s="39">
        <v>0</v>
      </c>
      <c r="AC64" s="40">
        <v>0</v>
      </c>
      <c r="AD64" s="42">
        <f>AE64</f>
        <v>13727</v>
      </c>
      <c r="AE64" s="52">
        <v>13727</v>
      </c>
      <c r="AF64" s="39">
        <v>0</v>
      </c>
      <c r="AG64" s="39">
        <v>0</v>
      </c>
      <c r="AH64" s="40">
        <v>0</v>
      </c>
      <c r="AI64" s="49">
        <f>E64+J64+O64+T64+AD64+Y64</f>
        <v>80586.36</v>
      </c>
    </row>
    <row r="65" spans="1:37" ht="72.75" customHeight="1" thickBot="1" x14ac:dyDescent="0.3">
      <c r="A65" s="237" t="s">
        <v>244</v>
      </c>
      <c r="B65" s="254" t="s">
        <v>245</v>
      </c>
      <c r="C65" s="38" t="s">
        <v>98</v>
      </c>
      <c r="D65" s="239" t="s">
        <v>90</v>
      </c>
      <c r="E65" s="87">
        <f t="shared" si="26"/>
        <v>49770</v>
      </c>
      <c r="F65" s="88">
        <f>22814+22596+3753+607</f>
        <v>49770</v>
      </c>
      <c r="G65" s="88">
        <v>0</v>
      </c>
      <c r="H65" s="88">
        <v>0</v>
      </c>
      <c r="I65" s="89">
        <v>0</v>
      </c>
      <c r="J65" s="87">
        <f t="shared" si="27"/>
        <v>45420</v>
      </c>
      <c r="K65" s="88">
        <f>22824+22596</f>
        <v>45420</v>
      </c>
      <c r="L65" s="88">
        <v>0</v>
      </c>
      <c r="M65" s="88">
        <v>0</v>
      </c>
      <c r="N65" s="89">
        <v>0</v>
      </c>
      <c r="O65" s="52">
        <f t="shared" si="28"/>
        <v>222576</v>
      </c>
      <c r="P65" s="39">
        <f>15074+207502</f>
        <v>222576</v>
      </c>
      <c r="Q65" s="39">
        <v>0</v>
      </c>
      <c r="R65" s="39">
        <v>0</v>
      </c>
      <c r="S65" s="41">
        <v>0</v>
      </c>
      <c r="T65" s="42">
        <f t="shared" si="29"/>
        <v>212883</v>
      </c>
      <c r="U65" s="39">
        <v>212883</v>
      </c>
      <c r="V65" s="39">
        <v>0</v>
      </c>
      <c r="W65" s="39">
        <v>0</v>
      </c>
      <c r="X65" s="40">
        <v>0</v>
      </c>
      <c r="Y65" s="42">
        <f t="shared" si="30"/>
        <v>207308</v>
      </c>
      <c r="Z65" s="39">
        <v>207308</v>
      </c>
      <c r="AA65" s="39">
        <v>0</v>
      </c>
      <c r="AB65" s="39">
        <v>0</v>
      </c>
      <c r="AC65" s="40">
        <v>0</v>
      </c>
      <c r="AD65" s="42">
        <f t="shared" si="31"/>
        <v>0</v>
      </c>
      <c r="AE65" s="39">
        <v>0</v>
      </c>
      <c r="AF65" s="39">
        <v>0</v>
      </c>
      <c r="AG65" s="39">
        <v>0</v>
      </c>
      <c r="AH65" s="40">
        <v>0</v>
      </c>
      <c r="AI65" s="98">
        <f t="shared" si="32"/>
        <v>737957</v>
      </c>
      <c r="AJ65" s="172"/>
    </row>
    <row r="66" spans="1:37" s="146" customFormat="1" ht="41.25" customHeight="1" thickBot="1" x14ac:dyDescent="0.3">
      <c r="A66" s="315" t="s">
        <v>184</v>
      </c>
      <c r="B66" s="316"/>
      <c r="C66" s="147"/>
      <c r="D66" s="164"/>
      <c r="E66" s="165">
        <f>F66+G66+H66+I66</f>
        <v>555485</v>
      </c>
      <c r="F66" s="134">
        <v>555485</v>
      </c>
      <c r="G66" s="134">
        <f>SUM(G52:G65)</f>
        <v>0</v>
      </c>
      <c r="H66" s="134">
        <f>SUM(H52:H65)</f>
        <v>0</v>
      </c>
      <c r="I66" s="134">
        <f>SUM(I52:I65)</f>
        <v>0</v>
      </c>
      <c r="J66" s="133">
        <f>K66+L66+M66+N66</f>
        <v>591611</v>
      </c>
      <c r="K66" s="134">
        <v>591611</v>
      </c>
      <c r="L66" s="134">
        <f>SUM(L52:L65)</f>
        <v>0</v>
      </c>
      <c r="M66" s="134">
        <f>SUM(M52:M65)</f>
        <v>0</v>
      </c>
      <c r="N66" s="134">
        <f>SUM(N52:N65)</f>
        <v>0</v>
      </c>
      <c r="O66" s="150">
        <f>P66+Q66+R66+S66</f>
        <v>830075</v>
      </c>
      <c r="P66" s="137">
        <v>830075</v>
      </c>
      <c r="Q66" s="137">
        <f>SUM(Q52:Q65)</f>
        <v>0</v>
      </c>
      <c r="R66" s="137">
        <f>SUM(R52:R65)</f>
        <v>0</v>
      </c>
      <c r="S66" s="137">
        <f>SUM(S52:S65)</f>
        <v>0</v>
      </c>
      <c r="T66" s="136">
        <f>U66+V66+W66+X66</f>
        <v>839481</v>
      </c>
      <c r="U66" s="137">
        <f>SUM(U52:U65)</f>
        <v>839481</v>
      </c>
      <c r="V66" s="137">
        <f>SUM(V52:V65)</f>
        <v>0</v>
      </c>
      <c r="W66" s="137">
        <f>SUM(W52:W65)</f>
        <v>0</v>
      </c>
      <c r="X66" s="137">
        <f>SUM(X52:X65)</f>
        <v>0</v>
      </c>
      <c r="Y66" s="150">
        <f>Z66+AA66+AB66+AC66</f>
        <v>858971</v>
      </c>
      <c r="Z66" s="137">
        <f>SUM(Z52:Z65)</f>
        <v>858971</v>
      </c>
      <c r="AA66" s="137">
        <f>SUM(AA52:AA65)</f>
        <v>0</v>
      </c>
      <c r="AB66" s="137">
        <f>SUM(AB52:AB65)</f>
        <v>0</v>
      </c>
      <c r="AC66" s="137">
        <f>SUM(AC52:AC65)</f>
        <v>0</v>
      </c>
      <c r="AD66" s="136">
        <f>AE66+AF66+AG66+AH66</f>
        <v>677531</v>
      </c>
      <c r="AE66" s="137">
        <f>SUM(AE52:AE65)</f>
        <v>677531</v>
      </c>
      <c r="AF66" s="137">
        <f>SUM(AF52:AF65)</f>
        <v>0</v>
      </c>
      <c r="AG66" s="137">
        <f>SUM(AG52:AG65)</f>
        <v>0</v>
      </c>
      <c r="AH66" s="137">
        <f>SUM(AH52:AH65)</f>
        <v>0</v>
      </c>
      <c r="AI66" s="159">
        <f>E66+J66+O66+T66+Y66+AD66</f>
        <v>4353154</v>
      </c>
      <c r="AJ66" s="173">
        <f>SUM(AI52:AI65)</f>
        <v>4353154.3599999994</v>
      </c>
    </row>
    <row r="67" spans="1:37" ht="42" customHeight="1" x14ac:dyDescent="0.25">
      <c r="A67" s="100"/>
      <c r="B67" s="128" t="s">
        <v>96</v>
      </c>
      <c r="C67" s="240" t="s">
        <v>10</v>
      </c>
      <c r="D67" s="212"/>
      <c r="E67" s="106">
        <f t="shared" si="26"/>
        <v>273542</v>
      </c>
      <c r="F67" s="83">
        <f>F52+F54+F56+F58+F59+F60+F62</f>
        <v>273542</v>
      </c>
      <c r="G67" s="83">
        <f>G52+G60+G62+G58</f>
        <v>0</v>
      </c>
      <c r="H67" s="83">
        <f>H52+H60+H62+H58</f>
        <v>0</v>
      </c>
      <c r="I67" s="111">
        <f>I52+I60+I62+I58</f>
        <v>0</v>
      </c>
      <c r="J67" s="82">
        <f t="shared" si="27"/>
        <v>314020</v>
      </c>
      <c r="K67" s="83">
        <f>K52+K54+K56+K58+K59+K60+K62</f>
        <v>314020</v>
      </c>
      <c r="L67" s="83">
        <f>L52+L60+L62+L58</f>
        <v>0</v>
      </c>
      <c r="M67" s="83">
        <f>M52+M60+M62+M58</f>
        <v>0</v>
      </c>
      <c r="N67" s="84">
        <f>N52+N60+N62+N58</f>
        <v>0</v>
      </c>
      <c r="O67" s="109">
        <f t="shared" si="28"/>
        <v>368996</v>
      </c>
      <c r="P67" s="83">
        <f>P52+P54+P56+P58+P59+P60+P62</f>
        <v>368996</v>
      </c>
      <c r="Q67" s="32">
        <f>Q52+Q60+Q62+Q58</f>
        <v>0</v>
      </c>
      <c r="R67" s="32">
        <f>R52+R60+R62+R58</f>
        <v>0</v>
      </c>
      <c r="S67" s="72">
        <f>S52+S60+S62+S58</f>
        <v>0</v>
      </c>
      <c r="T67" s="31">
        <f>U67+V67+W67+X67</f>
        <v>383755</v>
      </c>
      <c r="U67" s="83">
        <f>U52+U54+U56+U58+U59+U60+U62</f>
        <v>383755</v>
      </c>
      <c r="V67" s="32">
        <f>V52+V60+V62+V58</f>
        <v>0</v>
      </c>
      <c r="W67" s="32">
        <f>W52+W60+W62+W58</f>
        <v>0</v>
      </c>
      <c r="X67" s="33">
        <f>X52+X60+X62+X58</f>
        <v>0</v>
      </c>
      <c r="Y67" s="109">
        <f t="shared" si="30"/>
        <v>399106</v>
      </c>
      <c r="Z67" s="83">
        <f>Z52+Z54+Z56+Z58+Z59+Z60+Z62</f>
        <v>399106</v>
      </c>
      <c r="AA67" s="32">
        <f>AA52+AA60+AA62+AA58</f>
        <v>0</v>
      </c>
      <c r="AB67" s="32">
        <f>AB52+AB60+AB62+AB58</f>
        <v>0</v>
      </c>
      <c r="AC67" s="72">
        <f>AC52+AC60+AC62+AC58</f>
        <v>0</v>
      </c>
      <c r="AD67" s="31">
        <f>AE67+AF67+AG67+AH67</f>
        <v>414872</v>
      </c>
      <c r="AE67" s="83">
        <f>AE52+AE54+AE56+AE58+AE59+AE60+AE62</f>
        <v>414872</v>
      </c>
      <c r="AF67" s="32">
        <f>AF52+AF60+AF62+AF58</f>
        <v>0</v>
      </c>
      <c r="AG67" s="32">
        <f>AG52+AG60+AG62+AG58</f>
        <v>0</v>
      </c>
      <c r="AH67" s="33">
        <f>SUM(AH52:AH65)</f>
        <v>0</v>
      </c>
      <c r="AI67" s="91">
        <f>E67+J67+O67+T67+Y67+AD67</f>
        <v>2154291</v>
      </c>
      <c r="AJ67" s="110">
        <f>AI67+AI68</f>
        <v>4353154</v>
      </c>
    </row>
    <row r="68" spans="1:37" ht="61.15" customHeight="1" thickBot="1" x14ac:dyDescent="0.3">
      <c r="A68" s="174"/>
      <c r="B68" s="175"/>
      <c r="C68" s="242" t="s">
        <v>98</v>
      </c>
      <c r="D68" s="66"/>
      <c r="E68" s="99">
        <f>F68+G68+H68+I68</f>
        <v>281943</v>
      </c>
      <c r="F68" s="69">
        <v>281943</v>
      </c>
      <c r="G68" s="69">
        <f>G53+G61+G55+G63+G65</f>
        <v>0</v>
      </c>
      <c r="H68" s="69">
        <f>H53+H61+H55+H63+H65</f>
        <v>0</v>
      </c>
      <c r="I68" s="112">
        <f>I53+I61+I55+I63+I65</f>
        <v>0</v>
      </c>
      <c r="J68" s="68">
        <f t="shared" si="27"/>
        <v>277591</v>
      </c>
      <c r="K68" s="69">
        <v>277591</v>
      </c>
      <c r="L68" s="69">
        <f>L53+L61+L55+L63+L65</f>
        <v>0</v>
      </c>
      <c r="M68" s="69">
        <f>M53+M61+M55+M63+M65</f>
        <v>0</v>
      </c>
      <c r="N68" s="70">
        <f>N53+N61+N55+N63+N65</f>
        <v>0</v>
      </c>
      <c r="O68" s="54">
        <f t="shared" si="28"/>
        <v>461079</v>
      </c>
      <c r="P68" s="55">
        <v>461079</v>
      </c>
      <c r="Q68" s="55">
        <f>Q53+Q61+Q55+Q63+Q65</f>
        <v>0</v>
      </c>
      <c r="R68" s="55">
        <f>R53+R61+R55+R63+R65</f>
        <v>0</v>
      </c>
      <c r="S68" s="71">
        <f>S53+S61+S55+S63+S65</f>
        <v>0</v>
      </c>
      <c r="T68" s="53">
        <f>U68+V68+W68+X68</f>
        <v>455726</v>
      </c>
      <c r="U68" s="55">
        <f>U53+U55+U57+U61+U63+U64+U65</f>
        <v>455726</v>
      </c>
      <c r="V68" s="55">
        <f>V53+V61+V55+V63+V65</f>
        <v>0</v>
      </c>
      <c r="W68" s="55">
        <f>W53+W61+W55+W63+W65</f>
        <v>0</v>
      </c>
      <c r="X68" s="56">
        <f>X53+X61+X55+X63+X65</f>
        <v>0</v>
      </c>
      <c r="Y68" s="54">
        <f t="shared" si="30"/>
        <v>459865</v>
      </c>
      <c r="Z68" s="55">
        <f>Z53+Z55+Z57+Z61+Z63+Z64+Z65</f>
        <v>459865</v>
      </c>
      <c r="AA68" s="55">
        <f>AA53+AA61+AA55+AA63+AA65</f>
        <v>0</v>
      </c>
      <c r="AB68" s="55">
        <f>AB53+AB61+AB55+AB63+AB65</f>
        <v>0</v>
      </c>
      <c r="AC68" s="71">
        <f>AC53+AC61+AC55+AC63+AC65</f>
        <v>0</v>
      </c>
      <c r="AD68" s="53">
        <f>AE68+AF68+AG68+AH68</f>
        <v>262659</v>
      </c>
      <c r="AE68" s="55">
        <f>AE53+AE55+AE57+AE61+AE63+AE64+AE65</f>
        <v>262659</v>
      </c>
      <c r="AF68" s="55">
        <f>AF53+AF61+AF55+AF63+AF65</f>
        <v>0</v>
      </c>
      <c r="AG68" s="55">
        <f>AG53+AG61+AG55+AG63+AG65</f>
        <v>0</v>
      </c>
      <c r="AH68" s="56">
        <f>AH53+AH61+AH55+AH63+AH65</f>
        <v>0</v>
      </c>
      <c r="AI68" s="73">
        <f>E68+J68+O68+T68+Y68+AD68</f>
        <v>2198863</v>
      </c>
      <c r="AJ68" s="110"/>
    </row>
    <row r="69" spans="1:37" ht="37.15" customHeight="1" thickBot="1" x14ac:dyDescent="0.3">
      <c r="A69" s="317" t="s">
        <v>183</v>
      </c>
      <c r="B69" s="318"/>
      <c r="C69" s="318"/>
      <c r="D69" s="318"/>
      <c r="E69" s="318"/>
      <c r="F69" s="318"/>
      <c r="G69" s="318"/>
      <c r="H69" s="318"/>
      <c r="I69" s="318"/>
      <c r="J69" s="318"/>
      <c r="K69" s="318"/>
      <c r="L69" s="318"/>
      <c r="M69" s="318"/>
      <c r="N69" s="318"/>
      <c r="O69" s="318"/>
      <c r="P69" s="318"/>
      <c r="Q69" s="318"/>
      <c r="R69" s="318"/>
      <c r="S69" s="318"/>
      <c r="T69" s="318"/>
      <c r="U69" s="318"/>
      <c r="V69" s="318"/>
      <c r="W69" s="318"/>
      <c r="X69" s="318"/>
      <c r="Y69" s="318"/>
      <c r="Z69" s="318"/>
      <c r="AA69" s="318"/>
      <c r="AB69" s="318"/>
      <c r="AC69" s="318"/>
      <c r="AD69" s="318"/>
      <c r="AE69" s="318"/>
      <c r="AF69" s="318"/>
      <c r="AG69" s="318"/>
      <c r="AH69" s="318"/>
      <c r="AI69" s="319"/>
      <c r="AJ69" s="172"/>
    </row>
    <row r="70" spans="1:37" ht="67.150000000000006" customHeight="1" x14ac:dyDescent="0.25">
      <c r="A70" s="235" t="s">
        <v>246</v>
      </c>
      <c r="B70" s="93" t="s">
        <v>247</v>
      </c>
      <c r="C70" s="95" t="s">
        <v>100</v>
      </c>
      <c r="D70" s="212" t="s">
        <v>48</v>
      </c>
      <c r="E70" s="82">
        <f t="shared" ref="E70:E79" si="37">F70+G70+H70+I70</f>
        <v>38661</v>
      </c>
      <c r="F70" s="83">
        <f>6107+16358+2001+6454+2237+915+2197+2392</f>
        <v>38661</v>
      </c>
      <c r="G70" s="83">
        <v>0</v>
      </c>
      <c r="H70" s="83">
        <v>0</v>
      </c>
      <c r="I70" s="84">
        <v>0</v>
      </c>
      <c r="J70" s="82">
        <f t="shared" ref="J70:J79" si="38">K70+L70+M70+N70</f>
        <v>38667</v>
      </c>
      <c r="K70" s="83">
        <f>6107+16364+2001+6454+2237+915+2197+2392</f>
        <v>38667</v>
      </c>
      <c r="L70" s="83">
        <v>0</v>
      </c>
      <c r="M70" s="83">
        <v>0</v>
      </c>
      <c r="N70" s="84">
        <v>0</v>
      </c>
      <c r="O70" s="31">
        <f t="shared" ref="O70:O79" si="39">P70+Q70+R70+S70</f>
        <v>49939</v>
      </c>
      <c r="P70" s="32">
        <f>8320+17678+2081+6713+4651+951+4577+4968</f>
        <v>49939</v>
      </c>
      <c r="Q70" s="32">
        <v>0</v>
      </c>
      <c r="R70" s="32">
        <v>0</v>
      </c>
      <c r="S70" s="33">
        <v>0</v>
      </c>
      <c r="T70" s="31">
        <f t="shared" ref="T70:T79" si="40">U70+V70+W70+X70</f>
        <v>51907</v>
      </c>
      <c r="U70" s="32">
        <f>8642+18385+2164+6981+4833+989+4761+5152</f>
        <v>51907</v>
      </c>
      <c r="V70" s="32">
        <v>0</v>
      </c>
      <c r="W70" s="32">
        <v>0</v>
      </c>
      <c r="X70" s="33">
        <v>0</v>
      </c>
      <c r="Y70" s="31">
        <f t="shared" ref="Y70:Y79" si="41">Z70+AA70+AB70+AC70</f>
        <v>53940</v>
      </c>
      <c r="Z70" s="32">
        <f>8974+19120+2251+7260+5026+1029+4944+5336</f>
        <v>53940</v>
      </c>
      <c r="AA70" s="32">
        <v>0</v>
      </c>
      <c r="AB70" s="32">
        <v>0</v>
      </c>
      <c r="AC70" s="33">
        <v>0</v>
      </c>
      <c r="AD70" s="31">
        <f t="shared" ref="AD70:AD79" si="42">AE70+AF70+AG70+AH70</f>
        <v>54941</v>
      </c>
      <c r="AE70" s="32">
        <f>9332+18775+2341+7551+5225+1070+5127+5520</f>
        <v>54941</v>
      </c>
      <c r="AF70" s="32">
        <v>0</v>
      </c>
      <c r="AG70" s="32">
        <v>0</v>
      </c>
      <c r="AH70" s="33">
        <v>0</v>
      </c>
      <c r="AI70" s="91">
        <f>E70+J70+O70+T70+Y70+AD70</f>
        <v>288055</v>
      </c>
      <c r="AJ70" s="172"/>
    </row>
    <row r="71" spans="1:37" ht="54" customHeight="1" x14ac:dyDescent="0.25">
      <c r="A71" s="236" t="s">
        <v>248</v>
      </c>
      <c r="B71" s="94" t="s">
        <v>91</v>
      </c>
      <c r="C71" s="96" t="s">
        <v>100</v>
      </c>
      <c r="D71" s="238" t="s">
        <v>92</v>
      </c>
      <c r="E71" s="85">
        <f t="shared" si="37"/>
        <v>0</v>
      </c>
      <c r="F71" s="64">
        <v>0</v>
      </c>
      <c r="G71" s="64">
        <v>0</v>
      </c>
      <c r="H71" s="64">
        <v>0</v>
      </c>
      <c r="I71" s="86">
        <v>0</v>
      </c>
      <c r="J71" s="85">
        <f t="shared" si="38"/>
        <v>0</v>
      </c>
      <c r="K71" s="64">
        <v>0</v>
      </c>
      <c r="L71" s="64">
        <v>0</v>
      </c>
      <c r="M71" s="64">
        <v>0</v>
      </c>
      <c r="N71" s="86">
        <v>0</v>
      </c>
      <c r="O71" s="15">
        <f t="shared" si="39"/>
        <v>9973</v>
      </c>
      <c r="P71" s="16">
        <v>9973</v>
      </c>
      <c r="Q71" s="16">
        <v>0</v>
      </c>
      <c r="R71" s="16">
        <v>0</v>
      </c>
      <c r="S71" s="17">
        <v>0</v>
      </c>
      <c r="T71" s="15">
        <f t="shared" si="40"/>
        <v>10373</v>
      </c>
      <c r="U71" s="16">
        <v>10373</v>
      </c>
      <c r="V71" s="16">
        <v>0</v>
      </c>
      <c r="W71" s="16">
        <v>0</v>
      </c>
      <c r="X71" s="17">
        <v>0</v>
      </c>
      <c r="Y71" s="15">
        <f t="shared" si="41"/>
        <v>10788</v>
      </c>
      <c r="Z71" s="16">
        <v>10788</v>
      </c>
      <c r="AA71" s="16">
        <v>0</v>
      </c>
      <c r="AB71" s="16">
        <v>0</v>
      </c>
      <c r="AC71" s="17">
        <v>0</v>
      </c>
      <c r="AD71" s="15">
        <f t="shared" si="42"/>
        <v>0</v>
      </c>
      <c r="AE71" s="16">
        <v>0</v>
      </c>
      <c r="AF71" s="16">
        <v>0</v>
      </c>
      <c r="AG71" s="16">
        <v>0</v>
      </c>
      <c r="AH71" s="17">
        <v>0</v>
      </c>
      <c r="AI71" s="92">
        <f>Y71+T71+O71+J71+E71+AD71</f>
        <v>31134</v>
      </c>
      <c r="AJ71" s="172"/>
    </row>
    <row r="72" spans="1:37" ht="54" customHeight="1" x14ac:dyDescent="0.25">
      <c r="A72" s="236" t="s">
        <v>249</v>
      </c>
      <c r="B72" s="94" t="s">
        <v>93</v>
      </c>
      <c r="C72" s="96" t="s">
        <v>100</v>
      </c>
      <c r="D72" s="238" t="s">
        <v>92</v>
      </c>
      <c r="E72" s="85">
        <f t="shared" si="37"/>
        <v>0</v>
      </c>
      <c r="F72" s="64">
        <v>0</v>
      </c>
      <c r="G72" s="64">
        <v>0</v>
      </c>
      <c r="H72" s="64">
        <v>0</v>
      </c>
      <c r="I72" s="86">
        <v>0</v>
      </c>
      <c r="J72" s="85">
        <f t="shared" si="38"/>
        <v>0</v>
      </c>
      <c r="K72" s="64">
        <v>0</v>
      </c>
      <c r="L72" s="64">
        <v>0</v>
      </c>
      <c r="M72" s="64">
        <v>0</v>
      </c>
      <c r="N72" s="86">
        <v>0</v>
      </c>
      <c r="O72" s="15">
        <f t="shared" si="39"/>
        <v>100704</v>
      </c>
      <c r="P72" s="16">
        <v>100704</v>
      </c>
      <c r="Q72" s="16">
        <v>0</v>
      </c>
      <c r="R72" s="16">
        <v>0</v>
      </c>
      <c r="S72" s="17">
        <v>0</v>
      </c>
      <c r="T72" s="15">
        <f t="shared" si="40"/>
        <v>35439</v>
      </c>
      <c r="U72" s="16">
        <v>35439</v>
      </c>
      <c r="V72" s="16">
        <v>0</v>
      </c>
      <c r="W72" s="16">
        <v>0</v>
      </c>
      <c r="X72" s="17">
        <v>0</v>
      </c>
      <c r="Y72" s="15">
        <f t="shared" si="41"/>
        <v>60368</v>
      </c>
      <c r="Z72" s="16">
        <v>60368</v>
      </c>
      <c r="AA72" s="16">
        <v>0</v>
      </c>
      <c r="AB72" s="16">
        <v>0</v>
      </c>
      <c r="AC72" s="17">
        <v>0</v>
      </c>
      <c r="AD72" s="15">
        <f t="shared" si="42"/>
        <v>0</v>
      </c>
      <c r="AE72" s="16">
        <v>0</v>
      </c>
      <c r="AF72" s="16">
        <v>0</v>
      </c>
      <c r="AG72" s="16">
        <v>0</v>
      </c>
      <c r="AH72" s="17">
        <v>0</v>
      </c>
      <c r="AI72" s="92">
        <f>Y72+T72+O72+J72+E72+AD72</f>
        <v>196511</v>
      </c>
      <c r="AJ72" s="172"/>
    </row>
    <row r="73" spans="1:37" ht="54" customHeight="1" x14ac:dyDescent="0.25">
      <c r="A73" s="236" t="s">
        <v>250</v>
      </c>
      <c r="B73" s="94" t="s">
        <v>94</v>
      </c>
      <c r="C73" s="96" t="s">
        <v>101</v>
      </c>
      <c r="D73" s="238" t="s">
        <v>48</v>
      </c>
      <c r="E73" s="85">
        <f t="shared" si="37"/>
        <v>19960</v>
      </c>
      <c r="F73" s="64">
        <v>19960</v>
      </c>
      <c r="G73" s="64">
        <v>0</v>
      </c>
      <c r="H73" s="64">
        <v>0</v>
      </c>
      <c r="I73" s="86">
        <v>0</v>
      </c>
      <c r="J73" s="85">
        <f t="shared" si="38"/>
        <v>19960</v>
      </c>
      <c r="K73" s="64">
        <v>19960</v>
      </c>
      <c r="L73" s="64">
        <v>0</v>
      </c>
      <c r="M73" s="64">
        <v>0</v>
      </c>
      <c r="N73" s="86">
        <v>0</v>
      </c>
      <c r="O73" s="15">
        <f t="shared" si="39"/>
        <v>20758</v>
      </c>
      <c r="P73" s="16">
        <v>20758</v>
      </c>
      <c r="Q73" s="16">
        <v>0</v>
      </c>
      <c r="R73" s="16">
        <v>0</v>
      </c>
      <c r="S73" s="17">
        <v>0</v>
      </c>
      <c r="T73" s="15">
        <f t="shared" si="40"/>
        <v>21589</v>
      </c>
      <c r="U73" s="16">
        <v>21589</v>
      </c>
      <c r="V73" s="16">
        <v>0</v>
      </c>
      <c r="W73" s="16">
        <v>0</v>
      </c>
      <c r="X73" s="17">
        <v>0</v>
      </c>
      <c r="Y73" s="15">
        <f t="shared" si="41"/>
        <v>22452</v>
      </c>
      <c r="Z73" s="16">
        <v>22452</v>
      </c>
      <c r="AA73" s="16">
        <v>0</v>
      </c>
      <c r="AB73" s="16">
        <v>0</v>
      </c>
      <c r="AC73" s="17">
        <v>0</v>
      </c>
      <c r="AD73" s="15">
        <f t="shared" si="42"/>
        <v>23350</v>
      </c>
      <c r="AE73" s="16">
        <v>23350</v>
      </c>
      <c r="AF73" s="16">
        <v>0</v>
      </c>
      <c r="AG73" s="16">
        <v>0</v>
      </c>
      <c r="AH73" s="17">
        <v>0</v>
      </c>
      <c r="AI73" s="92">
        <f>Y73+T73+O73+J73+E73+AD73</f>
        <v>128069</v>
      </c>
      <c r="AJ73" s="172"/>
    </row>
    <row r="74" spans="1:37" ht="54" customHeight="1" thickBot="1" x14ac:dyDescent="0.3">
      <c r="A74" s="65" t="s">
        <v>251</v>
      </c>
      <c r="B74" s="81" t="s">
        <v>95</v>
      </c>
      <c r="C74" s="97" t="s">
        <v>100</v>
      </c>
      <c r="D74" s="239" t="s">
        <v>48</v>
      </c>
      <c r="E74" s="87">
        <f t="shared" si="37"/>
        <v>4730</v>
      </c>
      <c r="F74" s="88">
        <v>4730</v>
      </c>
      <c r="G74" s="88">
        <v>0</v>
      </c>
      <c r="H74" s="88">
        <v>0</v>
      </c>
      <c r="I74" s="89">
        <v>0</v>
      </c>
      <c r="J74" s="87">
        <f t="shared" si="38"/>
        <v>4919</v>
      </c>
      <c r="K74" s="88">
        <v>4919</v>
      </c>
      <c r="L74" s="88">
        <v>0</v>
      </c>
      <c r="M74" s="88">
        <v>0</v>
      </c>
      <c r="N74" s="89">
        <v>0</v>
      </c>
      <c r="O74" s="42">
        <f t="shared" si="39"/>
        <v>6377</v>
      </c>
      <c r="P74" s="39">
        <v>6377</v>
      </c>
      <c r="Q74" s="39">
        <v>0</v>
      </c>
      <c r="R74" s="39">
        <v>0</v>
      </c>
      <c r="S74" s="40">
        <v>0</v>
      </c>
      <c r="T74" s="42">
        <f t="shared" si="40"/>
        <v>6632</v>
      </c>
      <c r="U74" s="39">
        <v>6632</v>
      </c>
      <c r="V74" s="39">
        <v>0</v>
      </c>
      <c r="W74" s="39">
        <v>0</v>
      </c>
      <c r="X74" s="40">
        <v>0</v>
      </c>
      <c r="Y74" s="42">
        <f t="shared" si="41"/>
        <v>6898</v>
      </c>
      <c r="Z74" s="39">
        <v>6898</v>
      </c>
      <c r="AA74" s="39">
        <v>0</v>
      </c>
      <c r="AB74" s="39">
        <v>0</v>
      </c>
      <c r="AC74" s="40">
        <v>0</v>
      </c>
      <c r="AD74" s="42">
        <f t="shared" si="42"/>
        <v>7174</v>
      </c>
      <c r="AE74" s="39">
        <v>7174</v>
      </c>
      <c r="AF74" s="39">
        <v>0</v>
      </c>
      <c r="AG74" s="39">
        <v>0</v>
      </c>
      <c r="AH74" s="40">
        <v>0</v>
      </c>
      <c r="AI74" s="98">
        <f>Y74+T74+O74+J74+E74+AD74</f>
        <v>36730</v>
      </c>
      <c r="AJ74" s="172"/>
    </row>
    <row r="75" spans="1:37" s="146" customFormat="1" ht="37.15" customHeight="1" thickBot="1" x14ac:dyDescent="0.3">
      <c r="A75" s="320" t="s">
        <v>185</v>
      </c>
      <c r="B75" s="321"/>
      <c r="C75" s="178"/>
      <c r="D75" s="164"/>
      <c r="E75" s="133">
        <f t="shared" si="37"/>
        <v>63351</v>
      </c>
      <c r="F75" s="134">
        <f>SUM(F70:F74)</f>
        <v>63351</v>
      </c>
      <c r="G75" s="134">
        <f>SUM(G70:G74)</f>
        <v>0</v>
      </c>
      <c r="H75" s="134">
        <f>SUM(H70:H74)</f>
        <v>0</v>
      </c>
      <c r="I75" s="135">
        <f>SUM(I70:I74)</f>
        <v>0</v>
      </c>
      <c r="J75" s="133">
        <f t="shared" si="38"/>
        <v>63546</v>
      </c>
      <c r="K75" s="134">
        <f>SUM(K70:K74)</f>
        <v>63546</v>
      </c>
      <c r="L75" s="134">
        <f>SUM(L70:L74)</f>
        <v>0</v>
      </c>
      <c r="M75" s="134">
        <f>SUM(M70:M74)</f>
        <v>0</v>
      </c>
      <c r="N75" s="135">
        <f>SUM(N70:N74)</f>
        <v>0</v>
      </c>
      <c r="O75" s="136">
        <f t="shared" si="39"/>
        <v>187751</v>
      </c>
      <c r="P75" s="137">
        <f>SUM(P70:P74)</f>
        <v>187751</v>
      </c>
      <c r="Q75" s="137">
        <f>SUM(Q70:Q74)</f>
        <v>0</v>
      </c>
      <c r="R75" s="137">
        <f>SUM(R70:R74)</f>
        <v>0</v>
      </c>
      <c r="S75" s="138">
        <f>SUM(S70:S74)</f>
        <v>0</v>
      </c>
      <c r="T75" s="136">
        <f t="shared" si="40"/>
        <v>125940</v>
      </c>
      <c r="U75" s="137">
        <f>SUM(U70:U74)</f>
        <v>125940</v>
      </c>
      <c r="V75" s="137">
        <f>SUM(V70:V74)</f>
        <v>0</v>
      </c>
      <c r="W75" s="137">
        <f>SUM(W70:W74)</f>
        <v>0</v>
      </c>
      <c r="X75" s="138">
        <f>SUM(X70:X74)</f>
        <v>0</v>
      </c>
      <c r="Y75" s="136">
        <f t="shared" si="41"/>
        <v>154446</v>
      </c>
      <c r="Z75" s="137">
        <f>SUM(Z70:Z74)</f>
        <v>154446</v>
      </c>
      <c r="AA75" s="137">
        <f>SUM(AA70:AA74)</f>
        <v>0</v>
      </c>
      <c r="AB75" s="137">
        <f>SUM(AB70:AB74)</f>
        <v>0</v>
      </c>
      <c r="AC75" s="138">
        <f>SUM(AC70:AC74)</f>
        <v>0</v>
      </c>
      <c r="AD75" s="136">
        <f t="shared" si="42"/>
        <v>85465</v>
      </c>
      <c r="AE75" s="137">
        <f>SUM(AE70:AE74)</f>
        <v>85465</v>
      </c>
      <c r="AF75" s="137">
        <f>SUM(AF70:AF74)</f>
        <v>0</v>
      </c>
      <c r="AG75" s="137">
        <f>SUM(AG70:AG74)</f>
        <v>0</v>
      </c>
      <c r="AH75" s="138">
        <f>SUM(AH70:AH74)</f>
        <v>0</v>
      </c>
      <c r="AI75" s="159">
        <f>E75+J75+O75+T75+Y75+AD75</f>
        <v>680499</v>
      </c>
      <c r="AJ75" s="113">
        <f>AI70+AI71+AI72+AI73+AI74</f>
        <v>680499</v>
      </c>
    </row>
    <row r="76" spans="1:37" ht="50.45" customHeight="1" thickBot="1" x14ac:dyDescent="0.3">
      <c r="A76" s="322" t="s">
        <v>35</v>
      </c>
      <c r="B76" s="323"/>
      <c r="C76" s="129"/>
      <c r="D76" s="130"/>
      <c r="E76" s="133">
        <f t="shared" si="37"/>
        <v>972671</v>
      </c>
      <c r="F76" s="134">
        <v>971047</v>
      </c>
      <c r="G76" s="134">
        <f>G24+G34+G44+G50+G66+G75</f>
        <v>0</v>
      </c>
      <c r="H76" s="134">
        <f>H24+H34+H44+H50+H66+H75</f>
        <v>0</v>
      </c>
      <c r="I76" s="134">
        <f>I24+I34+I44+I50+I66+I75</f>
        <v>1624</v>
      </c>
      <c r="J76" s="131">
        <f t="shared" si="38"/>
        <v>956959</v>
      </c>
      <c r="K76" s="132">
        <v>955335</v>
      </c>
      <c r="L76" s="132">
        <f>L24+L34+L44+L50+L66+L75</f>
        <v>0</v>
      </c>
      <c r="M76" s="132">
        <f>M24+M34+M44+M50+M66+M75</f>
        <v>0</v>
      </c>
      <c r="N76" s="132">
        <f>N24+N34+N44+N50+N66+N75</f>
        <v>1624</v>
      </c>
      <c r="O76" s="136">
        <f t="shared" si="39"/>
        <v>1787260</v>
      </c>
      <c r="P76" s="137">
        <v>1785636</v>
      </c>
      <c r="Q76" s="137">
        <f>Q24+Q34+Q44+Q50+Q66+Q75</f>
        <v>0</v>
      </c>
      <c r="R76" s="137">
        <f>R24+R34+R44+R50+R66+R75</f>
        <v>0</v>
      </c>
      <c r="S76" s="137">
        <f>S24+S34+S44+S50+S66+S75</f>
        <v>1624</v>
      </c>
      <c r="T76" s="221">
        <f t="shared" si="40"/>
        <v>1613022</v>
      </c>
      <c r="U76" s="222">
        <f>U24+U34+U44+U50+U66+U75</f>
        <v>1611398</v>
      </c>
      <c r="V76" s="222">
        <f>V24+V34+V44+V50+V66+V75</f>
        <v>0</v>
      </c>
      <c r="W76" s="222">
        <f>W24+W34+W44+W50+W66+W75</f>
        <v>0</v>
      </c>
      <c r="X76" s="222">
        <f>X24+X34+X44+X50+X66+X75</f>
        <v>1624</v>
      </c>
      <c r="Y76" s="136">
        <f t="shared" si="41"/>
        <v>1710664</v>
      </c>
      <c r="Z76" s="137">
        <f>Z24+Z34+Z44+Z50+Z66+Z75</f>
        <v>1709040</v>
      </c>
      <c r="AA76" s="137">
        <f>AA24+AA34+AA44+AA50+AA66+AA75</f>
        <v>0</v>
      </c>
      <c r="AB76" s="137">
        <f>AB24+AB34+AB44+AB50+AB66+AB75</f>
        <v>0</v>
      </c>
      <c r="AC76" s="137">
        <f>AC24+AC34+AC44+AC50+AC66+AC75</f>
        <v>1624</v>
      </c>
      <c r="AD76" s="221">
        <f t="shared" si="42"/>
        <v>1448506</v>
      </c>
      <c r="AE76" s="222">
        <f>AE24+AE34+AE44+AE50+AE66+AE75</f>
        <v>1446882</v>
      </c>
      <c r="AF76" s="222">
        <f>AF24+AF34+AF44+AF50+AF66+AF75</f>
        <v>0</v>
      </c>
      <c r="AG76" s="222">
        <f>AG24+AG34+AG44+AG50+AG66+AG75</f>
        <v>0</v>
      </c>
      <c r="AH76" s="222">
        <f>AH24+AH34+AH44+AH50+AH66+AH75</f>
        <v>1624</v>
      </c>
      <c r="AI76" s="159">
        <f>E76+J76+O76+T76+Y76+AD76</f>
        <v>8489082</v>
      </c>
      <c r="AJ76" s="166">
        <f>AJ24+AJ34+AJ44+AJ50+AJ66+AJ75</f>
        <v>8488082.1999999993</v>
      </c>
    </row>
    <row r="77" spans="1:37" ht="34.9" customHeight="1" x14ac:dyDescent="0.25">
      <c r="A77" s="123"/>
      <c r="B77" s="128" t="s">
        <v>96</v>
      </c>
      <c r="C77" s="240" t="s">
        <v>10</v>
      </c>
      <c r="D77" s="107"/>
      <c r="E77" s="109">
        <f>F77+G77+H77+I77</f>
        <v>519633</v>
      </c>
      <c r="F77" s="32">
        <f>F25+F35+F45+F50+F67</f>
        <v>518009</v>
      </c>
      <c r="G77" s="32">
        <f>G25+G35+G45+G50+G67</f>
        <v>0</v>
      </c>
      <c r="H77" s="32">
        <f>H25+H35+H45+H50+H67</f>
        <v>0</v>
      </c>
      <c r="I77" s="32">
        <f>I25+I35+I45+I50+I67</f>
        <v>1624</v>
      </c>
      <c r="J77" s="31">
        <f t="shared" si="38"/>
        <v>508078</v>
      </c>
      <c r="K77" s="32">
        <f>K25+K35+K45+K50+K67</f>
        <v>506454</v>
      </c>
      <c r="L77" s="32">
        <f>L25+L35+L45+L50+L67</f>
        <v>0</v>
      </c>
      <c r="M77" s="32">
        <f>M25+M35+M45+M50+M67</f>
        <v>0</v>
      </c>
      <c r="N77" s="32">
        <f>N25+N35+N45+N50+N67</f>
        <v>1624</v>
      </c>
      <c r="O77" s="31">
        <f t="shared" si="39"/>
        <v>1026376</v>
      </c>
      <c r="P77" s="32">
        <f>P25+P35+P45+P50+P67</f>
        <v>1024752</v>
      </c>
      <c r="Q77" s="32">
        <f>Q25+Q35+Q45+Q50+Q67</f>
        <v>0</v>
      </c>
      <c r="R77" s="32">
        <f>R25+R35+R45+R50+R67</f>
        <v>0</v>
      </c>
      <c r="S77" s="32">
        <f>S25+S35+S45+S50+S67</f>
        <v>1624</v>
      </c>
      <c r="T77" s="31">
        <f t="shared" si="40"/>
        <v>914820</v>
      </c>
      <c r="U77" s="32">
        <f>U25+U35+U45+U50+U67</f>
        <v>913196</v>
      </c>
      <c r="V77" s="32">
        <f>V25+V35+V45+V50+V67</f>
        <v>0</v>
      </c>
      <c r="W77" s="32">
        <f>W25+W35+W45+W50+W67</f>
        <v>0</v>
      </c>
      <c r="X77" s="32">
        <f>X25+X35+X45+X50+X67</f>
        <v>1624</v>
      </c>
      <c r="Y77" s="31">
        <f t="shared" si="41"/>
        <v>975156</v>
      </c>
      <c r="Z77" s="32">
        <f>Z25+Z35+Z45+Z50+Z67</f>
        <v>973532</v>
      </c>
      <c r="AA77" s="32">
        <f>AA25+AA35+AA45+AA50+AA67</f>
        <v>0</v>
      </c>
      <c r="AB77" s="32">
        <f>AB25+AB35+AB45+AB50+AB67</f>
        <v>0</v>
      </c>
      <c r="AC77" s="32">
        <f>AC25+AC35+AC45+AC50+AC67</f>
        <v>1624</v>
      </c>
      <c r="AD77" s="31">
        <f t="shared" si="42"/>
        <v>974337</v>
      </c>
      <c r="AE77" s="32">
        <f>AE25+AE35+AE45+AE50+AE67</f>
        <v>972713</v>
      </c>
      <c r="AF77" s="32">
        <f>AF25+AF35+AF45+AF50+AF67</f>
        <v>0</v>
      </c>
      <c r="AG77" s="32">
        <f>AG25+AG35+AG45+AG50+AG67</f>
        <v>0</v>
      </c>
      <c r="AH77" s="32">
        <f>AH25+AH35+AH45+AH50+AH67</f>
        <v>1624</v>
      </c>
      <c r="AI77" s="13">
        <f>E77+J77+O77+T77+Y77+AD77</f>
        <v>4918400</v>
      </c>
      <c r="AJ77" s="172"/>
    </row>
    <row r="78" spans="1:37" ht="48.6" customHeight="1" x14ac:dyDescent="0.25">
      <c r="A78" s="124"/>
      <c r="B78" s="125"/>
      <c r="C78" s="241" t="s">
        <v>99</v>
      </c>
      <c r="D78" s="14"/>
      <c r="E78" s="18">
        <f t="shared" si="37"/>
        <v>389687</v>
      </c>
      <c r="F78" s="16">
        <v>389687</v>
      </c>
      <c r="G78" s="16">
        <f>G26+G36+G46+G68</f>
        <v>0</v>
      </c>
      <c r="H78" s="16">
        <f>H26+H36+H46+H68</f>
        <v>0</v>
      </c>
      <c r="I78" s="16">
        <f>I26+I36+I46+I68</f>
        <v>0</v>
      </c>
      <c r="J78" s="15">
        <f t="shared" si="38"/>
        <v>385335</v>
      </c>
      <c r="K78" s="16">
        <v>385335</v>
      </c>
      <c r="L78" s="16">
        <f>L36+L46+L68+L26</f>
        <v>0</v>
      </c>
      <c r="M78" s="16">
        <f>M36+M46+M68+M26</f>
        <v>0</v>
      </c>
      <c r="N78" s="16">
        <f>N36+N46+N68+N26</f>
        <v>0</v>
      </c>
      <c r="O78" s="15">
        <f t="shared" si="39"/>
        <v>573133</v>
      </c>
      <c r="P78" s="16">
        <v>573133</v>
      </c>
      <c r="Q78" s="16">
        <f>Q36+Q46+Q68+Q26</f>
        <v>0</v>
      </c>
      <c r="R78" s="16">
        <f>R36+R46+R68+R26</f>
        <v>0</v>
      </c>
      <c r="S78" s="16">
        <f>S36+S46+S68+S26</f>
        <v>0</v>
      </c>
      <c r="T78" s="15">
        <f t="shared" si="40"/>
        <v>572262</v>
      </c>
      <c r="U78" s="16">
        <f>U26+U36+U46+U68</f>
        <v>572262</v>
      </c>
      <c r="V78" s="16">
        <f t="shared" ref="V78:X78" si="43">V53+V55+V57+V61+V63+V64+V65</f>
        <v>0</v>
      </c>
      <c r="W78" s="16">
        <f t="shared" si="43"/>
        <v>0</v>
      </c>
      <c r="X78" s="16">
        <f t="shared" si="43"/>
        <v>0</v>
      </c>
      <c r="Y78" s="15">
        <f t="shared" si="41"/>
        <v>581062</v>
      </c>
      <c r="Z78" s="16">
        <f>Z26+Z36+Z46+Z68</f>
        <v>581062</v>
      </c>
      <c r="AA78" s="16">
        <f>AA26+AA36+AA46+AA68</f>
        <v>0</v>
      </c>
      <c r="AB78" s="16">
        <f>AB26+AB36+AB46+AB68</f>
        <v>0</v>
      </c>
      <c r="AC78" s="16">
        <f>AC26+AC36+AC46+AC68</f>
        <v>0</v>
      </c>
      <c r="AD78" s="15">
        <f t="shared" si="42"/>
        <v>388704</v>
      </c>
      <c r="AE78" s="16">
        <f>AE26+AE36+AE46+AE68</f>
        <v>388704</v>
      </c>
      <c r="AF78" s="16">
        <f>AF26+AF36+AF46+AF68</f>
        <v>0</v>
      </c>
      <c r="AG78" s="16">
        <f>AG26+AG36+AG46+AG68</f>
        <v>0</v>
      </c>
      <c r="AH78" s="16">
        <f>AH26+AH36+AH46+AH68</f>
        <v>0</v>
      </c>
      <c r="AI78" s="19">
        <f t="shared" ref="AI78:AI79" si="44">E78+J78+O78+T78+Y78+AD78</f>
        <v>2890183</v>
      </c>
      <c r="AJ78" s="172"/>
    </row>
    <row r="79" spans="1:37" s="1" customFormat="1" ht="49.9" customHeight="1" thickBot="1" x14ac:dyDescent="0.3">
      <c r="A79" s="126"/>
      <c r="B79" s="127"/>
      <c r="C79" s="118" t="s">
        <v>100</v>
      </c>
      <c r="D79" s="119"/>
      <c r="E79" s="120">
        <f t="shared" si="37"/>
        <v>63351</v>
      </c>
      <c r="F79" s="114">
        <f>F75</f>
        <v>63351</v>
      </c>
      <c r="G79" s="114">
        <f t="shared" ref="G79:I79" si="45">G75</f>
        <v>0</v>
      </c>
      <c r="H79" s="114">
        <f t="shared" si="45"/>
        <v>0</v>
      </c>
      <c r="I79" s="114">
        <f t="shared" si="45"/>
        <v>0</v>
      </c>
      <c r="J79" s="121">
        <f t="shared" si="38"/>
        <v>63546</v>
      </c>
      <c r="K79" s="114">
        <f>K75</f>
        <v>63546</v>
      </c>
      <c r="L79" s="114">
        <f t="shared" ref="L79:N79" si="46">L75</f>
        <v>0</v>
      </c>
      <c r="M79" s="114">
        <f t="shared" si="46"/>
        <v>0</v>
      </c>
      <c r="N79" s="122">
        <f t="shared" si="46"/>
        <v>0</v>
      </c>
      <c r="O79" s="121">
        <f t="shared" si="39"/>
        <v>187751</v>
      </c>
      <c r="P79" s="114">
        <f>P75</f>
        <v>187751</v>
      </c>
      <c r="Q79" s="114">
        <f t="shared" ref="Q79:S79" si="47">Q75</f>
        <v>0</v>
      </c>
      <c r="R79" s="114">
        <f t="shared" si="47"/>
        <v>0</v>
      </c>
      <c r="S79" s="105">
        <f t="shared" si="47"/>
        <v>0</v>
      </c>
      <c r="T79" s="121">
        <f t="shared" si="40"/>
        <v>125940</v>
      </c>
      <c r="U79" s="114">
        <f>U75</f>
        <v>125940</v>
      </c>
      <c r="V79" s="114">
        <f t="shared" ref="V79:X79" si="48">V75</f>
        <v>0</v>
      </c>
      <c r="W79" s="114">
        <f t="shared" si="48"/>
        <v>0</v>
      </c>
      <c r="X79" s="114">
        <f t="shared" si="48"/>
        <v>0</v>
      </c>
      <c r="Y79" s="121">
        <f t="shared" si="41"/>
        <v>154446</v>
      </c>
      <c r="Z79" s="114">
        <f>Z75</f>
        <v>154446</v>
      </c>
      <c r="AA79" s="114">
        <f t="shared" ref="AA79:AC79" si="49">AA75</f>
        <v>0</v>
      </c>
      <c r="AB79" s="114">
        <f t="shared" si="49"/>
        <v>0</v>
      </c>
      <c r="AC79" s="114">
        <f t="shared" si="49"/>
        <v>0</v>
      </c>
      <c r="AD79" s="121">
        <f t="shared" si="42"/>
        <v>85465</v>
      </c>
      <c r="AE79" s="114">
        <f>AE75</f>
        <v>85465</v>
      </c>
      <c r="AF79" s="114">
        <f t="shared" ref="AF79:AH79" si="50">AF75</f>
        <v>0</v>
      </c>
      <c r="AG79" s="114">
        <f t="shared" si="50"/>
        <v>0</v>
      </c>
      <c r="AH79" s="114">
        <f t="shared" si="50"/>
        <v>0</v>
      </c>
      <c r="AI79" s="34">
        <f t="shared" si="44"/>
        <v>680499</v>
      </c>
      <c r="AJ79" s="173"/>
      <c r="AK79" s="245"/>
    </row>
    <row r="80" spans="1:37" s="1" customFormat="1" ht="33" customHeight="1" x14ac:dyDescent="0.25">
      <c r="B80" s="308" t="s">
        <v>36</v>
      </c>
      <c r="C80" s="308"/>
      <c r="D80" s="308"/>
      <c r="E80" s="308"/>
      <c r="F80" s="308"/>
      <c r="G80" s="308"/>
      <c r="H80" s="308"/>
      <c r="I80" s="308"/>
      <c r="J80" s="308"/>
      <c r="K80" s="308"/>
      <c r="L80" s="308"/>
      <c r="M80" s="308"/>
      <c r="N80" s="308"/>
      <c r="O80" s="308"/>
      <c r="P80" s="51"/>
      <c r="Q80" s="51"/>
      <c r="T80" s="51"/>
      <c r="U80" s="51"/>
      <c r="V80" s="51"/>
      <c r="Y80" s="51"/>
      <c r="Z80" s="51"/>
      <c r="AA80" s="51"/>
      <c r="AB80" s="51"/>
      <c r="AC80" s="51"/>
      <c r="AI80" s="51"/>
      <c r="AJ80" s="173"/>
      <c r="AK80" s="245"/>
    </row>
    <row r="81" spans="2:37" s="1" customFormat="1" ht="27.75" customHeight="1" x14ac:dyDescent="0.25">
      <c r="B81" s="298" t="s">
        <v>265</v>
      </c>
      <c r="C81" s="298"/>
      <c r="D81" s="298"/>
      <c r="E81" s="298"/>
      <c r="F81" s="298"/>
      <c r="G81" s="298"/>
      <c r="H81" s="298"/>
      <c r="I81" s="298"/>
      <c r="J81" s="298"/>
      <c r="K81" s="298"/>
      <c r="L81" s="298"/>
      <c r="M81" s="298"/>
      <c r="N81" s="298"/>
      <c r="O81" s="298"/>
      <c r="P81" s="51"/>
      <c r="Q81" s="51"/>
      <c r="T81" s="51"/>
      <c r="U81" s="51"/>
      <c r="V81" s="51"/>
      <c r="Y81" s="51"/>
      <c r="Z81" s="51"/>
      <c r="AA81" s="51"/>
      <c r="AB81" s="51"/>
      <c r="AC81" s="51"/>
      <c r="AI81" s="51"/>
      <c r="AJ81" s="173"/>
      <c r="AK81" s="298"/>
    </row>
    <row r="82" spans="2:37" s="1" customFormat="1" ht="33" customHeight="1" x14ac:dyDescent="0.25">
      <c r="B82" s="245"/>
      <c r="C82" s="245"/>
      <c r="D82" s="245"/>
      <c r="E82" s="255"/>
      <c r="F82" s="255"/>
      <c r="G82" s="245"/>
      <c r="H82" s="245"/>
      <c r="I82" s="245"/>
      <c r="J82" s="245"/>
      <c r="K82" s="245"/>
      <c r="L82" s="245"/>
      <c r="M82" s="245"/>
      <c r="N82" s="245"/>
      <c r="O82" s="204"/>
      <c r="P82" s="205"/>
      <c r="Q82" s="205"/>
      <c r="R82" s="206"/>
      <c r="S82" s="206"/>
      <c r="T82" s="205"/>
      <c r="U82" s="205"/>
      <c r="V82" s="51"/>
      <c r="Y82" s="51"/>
      <c r="Z82" s="51"/>
      <c r="AA82" s="51"/>
      <c r="AB82" s="51"/>
      <c r="AC82" s="51"/>
      <c r="AI82" s="51"/>
      <c r="AJ82" s="173"/>
      <c r="AK82" s="245"/>
    </row>
    <row r="83" spans="2:37" ht="39.6" customHeight="1" x14ac:dyDescent="0.25"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</row>
    <row r="86" spans="2:37" x14ac:dyDescent="0.25">
      <c r="P86" s="20"/>
      <c r="R86" s="20"/>
      <c r="T86" s="20"/>
    </row>
    <row r="87" spans="2:37" ht="33" customHeight="1" x14ac:dyDescent="0.25">
      <c r="P87" s="262"/>
      <c r="Q87" s="262"/>
    </row>
    <row r="88" spans="2:37" ht="18.75" x14ac:dyDescent="0.25">
      <c r="P88" s="262"/>
      <c r="Q88" s="262"/>
      <c r="R88" s="20"/>
      <c r="V88" s="20"/>
    </row>
    <row r="90" spans="2:37" x14ac:dyDescent="0.25">
      <c r="R90" s="20"/>
    </row>
  </sheetData>
  <mergeCells count="47">
    <mergeCell ref="B8:AH8"/>
    <mergeCell ref="H1:AI1"/>
    <mergeCell ref="H2:AI2"/>
    <mergeCell ref="H3:AI3"/>
    <mergeCell ref="H4:AI4"/>
    <mergeCell ref="H5:AI5"/>
    <mergeCell ref="AD11:AH11"/>
    <mergeCell ref="AI11:AI12"/>
    <mergeCell ref="A14:AH14"/>
    <mergeCell ref="A15:AH15"/>
    <mergeCell ref="A20:A21"/>
    <mergeCell ref="B20:B21"/>
    <mergeCell ref="A10:A12"/>
    <mergeCell ref="B10:B12"/>
    <mergeCell ref="C10:C12"/>
    <mergeCell ref="D10:D12"/>
    <mergeCell ref="E10:AI10"/>
    <mergeCell ref="E11:I11"/>
    <mergeCell ref="J11:N11"/>
    <mergeCell ref="O11:S11"/>
    <mergeCell ref="T11:X11"/>
    <mergeCell ref="Y11:AC11"/>
    <mergeCell ref="A24:B24"/>
    <mergeCell ref="A27:AI27"/>
    <mergeCell ref="A29:A30"/>
    <mergeCell ref="B29:B30"/>
    <mergeCell ref="A31:A32"/>
    <mergeCell ref="B31:B32"/>
    <mergeCell ref="A34:B34"/>
    <mergeCell ref="A37:AI37"/>
    <mergeCell ref="A44:B44"/>
    <mergeCell ref="A47:AI47"/>
    <mergeCell ref="A50:B50"/>
    <mergeCell ref="A51:AI51"/>
    <mergeCell ref="A52:A53"/>
    <mergeCell ref="B52:B53"/>
    <mergeCell ref="B80:O80"/>
    <mergeCell ref="A54:A55"/>
    <mergeCell ref="B54:B55"/>
    <mergeCell ref="A60:A61"/>
    <mergeCell ref="B60:B61"/>
    <mergeCell ref="A66:B66"/>
    <mergeCell ref="A69:AI69"/>
    <mergeCell ref="A75:B75"/>
    <mergeCell ref="A76:B76"/>
    <mergeCell ref="A56:A57"/>
    <mergeCell ref="B56:B57"/>
  </mergeCells>
  <hyperlinks>
    <hyperlink ref="A24" location="P32" display="P32"/>
  </hyperlinks>
  <printOptions horizontalCentered="1"/>
  <pageMargins left="0.17" right="0.15748031496062992" top="0.43307086614173229" bottom="0.35433070866141736" header="0.31496062992125984" footer="0.31496062992125984"/>
  <pageSetup paperSize="9" scale="37" firstPageNumber="25" orientation="landscape" useFirstPageNumber="1" r:id="rId1"/>
  <headerFooter>
    <oddHeader>&amp;C&amp;10&amp;P</oddHeader>
  </headerFooter>
  <rowBreaks count="3" manualBreakCount="3">
    <brk id="32" max="34" man="1"/>
    <brk id="55" max="34" man="1"/>
    <brk id="83" max="3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3"/>
  <sheetViews>
    <sheetView topLeftCell="A16" zoomScale="80" zoomScaleNormal="80" workbookViewId="0">
      <selection activeCell="P25" sqref="O25:P25"/>
    </sheetView>
  </sheetViews>
  <sheetFormatPr defaultColWidth="9.140625" defaultRowHeight="15.75" x14ac:dyDescent="0.25"/>
  <cols>
    <col min="1" max="1" width="7.140625" style="57" customWidth="1"/>
    <col min="2" max="2" width="53.7109375" style="57" customWidth="1"/>
    <col min="3" max="3" width="46.85546875" style="57" customWidth="1"/>
    <col min="4" max="4" width="8.7109375" style="57" bestFit="1" customWidth="1"/>
    <col min="5" max="11" width="11.7109375" style="57" customWidth="1"/>
    <col min="12" max="12" width="9.140625" style="57"/>
    <col min="13" max="13" width="9.140625" style="295"/>
    <col min="14" max="16384" width="9.140625" style="57"/>
  </cols>
  <sheetData>
    <row r="1" spans="1:17" x14ac:dyDescent="0.25">
      <c r="A1" s="58"/>
      <c r="H1" s="389" t="s">
        <v>87</v>
      </c>
      <c r="I1" s="389"/>
      <c r="J1" s="389"/>
      <c r="K1" s="389"/>
    </row>
    <row r="2" spans="1:17" x14ac:dyDescent="0.25">
      <c r="A2" s="58"/>
      <c r="H2" s="389" t="s">
        <v>40</v>
      </c>
      <c r="I2" s="389"/>
      <c r="J2" s="389"/>
      <c r="K2" s="389"/>
    </row>
    <row r="3" spans="1:17" x14ac:dyDescent="0.25">
      <c r="A3" s="58"/>
      <c r="H3" s="389" t="s">
        <v>41</v>
      </c>
      <c r="I3" s="389"/>
      <c r="J3" s="389"/>
      <c r="K3" s="389"/>
    </row>
    <row r="4" spans="1:17" x14ac:dyDescent="0.25">
      <c r="A4" s="58"/>
      <c r="H4" s="389" t="s">
        <v>42</v>
      </c>
      <c r="I4" s="389"/>
      <c r="J4" s="389"/>
      <c r="K4" s="389"/>
    </row>
    <row r="5" spans="1:17" x14ac:dyDescent="0.25">
      <c r="A5" s="58"/>
      <c r="H5" s="389" t="s">
        <v>43</v>
      </c>
      <c r="I5" s="389"/>
      <c r="J5" s="389"/>
      <c r="K5" s="389"/>
    </row>
    <row r="6" spans="1:17" x14ac:dyDescent="0.25">
      <c r="A6" s="59"/>
    </row>
    <row r="7" spans="1:17" ht="37.5" customHeight="1" x14ac:dyDescent="0.25">
      <c r="A7" s="390" t="s">
        <v>86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</row>
    <row r="8" spans="1:17" x14ac:dyDescent="0.25">
      <c r="A8" s="63"/>
    </row>
    <row r="9" spans="1:17" ht="35.25" customHeight="1" x14ac:dyDescent="0.25">
      <c r="A9" s="382" t="s">
        <v>85</v>
      </c>
      <c r="B9" s="382" t="s">
        <v>1</v>
      </c>
      <c r="C9" s="382" t="s">
        <v>84</v>
      </c>
      <c r="D9" s="382" t="s">
        <v>83</v>
      </c>
      <c r="E9" s="382" t="s">
        <v>82</v>
      </c>
      <c r="F9" s="382" t="s">
        <v>81</v>
      </c>
      <c r="G9" s="382"/>
      <c r="H9" s="382"/>
      <c r="I9" s="382"/>
      <c r="J9" s="382"/>
      <c r="K9" s="382"/>
    </row>
    <row r="10" spans="1:17" ht="24.75" customHeight="1" x14ac:dyDescent="0.25">
      <c r="A10" s="382"/>
      <c r="B10" s="382"/>
      <c r="C10" s="382"/>
      <c r="D10" s="382"/>
      <c r="E10" s="382"/>
      <c r="F10" s="60" t="s">
        <v>253</v>
      </c>
      <c r="G10" s="60" t="s">
        <v>254</v>
      </c>
      <c r="H10" s="60" t="s">
        <v>255</v>
      </c>
      <c r="I10" s="60" t="s">
        <v>256</v>
      </c>
      <c r="J10" s="60" t="s">
        <v>257</v>
      </c>
      <c r="K10" s="60" t="s">
        <v>258</v>
      </c>
    </row>
    <row r="11" spans="1:17" x14ac:dyDescent="0.25">
      <c r="A11" s="198">
        <v>1</v>
      </c>
      <c r="B11" s="198">
        <v>2</v>
      </c>
      <c r="C11" s="198">
        <v>3</v>
      </c>
      <c r="D11" s="198">
        <v>4</v>
      </c>
      <c r="E11" s="198">
        <v>5</v>
      </c>
      <c r="F11" s="198">
        <v>6</v>
      </c>
      <c r="G11" s="198">
        <v>7</v>
      </c>
      <c r="H11" s="198">
        <v>8</v>
      </c>
      <c r="I11" s="198">
        <v>9</v>
      </c>
      <c r="J11" s="198">
        <v>10</v>
      </c>
      <c r="K11" s="198">
        <v>11</v>
      </c>
    </row>
    <row r="12" spans="1:17" ht="26.25" customHeight="1" x14ac:dyDescent="0.25">
      <c r="A12" s="391" t="s">
        <v>45</v>
      </c>
      <c r="B12" s="391"/>
      <c r="C12" s="391"/>
      <c r="D12" s="391"/>
      <c r="E12" s="391"/>
      <c r="F12" s="391"/>
      <c r="G12" s="391"/>
      <c r="H12" s="391"/>
      <c r="I12" s="391"/>
      <c r="J12" s="391"/>
      <c r="K12" s="391"/>
    </row>
    <row r="13" spans="1:17" ht="27.6" customHeight="1" x14ac:dyDescent="0.25">
      <c r="A13" s="383" t="s">
        <v>149</v>
      </c>
      <c r="B13" s="383"/>
      <c r="C13" s="383"/>
      <c r="D13" s="383"/>
      <c r="E13" s="383"/>
      <c r="F13" s="383"/>
      <c r="G13" s="383"/>
      <c r="H13" s="383"/>
      <c r="I13" s="383"/>
      <c r="J13" s="383"/>
      <c r="K13" s="383"/>
    </row>
    <row r="14" spans="1:17" ht="60.6" customHeight="1" x14ac:dyDescent="0.25">
      <c r="A14" s="60" t="s">
        <v>80</v>
      </c>
      <c r="B14" s="199" t="s">
        <v>187</v>
      </c>
      <c r="C14" s="60" t="s">
        <v>79</v>
      </c>
      <c r="D14" s="60" t="s">
        <v>56</v>
      </c>
      <c r="E14" s="60">
        <v>11</v>
      </c>
      <c r="F14" s="60">
        <f>10+12</f>
        <v>22</v>
      </c>
      <c r="G14" s="60">
        <f>8+35</f>
        <v>43</v>
      </c>
      <c r="H14" s="60">
        <f>2+16</f>
        <v>18</v>
      </c>
      <c r="I14" s="60">
        <v>15</v>
      </c>
      <c r="J14" s="60">
        <v>13</v>
      </c>
      <c r="K14" s="60">
        <v>14</v>
      </c>
      <c r="N14" s="295"/>
      <c r="O14" s="295"/>
    </row>
    <row r="15" spans="1:17" s="61" customFormat="1" ht="57.75" customHeight="1" x14ac:dyDescent="0.25">
      <c r="A15" s="223" t="s">
        <v>163</v>
      </c>
      <c r="B15" s="209" t="s">
        <v>78</v>
      </c>
      <c r="C15" s="189" t="s">
        <v>164</v>
      </c>
      <c r="D15" s="181" t="s">
        <v>106</v>
      </c>
      <c r="E15" s="210" t="s">
        <v>53</v>
      </c>
      <c r="F15" s="211">
        <v>8893</v>
      </c>
      <c r="G15" s="211">
        <v>8950</v>
      </c>
      <c r="H15" s="211">
        <v>14191</v>
      </c>
      <c r="I15" s="211">
        <v>13134</v>
      </c>
      <c r="J15" s="16">
        <f>2074+10100</f>
        <v>12174</v>
      </c>
      <c r="K15" s="16">
        <f>2074+9250</f>
        <v>11324</v>
      </c>
      <c r="M15" s="297"/>
    </row>
    <row r="16" spans="1:17" ht="46.5" customHeight="1" x14ac:dyDescent="0.25">
      <c r="A16" s="60" t="s">
        <v>77</v>
      </c>
      <c r="B16" s="199" t="s">
        <v>76</v>
      </c>
      <c r="C16" s="60" t="s">
        <v>75</v>
      </c>
      <c r="D16" s="60" t="s">
        <v>56</v>
      </c>
      <c r="E16" s="60">
        <v>2</v>
      </c>
      <c r="F16" s="60">
        <v>3</v>
      </c>
      <c r="G16" s="60" t="s">
        <v>53</v>
      </c>
      <c r="H16" s="60">
        <v>47</v>
      </c>
      <c r="I16" s="60">
        <v>16</v>
      </c>
      <c r="J16" s="60">
        <v>15</v>
      </c>
      <c r="K16" s="60">
        <v>13</v>
      </c>
      <c r="N16" s="264"/>
      <c r="O16" s="264"/>
      <c r="P16" s="264"/>
      <c r="Q16" s="264"/>
    </row>
    <row r="17" spans="1:21" ht="54.6" customHeight="1" x14ac:dyDescent="0.25">
      <c r="A17" s="214" t="s">
        <v>74</v>
      </c>
      <c r="B17" s="213" t="s">
        <v>252</v>
      </c>
      <c r="C17" s="214" t="s">
        <v>165</v>
      </c>
      <c r="D17" s="214" t="s">
        <v>56</v>
      </c>
      <c r="E17" s="214" t="s">
        <v>53</v>
      </c>
      <c r="F17" s="214">
        <v>10</v>
      </c>
      <c r="G17" s="214">
        <v>10</v>
      </c>
      <c r="H17" s="214">
        <v>54</v>
      </c>
      <c r="I17" s="214">
        <v>52</v>
      </c>
      <c r="J17" s="214">
        <v>54</v>
      </c>
      <c r="K17" s="214">
        <v>51</v>
      </c>
      <c r="N17" s="264"/>
      <c r="O17" s="264"/>
      <c r="P17" s="264"/>
      <c r="Q17" s="264"/>
      <c r="R17" s="264"/>
      <c r="S17" s="264"/>
      <c r="T17" s="264">
        <f>13+13+15+13</f>
        <v>54</v>
      </c>
      <c r="U17" s="264">
        <f>R17+S17+T17</f>
        <v>54</v>
      </c>
    </row>
    <row r="18" spans="1:21" ht="52.5" customHeight="1" x14ac:dyDescent="0.25">
      <c r="A18" s="385" t="s">
        <v>73</v>
      </c>
      <c r="B18" s="384" t="s">
        <v>167</v>
      </c>
      <c r="C18" s="279" t="s">
        <v>168</v>
      </c>
      <c r="D18" s="279" t="s">
        <v>56</v>
      </c>
      <c r="E18" s="279" t="s">
        <v>53</v>
      </c>
      <c r="F18" s="279">
        <v>115</v>
      </c>
      <c r="G18" s="279">
        <v>115</v>
      </c>
      <c r="H18" s="62">
        <v>115</v>
      </c>
      <c r="I18" s="62">
        <v>115</v>
      </c>
      <c r="J18" s="62">
        <v>115</v>
      </c>
      <c r="K18" s="62">
        <v>115</v>
      </c>
    </row>
    <row r="19" spans="1:21" ht="52.5" customHeight="1" x14ac:dyDescent="0.25">
      <c r="A19" s="385"/>
      <c r="B19" s="384"/>
      <c r="C19" s="279" t="s">
        <v>166</v>
      </c>
      <c r="D19" s="279" t="s">
        <v>56</v>
      </c>
      <c r="E19" s="279" t="s">
        <v>53</v>
      </c>
      <c r="F19" s="279">
        <v>20</v>
      </c>
      <c r="G19" s="279">
        <v>20</v>
      </c>
      <c r="H19" s="62">
        <v>20</v>
      </c>
      <c r="I19" s="62">
        <v>20</v>
      </c>
      <c r="J19" s="62">
        <v>20</v>
      </c>
      <c r="K19" s="62">
        <v>20</v>
      </c>
    </row>
    <row r="20" spans="1:21" s="61" customFormat="1" ht="58.5" customHeight="1" x14ac:dyDescent="0.25">
      <c r="A20" s="192" t="s">
        <v>38</v>
      </c>
      <c r="B20" s="200" t="s">
        <v>189</v>
      </c>
      <c r="C20" s="62" t="s">
        <v>201</v>
      </c>
      <c r="D20" s="62" t="s">
        <v>56</v>
      </c>
      <c r="E20" s="62" t="s">
        <v>53</v>
      </c>
      <c r="F20" s="62" t="s">
        <v>266</v>
      </c>
      <c r="G20" s="62" t="s">
        <v>267</v>
      </c>
      <c r="H20" s="62" t="s">
        <v>268</v>
      </c>
      <c r="I20" s="62">
        <v>8</v>
      </c>
      <c r="J20" s="62">
        <v>10</v>
      </c>
      <c r="K20" s="62">
        <v>7</v>
      </c>
      <c r="M20" s="296"/>
      <c r="N20" s="294"/>
      <c r="O20" s="294"/>
      <c r="P20" s="294"/>
      <c r="Q20" s="294"/>
    </row>
    <row r="21" spans="1:21" ht="57" customHeight="1" x14ac:dyDescent="0.25">
      <c r="A21" s="60" t="s">
        <v>169</v>
      </c>
      <c r="B21" s="199" t="s">
        <v>260</v>
      </c>
      <c r="C21" s="60" t="s">
        <v>279</v>
      </c>
      <c r="D21" s="60" t="s">
        <v>61</v>
      </c>
      <c r="E21" s="60" t="s">
        <v>53</v>
      </c>
      <c r="F21" s="60">
        <v>100</v>
      </c>
      <c r="G21" s="300">
        <v>100</v>
      </c>
      <c r="H21" s="300">
        <v>100</v>
      </c>
      <c r="I21" s="300">
        <v>100</v>
      </c>
      <c r="J21" s="300">
        <v>100</v>
      </c>
      <c r="K21" s="300">
        <v>100</v>
      </c>
      <c r="N21" s="295"/>
      <c r="O21" s="295"/>
      <c r="P21" s="295"/>
      <c r="Q21" s="295"/>
    </row>
    <row r="22" spans="1:21" ht="35.25" customHeight="1" x14ac:dyDescent="0.25">
      <c r="A22" s="383" t="s">
        <v>191</v>
      </c>
      <c r="B22" s="383"/>
      <c r="C22" s="383"/>
      <c r="D22" s="383"/>
      <c r="E22" s="383"/>
      <c r="F22" s="383"/>
      <c r="G22" s="383"/>
      <c r="H22" s="383"/>
      <c r="I22" s="383"/>
      <c r="J22" s="383"/>
      <c r="K22" s="383"/>
    </row>
    <row r="23" spans="1:21" ht="62.45" customHeight="1" x14ac:dyDescent="0.25">
      <c r="A23" s="60" t="s">
        <v>72</v>
      </c>
      <c r="B23" s="199" t="s">
        <v>190</v>
      </c>
      <c r="C23" s="214" t="s">
        <v>283</v>
      </c>
      <c r="D23" s="60" t="s">
        <v>56</v>
      </c>
      <c r="E23" s="60">
        <v>3</v>
      </c>
      <c r="F23" s="60">
        <v>1</v>
      </c>
      <c r="G23" s="60" t="s">
        <v>53</v>
      </c>
      <c r="H23" s="62">
        <v>4</v>
      </c>
      <c r="I23" s="62">
        <v>2</v>
      </c>
      <c r="J23" s="62">
        <v>2</v>
      </c>
      <c r="K23" s="62">
        <v>2</v>
      </c>
      <c r="N23" s="295"/>
      <c r="O23" s="295"/>
      <c r="P23" s="295"/>
      <c r="Q23" s="264"/>
    </row>
    <row r="24" spans="1:21" s="61" customFormat="1" ht="49.15" customHeight="1" x14ac:dyDescent="0.25">
      <c r="A24" s="224" t="s">
        <v>170</v>
      </c>
      <c r="B24" s="208" t="s">
        <v>202</v>
      </c>
      <c r="C24" s="181" t="s">
        <v>203</v>
      </c>
      <c r="D24" s="181" t="s">
        <v>110</v>
      </c>
      <c r="E24" s="181">
        <v>8</v>
      </c>
      <c r="F24" s="181">
        <f>1+7</f>
        <v>8</v>
      </c>
      <c r="G24" s="181">
        <f t="shared" ref="G24:K24" si="0">1+7</f>
        <v>8</v>
      </c>
      <c r="H24" s="181">
        <f t="shared" si="0"/>
        <v>8</v>
      </c>
      <c r="I24" s="181">
        <f t="shared" si="0"/>
        <v>8</v>
      </c>
      <c r="J24" s="181">
        <f t="shared" si="0"/>
        <v>8</v>
      </c>
      <c r="K24" s="181">
        <f t="shared" si="0"/>
        <v>8</v>
      </c>
      <c r="M24" s="296"/>
    </row>
    <row r="25" spans="1:21" ht="34.15" customHeight="1" x14ac:dyDescent="0.25">
      <c r="A25" s="379" t="s">
        <v>171</v>
      </c>
      <c r="B25" s="370" t="s">
        <v>186</v>
      </c>
      <c r="C25" s="210" t="s">
        <v>146</v>
      </c>
      <c r="D25" s="181" t="s">
        <v>110</v>
      </c>
      <c r="E25" s="180">
        <v>48</v>
      </c>
      <c r="F25" s="180">
        <f>45+2</f>
        <v>47</v>
      </c>
      <c r="G25" s="180">
        <f>45+2</f>
        <v>47</v>
      </c>
      <c r="H25" s="180">
        <v>47</v>
      </c>
      <c r="I25" s="180">
        <v>47</v>
      </c>
      <c r="J25" s="180">
        <v>47</v>
      </c>
      <c r="K25" s="180">
        <v>47</v>
      </c>
    </row>
    <row r="26" spans="1:21" ht="34.15" customHeight="1" x14ac:dyDescent="0.25">
      <c r="A26" s="380"/>
      <c r="B26" s="370"/>
      <c r="C26" s="210" t="s">
        <v>147</v>
      </c>
      <c r="D26" s="181" t="s">
        <v>110</v>
      </c>
      <c r="E26" s="180">
        <v>300</v>
      </c>
      <c r="F26" s="180">
        <v>252</v>
      </c>
      <c r="G26" s="180">
        <v>252</v>
      </c>
      <c r="H26" s="180">
        <v>252</v>
      </c>
      <c r="I26" s="180">
        <v>252</v>
      </c>
      <c r="J26" s="180">
        <v>252</v>
      </c>
      <c r="K26" s="180">
        <v>252</v>
      </c>
    </row>
    <row r="27" spans="1:21" ht="36.75" customHeight="1" x14ac:dyDescent="0.25">
      <c r="A27" s="381"/>
      <c r="B27" s="370"/>
      <c r="C27" s="210" t="s">
        <v>148</v>
      </c>
      <c r="D27" s="181" t="s">
        <v>110</v>
      </c>
      <c r="E27" s="181">
        <v>580</v>
      </c>
      <c r="F27" s="181">
        <v>400</v>
      </c>
      <c r="G27" s="181">
        <v>400</v>
      </c>
      <c r="H27" s="181">
        <v>400</v>
      </c>
      <c r="I27" s="181">
        <v>400</v>
      </c>
      <c r="J27" s="181">
        <v>400</v>
      </c>
      <c r="K27" s="181">
        <v>400</v>
      </c>
    </row>
    <row r="28" spans="1:21" s="61" customFormat="1" ht="49.15" customHeight="1" x14ac:dyDescent="0.25">
      <c r="A28" s="229" t="s">
        <v>172</v>
      </c>
      <c r="B28" s="230" t="s">
        <v>205</v>
      </c>
      <c r="C28" s="210" t="s">
        <v>111</v>
      </c>
      <c r="D28" s="181" t="s">
        <v>106</v>
      </c>
      <c r="E28" s="185">
        <v>12746</v>
      </c>
      <c r="F28" s="185">
        <v>9757</v>
      </c>
      <c r="G28" s="185">
        <v>9757</v>
      </c>
      <c r="H28" s="185">
        <v>9757</v>
      </c>
      <c r="I28" s="185">
        <v>9757</v>
      </c>
      <c r="J28" s="185">
        <v>9757</v>
      </c>
      <c r="K28" s="185">
        <v>9757</v>
      </c>
      <c r="M28" s="296"/>
    </row>
    <row r="29" spans="1:21" ht="34.15" customHeight="1" x14ac:dyDescent="0.25">
      <c r="A29" s="383" t="s">
        <v>192</v>
      </c>
      <c r="B29" s="383"/>
      <c r="C29" s="383"/>
      <c r="D29" s="383"/>
      <c r="E29" s="383"/>
      <c r="F29" s="383"/>
      <c r="G29" s="383"/>
      <c r="H29" s="383"/>
      <c r="I29" s="383"/>
      <c r="J29" s="383"/>
      <c r="K29" s="383"/>
    </row>
    <row r="30" spans="1:21" ht="58.9" customHeight="1" x14ac:dyDescent="0.25">
      <c r="A30" s="60" t="s">
        <v>71</v>
      </c>
      <c r="B30" s="199" t="s">
        <v>187</v>
      </c>
      <c r="C30" s="60" t="s">
        <v>70</v>
      </c>
      <c r="D30" s="60" t="s">
        <v>61</v>
      </c>
      <c r="E30" s="60" t="s">
        <v>53</v>
      </c>
      <c r="F30" s="60">
        <v>100</v>
      </c>
      <c r="G30" s="60">
        <v>100</v>
      </c>
      <c r="H30" s="60">
        <v>100</v>
      </c>
      <c r="I30" s="60">
        <v>100</v>
      </c>
      <c r="J30" s="60" t="s">
        <v>53</v>
      </c>
      <c r="K30" s="60" t="s">
        <v>53</v>
      </c>
    </row>
    <row r="31" spans="1:21" ht="70.5" customHeight="1" x14ac:dyDescent="0.25">
      <c r="A31" s="201" t="s">
        <v>69</v>
      </c>
      <c r="B31" s="199" t="s">
        <v>200</v>
      </c>
      <c r="C31" s="60" t="s">
        <v>206</v>
      </c>
      <c r="D31" s="60" t="s">
        <v>61</v>
      </c>
      <c r="E31" s="60" t="s">
        <v>53</v>
      </c>
      <c r="F31" s="60">
        <v>100</v>
      </c>
      <c r="G31" s="60">
        <v>100</v>
      </c>
      <c r="H31" s="60">
        <v>100</v>
      </c>
      <c r="I31" s="60" t="s">
        <v>53</v>
      </c>
      <c r="J31" s="60" t="s">
        <v>53</v>
      </c>
      <c r="K31" s="60" t="s">
        <v>53</v>
      </c>
    </row>
    <row r="32" spans="1:21" ht="58.15" customHeight="1" x14ac:dyDescent="0.25">
      <c r="A32" s="60" t="s">
        <v>68</v>
      </c>
      <c r="B32" s="199" t="s">
        <v>39</v>
      </c>
      <c r="C32" s="60" t="s">
        <v>66</v>
      </c>
      <c r="D32" s="60" t="s">
        <v>56</v>
      </c>
      <c r="E32" s="60">
        <v>4</v>
      </c>
      <c r="F32" s="60">
        <v>4</v>
      </c>
      <c r="G32" s="60">
        <v>4</v>
      </c>
      <c r="H32" s="60">
        <v>4</v>
      </c>
      <c r="I32" s="60">
        <v>4</v>
      </c>
      <c r="J32" s="60">
        <v>4</v>
      </c>
      <c r="K32" s="60">
        <v>4</v>
      </c>
    </row>
    <row r="33" spans="1:13" ht="57.6" customHeight="1" x14ac:dyDescent="0.25">
      <c r="A33" s="60" t="s">
        <v>67</v>
      </c>
      <c r="B33" s="199" t="s">
        <v>64</v>
      </c>
      <c r="C33" s="60" t="s">
        <v>62</v>
      </c>
      <c r="D33" s="60" t="s">
        <v>61</v>
      </c>
      <c r="E33" s="60" t="s">
        <v>53</v>
      </c>
      <c r="F33" s="60">
        <v>100</v>
      </c>
      <c r="G33" s="60">
        <v>100</v>
      </c>
      <c r="H33" s="60">
        <v>100</v>
      </c>
      <c r="I33" s="60">
        <v>100</v>
      </c>
      <c r="J33" s="60">
        <v>100</v>
      </c>
      <c r="K33" s="60">
        <v>100</v>
      </c>
    </row>
    <row r="34" spans="1:13" ht="64.150000000000006" customHeight="1" x14ac:dyDescent="0.25">
      <c r="A34" s="60" t="s">
        <v>65</v>
      </c>
      <c r="B34" s="199" t="s">
        <v>63</v>
      </c>
      <c r="C34" s="60" t="s">
        <v>62</v>
      </c>
      <c r="D34" s="60" t="s">
        <v>61</v>
      </c>
      <c r="E34" s="60" t="s">
        <v>53</v>
      </c>
      <c r="F34" s="60" t="s">
        <v>53</v>
      </c>
      <c r="G34" s="60" t="s">
        <v>53</v>
      </c>
      <c r="H34" s="60">
        <v>100</v>
      </c>
      <c r="I34" s="60">
        <v>100</v>
      </c>
      <c r="J34" s="60" t="s">
        <v>53</v>
      </c>
      <c r="K34" s="60" t="s">
        <v>53</v>
      </c>
    </row>
    <row r="35" spans="1:13" ht="48.6" customHeight="1" x14ac:dyDescent="0.25">
      <c r="A35" s="225" t="s">
        <v>207</v>
      </c>
      <c r="B35" s="115" t="s">
        <v>177</v>
      </c>
      <c r="C35" s="189" t="s">
        <v>118</v>
      </c>
      <c r="D35" s="189" t="s">
        <v>56</v>
      </c>
      <c r="E35" s="181" t="s">
        <v>119</v>
      </c>
      <c r="F35" s="181">
        <v>7</v>
      </c>
      <c r="G35" s="181">
        <v>7</v>
      </c>
      <c r="H35" s="181">
        <v>7</v>
      </c>
      <c r="I35" s="181">
        <v>7</v>
      </c>
      <c r="J35" s="181">
        <v>7</v>
      </c>
      <c r="K35" s="181">
        <v>7</v>
      </c>
    </row>
    <row r="36" spans="1:13" ht="33" customHeight="1" x14ac:dyDescent="0.25">
      <c r="A36" s="391" t="s">
        <v>194</v>
      </c>
      <c r="B36" s="391"/>
      <c r="C36" s="391"/>
      <c r="D36" s="391"/>
      <c r="E36" s="391"/>
      <c r="F36" s="391"/>
      <c r="G36" s="391"/>
      <c r="H36" s="391"/>
      <c r="I36" s="391"/>
      <c r="J36" s="391"/>
      <c r="K36" s="391"/>
    </row>
    <row r="37" spans="1:13" ht="97.9" customHeight="1" x14ac:dyDescent="0.25">
      <c r="A37" s="60" t="s">
        <v>60</v>
      </c>
      <c r="B37" s="199" t="s">
        <v>208</v>
      </c>
      <c r="C37" s="60" t="s">
        <v>59</v>
      </c>
      <c r="D37" s="60" t="s">
        <v>56</v>
      </c>
      <c r="E37" s="60">
        <v>9</v>
      </c>
      <c r="F37" s="60" t="s">
        <v>53</v>
      </c>
      <c r="G37" s="60" t="s">
        <v>53</v>
      </c>
      <c r="H37" s="60">
        <v>1</v>
      </c>
      <c r="I37" s="60" t="s">
        <v>53</v>
      </c>
      <c r="J37" s="60" t="s">
        <v>53</v>
      </c>
      <c r="K37" s="60" t="s">
        <v>53</v>
      </c>
    </row>
    <row r="38" spans="1:13" ht="66" customHeight="1" x14ac:dyDescent="0.25">
      <c r="A38" s="60" t="s">
        <v>58</v>
      </c>
      <c r="B38" s="199" t="s">
        <v>196</v>
      </c>
      <c r="C38" s="60" t="s">
        <v>57</v>
      </c>
      <c r="D38" s="60" t="s">
        <v>56</v>
      </c>
      <c r="E38" s="60" t="s">
        <v>53</v>
      </c>
      <c r="F38" s="60" t="s">
        <v>53</v>
      </c>
      <c r="G38" s="60" t="s">
        <v>53</v>
      </c>
      <c r="H38" s="60">
        <v>1</v>
      </c>
      <c r="I38" s="60" t="s">
        <v>53</v>
      </c>
      <c r="J38" s="60" t="s">
        <v>53</v>
      </c>
      <c r="K38" s="60" t="s">
        <v>53</v>
      </c>
    </row>
    <row r="39" spans="1:13" ht="37.15" customHeight="1" x14ac:dyDescent="0.25">
      <c r="A39" s="383" t="s">
        <v>197</v>
      </c>
      <c r="B39" s="383"/>
      <c r="C39" s="383"/>
      <c r="D39" s="383"/>
      <c r="E39" s="383"/>
      <c r="F39" s="383"/>
      <c r="G39" s="383"/>
      <c r="H39" s="383"/>
      <c r="I39" s="383"/>
      <c r="J39" s="383"/>
      <c r="K39" s="383"/>
    </row>
    <row r="40" spans="1:13" ht="53.25" customHeight="1" x14ac:dyDescent="0.25">
      <c r="A40" s="386" t="s">
        <v>181</v>
      </c>
      <c r="B40" s="265" t="s">
        <v>209</v>
      </c>
      <c r="C40" s="182" t="s">
        <v>102</v>
      </c>
      <c r="D40" s="182" t="s">
        <v>103</v>
      </c>
      <c r="E40" s="269">
        <v>1225671</v>
      </c>
      <c r="F40" s="269">
        <f>916235+412986</f>
        <v>1329221</v>
      </c>
      <c r="G40" s="269">
        <f t="shared" ref="G40:K40" si="1">916235+412986</f>
        <v>1329221</v>
      </c>
      <c r="H40" s="269">
        <f t="shared" si="1"/>
        <v>1329221</v>
      </c>
      <c r="I40" s="269">
        <f t="shared" si="1"/>
        <v>1329221</v>
      </c>
      <c r="J40" s="269">
        <f t="shared" si="1"/>
        <v>1329221</v>
      </c>
      <c r="K40" s="269">
        <f t="shared" si="1"/>
        <v>1329221</v>
      </c>
    </row>
    <row r="41" spans="1:13" s="61" customFormat="1" ht="34.5" customHeight="1" x14ac:dyDescent="0.25">
      <c r="A41" s="387"/>
      <c r="B41" s="266"/>
      <c r="C41" s="182" t="s">
        <v>104</v>
      </c>
      <c r="D41" s="182" t="s">
        <v>103</v>
      </c>
      <c r="E41" s="183">
        <v>7726814.2000000002</v>
      </c>
      <c r="F41" s="269">
        <f>4053338+1452641</f>
        <v>5505979</v>
      </c>
      <c r="G41" s="269">
        <f t="shared" ref="G41:K41" si="2">4053338+1452641</f>
        <v>5505979</v>
      </c>
      <c r="H41" s="269">
        <f t="shared" si="2"/>
        <v>5505979</v>
      </c>
      <c r="I41" s="269">
        <f t="shared" si="2"/>
        <v>5505979</v>
      </c>
      <c r="J41" s="269">
        <f t="shared" si="2"/>
        <v>5505979</v>
      </c>
      <c r="K41" s="269">
        <f t="shared" si="2"/>
        <v>5505979</v>
      </c>
      <c r="M41" s="296"/>
    </row>
    <row r="42" spans="1:13" s="61" customFormat="1" ht="34.9" customHeight="1" x14ac:dyDescent="0.25">
      <c r="A42" s="387"/>
      <c r="B42" s="266"/>
      <c r="C42" s="228" t="s">
        <v>105</v>
      </c>
      <c r="D42" s="181" t="s">
        <v>106</v>
      </c>
      <c r="E42" s="269">
        <v>1344173.7</v>
      </c>
      <c r="F42" s="269">
        <f>228369+1126136</f>
        <v>1354505</v>
      </c>
      <c r="G42" s="269">
        <v>1354504.7</v>
      </c>
      <c r="H42" s="269">
        <v>1354504.7</v>
      </c>
      <c r="I42" s="269">
        <v>1354504.7</v>
      </c>
      <c r="J42" s="269">
        <v>1354504.7</v>
      </c>
      <c r="K42" s="269">
        <v>1354504.7</v>
      </c>
      <c r="M42" s="296"/>
    </row>
    <row r="43" spans="1:13" s="61" customFormat="1" ht="34.9" customHeight="1" x14ac:dyDescent="0.25">
      <c r="A43" s="387"/>
      <c r="B43" s="266"/>
      <c r="C43" s="228" t="s">
        <v>107</v>
      </c>
      <c r="D43" s="182" t="s">
        <v>108</v>
      </c>
      <c r="E43" s="183">
        <v>2299.1</v>
      </c>
      <c r="F43" s="269">
        <f>1130+1169</f>
        <v>2299</v>
      </c>
      <c r="G43" s="269">
        <v>2299</v>
      </c>
      <c r="H43" s="269">
        <v>2299</v>
      </c>
      <c r="I43" s="269">
        <v>2299</v>
      </c>
      <c r="J43" s="269">
        <v>2299</v>
      </c>
      <c r="K43" s="269">
        <v>2299</v>
      </c>
      <c r="M43" s="296"/>
    </row>
    <row r="44" spans="1:13" s="61" customFormat="1" ht="34.9" customHeight="1" x14ac:dyDescent="0.25">
      <c r="A44" s="387"/>
      <c r="B44" s="266"/>
      <c r="C44" s="228" t="s">
        <v>109</v>
      </c>
      <c r="D44" s="182" t="s">
        <v>110</v>
      </c>
      <c r="E44" s="184">
        <v>834</v>
      </c>
      <c r="F44" s="184">
        <f>140+694</f>
        <v>834</v>
      </c>
      <c r="G44" s="184">
        <f t="shared" ref="G44:K44" si="3">140+694</f>
        <v>834</v>
      </c>
      <c r="H44" s="184">
        <f t="shared" si="3"/>
        <v>834</v>
      </c>
      <c r="I44" s="184">
        <f t="shared" si="3"/>
        <v>834</v>
      </c>
      <c r="J44" s="184">
        <f t="shared" si="3"/>
        <v>834</v>
      </c>
      <c r="K44" s="184">
        <f t="shared" si="3"/>
        <v>834</v>
      </c>
      <c r="M44" s="296"/>
    </row>
    <row r="45" spans="1:13" s="61" customFormat="1" ht="34.9" customHeight="1" x14ac:dyDescent="0.25">
      <c r="A45" s="387"/>
      <c r="B45" s="266"/>
      <c r="C45" s="182" t="s">
        <v>112</v>
      </c>
      <c r="D45" s="186" t="s">
        <v>106</v>
      </c>
      <c r="E45" s="183">
        <v>163167.29999999999</v>
      </c>
      <c r="F45" s="269">
        <f>168628+17266</f>
        <v>185894</v>
      </c>
      <c r="G45" s="269">
        <f>168628+17266</f>
        <v>185894</v>
      </c>
      <c r="H45" s="269">
        <f t="shared" ref="H45:K45" si="4">168628+17266</f>
        <v>185894</v>
      </c>
      <c r="I45" s="269">
        <f t="shared" si="4"/>
        <v>185894</v>
      </c>
      <c r="J45" s="269">
        <f t="shared" si="4"/>
        <v>185894</v>
      </c>
      <c r="K45" s="269">
        <f t="shared" si="4"/>
        <v>185894</v>
      </c>
      <c r="M45" s="296"/>
    </row>
    <row r="46" spans="1:13" s="61" customFormat="1" ht="34.9" customHeight="1" x14ac:dyDescent="0.25">
      <c r="A46" s="387"/>
      <c r="B46" s="266"/>
      <c r="C46" s="182" t="s">
        <v>113</v>
      </c>
      <c r="D46" s="182" t="s">
        <v>106</v>
      </c>
      <c r="E46" s="269">
        <v>4350</v>
      </c>
      <c r="F46" s="269">
        <v>4300</v>
      </c>
      <c r="G46" s="269">
        <v>4300</v>
      </c>
      <c r="H46" s="269">
        <v>4300</v>
      </c>
      <c r="I46" s="269">
        <v>4300</v>
      </c>
      <c r="J46" s="269">
        <v>4300</v>
      </c>
      <c r="K46" s="269">
        <v>4300</v>
      </c>
      <c r="M46" s="296"/>
    </row>
    <row r="47" spans="1:13" s="61" customFormat="1" ht="34.9" customHeight="1" x14ac:dyDescent="0.25">
      <c r="A47" s="387"/>
      <c r="B47" s="266"/>
      <c r="C47" s="182" t="s">
        <v>176</v>
      </c>
      <c r="D47" s="181" t="s">
        <v>108</v>
      </c>
      <c r="E47" s="184">
        <v>103366</v>
      </c>
      <c r="F47" s="269">
        <f>32411+70955</f>
        <v>103366</v>
      </c>
      <c r="G47" s="269">
        <f t="shared" ref="G47:K47" si="5">32411+70955</f>
        <v>103366</v>
      </c>
      <c r="H47" s="269">
        <f t="shared" si="5"/>
        <v>103366</v>
      </c>
      <c r="I47" s="269">
        <f t="shared" si="5"/>
        <v>103366</v>
      </c>
      <c r="J47" s="269">
        <f t="shared" si="5"/>
        <v>103366</v>
      </c>
      <c r="K47" s="269">
        <f t="shared" si="5"/>
        <v>103366</v>
      </c>
      <c r="M47" s="296"/>
    </row>
    <row r="48" spans="1:13" s="61" customFormat="1" ht="34.9" customHeight="1" x14ac:dyDescent="0.25">
      <c r="A48" s="388"/>
      <c r="B48" s="267"/>
      <c r="C48" s="182" t="s">
        <v>175</v>
      </c>
      <c r="D48" s="181" t="s">
        <v>110</v>
      </c>
      <c r="E48" s="270">
        <v>4936</v>
      </c>
      <c r="F48" s="270">
        <v>6450</v>
      </c>
      <c r="G48" s="270">
        <v>6450</v>
      </c>
      <c r="H48" s="270">
        <v>6450</v>
      </c>
      <c r="I48" s="270">
        <v>6450</v>
      </c>
      <c r="J48" s="270">
        <v>6450</v>
      </c>
      <c r="K48" s="270">
        <v>6450</v>
      </c>
      <c r="M48" s="296"/>
    </row>
    <row r="49" spans="1:13" ht="38.450000000000003" customHeight="1" x14ac:dyDescent="0.25">
      <c r="A49" s="257" t="s">
        <v>178</v>
      </c>
      <c r="B49" s="258" t="s">
        <v>210</v>
      </c>
      <c r="C49" s="259" t="s">
        <v>211</v>
      </c>
      <c r="D49" s="260" t="s">
        <v>106</v>
      </c>
      <c r="E49" s="256" t="s">
        <v>53</v>
      </c>
      <c r="F49" s="268">
        <f>317051+115472+572838</f>
        <v>1005361</v>
      </c>
      <c r="G49" s="268">
        <f t="shared" ref="G49:K49" si="6">317051+115472+572838</f>
        <v>1005361</v>
      </c>
      <c r="H49" s="268">
        <f t="shared" si="6"/>
        <v>1005361</v>
      </c>
      <c r="I49" s="268">
        <f t="shared" si="6"/>
        <v>1005361</v>
      </c>
      <c r="J49" s="268">
        <f t="shared" si="6"/>
        <v>1005361</v>
      </c>
      <c r="K49" s="268">
        <f t="shared" si="6"/>
        <v>1005361</v>
      </c>
    </row>
    <row r="50" spans="1:13" ht="32.25" customHeight="1" x14ac:dyDescent="0.25">
      <c r="A50" s="366" t="s">
        <v>180</v>
      </c>
      <c r="B50" s="363" t="s">
        <v>212</v>
      </c>
      <c r="C50" s="182" t="s">
        <v>123</v>
      </c>
      <c r="D50" s="182" t="s">
        <v>115</v>
      </c>
      <c r="E50" s="191">
        <v>7029.6</v>
      </c>
      <c r="F50" s="270">
        <v>7068</v>
      </c>
      <c r="G50" s="271">
        <v>7152</v>
      </c>
      <c r="H50" s="271">
        <v>7152</v>
      </c>
      <c r="I50" s="271">
        <v>7152</v>
      </c>
      <c r="J50" s="271">
        <v>7152</v>
      </c>
      <c r="K50" s="271">
        <v>7152</v>
      </c>
    </row>
    <row r="51" spans="1:13" ht="32.25" customHeight="1" x14ac:dyDescent="0.25">
      <c r="A51" s="367"/>
      <c r="B51" s="364"/>
      <c r="C51" s="182" t="s">
        <v>124</v>
      </c>
      <c r="D51" s="181" t="s">
        <v>115</v>
      </c>
      <c r="E51" s="187">
        <v>869</v>
      </c>
      <c r="F51" s="270">
        <v>869</v>
      </c>
      <c r="G51" s="271">
        <v>869</v>
      </c>
      <c r="H51" s="271">
        <v>869</v>
      </c>
      <c r="I51" s="271">
        <v>869</v>
      </c>
      <c r="J51" s="271">
        <v>869</v>
      </c>
      <c r="K51" s="271">
        <v>869</v>
      </c>
    </row>
    <row r="52" spans="1:13" ht="32.25" customHeight="1" x14ac:dyDescent="0.25">
      <c r="A52" s="368"/>
      <c r="B52" s="365"/>
      <c r="C52" s="182" t="s">
        <v>179</v>
      </c>
      <c r="D52" s="182" t="s">
        <v>110</v>
      </c>
      <c r="E52" s="190">
        <v>25</v>
      </c>
      <c r="F52" s="270">
        <v>10</v>
      </c>
      <c r="G52" s="272">
        <v>10</v>
      </c>
      <c r="H52" s="272">
        <v>10</v>
      </c>
      <c r="I52" s="272">
        <v>10</v>
      </c>
      <c r="J52" s="272">
        <v>10</v>
      </c>
      <c r="K52" s="272">
        <v>10</v>
      </c>
    </row>
    <row r="53" spans="1:13" ht="54.75" customHeight="1" x14ac:dyDescent="0.25">
      <c r="A53" s="226" t="s">
        <v>213</v>
      </c>
      <c r="B53" s="227" t="s">
        <v>162</v>
      </c>
      <c r="C53" s="182" t="s">
        <v>125</v>
      </c>
      <c r="D53" s="182" t="s">
        <v>126</v>
      </c>
      <c r="E53" s="187">
        <v>279</v>
      </c>
      <c r="F53" s="269">
        <v>1630</v>
      </c>
      <c r="G53" s="269">
        <v>1630</v>
      </c>
      <c r="H53" s="269">
        <v>1630</v>
      </c>
      <c r="I53" s="269">
        <v>1630</v>
      </c>
      <c r="J53" s="273">
        <v>1630</v>
      </c>
      <c r="K53" s="273">
        <v>1630</v>
      </c>
    </row>
    <row r="54" spans="1:13" ht="91.15" customHeight="1" x14ac:dyDescent="0.25">
      <c r="A54" s="60" t="s">
        <v>199</v>
      </c>
      <c r="B54" s="199" t="s">
        <v>150</v>
      </c>
      <c r="C54" s="60" t="s">
        <v>55</v>
      </c>
      <c r="D54" s="60" t="s">
        <v>54</v>
      </c>
      <c r="E54" s="60" t="s">
        <v>53</v>
      </c>
      <c r="F54" s="60" t="s">
        <v>269</v>
      </c>
      <c r="G54" s="62" t="s">
        <v>269</v>
      </c>
      <c r="H54" s="60" t="s">
        <v>53</v>
      </c>
      <c r="I54" s="60" t="s">
        <v>53</v>
      </c>
      <c r="J54" s="60" t="s">
        <v>53</v>
      </c>
      <c r="K54" s="60" t="s">
        <v>53</v>
      </c>
    </row>
    <row r="55" spans="1:13" ht="47.45" customHeight="1" x14ac:dyDescent="0.25">
      <c r="A55" s="202" t="s">
        <v>214</v>
      </c>
      <c r="B55" s="203" t="s">
        <v>88</v>
      </c>
      <c r="C55" s="182" t="s">
        <v>114</v>
      </c>
      <c r="D55" s="181" t="s">
        <v>115</v>
      </c>
      <c r="E55" s="184">
        <v>2370</v>
      </c>
      <c r="F55" s="269">
        <f>2010+2580</f>
        <v>4590</v>
      </c>
      <c r="G55" s="269">
        <f>2010+2580</f>
        <v>4590</v>
      </c>
      <c r="H55" s="269">
        <f>10000+2580</f>
        <v>12580</v>
      </c>
      <c r="I55" s="269">
        <f t="shared" ref="I55:K55" si="7">10000+2580</f>
        <v>12580</v>
      </c>
      <c r="J55" s="269">
        <f t="shared" si="7"/>
        <v>12580</v>
      </c>
      <c r="K55" s="269">
        <f t="shared" si="7"/>
        <v>12580</v>
      </c>
    </row>
    <row r="56" spans="1:13" ht="43.15" customHeight="1" x14ac:dyDescent="0.25">
      <c r="A56" s="369" t="s">
        <v>215</v>
      </c>
      <c r="B56" s="370" t="s">
        <v>89</v>
      </c>
      <c r="C56" s="182" t="s">
        <v>120</v>
      </c>
      <c r="D56" s="186" t="s">
        <v>106</v>
      </c>
      <c r="E56" s="276">
        <v>242110</v>
      </c>
      <c r="F56" s="276">
        <v>242110</v>
      </c>
      <c r="G56" s="276">
        <v>242110</v>
      </c>
      <c r="H56" s="276">
        <v>242110</v>
      </c>
      <c r="I56" s="276">
        <v>242110</v>
      </c>
      <c r="J56" s="276">
        <v>242110</v>
      </c>
      <c r="K56" s="276">
        <v>242110</v>
      </c>
    </row>
    <row r="57" spans="1:13" ht="43.15" customHeight="1" x14ac:dyDescent="0.25">
      <c r="A57" s="369"/>
      <c r="B57" s="370"/>
      <c r="C57" s="182" t="s">
        <v>121</v>
      </c>
      <c r="D57" s="186" t="s">
        <v>106</v>
      </c>
      <c r="E57" s="276">
        <v>377395</v>
      </c>
      <c r="F57" s="276">
        <v>377395</v>
      </c>
      <c r="G57" s="276">
        <v>377395</v>
      </c>
      <c r="H57" s="276">
        <v>377395</v>
      </c>
      <c r="I57" s="276">
        <v>377395</v>
      </c>
      <c r="J57" s="276">
        <v>377395</v>
      </c>
      <c r="K57" s="276">
        <v>377395</v>
      </c>
    </row>
    <row r="58" spans="1:13" ht="43.15" customHeight="1" x14ac:dyDescent="0.25">
      <c r="A58" s="369"/>
      <c r="B58" s="370"/>
      <c r="C58" s="182" t="s">
        <v>217</v>
      </c>
      <c r="D58" s="186" t="s">
        <v>106</v>
      </c>
      <c r="E58" s="274">
        <v>2000865</v>
      </c>
      <c r="F58" s="275">
        <v>2837532</v>
      </c>
      <c r="G58" s="275">
        <v>2685338</v>
      </c>
      <c r="H58" s="274">
        <v>2685338</v>
      </c>
      <c r="I58" s="274">
        <v>2685338</v>
      </c>
      <c r="J58" s="274">
        <v>2685338</v>
      </c>
      <c r="K58" s="274">
        <v>2685338</v>
      </c>
    </row>
    <row r="59" spans="1:13" ht="43.15" customHeight="1" x14ac:dyDescent="0.25">
      <c r="A59" s="369"/>
      <c r="B59" s="370"/>
      <c r="C59" s="182" t="s">
        <v>216</v>
      </c>
      <c r="D59" s="186" t="s">
        <v>106</v>
      </c>
      <c r="E59" s="276">
        <v>150000</v>
      </c>
      <c r="F59" s="276">
        <v>195000</v>
      </c>
      <c r="G59" s="276">
        <v>195000</v>
      </c>
      <c r="H59" s="276">
        <v>195000</v>
      </c>
      <c r="I59" s="277">
        <v>195000</v>
      </c>
      <c r="J59" s="276">
        <v>195000</v>
      </c>
      <c r="K59" s="276">
        <v>195000</v>
      </c>
    </row>
    <row r="60" spans="1:13" ht="39.6" customHeight="1" x14ac:dyDescent="0.25">
      <c r="A60" s="215" t="s">
        <v>218</v>
      </c>
      <c r="B60" s="216" t="s">
        <v>160</v>
      </c>
      <c r="C60" s="189" t="s">
        <v>122</v>
      </c>
      <c r="D60" s="189" t="s">
        <v>56</v>
      </c>
      <c r="E60" s="181">
        <v>50</v>
      </c>
      <c r="F60" s="180">
        <v>65</v>
      </c>
      <c r="G60" s="180">
        <v>65</v>
      </c>
      <c r="H60" s="180">
        <v>65</v>
      </c>
      <c r="I60" s="180">
        <v>65</v>
      </c>
      <c r="J60" s="180">
        <v>65</v>
      </c>
      <c r="K60" s="180">
        <v>65</v>
      </c>
    </row>
    <row r="61" spans="1:13" s="61" customFormat="1" ht="49.15" customHeight="1" x14ac:dyDescent="0.25">
      <c r="A61" s="377" t="s">
        <v>204</v>
      </c>
      <c r="B61" s="375" t="s">
        <v>173</v>
      </c>
      <c r="C61" s="210" t="s">
        <v>174</v>
      </c>
      <c r="D61" s="181" t="s">
        <v>56</v>
      </c>
      <c r="E61" s="188" t="s">
        <v>116</v>
      </c>
      <c r="F61" s="188" t="s">
        <v>117</v>
      </c>
      <c r="G61" s="188" t="s">
        <v>117</v>
      </c>
      <c r="H61" s="188" t="s">
        <v>117</v>
      </c>
      <c r="I61" s="188" t="s">
        <v>117</v>
      </c>
      <c r="J61" s="188" t="s">
        <v>117</v>
      </c>
      <c r="K61" s="188" t="s">
        <v>117</v>
      </c>
      <c r="M61" s="296"/>
    </row>
    <row r="62" spans="1:13" s="61" customFormat="1" ht="49.15" customHeight="1" x14ac:dyDescent="0.25">
      <c r="A62" s="378"/>
      <c r="B62" s="376"/>
      <c r="C62" s="261" t="s">
        <v>219</v>
      </c>
      <c r="D62" s="181" t="s">
        <v>56</v>
      </c>
      <c r="E62" s="188" t="s">
        <v>53</v>
      </c>
      <c r="F62" s="188" t="s">
        <v>220</v>
      </c>
      <c r="G62" s="188" t="s">
        <v>220</v>
      </c>
      <c r="H62" s="188" t="s">
        <v>53</v>
      </c>
      <c r="I62" s="188" t="s">
        <v>53</v>
      </c>
      <c r="J62" s="188" t="s">
        <v>53</v>
      </c>
      <c r="K62" s="188" t="s">
        <v>53</v>
      </c>
      <c r="M62" s="296"/>
    </row>
    <row r="63" spans="1:13" ht="34.15" customHeight="1" x14ac:dyDescent="0.25">
      <c r="A63" s="361" t="s">
        <v>222</v>
      </c>
      <c r="B63" s="374" t="s">
        <v>221</v>
      </c>
      <c r="C63" s="189" t="s">
        <v>127</v>
      </c>
      <c r="D63" s="189" t="s">
        <v>56</v>
      </c>
      <c r="E63" s="192">
        <v>26</v>
      </c>
      <c r="F63" s="192" t="s">
        <v>53</v>
      </c>
      <c r="G63" s="192" t="s">
        <v>53</v>
      </c>
      <c r="H63" s="192">
        <v>70</v>
      </c>
      <c r="I63" s="192">
        <v>65</v>
      </c>
      <c r="J63" s="192">
        <v>62</v>
      </c>
      <c r="K63" s="192" t="s">
        <v>119</v>
      </c>
    </row>
    <row r="64" spans="1:13" ht="34.15" customHeight="1" x14ac:dyDescent="0.25">
      <c r="A64" s="361"/>
      <c r="B64" s="374"/>
      <c r="C64" s="189" t="s">
        <v>128</v>
      </c>
      <c r="D64" s="189" t="s">
        <v>61</v>
      </c>
      <c r="E64" s="181">
        <v>14</v>
      </c>
      <c r="F64" s="181">
        <v>71.400000000000006</v>
      </c>
      <c r="G64" s="193">
        <v>100</v>
      </c>
      <c r="H64" s="181" t="s">
        <v>119</v>
      </c>
      <c r="I64" s="181" t="s">
        <v>119</v>
      </c>
      <c r="J64" s="181" t="s">
        <v>119</v>
      </c>
      <c r="K64" s="181" t="s">
        <v>119</v>
      </c>
    </row>
    <row r="65" spans="1:13" ht="34.15" customHeight="1" x14ac:dyDescent="0.25">
      <c r="A65" s="361"/>
      <c r="B65" s="374"/>
      <c r="C65" s="189" t="s">
        <v>129</v>
      </c>
      <c r="D65" s="189" t="s">
        <v>130</v>
      </c>
      <c r="E65" s="181" t="s">
        <v>119</v>
      </c>
      <c r="F65" s="181">
        <v>52.6</v>
      </c>
      <c r="G65" s="193">
        <v>81</v>
      </c>
      <c r="H65" s="181">
        <v>100</v>
      </c>
      <c r="I65" s="181" t="s">
        <v>119</v>
      </c>
      <c r="J65" s="181" t="s">
        <v>119</v>
      </c>
      <c r="K65" s="181" t="s">
        <v>119</v>
      </c>
    </row>
    <row r="66" spans="1:13" ht="34.15" customHeight="1" x14ac:dyDescent="0.25">
      <c r="A66" s="361"/>
      <c r="B66" s="374"/>
      <c r="C66" s="189" t="s">
        <v>131</v>
      </c>
      <c r="D66" s="189" t="s">
        <v>56</v>
      </c>
      <c r="E66" s="181" t="s">
        <v>119</v>
      </c>
      <c r="F66" s="181">
        <v>2</v>
      </c>
      <c r="G66" s="180" t="s">
        <v>53</v>
      </c>
      <c r="H66" s="181">
        <v>3</v>
      </c>
      <c r="I66" s="181">
        <v>3</v>
      </c>
      <c r="J66" s="181">
        <v>1</v>
      </c>
      <c r="K66" s="181" t="s">
        <v>119</v>
      </c>
      <c r="M66" s="299"/>
    </row>
    <row r="67" spans="1:13" s="61" customFormat="1" ht="36.6" customHeight="1" x14ac:dyDescent="0.25">
      <c r="A67" s="371" t="s">
        <v>223</v>
      </c>
      <c r="B67" s="372"/>
      <c r="C67" s="372"/>
      <c r="D67" s="372"/>
      <c r="E67" s="372"/>
      <c r="F67" s="372"/>
      <c r="G67" s="372"/>
      <c r="H67" s="372"/>
      <c r="I67" s="372"/>
      <c r="J67" s="372"/>
      <c r="K67" s="373"/>
      <c r="M67" s="296"/>
    </row>
    <row r="68" spans="1:13" ht="38.450000000000003" customHeight="1" x14ac:dyDescent="0.25">
      <c r="A68" s="360" t="s">
        <v>224</v>
      </c>
      <c r="B68" s="362" t="s">
        <v>225</v>
      </c>
      <c r="C68" s="186" t="s">
        <v>132</v>
      </c>
      <c r="D68" s="186" t="s">
        <v>106</v>
      </c>
      <c r="E68" s="278">
        <v>160872.79999999999</v>
      </c>
      <c r="F68" s="211">
        <f t="shared" ref="F68:K68" si="8">159954.3+888.5+30</f>
        <v>160872.79999999999</v>
      </c>
      <c r="G68" s="211">
        <f t="shared" si="8"/>
        <v>160872.79999999999</v>
      </c>
      <c r="H68" s="211">
        <f t="shared" si="8"/>
        <v>160872.79999999999</v>
      </c>
      <c r="I68" s="211">
        <f t="shared" si="8"/>
        <v>160872.79999999999</v>
      </c>
      <c r="J68" s="211">
        <f t="shared" si="8"/>
        <v>160872.79999999999</v>
      </c>
      <c r="K68" s="211">
        <f t="shared" si="8"/>
        <v>160872.79999999999</v>
      </c>
    </row>
    <row r="69" spans="1:13" ht="38.450000000000003" customHeight="1" x14ac:dyDescent="0.25">
      <c r="A69" s="361"/>
      <c r="B69" s="362"/>
      <c r="C69" s="182" t="s">
        <v>123</v>
      </c>
      <c r="D69" s="186" t="s">
        <v>115</v>
      </c>
      <c r="E69" s="274">
        <v>21381.8</v>
      </c>
      <c r="F69" s="211">
        <f>13362.5+12803.2</f>
        <v>26165.7</v>
      </c>
      <c r="G69" s="211">
        <f>12704.7+13202.5</f>
        <v>25907.200000000001</v>
      </c>
      <c r="H69" s="211">
        <f>13575.5+14131.8</f>
        <v>27707.3</v>
      </c>
      <c r="I69" s="211">
        <f>13575.5+14131.8</f>
        <v>27707.3</v>
      </c>
      <c r="J69" s="211">
        <f>13575.5+14131.8</f>
        <v>27707.3</v>
      </c>
      <c r="K69" s="211">
        <f>13575.5+14131.8</f>
        <v>27707.3</v>
      </c>
    </row>
    <row r="70" spans="1:13" ht="38.450000000000003" customHeight="1" x14ac:dyDescent="0.25">
      <c r="A70" s="361"/>
      <c r="B70" s="362"/>
      <c r="C70" s="182" t="s">
        <v>133</v>
      </c>
      <c r="D70" s="194" t="s">
        <v>134</v>
      </c>
      <c r="E70" s="274">
        <v>7000</v>
      </c>
      <c r="F70" s="16">
        <f t="shared" ref="F70:K70" si="9">198+152</f>
        <v>350</v>
      </c>
      <c r="G70" s="16">
        <f t="shared" si="9"/>
        <v>350</v>
      </c>
      <c r="H70" s="16">
        <f t="shared" si="9"/>
        <v>350</v>
      </c>
      <c r="I70" s="16">
        <f t="shared" si="9"/>
        <v>350</v>
      </c>
      <c r="J70" s="16">
        <f t="shared" si="9"/>
        <v>350</v>
      </c>
      <c r="K70" s="16">
        <f t="shared" si="9"/>
        <v>350</v>
      </c>
    </row>
    <row r="71" spans="1:13" ht="38.450000000000003" customHeight="1" x14ac:dyDescent="0.25">
      <c r="A71" s="361"/>
      <c r="B71" s="362"/>
      <c r="C71" s="182" t="s">
        <v>135</v>
      </c>
      <c r="D71" s="194" t="s">
        <v>110</v>
      </c>
      <c r="E71" s="274" t="s">
        <v>119</v>
      </c>
      <c r="F71" s="16">
        <v>2</v>
      </c>
      <c r="G71" s="16">
        <v>2</v>
      </c>
      <c r="H71" s="16">
        <v>2</v>
      </c>
      <c r="I71" s="16">
        <v>2</v>
      </c>
      <c r="J71" s="16">
        <v>2</v>
      </c>
      <c r="K71" s="16">
        <v>2</v>
      </c>
    </row>
    <row r="72" spans="1:13" ht="38.450000000000003" customHeight="1" x14ac:dyDescent="0.25">
      <c r="A72" s="361"/>
      <c r="B72" s="362"/>
      <c r="C72" s="182" t="s">
        <v>136</v>
      </c>
      <c r="D72" s="186" t="s">
        <v>115</v>
      </c>
      <c r="E72" s="274">
        <v>7259.9</v>
      </c>
      <c r="F72" s="211">
        <f t="shared" ref="F72:K72" si="10">6042+658</f>
        <v>6700</v>
      </c>
      <c r="G72" s="211">
        <f t="shared" si="10"/>
        <v>6700</v>
      </c>
      <c r="H72" s="211">
        <f t="shared" si="10"/>
        <v>6700</v>
      </c>
      <c r="I72" s="211">
        <f t="shared" si="10"/>
        <v>6700</v>
      </c>
      <c r="J72" s="211">
        <f t="shared" si="10"/>
        <v>6700</v>
      </c>
      <c r="K72" s="211">
        <f t="shared" si="10"/>
        <v>6700</v>
      </c>
    </row>
    <row r="73" spans="1:13" ht="38.450000000000003" customHeight="1" x14ac:dyDescent="0.25">
      <c r="A73" s="361"/>
      <c r="B73" s="362"/>
      <c r="C73" s="182" t="s">
        <v>137</v>
      </c>
      <c r="D73" s="182" t="s">
        <v>103</v>
      </c>
      <c r="E73" s="16">
        <v>220600</v>
      </c>
      <c r="F73" s="16">
        <f t="shared" ref="F73:K73" si="11">83102+177703</f>
        <v>260805</v>
      </c>
      <c r="G73" s="16">
        <f t="shared" si="11"/>
        <v>260805</v>
      </c>
      <c r="H73" s="16">
        <f t="shared" si="11"/>
        <v>260805</v>
      </c>
      <c r="I73" s="16">
        <f t="shared" si="11"/>
        <v>260805</v>
      </c>
      <c r="J73" s="16">
        <f t="shared" si="11"/>
        <v>260805</v>
      </c>
      <c r="K73" s="16">
        <f t="shared" si="11"/>
        <v>260805</v>
      </c>
    </row>
    <row r="74" spans="1:13" ht="38.450000000000003" customHeight="1" x14ac:dyDescent="0.25">
      <c r="A74" s="361"/>
      <c r="B74" s="362"/>
      <c r="C74" s="182" t="s">
        <v>138</v>
      </c>
      <c r="D74" s="186" t="s">
        <v>115</v>
      </c>
      <c r="E74" s="16">
        <v>2682</v>
      </c>
      <c r="F74" s="16">
        <v>2850</v>
      </c>
      <c r="G74" s="16">
        <v>2850</v>
      </c>
      <c r="H74" s="16">
        <v>2850</v>
      </c>
      <c r="I74" s="16">
        <v>2850</v>
      </c>
      <c r="J74" s="16">
        <v>2850</v>
      </c>
      <c r="K74" s="16">
        <v>2850</v>
      </c>
    </row>
    <row r="75" spans="1:13" ht="38.450000000000003" customHeight="1" x14ac:dyDescent="0.25">
      <c r="A75" s="361"/>
      <c r="B75" s="362"/>
      <c r="C75" s="182" t="s">
        <v>139</v>
      </c>
      <c r="D75" s="186" t="s">
        <v>106</v>
      </c>
      <c r="E75" s="211">
        <v>1831000</v>
      </c>
      <c r="F75" s="211">
        <v>1831000</v>
      </c>
      <c r="G75" s="211">
        <v>1831000</v>
      </c>
      <c r="H75" s="211">
        <v>1831000</v>
      </c>
      <c r="I75" s="211">
        <v>1831000</v>
      </c>
      <c r="J75" s="211">
        <v>1831000</v>
      </c>
      <c r="K75" s="211">
        <v>1831000</v>
      </c>
    </row>
    <row r="76" spans="1:13" ht="38.450000000000003" customHeight="1" x14ac:dyDescent="0.25">
      <c r="A76" s="361"/>
      <c r="B76" s="362"/>
      <c r="C76" s="189" t="s">
        <v>140</v>
      </c>
      <c r="D76" s="189" t="s">
        <v>106</v>
      </c>
      <c r="E76" s="197">
        <v>1840000</v>
      </c>
      <c r="F76" s="197">
        <v>1840000</v>
      </c>
      <c r="G76" s="197">
        <v>1840000</v>
      </c>
      <c r="H76" s="197">
        <v>1840000</v>
      </c>
      <c r="I76" s="197">
        <v>1840000</v>
      </c>
      <c r="J76" s="197">
        <v>1840000</v>
      </c>
      <c r="K76" s="197">
        <v>1840000</v>
      </c>
    </row>
    <row r="77" spans="1:13" ht="43.15" customHeight="1" x14ac:dyDescent="0.25">
      <c r="A77" s="195" t="s">
        <v>226</v>
      </c>
      <c r="B77" s="196" t="s">
        <v>91</v>
      </c>
      <c r="C77" s="189" t="s">
        <v>141</v>
      </c>
      <c r="D77" s="189" t="s">
        <v>106</v>
      </c>
      <c r="E77" s="16">
        <v>232.8</v>
      </c>
      <c r="F77" s="197" t="s">
        <v>119</v>
      </c>
      <c r="G77" s="211" t="s">
        <v>119</v>
      </c>
      <c r="H77" s="211">
        <v>4948</v>
      </c>
      <c r="I77" s="211">
        <v>4948</v>
      </c>
      <c r="J77" s="16">
        <v>4948</v>
      </c>
      <c r="K77" s="16" t="s">
        <v>119</v>
      </c>
    </row>
    <row r="78" spans="1:13" ht="43.15" customHeight="1" x14ac:dyDescent="0.25">
      <c r="A78" s="195" t="s">
        <v>227</v>
      </c>
      <c r="B78" s="196" t="s">
        <v>93</v>
      </c>
      <c r="C78" s="189" t="s">
        <v>142</v>
      </c>
      <c r="D78" s="189" t="s">
        <v>106</v>
      </c>
      <c r="E78" s="197" t="s">
        <v>53</v>
      </c>
      <c r="F78" s="197" t="s">
        <v>119</v>
      </c>
      <c r="G78" s="197" t="s">
        <v>119</v>
      </c>
      <c r="H78" s="197">
        <v>968306</v>
      </c>
      <c r="I78" s="197">
        <v>328138</v>
      </c>
      <c r="J78" s="197">
        <v>538998</v>
      </c>
      <c r="K78" s="197" t="s">
        <v>119</v>
      </c>
    </row>
    <row r="79" spans="1:13" ht="43.15" customHeight="1" x14ac:dyDescent="0.25">
      <c r="A79" s="195" t="s">
        <v>228</v>
      </c>
      <c r="B79" s="196" t="s">
        <v>94</v>
      </c>
      <c r="C79" s="189" t="s">
        <v>143</v>
      </c>
      <c r="D79" s="189" t="s">
        <v>61</v>
      </c>
      <c r="E79" s="16">
        <v>99.5</v>
      </c>
      <c r="F79" s="16">
        <v>99.5</v>
      </c>
      <c r="G79" s="16">
        <v>99.5</v>
      </c>
      <c r="H79" s="16">
        <v>99.5</v>
      </c>
      <c r="I79" s="16">
        <v>99.5</v>
      </c>
      <c r="J79" s="16">
        <v>99.5</v>
      </c>
      <c r="K79" s="16">
        <v>99.5</v>
      </c>
    </row>
    <row r="80" spans="1:13" ht="41.45" customHeight="1" x14ac:dyDescent="0.25">
      <c r="A80" s="195" t="s">
        <v>229</v>
      </c>
      <c r="B80" s="196" t="s">
        <v>95</v>
      </c>
      <c r="C80" s="189" t="s">
        <v>144</v>
      </c>
      <c r="D80" s="189" t="s">
        <v>145</v>
      </c>
      <c r="E80" s="16" t="s">
        <v>119</v>
      </c>
      <c r="F80" s="197">
        <v>1749</v>
      </c>
      <c r="G80" s="197">
        <v>1816</v>
      </c>
      <c r="H80" s="197">
        <v>2267</v>
      </c>
      <c r="I80" s="16">
        <v>2267</v>
      </c>
      <c r="J80" s="16">
        <v>2267</v>
      </c>
      <c r="K80" s="16">
        <v>2267</v>
      </c>
    </row>
    <row r="82" spans="1:2" x14ac:dyDescent="0.25">
      <c r="A82" s="57" t="s">
        <v>152</v>
      </c>
      <c r="B82" s="57" t="s">
        <v>271</v>
      </c>
    </row>
    <row r="83" spans="1:2" x14ac:dyDescent="0.25">
      <c r="A83" s="57" t="s">
        <v>270</v>
      </c>
      <c r="B83" s="57" t="s">
        <v>153</v>
      </c>
    </row>
  </sheetData>
  <mergeCells count="34">
    <mergeCell ref="A39:K39"/>
    <mergeCell ref="B18:B19"/>
    <mergeCell ref="A18:A19"/>
    <mergeCell ref="A40:A48"/>
    <mergeCell ref="H1:K1"/>
    <mergeCell ref="H2:K2"/>
    <mergeCell ref="H3:K3"/>
    <mergeCell ref="H4:K4"/>
    <mergeCell ref="H5:K5"/>
    <mergeCell ref="A7:K7"/>
    <mergeCell ref="A36:K36"/>
    <mergeCell ref="A22:K22"/>
    <mergeCell ref="A29:K29"/>
    <mergeCell ref="A12:K12"/>
    <mergeCell ref="A13:K13"/>
    <mergeCell ref="A9:A10"/>
    <mergeCell ref="A25:A27"/>
    <mergeCell ref="B25:B27"/>
    <mergeCell ref="E9:E10"/>
    <mergeCell ref="F9:K9"/>
    <mergeCell ref="B9:B10"/>
    <mergeCell ref="C9:C10"/>
    <mergeCell ref="D9:D10"/>
    <mergeCell ref="A68:A76"/>
    <mergeCell ref="B68:B76"/>
    <mergeCell ref="B50:B52"/>
    <mergeCell ref="A50:A52"/>
    <mergeCell ref="A56:A59"/>
    <mergeCell ref="B56:B59"/>
    <mergeCell ref="A67:K67"/>
    <mergeCell ref="A63:A66"/>
    <mergeCell ref="B63:B66"/>
    <mergeCell ref="B61:B62"/>
    <mergeCell ref="A61:A62"/>
  </mergeCells>
  <printOptions horizontalCentered="1"/>
  <pageMargins left="0.23622047244094491" right="0.47244094488188981" top="0.51181102362204722" bottom="0.39370078740157483" header="0.31496062992125984" footer="0.31496062992125984"/>
  <pageSetup paperSize="9" scale="70" firstPageNumber="28" orientation="landscape" useFirstPageNumber="1" r:id="rId1"/>
  <headerFooter differentFirst="1">
    <oddHeader>&amp;C&amp;10&amp;P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1 </vt:lpstr>
      <vt:lpstr>Приложение 2 </vt:lpstr>
      <vt:lpstr>'Приложение 1 '!Заголовки_для_печати</vt:lpstr>
      <vt:lpstr>'Приложение 2 '!Заголовки_для_печати</vt:lpstr>
      <vt:lpstr>'Приложение 1 '!Область_печати</vt:lpstr>
      <vt:lpstr>'Приложение 2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2024-10-11T05:48:25Z</cp:lastPrinted>
  <dcterms:created xsi:type="dcterms:W3CDTF">2016-09-27T05:07:00Z</dcterms:created>
  <dcterms:modified xsi:type="dcterms:W3CDTF">2024-10-11T06:45:32Z</dcterms:modified>
</cp:coreProperties>
</file>