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0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azumova.ns\Desktop\"/>
    </mc:Choice>
  </mc:AlternateContent>
  <xr:revisionPtr revIDLastSave="0" documentId="8_{1D66993E-5726-4EC3-A9E7-EC381FA09A59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расчет по учреж на 15.11.19" sheetId="3" r:id="rId1"/>
  </sheets>
  <definedNames>
    <definedName name="_xlnm.Print_Area" localSheetId="0">'расчет по учреж на 15.11.19'!$A$1:$N$21</definedName>
  </definedNames>
  <calcPr calcId="181029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16" i="3" l="1"/>
  <c r="C6" i="3"/>
  <c r="C22" i="3"/>
  <c r="C12" i="3"/>
  <c r="C9" i="3"/>
  <c r="C10" i="3" l="1"/>
  <c r="C11" i="3"/>
  <c r="F21" i="3"/>
  <c r="F23" i="3" s="1"/>
  <c r="H20" i="3"/>
  <c r="B28" i="3" s="1"/>
  <c r="C28" i="3" s="1"/>
  <c r="E20" i="3"/>
  <c r="H18" i="3"/>
  <c r="E18" i="3"/>
  <c r="B18" i="3"/>
  <c r="J18" i="3" s="1"/>
  <c r="K18" i="3" s="1"/>
  <c r="H17" i="3"/>
  <c r="E17" i="3"/>
  <c r="B17" i="3"/>
  <c r="J17" i="3" s="1"/>
  <c r="K17" i="3" s="1"/>
  <c r="H15" i="3"/>
  <c r="E15" i="3"/>
  <c r="B15" i="3"/>
  <c r="J15" i="3" s="1"/>
  <c r="K15" i="3" s="1"/>
  <c r="H16" i="3"/>
  <c r="E16" i="3"/>
  <c r="B16" i="3"/>
  <c r="J16" i="3" s="1"/>
  <c r="K16" i="3" s="1"/>
  <c r="H14" i="3"/>
  <c r="E14" i="3"/>
  <c r="B14" i="3"/>
  <c r="J14" i="3" s="1"/>
  <c r="K14" i="3" s="1"/>
  <c r="H13" i="3"/>
  <c r="E13" i="3"/>
  <c r="B13" i="3"/>
  <c r="J13" i="3" s="1"/>
  <c r="K13" i="3" s="1"/>
  <c r="H12" i="3"/>
  <c r="E12" i="3"/>
  <c r="B12" i="3"/>
  <c r="J12" i="3" s="1"/>
  <c r="K12" i="3" s="1"/>
  <c r="H11" i="3"/>
  <c r="H10" i="3"/>
  <c r="B10" i="3"/>
  <c r="J10" i="3" s="1"/>
  <c r="K10" i="3" s="1"/>
  <c r="H9" i="3"/>
  <c r="E9" i="3"/>
  <c r="B9" i="3"/>
  <c r="J9" i="3" s="1"/>
  <c r="K9" i="3" s="1"/>
  <c r="H8" i="3"/>
  <c r="E8" i="3"/>
  <c r="B8" i="3"/>
  <c r="J8" i="3" s="1"/>
  <c r="K8" i="3" s="1"/>
  <c r="H7" i="3"/>
  <c r="E7" i="3"/>
  <c r="B7" i="3"/>
  <c r="J7" i="3" s="1"/>
  <c r="K7" i="3" s="1"/>
  <c r="H6" i="3"/>
  <c r="E6" i="3"/>
  <c r="L6" i="3" s="1"/>
  <c r="B6" i="3"/>
  <c r="J6" i="3" s="1"/>
  <c r="K6" i="3" s="1"/>
  <c r="E10" i="3" l="1"/>
  <c r="C19" i="3"/>
  <c r="L20" i="3"/>
  <c r="I7" i="3"/>
  <c r="I9" i="3"/>
  <c r="I12" i="3"/>
  <c r="I14" i="3"/>
  <c r="I15" i="3"/>
  <c r="L18" i="3"/>
  <c r="N18" i="3" s="1"/>
  <c r="C21" i="3"/>
  <c r="I8" i="3"/>
  <c r="I13" i="3"/>
  <c r="I16" i="3"/>
  <c r="I17" i="3"/>
  <c r="I10" i="3"/>
  <c r="B11" i="3"/>
  <c r="J11" i="3" s="1"/>
  <c r="K11" i="3" s="1"/>
  <c r="E11" i="3"/>
  <c r="I20" i="3"/>
  <c r="L7" i="3"/>
  <c r="L8" i="3"/>
  <c r="L9" i="3"/>
  <c r="L10" i="3"/>
  <c r="L12" i="3"/>
  <c r="L13" i="3"/>
  <c r="L14" i="3"/>
  <c r="L16" i="3"/>
  <c r="L15" i="3"/>
  <c r="L17" i="3"/>
  <c r="I18" i="3"/>
  <c r="H19" i="3"/>
  <c r="H21" i="3" s="1"/>
  <c r="I6" i="3"/>
  <c r="B20" i="3"/>
  <c r="I11" i="3" l="1"/>
  <c r="C23" i="3"/>
  <c r="J19" i="3"/>
  <c r="M13" i="3"/>
  <c r="P13" i="3" s="1"/>
  <c r="L11" i="3"/>
  <c r="I19" i="3"/>
  <c r="I21" i="3" s="1"/>
  <c r="B19" i="3"/>
  <c r="E19" i="3"/>
  <c r="E21" i="3" s="1"/>
  <c r="M18" i="3"/>
  <c r="P18" i="3" s="1"/>
  <c r="M17" i="3"/>
  <c r="P17" i="3" s="1"/>
  <c r="M7" i="3"/>
  <c r="P7" i="3" s="1"/>
  <c r="M16" i="3"/>
  <c r="P16" i="3" s="1"/>
  <c r="M9" i="3"/>
  <c r="P9" i="3" s="1"/>
  <c r="N17" i="3"/>
  <c r="O17" i="3" s="1"/>
  <c r="N7" i="3"/>
  <c r="O7" i="3" s="1"/>
  <c r="N13" i="3"/>
  <c r="O13" i="3" s="1"/>
  <c r="N12" i="3"/>
  <c r="O12" i="3" s="1"/>
  <c r="N8" i="3"/>
  <c r="O8" i="3" s="1"/>
  <c r="N15" i="3"/>
  <c r="O15" i="3" s="1"/>
  <c r="N16" i="3"/>
  <c r="O16" i="3" s="1"/>
  <c r="N9" i="3"/>
  <c r="O9" i="3" s="1"/>
  <c r="N14" i="3"/>
  <c r="O14" i="3" s="1"/>
  <c r="N10" i="3"/>
  <c r="O10" i="3" s="1"/>
  <c r="J20" i="3"/>
  <c r="K20" i="3" s="1"/>
  <c r="O18" i="3"/>
  <c r="M15" i="3"/>
  <c r="P15" i="3" s="1"/>
  <c r="M14" i="3"/>
  <c r="P14" i="3" s="1"/>
  <c r="M12" i="3"/>
  <c r="P12" i="3" s="1"/>
  <c r="M10" i="3"/>
  <c r="P10" i="3" s="1"/>
  <c r="M8" i="3"/>
  <c r="P8" i="3" s="1"/>
  <c r="B21" i="3"/>
  <c r="N22" i="3" s="1"/>
  <c r="O11" i="3" l="1"/>
  <c r="N11" i="3"/>
  <c r="M11" i="3"/>
  <c r="P11" i="3" s="1"/>
  <c r="B23" i="3"/>
  <c r="J21" i="3"/>
  <c r="K22" i="3" s="1"/>
  <c r="M20" i="3"/>
  <c r="P20" i="3" s="1"/>
  <c r="L19" i="3"/>
  <c r="L21" i="3" s="1"/>
  <c r="N20" i="3"/>
  <c r="K19" i="3"/>
  <c r="M6" i="3"/>
  <c r="P6" i="3" s="1"/>
  <c r="N6" i="3"/>
  <c r="N19" i="3" l="1"/>
  <c r="B27" i="3" s="1"/>
  <c r="C27" i="3" s="1"/>
  <c r="C29" i="3" s="1"/>
  <c r="O6" i="3"/>
  <c r="K21" i="3"/>
  <c r="K23" i="3" s="1"/>
  <c r="M19" i="3"/>
  <c r="M21" i="3" s="1"/>
  <c r="N21" i="3" l="1"/>
  <c r="N24" i="3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Клокова</author>
  </authors>
  <commentList>
    <comment ref="A9" authorId="0" shapeId="0" xr:uid="{00000000-0006-0000-0000-000001000000}">
      <text>
        <r>
          <rPr>
            <b/>
            <sz val="9"/>
            <color indexed="81"/>
            <rFont val="Tahoma"/>
            <charset val="1"/>
          </rPr>
          <t>Клокова:</t>
        </r>
        <r>
          <rPr>
            <sz val="9"/>
            <color indexed="81"/>
            <rFont val="Tahoma"/>
            <charset val="1"/>
          </rPr>
          <t xml:space="preserve">
+Лицей 51
</t>
        </r>
      </text>
    </comment>
    <comment ref="A10" authorId="0" shapeId="0" xr:uid="{00000000-0006-0000-0000-000002000000}">
      <text>
        <r>
          <rPr>
            <b/>
            <sz val="9"/>
            <color indexed="81"/>
            <rFont val="Tahoma"/>
            <charset val="1"/>
          </rPr>
          <t>Клокова:</t>
        </r>
        <r>
          <rPr>
            <sz val="9"/>
            <color indexed="81"/>
            <rFont val="Tahoma"/>
            <charset val="1"/>
          </rPr>
          <t xml:space="preserve">
+ МБУ №38
</t>
        </r>
      </text>
    </comment>
  </commentList>
</comments>
</file>

<file path=xl/sharedStrings.xml><?xml version="1.0" encoding="utf-8"?>
<sst xmlns="http://schemas.openxmlformats.org/spreadsheetml/2006/main" count="34" uniqueCount="34">
  <si>
    <t>Всего детей в ЛДП</t>
  </si>
  <si>
    <t>Кол-во детей в ЛДП с 2-разовым питанием</t>
  </si>
  <si>
    <t>Стоимость 1 дня с 2 -разовым питанием    (в руб.)</t>
  </si>
  <si>
    <t>Объем средств обл бюджета на продукты питания (2-х раз), тыс. руб.</t>
  </si>
  <si>
    <t>Кол-во детей в ЛДП с 3-разовым питанием</t>
  </si>
  <si>
    <t xml:space="preserve">Стоимость 1 дня с 3 -разовым питанием    (в руб.) </t>
  </si>
  <si>
    <t>Объем средств обл бюджета на продукты питания (3-х раз), тыс. руб.</t>
  </si>
  <si>
    <t>ВСЕГО продукты питания, тыс. руб.</t>
  </si>
  <si>
    <t>ФОТ работников кухни, тыс. руб.</t>
  </si>
  <si>
    <t>ВСЕГО на услугу по организации питания, тыс.руб.</t>
  </si>
  <si>
    <t>ИТОГО общий объем средств, тыс. рублей</t>
  </si>
  <si>
    <t>ВСЕГО</t>
  </si>
  <si>
    <t>Приложение</t>
  </si>
  <si>
    <t>Наименование организации</t>
  </si>
  <si>
    <t>МБУ "Школа №28"</t>
  </si>
  <si>
    <t>МБУ "Школа №31"</t>
  </si>
  <si>
    <t>МБУ "Лицей №37"</t>
  </si>
  <si>
    <t>МБУ "Школа №40"</t>
  </si>
  <si>
    <t>МБУ "Школа №45"</t>
  </si>
  <si>
    <t>МБУ "Лицей №51"</t>
  </si>
  <si>
    <t>МБУ "Лицей №67"</t>
  </si>
  <si>
    <t>МБУ "Школа №69"</t>
  </si>
  <si>
    <t>МБУ "Школа №71"</t>
  </si>
  <si>
    <t>МБУ "Школа №93"</t>
  </si>
  <si>
    <t>МБУ "Школа имени С.П. Королева"</t>
  </si>
  <si>
    <t>Итого по учреждениям со структурным подразделением "Школьная столовая"</t>
  </si>
  <si>
    <t>Юридические лица (за исключением государственных (муниципальных) учреждений), индивидуальные предприниматели, а также физические лица - производители услуг</t>
  </si>
  <si>
    <t>МБОУДОД ДОО(П)Ц «Гранит»</t>
  </si>
  <si>
    <t>Кол-во ставок работников кухни из расчета 1 ставка кухон работника на 120 чел</t>
  </si>
  <si>
    <t>Накладные расходы (10%), тыс. руб.</t>
  </si>
  <si>
    <t>МБУ "Лицей №76"</t>
  </si>
  <si>
    <t>ст-ть 2-х разового пит.</t>
  </si>
  <si>
    <t>ст-ть 3-х разового пит.</t>
  </si>
  <si>
    <t>Расчет средств областного бюджета на организацию питания детей в лагерях с дневным пребыванием в 2020 году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</si>
</sst>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_-* #,##0.00000\ _₽_-;\-* #,##0.00000\ _₽_-;_-* &quot;-&quot;\ _₽_-;_-@_-"/>
    <numFmt numFmtId="165" formatCode="_-* #,##0\ _₽_-;\-* #,##0\ _₽_-;_-* &quot;-&quot;\ _₽_-;_-@_-"/>
    <numFmt numFmtId="166" formatCode="#,##0_ ;\-#,##0\ "/>
    <numFmt numFmtId="167" formatCode="0.00000"/>
    <numFmt numFmtId="168" formatCode="#,##0.00000"/>
    <numFmt numFmtId="169" formatCode="_-* #,##0.00000_р_._-;\-* #,##0.00000_р_._-;_-* &quot;-&quot;?????_р_._-;_-@_-"/>
    <numFmt numFmtId="170" formatCode="0.000"/>
    <numFmt numFmtId="171" formatCode="_-* #,##0.0\ _₽_-;\-* #,##0.0\ _₽_-;_-* &quot;-&quot;\ _₽_-;_-@_-"/>
  </numFmts>
  <fonts count="13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5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3">
    <xf numFmtId="0" fontId="0" fillId="0" borderId="0" xfId="0"/>
    <xf numFmtId="0" fontId="3" fillId="0" borderId="2" xfId="0" applyFont="1" applyFill="1" applyBorder="1" applyAlignment="1">
      <alignment vertical="center" wrapText="1"/>
    </xf>
    <xf numFmtId="3" fontId="3" fillId="0" borderId="2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right"/>
    </xf>
    <xf numFmtId="165" fontId="0" fillId="0" borderId="0" xfId="0" applyNumberFormat="1" applyFill="1"/>
    <xf numFmtId="0" fontId="0" fillId="0" borderId="0" xfId="0" applyFill="1"/>
    <xf numFmtId="3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right" vertical="center" wrapText="1"/>
    </xf>
    <xf numFmtId="166" fontId="6" fillId="0" borderId="2" xfId="0" applyNumberFormat="1" applyFont="1" applyFill="1" applyBorder="1" applyAlignment="1">
      <alignment horizontal="center" vertical="center" wrapText="1"/>
    </xf>
    <xf numFmtId="0" fontId="1" fillId="0" borderId="0" xfId="0" applyFont="1" applyFill="1"/>
    <xf numFmtId="165" fontId="1" fillId="0" borderId="0" xfId="0" applyNumberFormat="1" applyFont="1" applyFill="1"/>
    <xf numFmtId="0" fontId="0" fillId="3" borderId="0" xfId="0" applyFill="1"/>
    <xf numFmtId="0" fontId="2" fillId="0" borderId="0" xfId="0" applyFont="1" applyAlignment="1">
      <alignment horizontal="left"/>
    </xf>
    <xf numFmtId="0" fontId="7" fillId="0" borderId="2" xfId="0" applyFont="1" applyFill="1" applyBorder="1" applyAlignment="1">
      <alignment vertical="center" wrapText="1"/>
    </xf>
    <xf numFmtId="3" fontId="7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164" fontId="7" fillId="0" borderId="2" xfId="0" applyNumberFormat="1" applyFont="1" applyFill="1" applyBorder="1" applyAlignment="1">
      <alignment vertical="center"/>
    </xf>
    <xf numFmtId="0" fontId="8" fillId="0" borderId="2" xfId="0" applyFont="1" applyFill="1" applyBorder="1" applyAlignment="1">
      <alignment vertical="center" wrapText="1"/>
    </xf>
    <xf numFmtId="0" fontId="9" fillId="0" borderId="0" xfId="0" applyFont="1"/>
    <xf numFmtId="1" fontId="3" fillId="0" borderId="2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1" fontId="7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/>
    </xf>
    <xf numFmtId="1" fontId="6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168" fontId="0" fillId="0" borderId="0" xfId="0" applyNumberFormat="1"/>
    <xf numFmtId="169" fontId="0" fillId="0" borderId="0" xfId="0" applyNumberFormat="1" applyFill="1"/>
    <xf numFmtId="166" fontId="0" fillId="3" borderId="0" xfId="0" applyNumberFormat="1" applyFill="1"/>
    <xf numFmtId="2" fontId="7" fillId="0" borderId="2" xfId="0" applyNumberFormat="1" applyFont="1" applyFill="1" applyBorder="1" applyAlignment="1">
      <alignment vertical="center"/>
    </xf>
    <xf numFmtId="2" fontId="6" fillId="0" borderId="2" xfId="0" applyNumberFormat="1" applyFont="1" applyFill="1" applyBorder="1" applyAlignment="1">
      <alignment vertical="center"/>
    </xf>
    <xf numFmtId="169" fontId="0" fillId="0" borderId="0" xfId="0" applyNumberFormat="1" applyFill="1" applyAlignment="1">
      <alignment horizontal="right"/>
    </xf>
    <xf numFmtId="0" fontId="4" fillId="2" borderId="0" xfId="0" applyFont="1" applyFill="1" applyBorder="1" applyAlignment="1">
      <alignment horizontal="center" vertical="center" wrapText="1"/>
    </xf>
    <xf numFmtId="164" fontId="3" fillId="2" borderId="0" xfId="0" applyNumberFormat="1" applyFont="1" applyFill="1" applyBorder="1" applyAlignment="1">
      <alignment vertical="center"/>
    </xf>
    <xf numFmtId="164" fontId="7" fillId="2" borderId="0" xfId="0" applyNumberFormat="1" applyFont="1" applyFill="1" applyBorder="1" applyAlignment="1">
      <alignment vertical="center"/>
    </xf>
    <xf numFmtId="164" fontId="6" fillId="2" borderId="0" xfId="0" applyNumberFormat="1" applyFont="1" applyFill="1" applyBorder="1" applyAlignment="1">
      <alignment horizontal="center" vertical="center" wrapText="1"/>
    </xf>
    <xf numFmtId="167" fontId="3" fillId="0" borderId="2" xfId="0" applyNumberFormat="1" applyFont="1" applyFill="1" applyBorder="1" applyAlignment="1">
      <alignment vertical="center"/>
    </xf>
    <xf numFmtId="0" fontId="0" fillId="0" borderId="2" xfId="0" applyBorder="1"/>
    <xf numFmtId="2" fontId="0" fillId="0" borderId="4" xfId="0" applyNumberFormat="1" applyBorder="1"/>
    <xf numFmtId="0" fontId="0" fillId="3" borderId="2" xfId="0" applyFill="1" applyBorder="1"/>
    <xf numFmtId="170" fontId="0" fillId="3" borderId="2" xfId="0" applyNumberFormat="1" applyFill="1" applyBorder="1"/>
    <xf numFmtId="166" fontId="3" fillId="0" borderId="2" xfId="0" applyNumberFormat="1" applyFont="1" applyFill="1" applyBorder="1" applyAlignment="1">
      <alignment horizontal="center" vertical="center" wrapText="1"/>
    </xf>
    <xf numFmtId="166" fontId="3" fillId="0" borderId="1" xfId="0" applyNumberFormat="1" applyFont="1" applyFill="1" applyBorder="1" applyAlignment="1">
      <alignment horizontal="center" vertical="center" wrapText="1"/>
    </xf>
    <xf numFmtId="166" fontId="7" fillId="0" borderId="2" xfId="0" applyNumberFormat="1" applyFont="1" applyFill="1" applyBorder="1" applyAlignment="1">
      <alignment horizontal="center" vertical="center" wrapText="1"/>
    </xf>
    <xf numFmtId="3" fontId="3" fillId="0" borderId="2" xfId="0" applyNumberFormat="1" applyFont="1" applyFill="1" applyBorder="1" applyAlignment="1">
      <alignment vertical="center"/>
    </xf>
    <xf numFmtId="3" fontId="3" fillId="0" borderId="1" xfId="0" applyNumberFormat="1" applyFont="1" applyFill="1" applyBorder="1" applyAlignment="1">
      <alignment vertical="center"/>
    </xf>
    <xf numFmtId="3" fontId="7" fillId="0" borderId="2" xfId="0" applyNumberFormat="1" applyFont="1" applyFill="1" applyBorder="1" applyAlignment="1">
      <alignment vertical="center"/>
    </xf>
    <xf numFmtId="3" fontId="6" fillId="0" borderId="2" xfId="0" applyNumberFormat="1" applyFont="1" applyFill="1" applyBorder="1" applyAlignment="1">
      <alignment horizontal="center" vertical="center" wrapText="1"/>
    </xf>
    <xf numFmtId="3" fontId="3" fillId="4" borderId="2" xfId="0" applyNumberFormat="1" applyFont="1" applyFill="1" applyBorder="1" applyAlignment="1">
      <alignment vertical="center"/>
    </xf>
    <xf numFmtId="3" fontId="7" fillId="4" borderId="2" xfId="0" applyNumberFormat="1" applyFont="1" applyFill="1" applyBorder="1" applyAlignment="1">
      <alignment horizontal="center" vertical="center" wrapText="1"/>
    </xf>
    <xf numFmtId="3" fontId="7" fillId="4" borderId="2" xfId="0" applyNumberFormat="1" applyFont="1" applyFill="1" applyBorder="1" applyAlignment="1">
      <alignment vertical="center"/>
    </xf>
    <xf numFmtId="3" fontId="6" fillId="4" borderId="2" xfId="0" applyNumberFormat="1" applyFont="1" applyFill="1" applyBorder="1" applyAlignment="1">
      <alignment horizontal="center" vertical="center" wrapText="1"/>
    </xf>
    <xf numFmtId="171" fontId="3" fillId="0" borderId="2" xfId="0" applyNumberFormat="1" applyFont="1" applyFill="1" applyBorder="1" applyAlignment="1">
      <alignment vertical="center"/>
    </xf>
    <xf numFmtId="171" fontId="3" fillId="0" borderId="1" xfId="0" applyNumberFormat="1" applyFont="1" applyFill="1" applyBorder="1" applyAlignment="1">
      <alignment vertical="center"/>
    </xf>
    <xf numFmtId="171" fontId="10" fillId="0" borderId="2" xfId="0" applyNumberFormat="1" applyFont="1" applyFill="1" applyBorder="1" applyAlignment="1">
      <alignment vertical="center"/>
    </xf>
    <xf numFmtId="171" fontId="7" fillId="0" borderId="2" xfId="0" applyNumberFormat="1" applyFont="1" applyFill="1" applyBorder="1" applyAlignment="1">
      <alignment vertical="center"/>
    </xf>
    <xf numFmtId="171" fontId="6" fillId="0" borderId="2" xfId="0" applyNumberFormat="1" applyFont="1" applyFill="1" applyBorder="1" applyAlignment="1">
      <alignment vertical="center"/>
    </xf>
    <xf numFmtId="171" fontId="3" fillId="4" borderId="2" xfId="0" applyNumberFormat="1" applyFont="1" applyFill="1" applyBorder="1" applyAlignment="1">
      <alignment vertical="center"/>
    </xf>
    <xf numFmtId="171" fontId="7" fillId="4" borderId="2" xfId="0" applyNumberFormat="1" applyFont="1" applyFill="1" applyBorder="1" applyAlignment="1">
      <alignment vertical="center"/>
    </xf>
    <xf numFmtId="171" fontId="6" fillId="4" borderId="2" xfId="0" applyNumberFormat="1" applyFont="1" applyFill="1" applyBorder="1" applyAlignment="1">
      <alignment horizontal="center" vertical="center" wrapText="1"/>
    </xf>
    <xf numFmtId="165" fontId="3" fillId="2" borderId="2" xfId="0" applyNumberFormat="1" applyFont="1" applyFill="1" applyBorder="1" applyAlignment="1">
      <alignment vertical="center"/>
    </xf>
    <xf numFmtId="165" fontId="3" fillId="2" borderId="1" xfId="0" applyNumberFormat="1" applyFont="1" applyFill="1" applyBorder="1" applyAlignment="1">
      <alignment vertical="center"/>
    </xf>
    <xf numFmtId="165" fontId="7" fillId="2" borderId="2" xfId="0" applyNumberFormat="1" applyFont="1" applyFill="1" applyBorder="1" applyAlignment="1">
      <alignment vertical="center"/>
    </xf>
    <xf numFmtId="165" fontId="6" fillId="2" borderId="2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 shrinkToFit="1"/>
    </xf>
    <xf numFmtId="0" fontId="4" fillId="0" borderId="1" xfId="0" applyFont="1" applyFill="1" applyBorder="1" applyAlignment="1">
      <alignment horizontal="center" vertical="center" wrapText="1" shrinkToFit="1"/>
    </xf>
    <xf numFmtId="0" fontId="5" fillId="0" borderId="3" xfId="0" applyFont="1" applyFill="1" applyBorder="1" applyAlignment="1">
      <alignment horizontal="center" vertical="center" wrapText="1" shrinkToFit="1"/>
    </xf>
    <xf numFmtId="0" fontId="4" fillId="0" borderId="2" xfId="0" applyFont="1" applyBorder="1" applyAlignment="1">
      <alignment horizontal="center" vertical="center" wrapText="1"/>
    </xf>
    <xf numFmtId="0" fontId="4" fillId="4" borderId="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  <pageSetUpPr fitToPage="1"/>
  </sheetPr>
  <dimension ref="A1:Q29"/>
  <sheetViews>
    <sheetView tabSelected="1" view="pageBreakPreview" topLeftCell="A3" zoomScaleSheetLayoutView="100" workbookViewId="0">
      <selection activeCell="E11" sqref="E11"/>
    </sheetView>
  </sheetViews>
  <sheetFormatPr defaultRowHeight="15" x14ac:dyDescent="0.25"/>
  <cols>
    <col min="1" max="1" width="22.7109375" customWidth="1"/>
    <col min="2" max="2" width="13" customWidth="1"/>
    <col min="3" max="3" width="12.140625" style="13" customWidth="1"/>
    <col min="4" max="4" width="9.85546875" customWidth="1"/>
    <col min="5" max="5" width="14.42578125" customWidth="1"/>
    <col min="6" max="6" width="10.42578125" style="13" customWidth="1"/>
    <col min="7" max="7" width="10.28515625" customWidth="1"/>
    <col min="8" max="9" width="13.5703125" customWidth="1"/>
    <col min="10" max="10" width="11.85546875" customWidth="1"/>
    <col min="11" max="11" width="15.42578125" style="6" customWidth="1"/>
    <col min="12" max="12" width="15.7109375" customWidth="1"/>
    <col min="13" max="13" width="16.85546875" customWidth="1"/>
    <col min="14" max="15" width="18" customWidth="1"/>
    <col min="16" max="16" width="19" customWidth="1"/>
  </cols>
  <sheetData>
    <row r="1" spans="1:17" ht="15" customHeight="1" x14ac:dyDescent="0.3">
      <c r="A1" s="68"/>
      <c r="B1" s="69"/>
      <c r="C1" s="69"/>
      <c r="D1" s="69"/>
      <c r="E1" s="69"/>
      <c r="F1" s="69"/>
      <c r="G1" s="69"/>
      <c r="H1" s="69"/>
      <c r="I1" s="69"/>
      <c r="J1" s="69"/>
      <c r="K1" s="69"/>
      <c r="L1" s="69"/>
      <c r="M1" s="69"/>
      <c r="N1" s="20" t="s">
        <v>12</v>
      </c>
      <c r="O1" s="20"/>
    </row>
    <row r="2" spans="1:17" ht="15" customHeight="1" x14ac:dyDescent="0.3">
      <c r="A2" s="14" t="s">
        <v>33</v>
      </c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</row>
    <row r="3" spans="1:17" ht="15" customHeight="1" x14ac:dyDescent="0.3">
      <c r="A3" s="14"/>
      <c r="B3" s="27"/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</row>
    <row r="4" spans="1:17" ht="15" customHeight="1" x14ac:dyDescent="0.25">
      <c r="A4" s="70" t="s">
        <v>13</v>
      </c>
      <c r="B4" s="72" t="s">
        <v>0</v>
      </c>
      <c r="C4" s="74" t="s">
        <v>1</v>
      </c>
      <c r="D4" s="75" t="s">
        <v>2</v>
      </c>
      <c r="E4" s="74" t="s">
        <v>3</v>
      </c>
      <c r="F4" s="75" t="s">
        <v>4</v>
      </c>
      <c r="G4" s="75" t="s">
        <v>5</v>
      </c>
      <c r="H4" s="77" t="s">
        <v>6</v>
      </c>
      <c r="I4" s="78" t="s">
        <v>7</v>
      </c>
      <c r="J4" s="72" t="s">
        <v>28</v>
      </c>
      <c r="K4" s="79" t="s">
        <v>8</v>
      </c>
      <c r="L4" s="72" t="s">
        <v>29</v>
      </c>
      <c r="M4" s="81" t="s">
        <v>9</v>
      </c>
      <c r="N4" s="66" t="s">
        <v>10</v>
      </c>
      <c r="O4" s="34"/>
    </row>
    <row r="5" spans="1:17" ht="93.75" customHeight="1" x14ac:dyDescent="0.25">
      <c r="A5" s="71"/>
      <c r="B5" s="73"/>
      <c r="C5" s="74"/>
      <c r="D5" s="76"/>
      <c r="E5" s="74"/>
      <c r="F5" s="76"/>
      <c r="G5" s="76"/>
      <c r="H5" s="77"/>
      <c r="I5" s="78"/>
      <c r="J5" s="73"/>
      <c r="K5" s="80"/>
      <c r="L5" s="73"/>
      <c r="M5" s="82"/>
      <c r="N5" s="67"/>
      <c r="O5" s="34"/>
    </row>
    <row r="6" spans="1:17" s="6" customFormat="1" ht="18" customHeight="1" x14ac:dyDescent="0.25">
      <c r="A6" s="1" t="s">
        <v>14</v>
      </c>
      <c r="B6" s="2">
        <f t="shared" ref="B6:B18" si="0">C6+F6</f>
        <v>200</v>
      </c>
      <c r="C6" s="3">
        <f>220-20</f>
        <v>200</v>
      </c>
      <c r="D6" s="21">
        <v>118</v>
      </c>
      <c r="E6" s="43">
        <f t="shared" ref="E6:E18" si="1">C6*D6*18/1000</f>
        <v>425</v>
      </c>
      <c r="F6" s="3"/>
      <c r="G6" s="22">
        <v>153</v>
      </c>
      <c r="H6" s="46">
        <f t="shared" ref="H6:H18" si="2">F6*G6*18/1000</f>
        <v>0</v>
      </c>
      <c r="I6" s="50">
        <f>E6+H6</f>
        <v>425</v>
      </c>
      <c r="J6" s="38">
        <f>B6/120</f>
        <v>1.6666700000000001</v>
      </c>
      <c r="K6" s="54">
        <f>17611*1.04*1.302/1000*J6</f>
        <v>39.700000000000003</v>
      </c>
      <c r="L6" s="54">
        <f>(E6+H6)*10%</f>
        <v>42.5</v>
      </c>
      <c r="M6" s="59">
        <f>K6+L6</f>
        <v>82.2</v>
      </c>
      <c r="N6" s="62">
        <f>E6+H6+K6+L6</f>
        <v>507</v>
      </c>
      <c r="O6" s="35">
        <f>N6*1000/B6/18</f>
        <v>140.83332999999999</v>
      </c>
      <c r="P6" s="33">
        <f t="shared" ref="P6:P18" si="3">M6*1000/18/C6</f>
        <v>22.83333</v>
      </c>
      <c r="Q6" s="5"/>
    </row>
    <row r="7" spans="1:17" s="6" customFormat="1" ht="18" customHeight="1" x14ac:dyDescent="0.25">
      <c r="A7" s="1" t="s">
        <v>15</v>
      </c>
      <c r="B7" s="2">
        <f t="shared" si="0"/>
        <v>210</v>
      </c>
      <c r="C7" s="3">
        <v>210</v>
      </c>
      <c r="D7" s="21">
        <v>118</v>
      </c>
      <c r="E7" s="43">
        <f t="shared" si="1"/>
        <v>446</v>
      </c>
      <c r="F7" s="3"/>
      <c r="G7" s="22">
        <v>153</v>
      </c>
      <c r="H7" s="46">
        <f t="shared" si="2"/>
        <v>0</v>
      </c>
      <c r="I7" s="50">
        <f t="shared" ref="I7:I20" si="4">E7+H7</f>
        <v>446</v>
      </c>
      <c r="J7" s="38">
        <f>B7/120</f>
        <v>1.75</v>
      </c>
      <c r="K7" s="54">
        <f t="shared" ref="K7:K20" si="5">17611*1.04*1.302/1000*J7</f>
        <v>41.7</v>
      </c>
      <c r="L7" s="54">
        <f t="shared" ref="L7:L17" si="6">(E7+H7)*10%</f>
        <v>44.6</v>
      </c>
      <c r="M7" s="59">
        <f t="shared" ref="M7:M20" si="7">K7+L7</f>
        <v>86.3</v>
      </c>
      <c r="N7" s="62">
        <f t="shared" ref="N7:N20" si="8">E7+H7+K7+L7</f>
        <v>532</v>
      </c>
      <c r="O7" s="35">
        <f t="shared" ref="O7:O17" si="9">N7*1000/B7/18</f>
        <v>140.74073999999999</v>
      </c>
      <c r="P7" s="4">
        <f t="shared" si="3"/>
        <v>22.8306878306878</v>
      </c>
      <c r="Q7" s="5"/>
    </row>
    <row r="8" spans="1:17" s="6" customFormat="1" ht="18" customHeight="1" x14ac:dyDescent="0.25">
      <c r="A8" s="1" t="s">
        <v>16</v>
      </c>
      <c r="B8" s="7">
        <f t="shared" si="0"/>
        <v>100</v>
      </c>
      <c r="C8" s="8">
        <v>100</v>
      </c>
      <c r="D8" s="21">
        <v>118</v>
      </c>
      <c r="E8" s="44">
        <f t="shared" si="1"/>
        <v>212</v>
      </c>
      <c r="F8" s="8"/>
      <c r="G8" s="22">
        <v>153</v>
      </c>
      <c r="H8" s="47">
        <f t="shared" si="2"/>
        <v>0</v>
      </c>
      <c r="I8" s="50">
        <f t="shared" si="4"/>
        <v>212</v>
      </c>
      <c r="J8" s="38">
        <f t="shared" ref="J8:J18" si="10">B8/120</f>
        <v>0.83333000000000002</v>
      </c>
      <c r="K8" s="54">
        <f t="shared" si="5"/>
        <v>19.899999999999999</v>
      </c>
      <c r="L8" s="55">
        <f t="shared" si="6"/>
        <v>21.2</v>
      </c>
      <c r="M8" s="59">
        <f t="shared" si="7"/>
        <v>41.1</v>
      </c>
      <c r="N8" s="63">
        <f t="shared" si="8"/>
        <v>253</v>
      </c>
      <c r="O8" s="35">
        <f t="shared" si="9"/>
        <v>140.55556000000001</v>
      </c>
      <c r="P8" s="4">
        <f t="shared" si="3"/>
        <v>22.8333333333333</v>
      </c>
      <c r="Q8" s="5"/>
    </row>
    <row r="9" spans="1:17" s="6" customFormat="1" ht="18" customHeight="1" x14ac:dyDescent="0.25">
      <c r="A9" s="1" t="s">
        <v>17</v>
      </c>
      <c r="B9" s="2">
        <f t="shared" si="0"/>
        <v>200</v>
      </c>
      <c r="C9" s="3">
        <f>150+50</f>
        <v>200</v>
      </c>
      <c r="D9" s="21">
        <v>118</v>
      </c>
      <c r="E9" s="43">
        <f t="shared" si="1"/>
        <v>425</v>
      </c>
      <c r="F9" s="3"/>
      <c r="G9" s="22">
        <v>153</v>
      </c>
      <c r="H9" s="46">
        <f t="shared" si="2"/>
        <v>0</v>
      </c>
      <c r="I9" s="50">
        <f t="shared" si="4"/>
        <v>425</v>
      </c>
      <c r="J9" s="38">
        <f t="shared" si="10"/>
        <v>1.6666700000000001</v>
      </c>
      <c r="K9" s="54">
        <f t="shared" si="5"/>
        <v>39.700000000000003</v>
      </c>
      <c r="L9" s="54">
        <f t="shared" si="6"/>
        <v>42.5</v>
      </c>
      <c r="M9" s="59">
        <f t="shared" si="7"/>
        <v>82.2</v>
      </c>
      <c r="N9" s="62">
        <f t="shared" si="8"/>
        <v>507</v>
      </c>
      <c r="O9" s="35">
        <f t="shared" si="9"/>
        <v>140.83332999999999</v>
      </c>
      <c r="P9" s="4">
        <f t="shared" si="3"/>
        <v>22.8333333333333</v>
      </c>
      <c r="Q9" s="5"/>
    </row>
    <row r="10" spans="1:17" s="6" customFormat="1" ht="18" customHeight="1" x14ac:dyDescent="0.25">
      <c r="A10" s="1" t="s">
        <v>18</v>
      </c>
      <c r="B10" s="2">
        <f t="shared" si="0"/>
        <v>230</v>
      </c>
      <c r="C10" s="3">
        <f>150+80</f>
        <v>230</v>
      </c>
      <c r="D10" s="21">
        <v>118</v>
      </c>
      <c r="E10" s="43">
        <f t="shared" si="1"/>
        <v>489</v>
      </c>
      <c r="F10" s="3"/>
      <c r="G10" s="22">
        <v>153</v>
      </c>
      <c r="H10" s="46">
        <f t="shared" si="2"/>
        <v>0</v>
      </c>
      <c r="I10" s="50">
        <f t="shared" si="4"/>
        <v>489</v>
      </c>
      <c r="J10" s="38">
        <f t="shared" si="10"/>
        <v>1.9166700000000001</v>
      </c>
      <c r="K10" s="54">
        <f t="shared" si="5"/>
        <v>45.7</v>
      </c>
      <c r="L10" s="54">
        <f t="shared" si="6"/>
        <v>48.9</v>
      </c>
      <c r="M10" s="59">
        <f t="shared" si="7"/>
        <v>94.6</v>
      </c>
      <c r="N10" s="62">
        <f t="shared" si="8"/>
        <v>584</v>
      </c>
      <c r="O10" s="35">
        <f t="shared" si="9"/>
        <v>141.06280000000001</v>
      </c>
      <c r="P10" s="4">
        <f t="shared" si="3"/>
        <v>22.850241545893699</v>
      </c>
      <c r="Q10" s="5"/>
    </row>
    <row r="11" spans="1:17" s="6" customFormat="1" ht="38.25" customHeight="1" x14ac:dyDescent="0.25">
      <c r="A11" s="1" t="s">
        <v>24</v>
      </c>
      <c r="B11" s="2">
        <f t="shared" si="0"/>
        <v>390</v>
      </c>
      <c r="C11" s="3">
        <f>390</f>
        <v>390</v>
      </c>
      <c r="D11" s="21">
        <v>118</v>
      </c>
      <c r="E11" s="43">
        <f t="shared" si="1"/>
        <v>828</v>
      </c>
      <c r="F11" s="3"/>
      <c r="G11" s="22">
        <v>153</v>
      </c>
      <c r="H11" s="46">
        <f t="shared" si="2"/>
        <v>0</v>
      </c>
      <c r="I11" s="50">
        <f t="shared" si="4"/>
        <v>828</v>
      </c>
      <c r="J11" s="38">
        <f t="shared" si="10"/>
        <v>3.25</v>
      </c>
      <c r="K11" s="54">
        <f t="shared" si="5"/>
        <v>77.5</v>
      </c>
      <c r="L11" s="54">
        <f t="shared" si="6"/>
        <v>82.8</v>
      </c>
      <c r="M11" s="59">
        <f t="shared" si="7"/>
        <v>160.30000000000001</v>
      </c>
      <c r="N11" s="62">
        <f>E11+H11+K11+L11+1</f>
        <v>989</v>
      </c>
      <c r="O11" s="35">
        <f t="shared" si="9"/>
        <v>140.88319000000001</v>
      </c>
      <c r="P11" s="4">
        <f t="shared" si="3"/>
        <v>22.834757834757799</v>
      </c>
      <c r="Q11" s="5"/>
    </row>
    <row r="12" spans="1:17" s="6" customFormat="1" ht="16.5" customHeight="1" x14ac:dyDescent="0.25">
      <c r="A12" s="1" t="s">
        <v>19</v>
      </c>
      <c r="B12" s="2">
        <f t="shared" si="0"/>
        <v>130</v>
      </c>
      <c r="C12" s="3">
        <f>130+50-50</f>
        <v>130</v>
      </c>
      <c r="D12" s="21">
        <v>118</v>
      </c>
      <c r="E12" s="43">
        <f t="shared" si="1"/>
        <v>276</v>
      </c>
      <c r="F12" s="3"/>
      <c r="G12" s="22">
        <v>153</v>
      </c>
      <c r="H12" s="46">
        <f t="shared" si="2"/>
        <v>0</v>
      </c>
      <c r="I12" s="50">
        <f t="shared" si="4"/>
        <v>276</v>
      </c>
      <c r="J12" s="38">
        <f t="shared" si="10"/>
        <v>1.0833299999999999</v>
      </c>
      <c r="K12" s="54">
        <f t="shared" si="5"/>
        <v>25.8</v>
      </c>
      <c r="L12" s="54">
        <f t="shared" si="6"/>
        <v>27.6</v>
      </c>
      <c r="M12" s="59">
        <f t="shared" si="7"/>
        <v>53.4</v>
      </c>
      <c r="N12" s="62">
        <f t="shared" si="8"/>
        <v>329</v>
      </c>
      <c r="O12" s="35">
        <f t="shared" si="9"/>
        <v>140.59828999999999</v>
      </c>
      <c r="P12" s="4">
        <f t="shared" si="3"/>
        <v>22.8205128205128</v>
      </c>
      <c r="Q12" s="5"/>
    </row>
    <row r="13" spans="1:17" s="6" customFormat="1" ht="16.5" customHeight="1" x14ac:dyDescent="0.25">
      <c r="A13" s="1" t="s">
        <v>20</v>
      </c>
      <c r="B13" s="2">
        <f t="shared" si="0"/>
        <v>100</v>
      </c>
      <c r="C13" s="3">
        <v>100</v>
      </c>
      <c r="D13" s="21">
        <v>118</v>
      </c>
      <c r="E13" s="43">
        <f t="shared" si="1"/>
        <v>212</v>
      </c>
      <c r="F13" s="3"/>
      <c r="G13" s="22">
        <v>153</v>
      </c>
      <c r="H13" s="46">
        <f t="shared" si="2"/>
        <v>0</v>
      </c>
      <c r="I13" s="50">
        <f t="shared" si="4"/>
        <v>212</v>
      </c>
      <c r="J13" s="38">
        <f t="shared" si="10"/>
        <v>0.83333000000000002</v>
      </c>
      <c r="K13" s="54">
        <f t="shared" si="5"/>
        <v>19.899999999999999</v>
      </c>
      <c r="L13" s="54">
        <f t="shared" si="6"/>
        <v>21.2</v>
      </c>
      <c r="M13" s="59">
        <f t="shared" si="7"/>
        <v>41.1</v>
      </c>
      <c r="N13" s="62">
        <f t="shared" si="8"/>
        <v>253</v>
      </c>
      <c r="O13" s="35">
        <f t="shared" si="9"/>
        <v>140.55556000000001</v>
      </c>
      <c r="P13" s="4">
        <f t="shared" si="3"/>
        <v>22.8333333333333</v>
      </c>
      <c r="Q13" s="5"/>
    </row>
    <row r="14" spans="1:17" s="6" customFormat="1" ht="16.5" customHeight="1" x14ac:dyDescent="0.25">
      <c r="A14" s="1" t="s">
        <v>21</v>
      </c>
      <c r="B14" s="2">
        <f t="shared" si="0"/>
        <v>150</v>
      </c>
      <c r="C14" s="3">
        <v>150</v>
      </c>
      <c r="D14" s="21">
        <v>118</v>
      </c>
      <c r="E14" s="43">
        <f t="shared" si="1"/>
        <v>319</v>
      </c>
      <c r="F14" s="3"/>
      <c r="G14" s="22">
        <v>153</v>
      </c>
      <c r="H14" s="46">
        <f t="shared" si="2"/>
        <v>0</v>
      </c>
      <c r="I14" s="50">
        <f t="shared" si="4"/>
        <v>319</v>
      </c>
      <c r="J14" s="38">
        <f t="shared" si="10"/>
        <v>1.25</v>
      </c>
      <c r="K14" s="54">
        <f t="shared" si="5"/>
        <v>29.8</v>
      </c>
      <c r="L14" s="54">
        <f t="shared" si="6"/>
        <v>31.9</v>
      </c>
      <c r="M14" s="59">
        <f t="shared" si="7"/>
        <v>61.7</v>
      </c>
      <c r="N14" s="62">
        <f t="shared" si="8"/>
        <v>381</v>
      </c>
      <c r="O14" s="35">
        <f t="shared" si="9"/>
        <v>141.11111</v>
      </c>
      <c r="P14" s="4">
        <f t="shared" si="3"/>
        <v>22.851851851851901</v>
      </c>
      <c r="Q14" s="5"/>
    </row>
    <row r="15" spans="1:17" s="6" customFormat="1" ht="16.5" customHeight="1" x14ac:dyDescent="0.25">
      <c r="A15" s="1" t="s">
        <v>22</v>
      </c>
      <c r="B15" s="2">
        <f>C15+F15</f>
        <v>150</v>
      </c>
      <c r="C15" s="3">
        <v>150</v>
      </c>
      <c r="D15" s="21">
        <v>118</v>
      </c>
      <c r="E15" s="43">
        <f>C15*D15*18/1000</f>
        <v>319</v>
      </c>
      <c r="F15" s="3"/>
      <c r="G15" s="22">
        <v>153</v>
      </c>
      <c r="H15" s="46">
        <f>F15*G15*18/1000</f>
        <v>0</v>
      </c>
      <c r="I15" s="50">
        <f>E15+H15</f>
        <v>319</v>
      </c>
      <c r="J15" s="38">
        <f>B15/120</f>
        <v>1.25</v>
      </c>
      <c r="K15" s="54">
        <f t="shared" si="5"/>
        <v>29.8</v>
      </c>
      <c r="L15" s="54">
        <f>(E15+H15)*10%</f>
        <v>31.9</v>
      </c>
      <c r="M15" s="59">
        <f>K15+L15</f>
        <v>61.7</v>
      </c>
      <c r="N15" s="62">
        <f>E15+H15+K15+L15</f>
        <v>381</v>
      </c>
      <c r="O15" s="35">
        <f t="shared" si="9"/>
        <v>141.11111</v>
      </c>
      <c r="P15" s="4">
        <f t="shared" si="3"/>
        <v>22.851851851851901</v>
      </c>
      <c r="Q15" s="5"/>
    </row>
    <row r="16" spans="1:17" s="6" customFormat="1" ht="16.5" customHeight="1" x14ac:dyDescent="0.25">
      <c r="A16" s="1" t="s">
        <v>30</v>
      </c>
      <c r="B16" s="2">
        <f t="shared" si="0"/>
        <v>270</v>
      </c>
      <c r="C16" s="3">
        <f>250+20</f>
        <v>270</v>
      </c>
      <c r="D16" s="21">
        <v>118</v>
      </c>
      <c r="E16" s="43">
        <f t="shared" si="1"/>
        <v>573</v>
      </c>
      <c r="F16" s="3"/>
      <c r="G16" s="22">
        <v>153</v>
      </c>
      <c r="H16" s="46">
        <f t="shared" si="2"/>
        <v>0</v>
      </c>
      <c r="I16" s="50">
        <f t="shared" si="4"/>
        <v>573</v>
      </c>
      <c r="J16" s="38">
        <f t="shared" si="10"/>
        <v>2.25</v>
      </c>
      <c r="K16" s="54">
        <f t="shared" si="5"/>
        <v>53.7</v>
      </c>
      <c r="L16" s="54">
        <f t="shared" si="6"/>
        <v>57.3</v>
      </c>
      <c r="M16" s="59">
        <f t="shared" si="7"/>
        <v>111</v>
      </c>
      <c r="N16" s="62">
        <f t="shared" si="8"/>
        <v>684</v>
      </c>
      <c r="O16" s="35">
        <f t="shared" si="9"/>
        <v>140.74073999999999</v>
      </c>
      <c r="P16" s="4">
        <f t="shared" si="3"/>
        <v>22.839506172839499</v>
      </c>
      <c r="Q16" s="5"/>
    </row>
    <row r="17" spans="1:17" s="6" customFormat="1" ht="16.5" customHeight="1" x14ac:dyDescent="0.25">
      <c r="A17" s="1" t="s">
        <v>23</v>
      </c>
      <c r="B17" s="2">
        <f t="shared" si="0"/>
        <v>180</v>
      </c>
      <c r="C17" s="3">
        <v>180</v>
      </c>
      <c r="D17" s="21">
        <v>118</v>
      </c>
      <c r="E17" s="43">
        <f t="shared" si="1"/>
        <v>382</v>
      </c>
      <c r="F17" s="3"/>
      <c r="G17" s="22">
        <v>153</v>
      </c>
      <c r="H17" s="46">
        <f t="shared" si="2"/>
        <v>0</v>
      </c>
      <c r="I17" s="50">
        <f t="shared" si="4"/>
        <v>382</v>
      </c>
      <c r="J17" s="38">
        <f t="shared" si="10"/>
        <v>1.5</v>
      </c>
      <c r="K17" s="54">
        <f t="shared" si="5"/>
        <v>35.799999999999997</v>
      </c>
      <c r="L17" s="54">
        <f t="shared" si="6"/>
        <v>38.200000000000003</v>
      </c>
      <c r="M17" s="59">
        <f t="shared" si="7"/>
        <v>74</v>
      </c>
      <c r="N17" s="62">
        <f t="shared" si="8"/>
        <v>456</v>
      </c>
      <c r="O17" s="35">
        <f t="shared" si="9"/>
        <v>140.74073999999999</v>
      </c>
      <c r="P17" s="4">
        <f t="shared" si="3"/>
        <v>22.839506172839499</v>
      </c>
      <c r="Q17" s="5"/>
    </row>
    <row r="18" spans="1:17" s="6" customFormat="1" ht="36.75" customHeight="1" x14ac:dyDescent="0.25">
      <c r="A18" s="1" t="s">
        <v>27</v>
      </c>
      <c r="B18" s="2">
        <f t="shared" si="0"/>
        <v>120</v>
      </c>
      <c r="C18" s="3">
        <v>120</v>
      </c>
      <c r="D18" s="21">
        <v>118</v>
      </c>
      <c r="E18" s="43">
        <f t="shared" si="1"/>
        <v>255</v>
      </c>
      <c r="F18" s="3"/>
      <c r="G18" s="22">
        <v>153</v>
      </c>
      <c r="H18" s="46">
        <f t="shared" si="2"/>
        <v>0</v>
      </c>
      <c r="I18" s="50">
        <f t="shared" si="4"/>
        <v>255</v>
      </c>
      <c r="J18" s="38">
        <f t="shared" si="10"/>
        <v>1</v>
      </c>
      <c r="K18" s="54">
        <f t="shared" si="5"/>
        <v>23.8</v>
      </c>
      <c r="L18" s="56">
        <f>(E18+H18)*10%</f>
        <v>25.5</v>
      </c>
      <c r="M18" s="59">
        <f t="shared" si="7"/>
        <v>49.3</v>
      </c>
      <c r="N18" s="62">
        <f>E18+H18+K18+L18</f>
        <v>304</v>
      </c>
      <c r="O18" s="35">
        <f>N18*1000/B18/18</f>
        <v>140.74073999999999</v>
      </c>
      <c r="P18" s="4">
        <f t="shared" si="3"/>
        <v>22.824074074074101</v>
      </c>
      <c r="Q18" s="5"/>
    </row>
    <row r="19" spans="1:17" s="6" customFormat="1" ht="57.75" customHeight="1" x14ac:dyDescent="0.25">
      <c r="A19" s="19" t="s">
        <v>25</v>
      </c>
      <c r="B19" s="16">
        <f>SUM(B6:B18)</f>
        <v>2430</v>
      </c>
      <c r="C19" s="16">
        <f>SUM(C6:C18)</f>
        <v>2430</v>
      </c>
      <c r="D19" s="23">
        <v>118</v>
      </c>
      <c r="E19" s="45">
        <f>SUM(E6:E18)</f>
        <v>5161</v>
      </c>
      <c r="F19" s="17"/>
      <c r="G19" s="24">
        <v>153</v>
      </c>
      <c r="H19" s="16">
        <f t="shared" ref="H19:M19" si="11">SUM(H6:H18)</f>
        <v>0</v>
      </c>
      <c r="I19" s="51">
        <f t="shared" si="11"/>
        <v>5161</v>
      </c>
      <c r="J19" s="31">
        <f>SUM(J6:J18)</f>
        <v>20.25</v>
      </c>
      <c r="K19" s="57">
        <f t="shared" si="11"/>
        <v>482.8</v>
      </c>
      <c r="L19" s="57">
        <f>SUM(L6:L18)</f>
        <v>516.1</v>
      </c>
      <c r="M19" s="60">
        <f t="shared" si="11"/>
        <v>998.9</v>
      </c>
      <c r="N19" s="64">
        <f>SUM(N6:N18)</f>
        <v>6160</v>
      </c>
      <c r="O19" s="36">
        <v>6160</v>
      </c>
      <c r="P19" s="4"/>
      <c r="Q19" s="5"/>
    </row>
    <row r="20" spans="1:17" s="6" customFormat="1" ht="173.25" x14ac:dyDescent="0.25">
      <c r="A20" s="15" t="s">
        <v>26</v>
      </c>
      <c r="B20" s="16">
        <f>C20+F20</f>
        <v>9270</v>
      </c>
      <c r="C20" s="17">
        <v>9120</v>
      </c>
      <c r="D20" s="23">
        <v>118</v>
      </c>
      <c r="E20" s="45">
        <f>C20*D20*18/1000</f>
        <v>19371</v>
      </c>
      <c r="F20" s="17">
        <v>150</v>
      </c>
      <c r="G20" s="24">
        <v>153</v>
      </c>
      <c r="H20" s="48">
        <f t="shared" ref="H20" si="12">F20*G20*18/1000</f>
        <v>413</v>
      </c>
      <c r="I20" s="52">
        <f t="shared" si="4"/>
        <v>19784</v>
      </c>
      <c r="J20" s="31">
        <f>B20/120</f>
        <v>77.25</v>
      </c>
      <c r="K20" s="57">
        <f t="shared" si="5"/>
        <v>1842.2</v>
      </c>
      <c r="L20" s="57">
        <f>(E20+H20)*10%</f>
        <v>1978.4</v>
      </c>
      <c r="M20" s="60">
        <f t="shared" si="7"/>
        <v>3820.6</v>
      </c>
      <c r="N20" s="64">
        <f t="shared" si="8"/>
        <v>23605</v>
      </c>
      <c r="O20" s="36">
        <v>23605</v>
      </c>
      <c r="P20" s="33">
        <f>M20*1000/18/C20</f>
        <v>23.27364</v>
      </c>
      <c r="Q20" s="5"/>
    </row>
    <row r="21" spans="1:17" s="11" customFormat="1" ht="15.75" x14ac:dyDescent="0.25">
      <c r="A21" s="9" t="s">
        <v>11</v>
      </c>
      <c r="B21" s="10">
        <f>B19+B20</f>
        <v>11700</v>
      </c>
      <c r="C21" s="10">
        <f>C19+C20</f>
        <v>11550</v>
      </c>
      <c r="D21" s="25">
        <v>118</v>
      </c>
      <c r="E21" s="10">
        <f>E19+E20</f>
        <v>24532</v>
      </c>
      <c r="F21" s="10">
        <f>F19+F20</f>
        <v>150</v>
      </c>
      <c r="G21" s="26">
        <v>153</v>
      </c>
      <c r="H21" s="49">
        <f>SUM(H6:H20)</f>
        <v>413</v>
      </c>
      <c r="I21" s="53">
        <f t="shared" ref="I21:M21" si="13">I19+I20</f>
        <v>24945</v>
      </c>
      <c r="J21" s="32">
        <f>J19+J20</f>
        <v>97.5</v>
      </c>
      <c r="K21" s="58">
        <f t="shared" si="13"/>
        <v>2325</v>
      </c>
      <c r="L21" s="58">
        <f t="shared" si="13"/>
        <v>2494.5</v>
      </c>
      <c r="M21" s="61">
        <f t="shared" si="13"/>
        <v>4819.5</v>
      </c>
      <c r="N21" s="65">
        <f>N19+N20</f>
        <v>29765</v>
      </c>
      <c r="O21" s="37"/>
      <c r="Q21" s="12"/>
    </row>
    <row r="22" spans="1:17" ht="15.75" x14ac:dyDescent="0.25">
      <c r="B22">
        <v>11700</v>
      </c>
      <c r="C22" s="13">
        <f>11700-150</f>
        <v>11550</v>
      </c>
      <c r="F22" s="13">
        <v>150</v>
      </c>
      <c r="K22" s="18">
        <f>18221*1.302/1000*J21</f>
        <v>2313.0648500000002</v>
      </c>
      <c r="N22" s="28">
        <f>((C21*D21*18+F21*G21*18)*1.1+B21/120*17611*1.04*1.302)/1000</f>
        <v>29764.883529999999</v>
      </c>
      <c r="O22" s="28"/>
    </row>
    <row r="23" spans="1:17" x14ac:dyDescent="0.25">
      <c r="B23" s="30">
        <f>B22-B21</f>
        <v>0</v>
      </c>
      <c r="C23" s="30">
        <f>C22-C21</f>
        <v>0</v>
      </c>
      <c r="F23" s="30">
        <f>F22-F21</f>
        <v>0</v>
      </c>
      <c r="K23" s="29">
        <f>K22-K21</f>
        <v>-11.93515</v>
      </c>
      <c r="N23" s="28">
        <v>29765</v>
      </c>
      <c r="O23" s="28"/>
    </row>
    <row r="24" spans="1:17" x14ac:dyDescent="0.25">
      <c r="N24" s="28">
        <f>N23-N21</f>
        <v>0</v>
      </c>
      <c r="O24" s="28"/>
    </row>
    <row r="27" spans="1:17" x14ac:dyDescent="0.25">
      <c r="A27" s="39" t="s">
        <v>31</v>
      </c>
      <c r="B27" s="40">
        <f>N19*1000/C19/18</f>
        <v>140.83000000000001</v>
      </c>
      <c r="C27" s="41">
        <f>C21*B27*18/1000</f>
        <v>29278.557000000001</v>
      </c>
    </row>
    <row r="28" spans="1:17" x14ac:dyDescent="0.25">
      <c r="A28" s="39" t="s">
        <v>32</v>
      </c>
      <c r="B28" s="40">
        <f>(H20*10%+H20+(F20/120)*17611*1.04*1.302/1000)*1000/F20/18</f>
        <v>179.3</v>
      </c>
      <c r="C28" s="42">
        <f>B28*F21*18/1000</f>
        <v>484.11</v>
      </c>
    </row>
    <row r="29" spans="1:17" x14ac:dyDescent="0.25">
      <c r="C29" s="42">
        <f>C27+C28</f>
        <v>29762.667000000001</v>
      </c>
    </row>
  </sheetData>
  <mergeCells count="15">
    <mergeCell ref="N4:N5"/>
    <mergeCell ref="A1:M1"/>
    <mergeCell ref="A4:A5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</mergeCells>
  <pageMargins left="0.25" right="0.25" top="0.75" bottom="0.75" header="0.3" footer="0.3"/>
  <pageSetup paperSize="9" scale="72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расчет по учреж на 15.11.19</vt:lpstr>
      <vt:lpstr>'расчет по учреж на 15.11.19'!Область_печати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Клокова</dc:creator>
  <cp:lastModifiedBy>Разумова Наталья Сергеевна</cp:lastModifiedBy>
  <cp:lastPrinted>2020-04-20T12:45:36Z</cp:lastPrinted>
  <dcterms:created xsi:type="dcterms:W3CDTF">2019-03-12T12:32:08Z</dcterms:created>
  <dcterms:modified xsi:type="dcterms:W3CDTF">2020-07-07T11:18:15Z</dcterms:modified>
</cp:coreProperties>
</file>