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28" yWindow="156" windowWidth="10500" windowHeight="10140" activeTab="0"/>
  </bookViews>
  <sheets>
    <sheet name="Прил.1 (мероприятия) " sheetId="1" r:id="rId1"/>
    <sheet name="Прил.2 (показатели)" sheetId="2" r:id="rId2"/>
  </sheets>
  <definedNames>
    <definedName name="_xlnm.Print_Titles" localSheetId="0">'Прил.1 (мероприятия) '!$9:$9</definedName>
    <definedName name="_xlnm.Print_Titles" localSheetId="1">'Прил.2 (показатели)'!$9:$9</definedName>
    <definedName name="_xlnm.Print_Area" localSheetId="0">'Прил.1 (мероприятия) '!$A$1:$AD$55</definedName>
    <definedName name="_xlnm.Print_Area" localSheetId="1">'Прил.2 (показатели)'!$A$1:$J$54</definedName>
  </definedNames>
  <calcPr fullCalcOnLoad="1"/>
</workbook>
</file>

<file path=xl/sharedStrings.xml><?xml version="1.0" encoding="utf-8"?>
<sst xmlns="http://schemas.openxmlformats.org/spreadsheetml/2006/main" count="633" uniqueCount="209">
  <si>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</si>
  <si>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</si>
  <si>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</si>
  <si>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</si>
  <si>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</si>
  <si>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</si>
  <si>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</si>
  <si>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</si>
  <si>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</si>
  <si>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</si>
  <si>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</si>
  <si>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ДГХ</t>
  </si>
  <si>
    <t>Устройство и содержание противопожарных минерализованных полос с расчисткой от внелесосечной захламленности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</si>
  <si>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</si>
  <si>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</si>
  <si>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</si>
  <si>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</si>
  <si>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</si>
  <si>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</si>
  <si>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</si>
  <si>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</si>
  <si>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</si>
  <si>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</si>
  <si>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Устройство твердых покрытий в дендропарке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</si>
  <si>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</si>
  <si>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</si>
  <si>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</si>
  <si>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</si>
  <si>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</si>
  <si>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</si>
  <si>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</si>
  <si>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</si>
  <si>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</si>
  <si>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</si>
  <si>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</si>
  <si>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</si>
  <si>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</si>
  <si>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</si>
  <si>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</si>
  <si>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</si>
  <si>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Приложение № 2</t>
  </si>
  <si>
    <t>от ____________________  № _______________</t>
  </si>
  <si>
    <t>Показатели (индикаторы) реализации муниципальной программы</t>
  </si>
  <si>
    <t>№</t>
  </si>
  <si>
    <t xml:space="preserve">Наименование </t>
  </si>
  <si>
    <t>Наименование показателей (индикаторов)</t>
  </si>
  <si>
    <t>Ед. изм.</t>
  </si>
  <si>
    <t>Значение показателей (индикаторов) по годам</t>
  </si>
  <si>
    <t xml:space="preserve"> 1.3</t>
  </si>
  <si>
    <t xml:space="preserve"> 1.4</t>
  </si>
  <si>
    <t xml:space="preserve"> 1.5</t>
  </si>
  <si>
    <t>Протяженность дорог противопожарного назначения, содержащихся в надлежащем состоянии</t>
  </si>
  <si>
    <t>км</t>
  </si>
  <si>
    <t>Протяженность вновь устроенных противопожарных минерализованных полос</t>
  </si>
  <si>
    <t>Протяженность противопожарных минерализованных полос, содержащихся в надлежащем состоянии</t>
  </si>
  <si>
    <t>Объем внелесосечной захламленности, полученный в результате расчистки противопожарных минерализованных полос</t>
  </si>
  <si>
    <t>-</t>
  </si>
  <si>
    <t>Площадь городских лесов, в которых обеспечиваются первичные меры пожарной безопасности</t>
  </si>
  <si>
    <t>га</t>
  </si>
  <si>
    <t>шт.</t>
  </si>
  <si>
    <t>Количество изготовленных и распространенных листовок на противопожарную тему</t>
  </si>
  <si>
    <t>Объем убранных и утилизированных отходов с территорий несанкционированных свалок</t>
  </si>
  <si>
    <t>м3</t>
  </si>
  <si>
    <t>Площадь твердых покрытий, устроенных в дендропарке</t>
  </si>
  <si>
    <t>Количество объектов с улучшенными декоративными качествами лесных культур, содержащихся в надлежащем состоянии</t>
  </si>
  <si>
    <t>объект</t>
  </si>
  <si>
    <t>План на 2019 год</t>
  </si>
  <si>
    <t>Базовое значение (2017)</t>
  </si>
  <si>
    <t>Лесовосстановление</t>
  </si>
  <si>
    <t>Проведение агротехнического ухода за лесными культурами</t>
  </si>
  <si>
    <t>Обработка почвы под лесные культуры</t>
  </si>
  <si>
    <t>Дополнение лесных культур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</si>
  <si>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</si>
  <si>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</si>
  <si>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</si>
  <si>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</si>
  <si>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</si>
  <si>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Площадь лесных участков в границах городского округа Тольятти, на территории которых проведен агротехнический уход за лесными культурами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</si>
  <si>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</si>
  <si>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</si>
  <si>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</si>
  <si>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</si>
  <si>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 xml:space="preserve">
Площадь лесных участков в границах городского округа Тольятти, на территории которых выполнено дополнение лесных культур
</t>
  </si>
  <si>
    <t>Площадь лесных участков в границах городского округа Тольятти, на территории которых проведена обработка почвы под посадку лесных культур</t>
  </si>
  <si>
    <t>Площадь искусственного лесовосстановления в границах городского округа Тольятти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</si>
  <si>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</si>
  <si>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</si>
  <si>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</si>
  <si>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</si>
  <si>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r>
      <t xml:space="preserve">Задача 1: Организация и осуществление первичных мер пожарной безопасности в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городских лесах</t>
    </r>
  </si>
  <si>
    <t>Задача 2: Поддержание удовлетворительного санитарно-экологического состояния городских лесов и сокращение потерь лесного хозяйства от вредителей и болезней</t>
  </si>
  <si>
    <t>к проекту постановления администрации                                            городского округа Тольятти</t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</si>
  <si>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</si>
  <si>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</si>
  <si>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</si>
  <si>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Обеспечение устойчивого управления  городскими лесами</t>
  </si>
  <si>
    <t>Задача 4:  Обеспечение устойчивого управления городскими лесами</t>
  </si>
  <si>
    <t xml:space="preserve">ед.  </t>
  </si>
  <si>
    <t xml:space="preserve"> - </t>
  </si>
  <si>
    <t>1.6</t>
  </si>
  <si>
    <t xml:space="preserve"> 1.6</t>
  </si>
  <si>
    <t>Количество противопожарных резервуаров, содержащихся в надлежащем состоянии</t>
  </si>
  <si>
    <t>Санитарное содержание городских лесов</t>
  </si>
  <si>
    <t>Площадь лесов, расположенных в границах городского округа Тольятти, охваченных лесопатологическим обследованием (инструментальный способ)</t>
  </si>
  <si>
    <t>Площадь лесов, расположенных в границах городского округа Тольятти, охваченных лесопатологическим обследованием (визуальный способ)</t>
  </si>
  <si>
    <t>Объем внелесосечной захламленности, полученный в результате уборки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</si>
  <si>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</si>
  <si>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</si>
  <si>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</si>
  <si>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</si>
  <si>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</si>
  <si>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</si>
  <si>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t xml:space="preserve">Количество лесничеств, осуществляющих обеспечение устойчивого управление городскими лесами 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</si>
  <si>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</si>
  <si>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</si>
  <si>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Задача 3: Обеспечение воспроизводства городских лесов для восстановления зеленого каркаса городского округа Тольятти</t>
  </si>
  <si>
    <t>Задача 5: Использование и раскрытие пространственного потенциала городского округа Тольятти (городские леса) для сохранения рекреационных и ландшафтно-композиционных функций природной среды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</si>
  <si>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</si>
  <si>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Расчистка неликвидных лесных участков, пострадавших в результате засухи и последствий лесных пожаров</t>
  </si>
  <si>
    <t>Площадь расчищенных неликвидных лесных участков, пострадавших в результате засухи и последствий лесных пожаров</t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</si>
  <si>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</si>
  <si>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r>
      <t>Количество развешенных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искусственных гнездовий</t>
    </r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</si>
  <si>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</si>
  <si>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2020-2023</t>
  </si>
  <si>
    <t>Приложение 1</t>
  </si>
  <si>
    <t>Приложение 2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</si>
  <si>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</si>
  <si>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</si>
  <si>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</si>
  <si>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</si>
  <si>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</si>
  <si>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</si>
  <si>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</si>
  <si>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</si>
  <si>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</si>
  <si>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</si>
  <si>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</si>
  <si>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</si>
  <si>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</si>
  <si>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6.1.2</t>
  </si>
  <si>
    <t>6.1.1</t>
  </si>
  <si>
    <t>Итого по задаче 6:</t>
  </si>
  <si>
    <t xml:space="preserve">Площадь городских лесов, на территории которых выполнено санитарное содержание </t>
  </si>
  <si>
    <t>Количество приобретенной лесокультурной техники и оборудования для оснащения муниципальных учреждений, выполняющих мероприятия по воспроизводству городских лесов</t>
  </si>
  <si>
    <t>ед.</t>
  </si>
  <si>
    <t xml:space="preserve">Количество приобретенной лесопожарной техники и оборудования для оснащения муниципальных учреждений, выполняющих мероприятия по охране городских лесов от пожаров </t>
  </si>
  <si>
    <t>Содержание противопожарных железобетонных резервуаров (Эксплуатация и ремонт пожарных водоемов)</t>
  </si>
  <si>
    <t xml:space="preserve">Содержание противопожарных железобетонных резервуаров (Эксплуатация и ремонт пожарных водоемов) </t>
  </si>
  <si>
    <t>4.2</t>
  </si>
  <si>
    <t>Подготовка каталога координат характерных точек границ Тольяттинского лесничества</t>
  </si>
  <si>
    <t>Доля выполненных работ по подготовке каталога координат характерных точек границ Тольяттинского лесничества</t>
  </si>
  <si>
    <t>%</t>
  </si>
  <si>
    <t>область</t>
  </si>
  <si>
    <t>город</t>
  </si>
  <si>
    <t>Площадь лесов, расположенных в границах городского округа Тольятти, охваченных лесопатологическим обследованием, по результатам которого составлены и утверждены акты ЛПО</t>
  </si>
  <si>
    <t>200 и более</t>
  </si>
  <si>
    <t>Степень выполнения учреждением плана мероприятий по охране, защите и воспроизводству лесов</t>
  </si>
  <si>
    <t>3.5</t>
  </si>
  <si>
    <t>91,7</t>
  </si>
  <si>
    <t xml:space="preserve">81,7 </t>
  </si>
  <si>
    <t xml:space="preserve">Площадь искусственного лесовосстановления  </t>
  </si>
  <si>
    <t>Площадь обработки почвы под лесные культуры</t>
  </si>
  <si>
    <t>Установка и (или) ремонт шлагбаумов, аншлагов и запрещающих знаков</t>
  </si>
  <si>
    <t>Количество установленных и (или) отремонтированных шлагбаумов, аншлагов и запрещающих знаков</t>
  </si>
  <si>
    <t>2020-2021</t>
  </si>
  <si>
    <t>МКУ "Тольяттинское лесничество", МБУ "Зеленстрой"                   (ДГХ)</t>
  </si>
  <si>
    <t>МКУ "ЦХТО" (Оргуправление)</t>
  </si>
  <si>
    <t xml:space="preserve">МКУ "Тольяттинское лесничество",                        МБУ "Зеленстрой"                                           (ДГХ)  </t>
  </si>
  <si>
    <t>1.7</t>
  </si>
  <si>
    <t>6.1.3.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</si>
  <si>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</si>
  <si>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</si>
  <si>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 xml:space="preserve"> 1.7</t>
  </si>
  <si>
    <t>Количество разработанных проектов</t>
  </si>
  <si>
    <t>6.1.3</t>
  </si>
  <si>
    <t>Количество приобретенной специализированной техники и оборудования для расчистки неликвидных лесных участков</t>
  </si>
  <si>
    <r>
      <t>Реализация общественного проекта "Возродим наш лес" - восстановление участка лесного квартала</t>
    </r>
    <r>
      <rPr>
        <sz val="12"/>
        <rFont val="Times New Roman"/>
        <family val="1"/>
      </rPr>
      <t xml:space="preserve"> № 14</t>
    </r>
    <r>
      <rPr>
        <sz val="12"/>
        <color indexed="8"/>
        <rFont val="Times New Roman"/>
        <family val="1"/>
      </rPr>
      <t xml:space="preserve">,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</si>
  <si>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r>
      <t xml:space="preserve">Реализация общественного проекта "Возродим наш лес" - восстановление участка лесного квартала № </t>
    </r>
    <r>
      <rPr>
        <sz val="13"/>
        <rFont val="Times New Roman"/>
        <family val="1"/>
      </rPr>
      <t>14,</t>
    </r>
    <r>
      <rPr>
        <sz val="13"/>
        <color indexed="8"/>
        <rFont val="Times New Roman"/>
        <family val="1"/>
      </rPr>
      <t xml:space="preserve">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</si>
  <si>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t>Разработка проекта на противопожарное обустройство и благоустройство Тольяттинского лесничества, расположенного на землях населенных пунктов городского округа Тольятти Самарской области, занятых городскими лесами</t>
  </si>
  <si>
    <t xml:space="preserve">Эксплуатация лесных дорог, предназначенных для охраны лесов от пожаров </t>
  </si>
  <si>
    <t xml:space="preserve">ДГХ,                           МКУ "Тольяттинское лесничество" </t>
  </si>
  <si>
    <t>всего</t>
  </si>
  <si>
    <t>1.8</t>
  </si>
  <si>
    <t>307</t>
  </si>
  <si>
    <t xml:space="preserve"> 1.8</t>
  </si>
  <si>
    <t>Протяженность прочищенных просек, противопожарных минерализованных полос, противопожарных разрывов</t>
  </si>
  <si>
    <t>Протяженность вновь устроенных просек</t>
  </si>
  <si>
    <t xml:space="preserve"> </t>
  </si>
  <si>
    <t>было</t>
  </si>
  <si>
    <t>стало</t>
  </si>
  <si>
    <t>Прочистка просек, противопожарных минерализованных полос, уход за противопожарными разрывами. Прокладка просек</t>
  </si>
  <si>
    <r>
      <t xml:space="preserve">3663тр=403тр (город)+ 3260тр (область)                                 </t>
    </r>
    <r>
      <rPr>
        <sz val="14"/>
        <color indexed="8"/>
        <rFont val="Times New Roman"/>
        <family val="1"/>
      </rPr>
      <t xml:space="preserve">783тр (город) </t>
    </r>
  </si>
  <si>
    <r>
      <t>62 город +501 област</t>
    </r>
    <r>
      <rPr>
        <sz val="16"/>
        <color indexed="8"/>
        <rFont val="Times New Roman"/>
        <family val="1"/>
      </rPr>
      <t>ь</t>
    </r>
    <r>
      <rPr>
        <sz val="16"/>
        <rFont val="Times New Roman"/>
        <family val="1"/>
      </rPr>
      <t>,                                   563 город</t>
    </r>
    <r>
      <rPr>
        <sz val="16"/>
        <color indexed="8"/>
        <rFont val="Times New Roman"/>
        <family val="1"/>
      </rPr>
      <t xml:space="preserve">      </t>
    </r>
    <r>
      <rPr>
        <sz val="16"/>
        <color indexed="10"/>
        <rFont val="Times New Roman"/>
        <family val="1"/>
      </rPr>
      <t xml:space="preserve">                                                 </t>
    </r>
  </si>
  <si>
    <t>Прочистка</t>
  </si>
  <si>
    <t>Прочистка 144,2тр+Прокладка147,2</t>
  </si>
  <si>
    <t xml:space="preserve">Приобретение основных средств учреждений, не относящихся к объектам капитального  строительства </t>
  </si>
  <si>
    <t>Приобретение основных средств учреждений, не относящихся к объектам капитального  строительства</t>
  </si>
  <si>
    <t>10 га (Госпрограмма) + 33,1 га (город)</t>
  </si>
  <si>
    <t>2022: 1 (Госпрограмма) + 3 (город)</t>
  </si>
  <si>
    <t>10 км (Госпрограмма) + 22,1 км (город)</t>
  </si>
  <si>
    <t xml:space="preserve">60                                и более                 </t>
  </si>
  <si>
    <t xml:space="preserve">200 и более </t>
  </si>
  <si>
    <r>
      <rPr>
        <sz val="11"/>
        <color theme="1"/>
        <rFont val="Calibri"/>
        <family val="2"/>
      </rPr>
      <t>2022 год: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39,5 га (с софинансированием) + 6 га (город)</t>
    </r>
  </si>
  <si>
    <t>52</t>
  </si>
  <si>
    <t xml:space="preserve">ГосПрограмма   </t>
  </si>
  <si>
    <t>2021-2023</t>
  </si>
  <si>
    <t>2022-2023</t>
  </si>
  <si>
    <t>2020-2022</t>
  </si>
  <si>
    <t>Уровень исполнения бюджетной сметы расходов учреждения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</si>
</sst>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i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2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6"/>
      <color indexed="9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2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8"/>
      <color theme="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76" fillId="33" borderId="0" xfId="0" applyFont="1" applyFill="1" applyAlignment="1">
      <alignment vertical="center" wrapText="1"/>
    </xf>
    <xf numFmtId="0" fontId="58" fillId="0" borderId="0" xfId="0" applyFont="1" applyAlignment="1">
      <alignment/>
    </xf>
    <xf numFmtId="0" fontId="14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3" fontId="1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78" fillId="34" borderId="11" xfId="0" applyFont="1" applyFill="1" applyBorder="1" applyAlignment="1">
      <alignment horizontal="center" vertical="center" wrapText="1"/>
    </xf>
    <xf numFmtId="16" fontId="78" fillId="33" borderId="12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79" fillId="33" borderId="0" xfId="0" applyFont="1" applyFill="1" applyAlignment="1">
      <alignment wrapText="1"/>
    </xf>
    <xf numFmtId="49" fontId="76" fillId="33" borderId="0" xfId="0" applyNumberFormat="1" applyFont="1" applyFill="1" applyAlignment="1">
      <alignment vertical="center" wrapText="1"/>
    </xf>
    <xf numFmtId="0" fontId="80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81" fillId="33" borderId="13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right" vertical="center" wrapText="1"/>
    </xf>
    <xf numFmtId="3" fontId="13" fillId="33" borderId="13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3" fillId="33" borderId="10" xfId="42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vertical="center" wrapText="1"/>
    </xf>
    <xf numFmtId="16" fontId="78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78" fillId="33" borderId="12" xfId="0" applyFont="1" applyFill="1" applyBorder="1" applyAlignment="1">
      <alignment vertical="center" wrapText="1"/>
    </xf>
    <xf numFmtId="0" fontId="78" fillId="33" borderId="14" xfId="0" applyFont="1" applyFill="1" applyBorder="1" applyAlignment="1">
      <alignment vertical="center" wrapText="1"/>
    </xf>
    <xf numFmtId="0" fontId="78" fillId="33" borderId="12" xfId="0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 vertical="center" wrapText="1"/>
    </xf>
    <xf numFmtId="49" fontId="81" fillId="33" borderId="10" xfId="42" applyNumberFormat="1" applyFont="1" applyFill="1" applyBorder="1" applyAlignment="1">
      <alignment horizontal="center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center" wrapText="1"/>
    </xf>
    <xf numFmtId="49" fontId="78" fillId="33" borderId="0" xfId="0" applyNumberFormat="1" applyFont="1" applyFill="1" applyAlignment="1">
      <alignment wrapText="1"/>
    </xf>
    <xf numFmtId="49" fontId="78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6" fillId="33" borderId="10" xfId="42" applyNumberFormat="1" applyFont="1" applyFill="1" applyBorder="1" applyAlignment="1">
      <alignment horizontal="left" vertical="center" wrapText="1"/>
    </xf>
    <xf numFmtId="0" fontId="83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left" vertical="center" wrapText="1"/>
    </xf>
    <xf numFmtId="3" fontId="21" fillId="33" borderId="0" xfId="0" applyNumberFormat="1" applyFont="1" applyFill="1" applyAlignment="1">
      <alignment horizontal="left" vertical="center" wrapText="1"/>
    </xf>
    <xf numFmtId="3" fontId="22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3" fontId="13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49" fontId="78" fillId="33" borderId="17" xfId="0" applyNumberFormat="1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left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3" fontId="81" fillId="33" borderId="10" xfId="0" applyNumberFormat="1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right" vertical="center" wrapText="1"/>
    </xf>
    <xf numFmtId="3" fontId="18" fillId="33" borderId="0" xfId="0" applyNumberFormat="1" applyFont="1" applyFill="1" applyBorder="1" applyAlignment="1">
      <alignment horizontal="right" vertical="center" wrapText="1"/>
    </xf>
    <xf numFmtId="0" fontId="8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left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3" fontId="19" fillId="33" borderId="0" xfId="0" applyNumberFormat="1" applyFont="1" applyFill="1" applyAlignment="1">
      <alignment horizontal="left" vertical="center" wrapText="1"/>
    </xf>
    <xf numFmtId="0" fontId="84" fillId="33" borderId="0" xfId="0" applyFont="1" applyFill="1" applyBorder="1" applyAlignment="1">
      <alignment vertical="center" wrapText="1"/>
    </xf>
    <xf numFmtId="0" fontId="7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5" fillId="33" borderId="0" xfId="0" applyFont="1" applyFill="1" applyAlignment="1">
      <alignment horizontal="left" vertical="center" wrapText="1"/>
    </xf>
    <xf numFmtId="0" fontId="86" fillId="33" borderId="0" xfId="0" applyFont="1" applyFill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74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87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right" vertical="center"/>
    </xf>
    <xf numFmtId="0" fontId="89" fillId="33" borderId="13" xfId="0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left" vertical="center" wrapText="1"/>
    </xf>
    <xf numFmtId="0" fontId="89" fillId="33" borderId="18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1" fillId="33" borderId="12" xfId="0" applyFont="1" applyFill="1" applyBorder="1" applyAlignment="1">
      <alignment horizontal="left" vertical="center" wrapText="1"/>
    </xf>
    <xf numFmtId="0" fontId="81" fillId="33" borderId="18" xfId="0" applyFont="1" applyFill="1" applyBorder="1" applyAlignment="1">
      <alignment horizontal="left" vertical="center" wrapText="1"/>
    </xf>
    <xf numFmtId="0" fontId="81" fillId="33" borderId="13" xfId="0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3" fontId="6" fillId="33" borderId="17" xfId="42" applyNumberFormat="1" applyFont="1" applyFill="1" applyBorder="1" applyAlignment="1">
      <alignment horizontal="left" vertical="center" wrapText="1"/>
    </xf>
    <xf numFmtId="3" fontId="6" fillId="33" borderId="19" xfId="42" applyNumberFormat="1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13" fillId="33" borderId="12" xfId="42" applyFont="1" applyFill="1" applyBorder="1" applyAlignment="1">
      <alignment horizontal="right" vertical="center" wrapText="1"/>
    </xf>
    <xf numFmtId="0" fontId="13" fillId="33" borderId="13" xfId="42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90" fillId="33" borderId="0" xfId="0" applyFont="1" applyFill="1" applyAlignment="1">
      <alignment horizontal="center" vertical="center" wrapText="1"/>
    </xf>
    <xf numFmtId="0" fontId="91" fillId="33" borderId="0" xfId="0" applyFont="1" applyFill="1" applyAlignment="1">
      <alignment horizontal="center" vertical="center" wrapText="1"/>
    </xf>
    <xf numFmtId="3" fontId="86" fillId="33" borderId="11" xfId="0" applyNumberFormat="1" applyFont="1" applyFill="1" applyBorder="1" applyAlignment="1">
      <alignment horizontal="left" vertical="center" wrapText="1"/>
    </xf>
    <xf numFmtId="3" fontId="86" fillId="33" borderId="0" xfId="0" applyNumberFormat="1" applyFont="1" applyFill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left" vertical="center" wrapText="1"/>
    </xf>
    <xf numFmtId="3" fontId="6" fillId="33" borderId="18" xfId="42" applyNumberFormat="1" applyFont="1" applyFill="1" applyBorder="1" applyAlignment="1">
      <alignment horizontal="left" vertical="center" wrapText="1"/>
    </xf>
    <xf numFmtId="3" fontId="6" fillId="33" borderId="13" xfId="42" applyNumberFormat="1" applyFont="1" applyFill="1" applyBorder="1" applyAlignment="1">
      <alignment horizontal="left" vertical="center" wrapText="1"/>
    </xf>
    <xf numFmtId="49" fontId="6" fillId="33" borderId="17" xfId="42" applyNumberFormat="1" applyFont="1" applyFill="1" applyBorder="1" applyAlignment="1">
      <alignment horizontal="center" vertical="center" wrapText="1"/>
    </xf>
    <xf numFmtId="49" fontId="6" fillId="33" borderId="19" xfId="42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92" fillId="33" borderId="2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 wrapText="1"/>
    </xf>
    <xf numFmtId="0" fontId="78" fillId="33" borderId="18" xfId="0" applyFont="1" applyFill="1" applyBorder="1" applyAlignment="1">
      <alignment horizontal="left" vertical="center" wrapText="1"/>
    </xf>
    <xf numFmtId="0" fontId="78" fillId="33" borderId="13" xfId="0" applyFont="1" applyFill="1" applyBorder="1" applyAlignment="1">
      <alignment horizontal="left" vertical="center" wrapText="1"/>
    </xf>
    <xf numFmtId="49" fontId="78" fillId="33" borderId="17" xfId="0" applyNumberFormat="1" applyFont="1" applyFill="1" applyBorder="1" applyAlignment="1">
      <alignment horizontal="center" vertical="center" wrapText="1"/>
    </xf>
    <xf numFmtId="49" fontId="78" fillId="33" borderId="21" xfId="0" applyNumberFormat="1" applyFont="1" applyFill="1" applyBorder="1" applyAlignment="1">
      <alignment horizontal="center" vertical="center" wrapText="1"/>
    </xf>
    <xf numFmtId="49" fontId="78" fillId="33" borderId="19" xfId="0" applyNumberFormat="1" applyFont="1" applyFill="1" applyBorder="1" applyAlignment="1">
      <alignment horizontal="center" vertical="center" wrapText="1"/>
    </xf>
    <xf numFmtId="0" fontId="78" fillId="33" borderId="14" xfId="60" applyFont="1" applyFill="1" applyBorder="1" applyAlignment="1">
      <alignment horizontal="left" vertical="center" wrapText="1"/>
      <protection/>
    </xf>
    <xf numFmtId="0" fontId="78" fillId="33" borderId="11" xfId="60" applyFont="1" applyFill="1" applyBorder="1" applyAlignment="1">
      <alignment horizontal="left" vertical="center" wrapText="1"/>
      <protection/>
    </xf>
    <xf numFmtId="0" fontId="78" fillId="33" borderId="17" xfId="0" applyFont="1" applyFill="1" applyBorder="1" applyAlignment="1">
      <alignment horizontal="left" vertical="center" wrapText="1"/>
    </xf>
    <xf numFmtId="0" fontId="78" fillId="33" borderId="21" xfId="0" applyFont="1" applyFill="1" applyBorder="1" applyAlignment="1">
      <alignment horizontal="left" vertical="center" wrapText="1"/>
    </xf>
    <xf numFmtId="0" fontId="78" fillId="33" borderId="19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9" fontId="78" fillId="33" borderId="17" xfId="0" applyNumberFormat="1" applyFont="1" applyFill="1" applyBorder="1" applyAlignment="1">
      <alignment horizontal="center" vertical="center"/>
    </xf>
    <xf numFmtId="49" fontId="78" fillId="33" borderId="21" xfId="0" applyNumberFormat="1" applyFont="1" applyFill="1" applyBorder="1" applyAlignment="1">
      <alignment horizontal="center" vertical="center"/>
    </xf>
    <xf numFmtId="49" fontId="78" fillId="33" borderId="19" xfId="0" applyNumberFormat="1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 wrapText="1"/>
    </xf>
    <xf numFmtId="0" fontId="87" fillId="33" borderId="0" xfId="0" applyFont="1" applyFill="1" applyAlignment="1">
      <alignment horizontal="left" vertical="center"/>
    </xf>
    <xf numFmtId="49" fontId="78" fillId="33" borderId="22" xfId="0" applyNumberFormat="1" applyFont="1" applyFill="1" applyBorder="1" applyAlignment="1">
      <alignment horizontal="left" vertical="center"/>
    </xf>
    <xf numFmtId="49" fontId="78" fillId="33" borderId="12" xfId="0" applyNumberFormat="1" applyFont="1" applyFill="1" applyBorder="1" applyAlignment="1">
      <alignment horizontal="left" vertical="center"/>
    </xf>
    <xf numFmtId="49" fontId="78" fillId="33" borderId="18" xfId="0" applyNumberFormat="1" applyFont="1" applyFill="1" applyBorder="1" applyAlignment="1">
      <alignment horizontal="left" vertical="center"/>
    </xf>
    <xf numFmtId="49" fontId="78" fillId="33" borderId="13" xfId="0" applyNumberFormat="1" applyFont="1" applyFill="1" applyBorder="1" applyAlignment="1">
      <alignment horizontal="left" vertical="center"/>
    </xf>
    <xf numFmtId="0" fontId="79" fillId="33" borderId="0" xfId="0" applyFont="1" applyFill="1" applyAlignment="1">
      <alignment horizontal="center" vertical="center" wrapText="1"/>
    </xf>
    <xf numFmtId="0" fontId="91" fillId="33" borderId="20" xfId="0" applyFont="1" applyFill="1" applyBorder="1" applyAlignment="1">
      <alignment horizontal="center" vertical="center"/>
    </xf>
    <xf numFmtId="49" fontId="78" fillId="33" borderId="14" xfId="0" applyNumberFormat="1" applyFont="1" applyFill="1" applyBorder="1" applyAlignment="1">
      <alignment horizontal="left" vertical="center" wrapText="1"/>
    </xf>
    <xf numFmtId="49" fontId="78" fillId="33" borderId="22" xfId="0" applyNumberFormat="1" applyFont="1" applyFill="1" applyBorder="1" applyAlignment="1">
      <alignment horizontal="left" vertical="center" wrapText="1"/>
    </xf>
    <xf numFmtId="49" fontId="78" fillId="33" borderId="23" xfId="0" applyNumberFormat="1" applyFont="1" applyFill="1" applyBorder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7" xfId="56"/>
    <cellStyle name="Обычный 3" xfId="57"/>
    <cellStyle name="Обычный 3 2" xfId="58"/>
    <cellStyle name="Обычный 4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239750" y="140970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1"/>
  <sheetViews>
    <sheetView tabSelected="1" view="pageBreakPreview" zoomScale="50" zoomScaleNormal="60" zoomScaleSheetLayoutView="50" zoomScalePageLayoutView="4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E57" sqref="AE56:AE57"/>
    </sheetView>
  </sheetViews>
  <sheetFormatPr defaultColWidth="9.140625" defaultRowHeight="15"/>
  <cols>
    <col min="1" max="1" width="8.7109375" style="30" customWidth="1"/>
    <col min="2" max="2" width="36.0039062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55.57421875" style="96" customWidth="1"/>
    <col min="32" max="32" width="48.7109375" style="1" customWidth="1"/>
    <col min="33" max="33" width="9.140625" style="1" customWidth="1"/>
    <col min="34" max="16384" width="9.140625" style="1" customWidth="1"/>
  </cols>
  <sheetData>
    <row r="1" spans="1:31" s="3" customFormat="1" ht="15" customHeight="1">
      <c r="A1" s="28"/>
      <c r="Y1" s="170" t="s">
        <v>124</v>
      </c>
      <c r="Z1" s="170"/>
      <c r="AA1" s="170"/>
      <c r="AB1" s="170"/>
      <c r="AC1" s="170"/>
      <c r="AD1" s="170"/>
      <c r="AE1" s="63"/>
    </row>
    <row r="2" spans="1:31" s="3" customFormat="1" ht="48" customHeight="1">
      <c r="A2" s="28"/>
      <c r="B2" s="158"/>
      <c r="C2" s="158"/>
      <c r="E2" s="159"/>
      <c r="F2" s="159"/>
      <c r="G2" s="159"/>
      <c r="H2" s="159"/>
      <c r="I2" s="159"/>
      <c r="W2" s="29"/>
      <c r="Y2" s="170" t="s">
        <v>38</v>
      </c>
      <c r="Z2" s="170"/>
      <c r="AA2" s="170"/>
      <c r="AB2" s="170"/>
      <c r="AC2" s="170"/>
      <c r="AD2" s="170"/>
      <c r="AE2" s="63"/>
    </row>
    <row r="3" spans="6:30" ht="24.75" customHeight="1">
      <c r="F3" s="31"/>
      <c r="W3" s="31"/>
      <c r="Y3" s="171" t="s">
        <v>39</v>
      </c>
      <c r="Z3" s="171"/>
      <c r="AA3" s="171"/>
      <c r="AB3" s="171"/>
      <c r="AC3" s="171"/>
      <c r="AD3" s="171"/>
    </row>
    <row r="4" spans="6:30" ht="56.25" customHeight="1">
      <c r="F4" s="31"/>
      <c r="X4" s="31"/>
      <c r="Y4" s="170" t="s">
        <v>78</v>
      </c>
      <c r="Z4" s="170"/>
      <c r="AA4" s="170"/>
      <c r="AB4" s="170"/>
      <c r="AC4" s="170"/>
      <c r="AD4" s="170"/>
    </row>
    <row r="5" spans="1:30" ht="68.25" customHeight="1">
      <c r="A5" s="172" t="s">
        <v>76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0" ht="31.5" customHeight="1">
      <c r="A6" s="173" t="s">
        <v>27</v>
      </c>
      <c r="B6" s="132" t="s">
        <v>28</v>
      </c>
      <c r="C6" s="132" t="s">
        <v>29</v>
      </c>
      <c r="D6" s="132" t="s">
        <v>1</v>
      </c>
      <c r="E6" s="132" t="s">
        <v>9</v>
      </c>
      <c r="F6" s="132"/>
      <c r="G6" s="132"/>
      <c r="H6" s="132"/>
      <c r="I6" s="132"/>
      <c r="J6" s="132"/>
      <c r="K6" s="132"/>
      <c r="L6" s="132"/>
      <c r="M6" s="132"/>
      <c r="N6" s="132"/>
      <c r="O6" s="132" t="s">
        <v>9</v>
      </c>
      <c r="P6" s="132"/>
      <c r="Q6" s="132"/>
      <c r="R6" s="132"/>
      <c r="S6" s="132"/>
      <c r="T6" s="132"/>
      <c r="U6" s="132"/>
      <c r="V6" s="132"/>
      <c r="W6" s="132"/>
      <c r="X6" s="132"/>
      <c r="Y6" s="132" t="s">
        <v>9</v>
      </c>
      <c r="Z6" s="132"/>
      <c r="AA6" s="132"/>
      <c r="AB6" s="132"/>
      <c r="AC6" s="132"/>
      <c r="AD6" s="132"/>
    </row>
    <row r="7" spans="1:30" ht="31.5" customHeight="1">
      <c r="A7" s="173"/>
      <c r="B7" s="132"/>
      <c r="C7" s="132"/>
      <c r="D7" s="132"/>
      <c r="E7" s="157" t="s">
        <v>66</v>
      </c>
      <c r="F7" s="157"/>
      <c r="G7" s="157"/>
      <c r="H7" s="157"/>
      <c r="I7" s="157"/>
      <c r="J7" s="157" t="s">
        <v>72</v>
      </c>
      <c r="K7" s="157"/>
      <c r="L7" s="157"/>
      <c r="M7" s="157"/>
      <c r="N7" s="157"/>
      <c r="O7" s="157" t="s">
        <v>73</v>
      </c>
      <c r="P7" s="157"/>
      <c r="Q7" s="157"/>
      <c r="R7" s="157"/>
      <c r="S7" s="157"/>
      <c r="T7" s="157" t="s">
        <v>74</v>
      </c>
      <c r="U7" s="157"/>
      <c r="V7" s="157"/>
      <c r="W7" s="157"/>
      <c r="X7" s="157"/>
      <c r="Y7" s="157" t="s">
        <v>75</v>
      </c>
      <c r="Z7" s="157"/>
      <c r="AA7" s="157"/>
      <c r="AB7" s="157"/>
      <c r="AC7" s="157"/>
      <c r="AD7" s="132" t="s">
        <v>2</v>
      </c>
    </row>
    <row r="8" spans="1:30" ht="54.75" customHeight="1">
      <c r="A8" s="173"/>
      <c r="B8" s="132"/>
      <c r="C8" s="132"/>
      <c r="D8" s="132"/>
      <c r="E8" s="93" t="s">
        <v>3</v>
      </c>
      <c r="F8" s="93" t="s">
        <v>0</v>
      </c>
      <c r="G8" s="93" t="s">
        <v>10</v>
      </c>
      <c r="H8" s="93" t="s">
        <v>30</v>
      </c>
      <c r="I8" s="93" t="s">
        <v>31</v>
      </c>
      <c r="J8" s="93" t="s">
        <v>3</v>
      </c>
      <c r="K8" s="93" t="s">
        <v>0</v>
      </c>
      <c r="L8" s="93" t="s">
        <v>10</v>
      </c>
      <c r="M8" s="93" t="s">
        <v>30</v>
      </c>
      <c r="N8" s="93" t="s">
        <v>31</v>
      </c>
      <c r="O8" s="93" t="s">
        <v>3</v>
      </c>
      <c r="P8" s="93" t="s">
        <v>0</v>
      </c>
      <c r="Q8" s="93" t="s">
        <v>10</v>
      </c>
      <c r="R8" s="93" t="s">
        <v>30</v>
      </c>
      <c r="S8" s="93" t="s">
        <v>31</v>
      </c>
      <c r="T8" s="106" t="s">
        <v>3</v>
      </c>
      <c r="U8" s="106" t="s">
        <v>0</v>
      </c>
      <c r="V8" s="106" t="s">
        <v>10</v>
      </c>
      <c r="W8" s="106" t="s">
        <v>30</v>
      </c>
      <c r="X8" s="106" t="s">
        <v>31</v>
      </c>
      <c r="Y8" s="106" t="s">
        <v>3</v>
      </c>
      <c r="Z8" s="106" t="s">
        <v>0</v>
      </c>
      <c r="AA8" s="106" t="s">
        <v>10</v>
      </c>
      <c r="AB8" s="93" t="s">
        <v>30</v>
      </c>
      <c r="AC8" s="93" t="s">
        <v>31</v>
      </c>
      <c r="AD8" s="132"/>
    </row>
    <row r="9" spans="1:30" ht="23.25" customHeight="1">
      <c r="A9" s="32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  <c r="I9" s="93">
        <v>9</v>
      </c>
      <c r="J9" s="93">
        <v>10</v>
      </c>
      <c r="K9" s="93">
        <v>11</v>
      </c>
      <c r="L9" s="93">
        <v>12</v>
      </c>
      <c r="M9" s="93">
        <v>13</v>
      </c>
      <c r="N9" s="93">
        <v>14</v>
      </c>
      <c r="O9" s="93">
        <v>15</v>
      </c>
      <c r="P9" s="93">
        <v>16</v>
      </c>
      <c r="Q9" s="93">
        <v>17</v>
      </c>
      <c r="R9" s="93">
        <v>18</v>
      </c>
      <c r="S9" s="93">
        <v>19</v>
      </c>
      <c r="T9" s="106">
        <v>20</v>
      </c>
      <c r="U9" s="106">
        <v>21</v>
      </c>
      <c r="V9" s="106">
        <v>22</v>
      </c>
      <c r="W9" s="106">
        <v>23</v>
      </c>
      <c r="X9" s="106">
        <v>24</v>
      </c>
      <c r="Y9" s="106">
        <v>25</v>
      </c>
      <c r="Z9" s="106">
        <v>26</v>
      </c>
      <c r="AA9" s="106">
        <v>27</v>
      </c>
      <c r="AB9" s="93">
        <v>28</v>
      </c>
      <c r="AC9" s="93">
        <v>29</v>
      </c>
      <c r="AD9" s="93">
        <v>30</v>
      </c>
    </row>
    <row r="10" spans="1:31" ht="32.25" customHeight="1">
      <c r="A10" s="137" t="s">
        <v>108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9"/>
      <c r="AE10" s="64"/>
    </row>
    <row r="11" spans="1:30" ht="35.25" customHeight="1">
      <c r="A11" s="140" t="s">
        <v>86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2"/>
    </row>
    <row r="12" spans="1:31" ht="96" customHeight="1">
      <c r="A12" s="21" t="s">
        <v>4</v>
      </c>
      <c r="B12" s="92" t="s">
        <v>179</v>
      </c>
      <c r="C12" s="89" t="s">
        <v>180</v>
      </c>
      <c r="D12" s="23" t="s">
        <v>205</v>
      </c>
      <c r="E12" s="8">
        <f>F12+G12+H12+I12</f>
        <v>0</v>
      </c>
      <c r="F12" s="9">
        <v>0</v>
      </c>
      <c r="G12" s="9">
        <v>0</v>
      </c>
      <c r="H12" s="9">
        <v>0</v>
      </c>
      <c r="I12" s="9">
        <v>0</v>
      </c>
      <c r="J12" s="8">
        <f>K12+L12+M12+N12</f>
        <v>0</v>
      </c>
      <c r="K12" s="9">
        <v>0</v>
      </c>
      <c r="L12" s="9">
        <v>0</v>
      </c>
      <c r="M12" s="9">
        <v>0</v>
      </c>
      <c r="N12" s="9">
        <v>0</v>
      </c>
      <c r="O12" s="8">
        <f>P12+Q12+R12+S12</f>
        <v>599</v>
      </c>
      <c r="P12" s="9">
        <f>0+599</f>
        <v>599</v>
      </c>
      <c r="Q12" s="9">
        <v>0</v>
      </c>
      <c r="R12" s="9">
        <v>0</v>
      </c>
      <c r="S12" s="9">
        <v>0</v>
      </c>
      <c r="T12" s="8">
        <f>U12+V12+W12+X12</f>
        <v>1126</v>
      </c>
      <c r="U12" s="9">
        <f>62+563</f>
        <v>625</v>
      </c>
      <c r="V12" s="9">
        <v>501</v>
      </c>
      <c r="W12" s="9">
        <v>0</v>
      </c>
      <c r="X12" s="9">
        <v>0</v>
      </c>
      <c r="Y12" s="8">
        <f>Z12+AA12+AB12+AC12</f>
        <v>1126</v>
      </c>
      <c r="Z12" s="9">
        <f>62+563</f>
        <v>625</v>
      </c>
      <c r="AA12" s="9">
        <v>501</v>
      </c>
      <c r="AB12" s="9">
        <v>0</v>
      </c>
      <c r="AC12" s="9">
        <v>0</v>
      </c>
      <c r="AD12" s="8">
        <f>E12+J12+O12+T12+Y12</f>
        <v>2851</v>
      </c>
      <c r="AE12" s="96" t="s">
        <v>192</v>
      </c>
    </row>
    <row r="13" spans="1:30" ht="85.5" customHeight="1">
      <c r="A13" s="82" t="s">
        <v>5</v>
      </c>
      <c r="B13" s="83" t="s">
        <v>12</v>
      </c>
      <c r="C13" s="15" t="s">
        <v>129</v>
      </c>
      <c r="D13" s="23" t="s">
        <v>79</v>
      </c>
      <c r="E13" s="8">
        <f aca="true" t="shared" si="0" ref="E13:E22">F13+G13+H13+I13</f>
        <v>166</v>
      </c>
      <c r="F13" s="9">
        <v>166</v>
      </c>
      <c r="G13" s="9">
        <v>0</v>
      </c>
      <c r="H13" s="9">
        <v>0</v>
      </c>
      <c r="I13" s="9">
        <v>0</v>
      </c>
      <c r="J13" s="8">
        <f aca="true" t="shared" si="1" ref="J13:J22">K13+L13+M13+N13</f>
        <v>166</v>
      </c>
      <c r="K13" s="9">
        <v>166</v>
      </c>
      <c r="L13" s="9">
        <v>0</v>
      </c>
      <c r="M13" s="9">
        <v>0</v>
      </c>
      <c r="N13" s="9">
        <v>0</v>
      </c>
      <c r="O13" s="8">
        <f aca="true" t="shared" si="2" ref="O13:O22">P13+Q13+R13+S13</f>
        <v>221</v>
      </c>
      <c r="P13" s="9">
        <v>221</v>
      </c>
      <c r="Q13" s="9">
        <v>0</v>
      </c>
      <c r="R13" s="9">
        <v>0</v>
      </c>
      <c r="S13" s="9">
        <v>0</v>
      </c>
      <c r="T13" s="8">
        <f aca="true" t="shared" si="3" ref="T13:T22">U13+V13+W13+X13</f>
        <v>968</v>
      </c>
      <c r="U13" s="9">
        <v>968</v>
      </c>
      <c r="V13" s="9">
        <v>0</v>
      </c>
      <c r="W13" s="9">
        <v>0</v>
      </c>
      <c r="X13" s="9">
        <v>0</v>
      </c>
      <c r="Y13" s="8">
        <f aca="true" t="shared" si="4" ref="Y13:Y22">Z13+AA13+AB13+AC13</f>
        <v>968</v>
      </c>
      <c r="Z13" s="9">
        <v>968</v>
      </c>
      <c r="AA13" s="9">
        <v>0</v>
      </c>
      <c r="AB13" s="9">
        <v>0</v>
      </c>
      <c r="AC13" s="9">
        <v>0</v>
      </c>
      <c r="AD13" s="8">
        <f>E13+J13+O13+T13+Y13</f>
        <v>2489</v>
      </c>
    </row>
    <row r="14" spans="1:33" ht="47.25" customHeight="1">
      <c r="A14" s="21" t="s">
        <v>6</v>
      </c>
      <c r="B14" s="22" t="s">
        <v>32</v>
      </c>
      <c r="C14" s="15" t="s">
        <v>128</v>
      </c>
      <c r="D14" s="23" t="s">
        <v>123</v>
      </c>
      <c r="E14" s="8">
        <f t="shared" si="0"/>
        <v>0</v>
      </c>
      <c r="F14" s="9">
        <v>0</v>
      </c>
      <c r="G14" s="9">
        <v>0</v>
      </c>
      <c r="H14" s="9">
        <v>0</v>
      </c>
      <c r="I14" s="9">
        <v>0</v>
      </c>
      <c r="J14" s="143" t="s">
        <v>126</v>
      </c>
      <c r="K14" s="144"/>
      <c r="L14" s="144"/>
      <c r="M14" s="144"/>
      <c r="N14" s="145"/>
      <c r="O14" s="143" t="s">
        <v>126</v>
      </c>
      <c r="P14" s="144"/>
      <c r="Q14" s="144"/>
      <c r="R14" s="144"/>
      <c r="S14" s="145"/>
      <c r="T14" s="143" t="s">
        <v>126</v>
      </c>
      <c r="U14" s="144"/>
      <c r="V14" s="144"/>
      <c r="W14" s="144"/>
      <c r="X14" s="145"/>
      <c r="Y14" s="143" t="s">
        <v>126</v>
      </c>
      <c r="Z14" s="144"/>
      <c r="AA14" s="144"/>
      <c r="AB14" s="144"/>
      <c r="AC14" s="145"/>
      <c r="AD14" s="8">
        <f>E14</f>
        <v>0</v>
      </c>
      <c r="AE14" s="65"/>
      <c r="AF14" s="10"/>
      <c r="AG14" s="10"/>
    </row>
    <row r="15" spans="1:35" ht="57" customHeight="1">
      <c r="A15" s="21" t="s">
        <v>7</v>
      </c>
      <c r="B15" s="22" t="s">
        <v>162</v>
      </c>
      <c r="C15" s="15" t="s">
        <v>128</v>
      </c>
      <c r="D15" s="23">
        <v>2021</v>
      </c>
      <c r="E15" s="8">
        <f t="shared" si="0"/>
        <v>0</v>
      </c>
      <c r="F15" s="9">
        <v>0</v>
      </c>
      <c r="G15" s="9">
        <v>0</v>
      </c>
      <c r="H15" s="9">
        <v>0</v>
      </c>
      <c r="I15" s="9">
        <v>0</v>
      </c>
      <c r="J15" s="8">
        <f t="shared" si="1"/>
        <v>0</v>
      </c>
      <c r="K15" s="9">
        <v>0</v>
      </c>
      <c r="L15" s="9">
        <v>0</v>
      </c>
      <c r="M15" s="9">
        <v>0</v>
      </c>
      <c r="N15" s="9">
        <v>0</v>
      </c>
      <c r="O15" s="8">
        <f t="shared" si="2"/>
        <v>1037</v>
      </c>
      <c r="P15" s="9">
        <f>0+1384-169-178</f>
        <v>1037</v>
      </c>
      <c r="Q15" s="9">
        <v>0</v>
      </c>
      <c r="R15" s="9">
        <v>0</v>
      </c>
      <c r="S15" s="9">
        <v>0</v>
      </c>
      <c r="T15" s="8">
        <f t="shared" si="3"/>
        <v>0</v>
      </c>
      <c r="U15" s="9">
        <f>588-588</f>
        <v>0</v>
      </c>
      <c r="V15" s="9">
        <v>0</v>
      </c>
      <c r="W15" s="9">
        <v>0</v>
      </c>
      <c r="X15" s="9">
        <v>0</v>
      </c>
      <c r="Y15" s="8">
        <f t="shared" si="4"/>
        <v>0</v>
      </c>
      <c r="Z15" s="9">
        <f>588-588</f>
        <v>0</v>
      </c>
      <c r="AA15" s="9">
        <v>0</v>
      </c>
      <c r="AB15" s="9">
        <v>0</v>
      </c>
      <c r="AC15" s="9">
        <v>0</v>
      </c>
      <c r="AD15" s="8">
        <f>E15+J15+O15+T15+Y15</f>
        <v>1037</v>
      </c>
      <c r="AE15" s="163"/>
      <c r="AF15" s="164"/>
      <c r="AG15" s="164"/>
      <c r="AH15" s="164"/>
      <c r="AI15" s="164"/>
    </row>
    <row r="16" spans="1:30" ht="54" customHeight="1">
      <c r="A16" s="21" t="s">
        <v>8</v>
      </c>
      <c r="B16" s="22" t="s">
        <v>13</v>
      </c>
      <c r="C16" s="15" t="s">
        <v>128</v>
      </c>
      <c r="D16" s="23"/>
      <c r="E16" s="8">
        <f t="shared" si="0"/>
        <v>0</v>
      </c>
      <c r="F16" s="9">
        <v>0</v>
      </c>
      <c r="G16" s="9">
        <v>0</v>
      </c>
      <c r="H16" s="9">
        <v>0</v>
      </c>
      <c r="I16" s="9">
        <v>0</v>
      </c>
      <c r="J16" s="8">
        <f t="shared" si="1"/>
        <v>0</v>
      </c>
      <c r="K16" s="9">
        <v>0</v>
      </c>
      <c r="L16" s="9">
        <v>0</v>
      </c>
      <c r="M16" s="9">
        <v>0</v>
      </c>
      <c r="N16" s="9">
        <v>0</v>
      </c>
      <c r="O16" s="8">
        <f t="shared" si="2"/>
        <v>0</v>
      </c>
      <c r="P16" s="9">
        <v>0</v>
      </c>
      <c r="Q16" s="9">
        <v>0</v>
      </c>
      <c r="R16" s="9">
        <v>0</v>
      </c>
      <c r="S16" s="9">
        <v>0</v>
      </c>
      <c r="T16" s="8">
        <f t="shared" si="3"/>
        <v>0</v>
      </c>
      <c r="U16" s="9">
        <f>100-100</f>
        <v>0</v>
      </c>
      <c r="V16" s="9">
        <v>0</v>
      </c>
      <c r="W16" s="9">
        <v>0</v>
      </c>
      <c r="X16" s="9">
        <v>0</v>
      </c>
      <c r="Y16" s="8">
        <f t="shared" si="4"/>
        <v>0</v>
      </c>
      <c r="Z16" s="9">
        <f>100-100</f>
        <v>0</v>
      </c>
      <c r="AA16" s="9">
        <v>0</v>
      </c>
      <c r="AB16" s="9">
        <v>0</v>
      </c>
      <c r="AC16" s="9">
        <v>0</v>
      </c>
      <c r="AD16" s="8">
        <f>E16+J16+O16+T16+Y16</f>
        <v>0</v>
      </c>
    </row>
    <row r="17" spans="1:30" ht="63" customHeight="1">
      <c r="A17" s="150" t="s">
        <v>99</v>
      </c>
      <c r="B17" s="146" t="s">
        <v>146</v>
      </c>
      <c r="C17" s="15" t="s">
        <v>127</v>
      </c>
      <c r="D17" s="23" t="s">
        <v>79</v>
      </c>
      <c r="E17" s="8">
        <f t="shared" si="0"/>
        <v>51</v>
      </c>
      <c r="F17" s="9">
        <v>51</v>
      </c>
      <c r="G17" s="9">
        <v>0</v>
      </c>
      <c r="H17" s="9">
        <v>0</v>
      </c>
      <c r="I17" s="9">
        <v>0</v>
      </c>
      <c r="J17" s="8">
        <f t="shared" si="1"/>
        <v>51</v>
      </c>
      <c r="K17" s="9">
        <f>0+51+172-172</f>
        <v>51</v>
      </c>
      <c r="L17" s="9">
        <f>0+1389-1389</f>
        <v>0</v>
      </c>
      <c r="M17" s="9">
        <v>0</v>
      </c>
      <c r="N17" s="9">
        <v>0</v>
      </c>
      <c r="O17" s="8">
        <f t="shared" si="2"/>
        <v>52</v>
      </c>
      <c r="P17" s="9">
        <f>0+51+1</f>
        <v>52</v>
      </c>
      <c r="Q17" s="9">
        <v>0</v>
      </c>
      <c r="R17" s="9">
        <v>0</v>
      </c>
      <c r="S17" s="9">
        <v>0</v>
      </c>
      <c r="T17" s="8">
        <f t="shared" si="3"/>
        <v>113</v>
      </c>
      <c r="U17" s="9">
        <v>113</v>
      </c>
      <c r="V17" s="9">
        <v>0</v>
      </c>
      <c r="W17" s="9">
        <v>0</v>
      </c>
      <c r="X17" s="9">
        <v>0</v>
      </c>
      <c r="Y17" s="8">
        <f t="shared" si="4"/>
        <v>113</v>
      </c>
      <c r="Z17" s="9">
        <v>113</v>
      </c>
      <c r="AA17" s="9">
        <v>0</v>
      </c>
      <c r="AB17" s="9">
        <v>0</v>
      </c>
      <c r="AC17" s="9">
        <v>0</v>
      </c>
      <c r="AD17" s="8">
        <f>E17+J17+O17+T17+Y17</f>
        <v>380</v>
      </c>
    </row>
    <row r="18" spans="1:30" ht="45.75" customHeight="1">
      <c r="A18" s="151"/>
      <c r="B18" s="147"/>
      <c r="C18" s="15" t="s">
        <v>128</v>
      </c>
      <c r="D18" s="23">
        <v>2022</v>
      </c>
      <c r="E18" s="8" t="s">
        <v>37</v>
      </c>
      <c r="F18" s="9" t="s">
        <v>37</v>
      </c>
      <c r="G18" s="9" t="s">
        <v>37</v>
      </c>
      <c r="H18" s="9" t="s">
        <v>37</v>
      </c>
      <c r="I18" s="9" t="s">
        <v>37</v>
      </c>
      <c r="J18" s="8" t="s">
        <v>37</v>
      </c>
      <c r="K18" s="9" t="s">
        <v>37</v>
      </c>
      <c r="L18" s="9" t="s">
        <v>37</v>
      </c>
      <c r="M18" s="9" t="s">
        <v>37</v>
      </c>
      <c r="N18" s="9" t="s">
        <v>37</v>
      </c>
      <c r="O18" s="8" t="s">
        <v>37</v>
      </c>
      <c r="P18" s="9" t="s">
        <v>37</v>
      </c>
      <c r="Q18" s="9" t="s">
        <v>37</v>
      </c>
      <c r="R18" s="9" t="s">
        <v>37</v>
      </c>
      <c r="S18" s="9" t="s">
        <v>37</v>
      </c>
      <c r="T18" s="8">
        <f t="shared" si="3"/>
        <v>489</v>
      </c>
      <c r="U18" s="9">
        <v>54</v>
      </c>
      <c r="V18" s="9">
        <v>435</v>
      </c>
      <c r="W18" s="9">
        <v>0</v>
      </c>
      <c r="X18" s="9">
        <v>0</v>
      </c>
      <c r="Y18" s="8" t="s">
        <v>37</v>
      </c>
      <c r="Z18" s="9" t="s">
        <v>37</v>
      </c>
      <c r="AA18" s="9" t="s">
        <v>37</v>
      </c>
      <c r="AB18" s="9" t="s">
        <v>37</v>
      </c>
      <c r="AC18" s="9" t="s">
        <v>37</v>
      </c>
      <c r="AD18" s="110">
        <f>T18</f>
        <v>489</v>
      </c>
    </row>
    <row r="19" spans="1:30" ht="155.25" customHeight="1">
      <c r="A19" s="21" t="s">
        <v>168</v>
      </c>
      <c r="B19" s="22" t="s">
        <v>178</v>
      </c>
      <c r="C19" s="15" t="s">
        <v>128</v>
      </c>
      <c r="D19" s="23">
        <v>2022</v>
      </c>
      <c r="E19" s="8" t="s">
        <v>37</v>
      </c>
      <c r="F19" s="9" t="s">
        <v>37</v>
      </c>
      <c r="G19" s="9" t="s">
        <v>37</v>
      </c>
      <c r="H19" s="9" t="s">
        <v>37</v>
      </c>
      <c r="I19" s="9" t="s">
        <v>37</v>
      </c>
      <c r="J19" s="8" t="s">
        <v>37</v>
      </c>
      <c r="K19" s="9" t="s">
        <v>37</v>
      </c>
      <c r="L19" s="9" t="s">
        <v>37</v>
      </c>
      <c r="M19" s="9" t="s">
        <v>37</v>
      </c>
      <c r="N19" s="9" t="s">
        <v>37</v>
      </c>
      <c r="O19" s="8" t="s">
        <v>37</v>
      </c>
      <c r="P19" s="9" t="s">
        <v>37</v>
      </c>
      <c r="Q19" s="9" t="s">
        <v>37</v>
      </c>
      <c r="R19" s="9" t="s">
        <v>37</v>
      </c>
      <c r="S19" s="9" t="s">
        <v>37</v>
      </c>
      <c r="T19" s="8">
        <f t="shared" si="3"/>
        <v>1848</v>
      </c>
      <c r="U19" s="9">
        <v>1848</v>
      </c>
      <c r="V19" s="9">
        <v>0</v>
      </c>
      <c r="W19" s="9">
        <v>0</v>
      </c>
      <c r="X19" s="9">
        <v>0</v>
      </c>
      <c r="Y19" s="8" t="s">
        <v>37</v>
      </c>
      <c r="Z19" s="9" t="s">
        <v>37</v>
      </c>
      <c r="AA19" s="9" t="s">
        <v>37</v>
      </c>
      <c r="AB19" s="9" t="s">
        <v>37</v>
      </c>
      <c r="AC19" s="9" t="s">
        <v>37</v>
      </c>
      <c r="AD19" s="8">
        <f>T19</f>
        <v>1848</v>
      </c>
    </row>
    <row r="20" spans="1:31" ht="51.75" customHeight="1">
      <c r="A20" s="150" t="s">
        <v>182</v>
      </c>
      <c r="B20" s="146" t="s">
        <v>190</v>
      </c>
      <c r="C20" s="15" t="s">
        <v>171</v>
      </c>
      <c r="D20" s="23" t="s">
        <v>206</v>
      </c>
      <c r="E20" s="8" t="s">
        <v>37</v>
      </c>
      <c r="F20" s="9" t="s">
        <v>37</v>
      </c>
      <c r="G20" s="9" t="s">
        <v>37</v>
      </c>
      <c r="H20" s="9" t="s">
        <v>37</v>
      </c>
      <c r="I20" s="9" t="s">
        <v>37</v>
      </c>
      <c r="J20" s="8" t="s">
        <v>37</v>
      </c>
      <c r="K20" s="9" t="s">
        <v>37</v>
      </c>
      <c r="L20" s="9" t="s">
        <v>37</v>
      </c>
      <c r="M20" s="9" t="s">
        <v>37</v>
      </c>
      <c r="N20" s="9" t="s">
        <v>37</v>
      </c>
      <c r="O20" s="8" t="s">
        <v>37</v>
      </c>
      <c r="P20" s="9" t="s">
        <v>37</v>
      </c>
      <c r="Q20" s="9" t="s">
        <v>37</v>
      </c>
      <c r="R20" s="9" t="s">
        <v>37</v>
      </c>
      <c r="S20" s="9" t="s">
        <v>37</v>
      </c>
      <c r="T20" s="8">
        <f t="shared" si="3"/>
        <v>65</v>
      </c>
      <c r="U20" s="9">
        <v>7</v>
      </c>
      <c r="V20" s="9">
        <v>58</v>
      </c>
      <c r="W20" s="9">
        <v>0</v>
      </c>
      <c r="X20" s="9">
        <v>0</v>
      </c>
      <c r="Y20" s="8">
        <f>Z20+AA20+AB20+AC20</f>
        <v>65</v>
      </c>
      <c r="Z20" s="9">
        <v>7</v>
      </c>
      <c r="AA20" s="9">
        <v>58</v>
      </c>
      <c r="AB20" s="9">
        <v>0</v>
      </c>
      <c r="AC20" s="9">
        <v>0</v>
      </c>
      <c r="AD20" s="110">
        <f>T20+Y20</f>
        <v>130</v>
      </c>
      <c r="AE20" s="105" t="s">
        <v>193</v>
      </c>
    </row>
    <row r="21" spans="1:31" ht="51.75" customHeight="1">
      <c r="A21" s="151"/>
      <c r="B21" s="147"/>
      <c r="C21" s="15" t="s">
        <v>128</v>
      </c>
      <c r="D21" s="23" t="s">
        <v>206</v>
      </c>
      <c r="E21" s="8" t="s">
        <v>37</v>
      </c>
      <c r="F21" s="9" t="s">
        <v>37</v>
      </c>
      <c r="G21" s="9" t="s">
        <v>37</v>
      </c>
      <c r="H21" s="9" t="s">
        <v>37</v>
      </c>
      <c r="I21" s="9" t="s">
        <v>37</v>
      </c>
      <c r="J21" s="8" t="s">
        <v>37</v>
      </c>
      <c r="K21" s="9" t="s">
        <v>37</v>
      </c>
      <c r="L21" s="9" t="s">
        <v>37</v>
      </c>
      <c r="M21" s="9" t="s">
        <v>37</v>
      </c>
      <c r="N21" s="9" t="s">
        <v>37</v>
      </c>
      <c r="O21" s="8" t="s">
        <v>37</v>
      </c>
      <c r="P21" s="9" t="s">
        <v>37</v>
      </c>
      <c r="Q21" s="9" t="s">
        <v>37</v>
      </c>
      <c r="R21" s="9" t="s">
        <v>37</v>
      </c>
      <c r="S21" s="9" t="s">
        <v>37</v>
      </c>
      <c r="T21" s="8">
        <f t="shared" si="3"/>
        <v>291</v>
      </c>
      <c r="U21" s="9">
        <v>291</v>
      </c>
      <c r="V21" s="9">
        <v>0</v>
      </c>
      <c r="W21" s="9">
        <v>0</v>
      </c>
      <c r="X21" s="9">
        <v>0</v>
      </c>
      <c r="Y21" s="8">
        <f>Z21+AA21+AB21+AC21</f>
        <v>291</v>
      </c>
      <c r="Z21" s="111">
        <v>291</v>
      </c>
      <c r="AA21" s="9">
        <v>0</v>
      </c>
      <c r="AB21" s="9">
        <v>0</v>
      </c>
      <c r="AC21" s="9">
        <v>0</v>
      </c>
      <c r="AD21" s="110">
        <f>T21+Y21</f>
        <v>582</v>
      </c>
      <c r="AE21" s="96" t="s">
        <v>194</v>
      </c>
    </row>
    <row r="22" spans="1:31" s="5" customFormat="1" ht="36" customHeight="1">
      <c r="A22" s="152" t="s">
        <v>14</v>
      </c>
      <c r="B22" s="153"/>
      <c r="C22" s="84"/>
      <c r="D22" s="85"/>
      <c r="E22" s="8">
        <f t="shared" si="0"/>
        <v>217</v>
      </c>
      <c r="F22" s="8">
        <f>SUM(F12:F17)</f>
        <v>217</v>
      </c>
      <c r="G22" s="8">
        <f>SUM(G12:G17)</f>
        <v>0</v>
      </c>
      <c r="H22" s="8">
        <f>SUM(H12:H17)</f>
        <v>0</v>
      </c>
      <c r="I22" s="8">
        <f>SUM(I12:I17)</f>
        <v>0</v>
      </c>
      <c r="J22" s="8">
        <f t="shared" si="1"/>
        <v>217</v>
      </c>
      <c r="K22" s="8">
        <f>SUM(K12:K17)</f>
        <v>217</v>
      </c>
      <c r="L22" s="8">
        <f>SUM(L12:L17)</f>
        <v>0</v>
      </c>
      <c r="M22" s="8">
        <f>SUM(M12:M17)</f>
        <v>0</v>
      </c>
      <c r="N22" s="8">
        <f>SUM(N12:N17)</f>
        <v>0</v>
      </c>
      <c r="O22" s="8">
        <f t="shared" si="2"/>
        <v>1909</v>
      </c>
      <c r="P22" s="8">
        <f>P12+P13+P15+P17</f>
        <v>1909</v>
      </c>
      <c r="Q22" s="8">
        <f>SUM(Q12:Q17)</f>
        <v>0</v>
      </c>
      <c r="R22" s="8">
        <f>SUM(R12:R17)</f>
        <v>0</v>
      </c>
      <c r="S22" s="8">
        <f>SUM(S12:S17)</f>
        <v>0</v>
      </c>
      <c r="T22" s="8">
        <f t="shared" si="3"/>
        <v>4900</v>
      </c>
      <c r="U22" s="8">
        <f>SUM(U12:U21)</f>
        <v>3906</v>
      </c>
      <c r="V22" s="8">
        <f>SUM(V12:V21)</f>
        <v>994</v>
      </c>
      <c r="W22" s="8">
        <f>SUM(W12:W21)</f>
        <v>0</v>
      </c>
      <c r="X22" s="8">
        <f>SUM(X12:X21)</f>
        <v>0</v>
      </c>
      <c r="Y22" s="8">
        <f t="shared" si="4"/>
        <v>2563</v>
      </c>
      <c r="Z22" s="8">
        <f>SUM(Z12:Z21)</f>
        <v>2004</v>
      </c>
      <c r="AA22" s="8">
        <f>SUM(AA12:AA21)</f>
        <v>559</v>
      </c>
      <c r="AB22" s="8">
        <f>SUM(AB12:AB17)</f>
        <v>0</v>
      </c>
      <c r="AC22" s="8">
        <f>SUM(AC12:AC17)</f>
        <v>0</v>
      </c>
      <c r="AD22" s="8">
        <f>SUM(AD12:AD21)</f>
        <v>9806</v>
      </c>
      <c r="AE22" s="67">
        <f>E22+J22+O22+T22+Y22</f>
        <v>9806</v>
      </c>
    </row>
    <row r="23" spans="1:30" ht="39.75" customHeight="1">
      <c r="A23" s="140" t="s">
        <v>87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/>
    </row>
    <row r="24" spans="1:34" ht="98.25" customHeight="1">
      <c r="A24" s="21" t="s">
        <v>15</v>
      </c>
      <c r="B24" s="22" t="s">
        <v>17</v>
      </c>
      <c r="C24" s="15" t="s">
        <v>11</v>
      </c>
      <c r="D24" s="23">
        <v>2019</v>
      </c>
      <c r="E24" s="8">
        <f>F24+G24+H24+I24</f>
        <v>847</v>
      </c>
      <c r="F24" s="9">
        <f>1292-187-187-71</f>
        <v>847</v>
      </c>
      <c r="G24" s="9">
        <v>0</v>
      </c>
      <c r="H24" s="9">
        <v>0</v>
      </c>
      <c r="I24" s="9">
        <v>0</v>
      </c>
      <c r="J24" s="8">
        <f>K24+L24+M24+N24</f>
        <v>0</v>
      </c>
      <c r="K24" s="9">
        <f>1338-1338</f>
        <v>0</v>
      </c>
      <c r="L24" s="9">
        <v>0</v>
      </c>
      <c r="M24" s="9">
        <v>0</v>
      </c>
      <c r="N24" s="9">
        <v>0</v>
      </c>
      <c r="O24" s="8">
        <f>P24+Q24+R24+S24</f>
        <v>0</v>
      </c>
      <c r="P24" s="9">
        <f>1338-1338</f>
        <v>0</v>
      </c>
      <c r="Q24" s="9">
        <v>0</v>
      </c>
      <c r="R24" s="9">
        <v>0</v>
      </c>
      <c r="S24" s="9">
        <v>0</v>
      </c>
      <c r="T24" s="8">
        <f>U24+V24+W24+X24</f>
        <v>0</v>
      </c>
      <c r="U24" s="9">
        <f>3058-3058</f>
        <v>0</v>
      </c>
      <c r="V24" s="9">
        <v>0</v>
      </c>
      <c r="W24" s="9">
        <v>0</v>
      </c>
      <c r="X24" s="9">
        <v>0</v>
      </c>
      <c r="Y24" s="8">
        <f>Z24+AA24+AB24+AC24</f>
        <v>0</v>
      </c>
      <c r="Z24" s="9">
        <f>3058-3058</f>
        <v>0</v>
      </c>
      <c r="AA24" s="9">
        <v>0</v>
      </c>
      <c r="AB24" s="9">
        <v>0</v>
      </c>
      <c r="AC24" s="9">
        <v>0</v>
      </c>
      <c r="AD24" s="8">
        <f aca="true" t="shared" si="5" ref="AD24:AD29">E24+J24+O24+T24+Y24</f>
        <v>847</v>
      </c>
      <c r="AE24" s="65"/>
      <c r="AF24" s="11"/>
      <c r="AG24" s="11"/>
      <c r="AH24" s="10"/>
    </row>
    <row r="25" spans="1:30" ht="47.25" customHeight="1">
      <c r="A25" s="21" t="s">
        <v>16</v>
      </c>
      <c r="B25" s="22" t="s">
        <v>102</v>
      </c>
      <c r="C25" s="15" t="s">
        <v>128</v>
      </c>
      <c r="D25" s="23" t="s">
        <v>79</v>
      </c>
      <c r="E25" s="8">
        <f aca="true" t="shared" si="6" ref="E25:E30">F25+G25+H25+I25</f>
        <v>1468</v>
      </c>
      <c r="F25" s="9">
        <v>1468</v>
      </c>
      <c r="G25" s="9">
        <v>0</v>
      </c>
      <c r="H25" s="9">
        <v>0</v>
      </c>
      <c r="I25" s="9">
        <v>0</v>
      </c>
      <c r="J25" s="8">
        <f aca="true" t="shared" si="7" ref="J25:J30">K25+L25+M25+N25</f>
        <v>1102</v>
      </c>
      <c r="K25" s="9">
        <f>977+491-366</f>
        <v>1102</v>
      </c>
      <c r="L25" s="9">
        <v>0</v>
      </c>
      <c r="M25" s="9">
        <v>0</v>
      </c>
      <c r="N25" s="9">
        <v>0</v>
      </c>
      <c r="O25" s="8">
        <f aca="true" t="shared" si="8" ref="O25:O30">P25+Q25+R25+S25</f>
        <v>672</v>
      </c>
      <c r="P25" s="9">
        <f>1183-255-256</f>
        <v>672</v>
      </c>
      <c r="Q25" s="9">
        <v>0</v>
      </c>
      <c r="R25" s="9">
        <v>0</v>
      </c>
      <c r="S25" s="9">
        <v>0</v>
      </c>
      <c r="T25" s="110">
        <f aca="true" t="shared" si="9" ref="T25:T30">U25+V25+W25+X25</f>
        <v>1468</v>
      </c>
      <c r="U25" s="111">
        <f>1468</f>
        <v>1468</v>
      </c>
      <c r="V25" s="111">
        <v>0</v>
      </c>
      <c r="W25" s="111">
        <v>0</v>
      </c>
      <c r="X25" s="111">
        <v>0</v>
      </c>
      <c r="Y25" s="110">
        <f aca="true" t="shared" si="10" ref="Y25:Y30">Z25+AA25+AB25+AC25</f>
        <v>1468</v>
      </c>
      <c r="Z25" s="111">
        <v>1468</v>
      </c>
      <c r="AA25" s="9">
        <v>0</v>
      </c>
      <c r="AB25" s="9">
        <v>0</v>
      </c>
      <c r="AC25" s="9">
        <v>0</v>
      </c>
      <c r="AD25" s="8">
        <f t="shared" si="5"/>
        <v>6178</v>
      </c>
    </row>
    <row r="26" spans="1:30" ht="60" customHeight="1">
      <c r="A26" s="21" t="s">
        <v>18</v>
      </c>
      <c r="B26" s="22" t="s">
        <v>34</v>
      </c>
      <c r="C26" s="15" t="s">
        <v>128</v>
      </c>
      <c r="D26" s="23" t="s">
        <v>79</v>
      </c>
      <c r="E26" s="8">
        <f t="shared" si="6"/>
        <v>932</v>
      </c>
      <c r="F26" s="9">
        <f>1053-60-61</f>
        <v>932</v>
      </c>
      <c r="G26" s="9">
        <v>0</v>
      </c>
      <c r="H26" s="9">
        <v>0</v>
      </c>
      <c r="I26" s="9">
        <v>0</v>
      </c>
      <c r="J26" s="8">
        <f t="shared" si="7"/>
        <v>395</v>
      </c>
      <c r="K26" s="9">
        <f>1053-658</f>
        <v>395</v>
      </c>
      <c r="L26" s="9">
        <v>0</v>
      </c>
      <c r="M26" s="9">
        <v>0</v>
      </c>
      <c r="N26" s="9">
        <v>0</v>
      </c>
      <c r="O26" s="8">
        <f t="shared" si="8"/>
        <v>704</v>
      </c>
      <c r="P26" s="9">
        <f>1053-349</f>
        <v>704</v>
      </c>
      <c r="Q26" s="9">
        <v>0</v>
      </c>
      <c r="R26" s="9">
        <v>0</v>
      </c>
      <c r="S26" s="9">
        <v>0</v>
      </c>
      <c r="T26" s="110">
        <f t="shared" si="9"/>
        <v>1053</v>
      </c>
      <c r="U26" s="111">
        <f>1553-500</f>
        <v>1053</v>
      </c>
      <c r="V26" s="111">
        <v>0</v>
      </c>
      <c r="W26" s="111">
        <v>0</v>
      </c>
      <c r="X26" s="111">
        <v>0</v>
      </c>
      <c r="Y26" s="110">
        <f t="shared" si="10"/>
        <v>1053</v>
      </c>
      <c r="Z26" s="111">
        <f>1553-500</f>
        <v>1053</v>
      </c>
      <c r="AA26" s="9">
        <v>0</v>
      </c>
      <c r="AB26" s="9">
        <v>0</v>
      </c>
      <c r="AC26" s="9">
        <v>0</v>
      </c>
      <c r="AD26" s="8">
        <f t="shared" si="5"/>
        <v>4137</v>
      </c>
    </row>
    <row r="27" spans="1:30" ht="74.25" customHeight="1">
      <c r="A27" s="82" t="s">
        <v>19</v>
      </c>
      <c r="B27" s="86" t="s">
        <v>35</v>
      </c>
      <c r="C27" s="15" t="s">
        <v>128</v>
      </c>
      <c r="D27" s="23" t="s">
        <v>79</v>
      </c>
      <c r="E27" s="8">
        <f t="shared" si="6"/>
        <v>1661</v>
      </c>
      <c r="F27" s="9">
        <v>1661</v>
      </c>
      <c r="G27" s="9">
        <v>0</v>
      </c>
      <c r="H27" s="9">
        <v>0</v>
      </c>
      <c r="I27" s="9">
        <v>0</v>
      </c>
      <c r="J27" s="143" t="s">
        <v>126</v>
      </c>
      <c r="K27" s="144"/>
      <c r="L27" s="144"/>
      <c r="M27" s="144"/>
      <c r="N27" s="145"/>
      <c r="O27" s="143" t="s">
        <v>126</v>
      </c>
      <c r="P27" s="144"/>
      <c r="Q27" s="144"/>
      <c r="R27" s="144"/>
      <c r="S27" s="145"/>
      <c r="T27" s="143" t="s">
        <v>126</v>
      </c>
      <c r="U27" s="144"/>
      <c r="V27" s="144"/>
      <c r="W27" s="144"/>
      <c r="X27" s="145"/>
      <c r="Y27" s="143" t="s">
        <v>126</v>
      </c>
      <c r="Z27" s="144"/>
      <c r="AA27" s="144"/>
      <c r="AB27" s="144"/>
      <c r="AC27" s="145"/>
      <c r="AD27" s="8">
        <f>E27</f>
        <v>1661</v>
      </c>
    </row>
    <row r="28" spans="1:34" ht="81" customHeight="1">
      <c r="A28" s="21" t="s">
        <v>33</v>
      </c>
      <c r="B28" s="22" t="s">
        <v>118</v>
      </c>
      <c r="C28" s="15" t="s">
        <v>134</v>
      </c>
      <c r="D28" s="23" t="s">
        <v>79</v>
      </c>
      <c r="E28" s="8">
        <f t="shared" si="6"/>
        <v>578</v>
      </c>
      <c r="F28" s="9">
        <v>87</v>
      </c>
      <c r="G28" s="9">
        <v>491</v>
      </c>
      <c r="H28" s="9">
        <v>0</v>
      </c>
      <c r="I28" s="9">
        <v>0</v>
      </c>
      <c r="J28" s="8">
        <f t="shared" si="7"/>
        <v>7309</v>
      </c>
      <c r="K28" s="9">
        <f>0+1338+698-377</f>
        <v>1659</v>
      </c>
      <c r="L28" s="9">
        <f>0+5650</f>
        <v>5650</v>
      </c>
      <c r="M28" s="9">
        <v>0</v>
      </c>
      <c r="N28" s="9">
        <v>0</v>
      </c>
      <c r="O28" s="8">
        <f t="shared" si="8"/>
        <v>921</v>
      </c>
      <c r="P28" s="9">
        <f>795+126</f>
        <v>921</v>
      </c>
      <c r="Q28" s="9">
        <v>0</v>
      </c>
      <c r="R28" s="9">
        <v>0</v>
      </c>
      <c r="S28" s="9">
        <v>0</v>
      </c>
      <c r="T28" s="8">
        <f t="shared" si="9"/>
        <v>4446</v>
      </c>
      <c r="U28" s="9">
        <f>403+783</f>
        <v>1186</v>
      </c>
      <c r="V28" s="9">
        <f>0+3260</f>
        <v>3260</v>
      </c>
      <c r="W28" s="9">
        <v>0</v>
      </c>
      <c r="X28" s="9">
        <v>0</v>
      </c>
      <c r="Y28" s="8">
        <f t="shared" si="10"/>
        <v>783</v>
      </c>
      <c r="Z28" s="9">
        <v>783</v>
      </c>
      <c r="AA28" s="9">
        <v>0</v>
      </c>
      <c r="AB28" s="9">
        <v>0</v>
      </c>
      <c r="AC28" s="9">
        <v>0</v>
      </c>
      <c r="AD28" s="8">
        <f t="shared" si="5"/>
        <v>14037</v>
      </c>
      <c r="AE28" s="11" t="s">
        <v>191</v>
      </c>
      <c r="AF28" s="98"/>
      <c r="AG28" s="11"/>
      <c r="AH28" s="10"/>
    </row>
    <row r="29" spans="1:30" ht="45" customHeight="1">
      <c r="A29" s="21" t="s">
        <v>36</v>
      </c>
      <c r="B29" s="33" t="s">
        <v>88</v>
      </c>
      <c r="C29" s="15" t="s">
        <v>128</v>
      </c>
      <c r="D29" s="23"/>
      <c r="E29" s="8">
        <f t="shared" si="6"/>
        <v>0</v>
      </c>
      <c r="F29" s="9">
        <v>0</v>
      </c>
      <c r="G29" s="9">
        <v>0</v>
      </c>
      <c r="H29" s="9">
        <v>0</v>
      </c>
      <c r="I29" s="9">
        <v>0</v>
      </c>
      <c r="J29" s="8">
        <f t="shared" si="7"/>
        <v>0</v>
      </c>
      <c r="K29" s="9">
        <v>0</v>
      </c>
      <c r="L29" s="9">
        <v>0</v>
      </c>
      <c r="M29" s="9">
        <v>0</v>
      </c>
      <c r="N29" s="9">
        <v>0</v>
      </c>
      <c r="O29" s="8">
        <f t="shared" si="8"/>
        <v>0</v>
      </c>
      <c r="P29" s="9">
        <v>0</v>
      </c>
      <c r="Q29" s="9">
        <v>0</v>
      </c>
      <c r="R29" s="9">
        <v>0</v>
      </c>
      <c r="S29" s="9">
        <v>0</v>
      </c>
      <c r="T29" s="8">
        <f t="shared" si="9"/>
        <v>0</v>
      </c>
      <c r="U29" s="9">
        <f>100-100</f>
        <v>0</v>
      </c>
      <c r="V29" s="9">
        <v>0</v>
      </c>
      <c r="W29" s="9">
        <v>0</v>
      </c>
      <c r="X29" s="9">
        <v>0</v>
      </c>
      <c r="Y29" s="8">
        <f t="shared" si="10"/>
        <v>0</v>
      </c>
      <c r="Z29" s="9">
        <f>100-100</f>
        <v>0</v>
      </c>
      <c r="AA29" s="9">
        <v>0</v>
      </c>
      <c r="AB29" s="9">
        <v>0</v>
      </c>
      <c r="AC29" s="9">
        <v>0</v>
      </c>
      <c r="AD29" s="8">
        <f t="shared" si="5"/>
        <v>0</v>
      </c>
    </row>
    <row r="30" spans="1:31" ht="36" customHeight="1">
      <c r="A30" s="133" t="s">
        <v>20</v>
      </c>
      <c r="B30" s="134"/>
      <c r="C30" s="84"/>
      <c r="D30" s="87"/>
      <c r="E30" s="8">
        <f t="shared" si="6"/>
        <v>5486</v>
      </c>
      <c r="F30" s="8">
        <f>SUM(F24:F29)</f>
        <v>4995</v>
      </c>
      <c r="G30" s="8">
        <f>SUM(G24:G29)</f>
        <v>491</v>
      </c>
      <c r="H30" s="8">
        <f>SUM(H24:H29)</f>
        <v>0</v>
      </c>
      <c r="I30" s="8">
        <f>SUM(I24:I29)</f>
        <v>0</v>
      </c>
      <c r="J30" s="8">
        <f t="shared" si="7"/>
        <v>8806</v>
      </c>
      <c r="K30" s="8">
        <f>SUM(K24:K29)</f>
        <v>3156</v>
      </c>
      <c r="L30" s="8">
        <f>SUM(L24:L29)</f>
        <v>5650</v>
      </c>
      <c r="M30" s="8">
        <f>SUM(M24:M29)</f>
        <v>0</v>
      </c>
      <c r="N30" s="8">
        <f>SUM(N24:N29)</f>
        <v>0</v>
      </c>
      <c r="O30" s="8">
        <f t="shared" si="8"/>
        <v>2297</v>
      </c>
      <c r="P30" s="8">
        <f>SUM(P24:P29)</f>
        <v>2297</v>
      </c>
      <c r="Q30" s="8">
        <f>SUM(Q24:Q29)</f>
        <v>0</v>
      </c>
      <c r="R30" s="8">
        <f>SUM(R24:R29)</f>
        <v>0</v>
      </c>
      <c r="S30" s="8">
        <f>SUM(S24:S29)</f>
        <v>0</v>
      </c>
      <c r="T30" s="8">
        <f t="shared" si="9"/>
        <v>6967</v>
      </c>
      <c r="U30" s="8">
        <f>SUM(U24:U29)</f>
        <v>3707</v>
      </c>
      <c r="V30" s="8">
        <f>SUM(V24:V29)</f>
        <v>3260</v>
      </c>
      <c r="W30" s="8">
        <f>SUM(W24:W29)</f>
        <v>0</v>
      </c>
      <c r="X30" s="8">
        <f>SUM(X24:X29)</f>
        <v>0</v>
      </c>
      <c r="Y30" s="8">
        <f t="shared" si="10"/>
        <v>3304</v>
      </c>
      <c r="Z30" s="8">
        <f>SUM(Z24:Z29)</f>
        <v>3304</v>
      </c>
      <c r="AA30" s="8">
        <f>SUM(AA24:AA29)</f>
        <v>0</v>
      </c>
      <c r="AB30" s="8">
        <f>SUM(AB24:AB29)</f>
        <v>0</v>
      </c>
      <c r="AC30" s="8">
        <f>SUM(AC24:AC29)</f>
        <v>0</v>
      </c>
      <c r="AD30" s="8">
        <f>SUM(AD24:AD29)</f>
        <v>26860</v>
      </c>
      <c r="AE30" s="67">
        <f>E30+J30+O30+T30+Y30</f>
        <v>26860</v>
      </c>
    </row>
    <row r="31" spans="1:32" ht="40.5" customHeight="1">
      <c r="A31" s="154" t="s">
        <v>113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6"/>
      <c r="AE31" s="64"/>
      <c r="AF31" s="101"/>
    </row>
    <row r="32" spans="1:32" ht="69.75" customHeight="1">
      <c r="A32" s="21" t="s">
        <v>21</v>
      </c>
      <c r="B32" s="34" t="s">
        <v>68</v>
      </c>
      <c r="C32" s="15" t="s">
        <v>130</v>
      </c>
      <c r="D32" s="9" t="s">
        <v>79</v>
      </c>
      <c r="E32" s="8">
        <f>F32+G32+H32+I32</f>
        <v>1962</v>
      </c>
      <c r="F32" s="9">
        <v>399</v>
      </c>
      <c r="G32" s="9">
        <v>1563</v>
      </c>
      <c r="H32" s="9">
        <v>0</v>
      </c>
      <c r="I32" s="9">
        <v>0</v>
      </c>
      <c r="J32" s="8">
        <f>K32+L32+M32+N32</f>
        <v>3632</v>
      </c>
      <c r="K32" s="9">
        <f>350+64</f>
        <v>414</v>
      </c>
      <c r="L32" s="9">
        <f>2832+386</f>
        <v>3218</v>
      </c>
      <c r="M32" s="9">
        <v>0</v>
      </c>
      <c r="N32" s="9">
        <v>0</v>
      </c>
      <c r="O32" s="8">
        <f aca="true" t="shared" si="11" ref="O32:O37">P32+Q32+R32+S32</f>
        <v>2839</v>
      </c>
      <c r="P32" s="9">
        <v>324</v>
      </c>
      <c r="Q32" s="9">
        <v>2515</v>
      </c>
      <c r="R32" s="9">
        <v>0</v>
      </c>
      <c r="S32" s="9">
        <v>0</v>
      </c>
      <c r="T32" s="8">
        <f>U32+V32+W32+X32</f>
        <v>2593</v>
      </c>
      <c r="U32" s="9">
        <v>285</v>
      </c>
      <c r="V32" s="9">
        <v>2308</v>
      </c>
      <c r="W32" s="9">
        <v>0</v>
      </c>
      <c r="X32" s="9">
        <v>0</v>
      </c>
      <c r="Y32" s="110">
        <f>Z32+AA32+AB32+AC32</f>
        <v>1999</v>
      </c>
      <c r="Z32" s="111">
        <f>220</f>
        <v>220</v>
      </c>
      <c r="AA32" s="111">
        <v>1779</v>
      </c>
      <c r="AB32" s="9">
        <v>0</v>
      </c>
      <c r="AC32" s="9">
        <v>0</v>
      </c>
      <c r="AD32" s="8">
        <f>E32+J32+O32+T32+Y32</f>
        <v>13025</v>
      </c>
      <c r="AF32" s="112"/>
    </row>
    <row r="33" spans="1:32" ht="66.75" customHeight="1">
      <c r="A33" s="21" t="s">
        <v>22</v>
      </c>
      <c r="B33" s="35" t="s">
        <v>69</v>
      </c>
      <c r="C33" s="15" t="s">
        <v>131</v>
      </c>
      <c r="D33" s="9" t="s">
        <v>79</v>
      </c>
      <c r="E33" s="8">
        <f>F33+G33+H33+I33</f>
        <v>2460</v>
      </c>
      <c r="F33" s="9">
        <f>656-13</f>
        <v>643</v>
      </c>
      <c r="G33" s="9">
        <f>1838-21</f>
        <v>1817</v>
      </c>
      <c r="H33" s="9">
        <v>0</v>
      </c>
      <c r="I33" s="9">
        <v>0</v>
      </c>
      <c r="J33" s="8">
        <f>K33+L33+M33+N33</f>
        <v>2966</v>
      </c>
      <c r="K33" s="9">
        <f>227+153</f>
        <v>380</v>
      </c>
      <c r="L33" s="9">
        <f>1379+1207</f>
        <v>2586</v>
      </c>
      <c r="M33" s="9">
        <v>0</v>
      </c>
      <c r="N33" s="9">
        <v>0</v>
      </c>
      <c r="O33" s="8">
        <f t="shared" si="11"/>
        <v>2372</v>
      </c>
      <c r="P33" s="9">
        <f>1362+264-151</f>
        <v>1475</v>
      </c>
      <c r="Q33" s="9">
        <f>0+2094-1197</f>
        <v>897</v>
      </c>
      <c r="R33" s="9">
        <v>0</v>
      </c>
      <c r="S33" s="9">
        <v>0</v>
      </c>
      <c r="T33" s="8">
        <f>U33+V33+W33+X33</f>
        <v>1928</v>
      </c>
      <c r="U33" s="9">
        <f>212</f>
        <v>212</v>
      </c>
      <c r="V33" s="9">
        <v>1716</v>
      </c>
      <c r="W33" s="9">
        <v>0</v>
      </c>
      <c r="X33" s="9">
        <v>0</v>
      </c>
      <c r="Y33" s="110">
        <f>Z33+AA33+AB33+AC33</f>
        <v>1896</v>
      </c>
      <c r="Z33" s="111">
        <f>209</f>
        <v>209</v>
      </c>
      <c r="AA33" s="111">
        <v>1687</v>
      </c>
      <c r="AB33" s="9">
        <v>0</v>
      </c>
      <c r="AC33" s="9">
        <v>0</v>
      </c>
      <c r="AD33" s="8">
        <f>E33+J33+O33+T33+Y33</f>
        <v>11622</v>
      </c>
      <c r="AF33" s="112"/>
    </row>
    <row r="34" spans="1:40" ht="69.75" customHeight="1">
      <c r="A34" s="21" t="s">
        <v>80</v>
      </c>
      <c r="B34" s="35" t="s">
        <v>71</v>
      </c>
      <c r="C34" s="15" t="s">
        <v>132</v>
      </c>
      <c r="D34" s="9" t="s">
        <v>79</v>
      </c>
      <c r="E34" s="8">
        <f>F34+G34+H34+I34</f>
        <v>1126</v>
      </c>
      <c r="F34" s="9">
        <f>250-21</f>
        <v>229</v>
      </c>
      <c r="G34" s="9">
        <f>980-83</f>
        <v>897</v>
      </c>
      <c r="H34" s="9">
        <v>0</v>
      </c>
      <c r="I34" s="9">
        <v>0</v>
      </c>
      <c r="J34" s="8">
        <f>K34+L34+M34+N34</f>
        <v>967</v>
      </c>
      <c r="K34" s="9">
        <f>92+21</f>
        <v>113</v>
      </c>
      <c r="L34" s="9">
        <f>748+106</f>
        <v>854</v>
      </c>
      <c r="M34" s="9">
        <v>0</v>
      </c>
      <c r="N34" s="9">
        <v>0</v>
      </c>
      <c r="O34" s="8">
        <f t="shared" si="11"/>
        <v>1685</v>
      </c>
      <c r="P34" s="9">
        <f>89+109</f>
        <v>198</v>
      </c>
      <c r="Q34" s="9">
        <f>717+770</f>
        <v>1487</v>
      </c>
      <c r="R34" s="9">
        <v>0</v>
      </c>
      <c r="S34" s="9">
        <v>0</v>
      </c>
      <c r="T34" s="8">
        <f>U34+V34+W34+X34</f>
        <v>1154</v>
      </c>
      <c r="U34" s="9">
        <v>127</v>
      </c>
      <c r="V34" s="9">
        <v>1027</v>
      </c>
      <c r="W34" s="9">
        <v>0</v>
      </c>
      <c r="X34" s="9">
        <v>0</v>
      </c>
      <c r="Y34" s="8">
        <f>Z34+AA34+AB34+AC34</f>
        <v>1843</v>
      </c>
      <c r="Z34" s="9">
        <v>203</v>
      </c>
      <c r="AA34" s="9">
        <v>1640</v>
      </c>
      <c r="AB34" s="9">
        <v>0</v>
      </c>
      <c r="AC34" s="9">
        <v>0</v>
      </c>
      <c r="AD34" s="8">
        <f>E34+J34+O34+T34+Y34</f>
        <v>6775</v>
      </c>
      <c r="AF34" s="112"/>
      <c r="AN34" s="6"/>
    </row>
    <row r="35" spans="1:32" ht="69.75" customHeight="1">
      <c r="A35" s="21" t="s">
        <v>81</v>
      </c>
      <c r="B35" s="35" t="s">
        <v>70</v>
      </c>
      <c r="C35" s="15" t="s">
        <v>133</v>
      </c>
      <c r="D35" s="9" t="s">
        <v>79</v>
      </c>
      <c r="E35" s="8">
        <f>F35+G35+H35+I35</f>
        <v>184</v>
      </c>
      <c r="F35" s="9">
        <v>37</v>
      </c>
      <c r="G35" s="9">
        <v>147</v>
      </c>
      <c r="H35" s="9">
        <v>0</v>
      </c>
      <c r="I35" s="9">
        <v>0</v>
      </c>
      <c r="J35" s="8">
        <f>K35+L35+M35+N35</f>
        <v>341</v>
      </c>
      <c r="K35" s="9">
        <f>33+6</f>
        <v>39</v>
      </c>
      <c r="L35" s="9">
        <f>265+37</f>
        <v>302</v>
      </c>
      <c r="M35" s="9">
        <v>0</v>
      </c>
      <c r="N35" s="9">
        <v>0</v>
      </c>
      <c r="O35" s="8">
        <f t="shared" si="11"/>
        <v>366</v>
      </c>
      <c r="P35" s="9">
        <f>417+39-126</f>
        <v>330</v>
      </c>
      <c r="Q35" s="9">
        <f>0+36</f>
        <v>36</v>
      </c>
      <c r="R35" s="9">
        <v>0</v>
      </c>
      <c r="S35" s="9">
        <v>0</v>
      </c>
      <c r="T35" s="8">
        <f>U35+V35+W35+X35</f>
        <v>322</v>
      </c>
      <c r="U35" s="9">
        <f>36</f>
        <v>36</v>
      </c>
      <c r="V35" s="9">
        <v>286</v>
      </c>
      <c r="W35" s="9">
        <v>0</v>
      </c>
      <c r="X35" s="9">
        <v>0</v>
      </c>
      <c r="Y35" s="110">
        <f>Z35+AA35+AB35+AC35</f>
        <v>321</v>
      </c>
      <c r="Z35" s="111">
        <f>35</f>
        <v>35</v>
      </c>
      <c r="AA35" s="111">
        <v>286</v>
      </c>
      <c r="AB35" s="9">
        <v>0</v>
      </c>
      <c r="AC35" s="9">
        <v>0</v>
      </c>
      <c r="AD35" s="8">
        <f>E35+J35+O35+T35+Y35</f>
        <v>1534</v>
      </c>
      <c r="AF35" s="112"/>
    </row>
    <row r="36" spans="1:30" ht="186" customHeight="1">
      <c r="A36" s="21" t="s">
        <v>157</v>
      </c>
      <c r="B36" s="88" t="s">
        <v>177</v>
      </c>
      <c r="C36" s="15" t="s">
        <v>11</v>
      </c>
      <c r="D36" s="23">
        <v>2021</v>
      </c>
      <c r="E36" s="8" t="s">
        <v>37</v>
      </c>
      <c r="F36" s="9" t="s">
        <v>37</v>
      </c>
      <c r="G36" s="9" t="s">
        <v>37</v>
      </c>
      <c r="H36" s="9" t="s">
        <v>37</v>
      </c>
      <c r="I36" s="9" t="s">
        <v>37</v>
      </c>
      <c r="J36" s="8" t="s">
        <v>37</v>
      </c>
      <c r="K36" s="9" t="s">
        <v>37</v>
      </c>
      <c r="L36" s="9" t="s">
        <v>37</v>
      </c>
      <c r="M36" s="9" t="s">
        <v>37</v>
      </c>
      <c r="N36" s="9" t="s">
        <v>37</v>
      </c>
      <c r="O36" s="8">
        <f t="shared" si="11"/>
        <v>259</v>
      </c>
      <c r="P36" s="9">
        <v>65</v>
      </c>
      <c r="Q36" s="9">
        <v>194</v>
      </c>
      <c r="R36" s="9">
        <v>0</v>
      </c>
      <c r="S36" s="9">
        <v>0</v>
      </c>
      <c r="T36" s="8" t="s">
        <v>37</v>
      </c>
      <c r="U36" s="9" t="s">
        <v>37</v>
      </c>
      <c r="V36" s="9" t="s">
        <v>37</v>
      </c>
      <c r="W36" s="9" t="s">
        <v>37</v>
      </c>
      <c r="X36" s="9" t="s">
        <v>37</v>
      </c>
      <c r="Y36" s="8" t="s">
        <v>37</v>
      </c>
      <c r="Z36" s="9" t="s">
        <v>37</v>
      </c>
      <c r="AA36" s="9" t="s">
        <v>37</v>
      </c>
      <c r="AB36" s="9" t="s">
        <v>37</v>
      </c>
      <c r="AC36" s="9" t="s">
        <v>37</v>
      </c>
      <c r="AD36" s="8">
        <f>O36</f>
        <v>259</v>
      </c>
    </row>
    <row r="37" spans="1:31" ht="45" customHeight="1">
      <c r="A37" s="133" t="s">
        <v>24</v>
      </c>
      <c r="B37" s="134"/>
      <c r="C37" s="94"/>
      <c r="D37" s="24"/>
      <c r="E37" s="8">
        <f>F37+G37+H37+I37</f>
        <v>5732</v>
      </c>
      <c r="F37" s="8">
        <f>SUM(F32:F35)</f>
        <v>1308</v>
      </c>
      <c r="G37" s="8">
        <f>SUM(G32:G35)</f>
        <v>4424</v>
      </c>
      <c r="H37" s="8">
        <f>SUM(H32:H35)</f>
        <v>0</v>
      </c>
      <c r="I37" s="8">
        <f>SUM(I32:I35)</f>
        <v>0</v>
      </c>
      <c r="J37" s="8">
        <f>K37+L37+M37+N37</f>
        <v>7906</v>
      </c>
      <c r="K37" s="8">
        <f>SUM(K32:K35)</f>
        <v>946</v>
      </c>
      <c r="L37" s="8">
        <f>SUM(L32:L35)</f>
        <v>6960</v>
      </c>
      <c r="M37" s="8">
        <f>SUM(M32:M35)</f>
        <v>0</v>
      </c>
      <c r="N37" s="8">
        <f>SUM(N32:N35)</f>
        <v>0</v>
      </c>
      <c r="O37" s="8">
        <f t="shared" si="11"/>
        <v>7521</v>
      </c>
      <c r="P37" s="8">
        <f>SUM(P32:P36)</f>
        <v>2392</v>
      </c>
      <c r="Q37" s="8">
        <f>SUM(Q32:Q36)</f>
        <v>5129</v>
      </c>
      <c r="R37" s="8">
        <f>SUM(R32:R36)</f>
        <v>0</v>
      </c>
      <c r="S37" s="8">
        <f>SUM(S32:S36)</f>
        <v>0</v>
      </c>
      <c r="T37" s="8">
        <f>U37+V37+W37+X37</f>
        <v>5997</v>
      </c>
      <c r="U37" s="8">
        <f>SUM(U32:U36)</f>
        <v>660</v>
      </c>
      <c r="V37" s="8">
        <f>SUM(V32:V36)</f>
        <v>5337</v>
      </c>
      <c r="W37" s="8">
        <f>SUM(W32:W35)</f>
        <v>0</v>
      </c>
      <c r="X37" s="8">
        <f>SUM(X32:X35)</f>
        <v>0</v>
      </c>
      <c r="Y37" s="8">
        <f>Z37+AA37+AB37+AC37</f>
        <v>6059</v>
      </c>
      <c r="Z37" s="8">
        <f>SUM(Z32:Z35)</f>
        <v>667</v>
      </c>
      <c r="AA37" s="8">
        <f>SUM(AA32:AA35)</f>
        <v>5392</v>
      </c>
      <c r="AB37" s="8">
        <f>SUM(AB32:AB35)</f>
        <v>0</v>
      </c>
      <c r="AC37" s="8">
        <f>SUM(AC32:AC35)</f>
        <v>0</v>
      </c>
      <c r="AD37" s="8">
        <f>SUM(AD32:AD36)</f>
        <v>33215</v>
      </c>
      <c r="AE37" s="67">
        <f>E37+J37+O37+T37+Y37</f>
        <v>33215</v>
      </c>
    </row>
    <row r="38" spans="1:30" ht="45" customHeight="1">
      <c r="A38" s="165" t="s">
        <v>96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7"/>
    </row>
    <row r="39" spans="1:31" ht="57" customHeight="1">
      <c r="A39" s="36" t="s">
        <v>92</v>
      </c>
      <c r="B39" s="37" t="s">
        <v>94</v>
      </c>
      <c r="C39" s="15" t="s">
        <v>128</v>
      </c>
      <c r="D39" s="23" t="s">
        <v>85</v>
      </c>
      <c r="E39" s="8">
        <f>F39+G39+H39+I39</f>
        <v>2386</v>
      </c>
      <c r="F39" s="9">
        <v>2386</v>
      </c>
      <c r="G39" s="9">
        <v>0</v>
      </c>
      <c r="H39" s="9">
        <v>0</v>
      </c>
      <c r="I39" s="9">
        <v>0</v>
      </c>
      <c r="J39" s="8">
        <f>K39+L39+M39+N39</f>
        <v>7524</v>
      </c>
      <c r="K39" s="9">
        <f>0+7563-39</f>
        <v>7524</v>
      </c>
      <c r="L39" s="9">
        <v>0</v>
      </c>
      <c r="M39" s="9">
        <v>0</v>
      </c>
      <c r="N39" s="9">
        <v>0</v>
      </c>
      <c r="O39" s="8">
        <f>P39+Q39+R39+S39</f>
        <v>6474</v>
      </c>
      <c r="P39" s="9">
        <f>5663+113+175+304+50+169</f>
        <v>6474</v>
      </c>
      <c r="Q39" s="9">
        <v>0</v>
      </c>
      <c r="R39" s="9">
        <v>0</v>
      </c>
      <c r="S39" s="9">
        <v>0</v>
      </c>
      <c r="T39" s="8">
        <f>U39+V39+W39+X39</f>
        <v>9279</v>
      </c>
      <c r="U39" s="9">
        <v>9279</v>
      </c>
      <c r="V39" s="9">
        <v>0</v>
      </c>
      <c r="W39" s="9">
        <v>0</v>
      </c>
      <c r="X39" s="9">
        <v>0</v>
      </c>
      <c r="Y39" s="8">
        <f>Z39+AA39+AB39+AC39</f>
        <v>7299</v>
      </c>
      <c r="Z39" s="9">
        <v>7299</v>
      </c>
      <c r="AA39" s="9">
        <v>0</v>
      </c>
      <c r="AB39" s="9">
        <v>0</v>
      </c>
      <c r="AC39" s="9">
        <v>0</v>
      </c>
      <c r="AD39" s="8">
        <f>E39+J39+O39+T39+Y39</f>
        <v>32962</v>
      </c>
      <c r="AE39" s="113"/>
    </row>
    <row r="40" spans="1:30" ht="81" customHeight="1">
      <c r="A40" s="36" t="s">
        <v>148</v>
      </c>
      <c r="B40" s="62" t="s">
        <v>149</v>
      </c>
      <c r="C40" s="15" t="s">
        <v>11</v>
      </c>
      <c r="D40" s="23">
        <v>2020</v>
      </c>
      <c r="E40" s="8" t="s">
        <v>37</v>
      </c>
      <c r="F40" s="9" t="s">
        <v>37</v>
      </c>
      <c r="G40" s="9" t="s">
        <v>37</v>
      </c>
      <c r="H40" s="9" t="s">
        <v>37</v>
      </c>
      <c r="I40" s="9" t="s">
        <v>37</v>
      </c>
      <c r="J40" s="8">
        <f>K40+L40+M40+N40</f>
        <v>297</v>
      </c>
      <c r="K40" s="9">
        <f>300-3</f>
        <v>297</v>
      </c>
      <c r="L40" s="9">
        <v>0</v>
      </c>
      <c r="M40" s="9">
        <v>0</v>
      </c>
      <c r="N40" s="9">
        <v>0</v>
      </c>
      <c r="O40" s="8" t="s">
        <v>37</v>
      </c>
      <c r="P40" s="9" t="s">
        <v>37</v>
      </c>
      <c r="Q40" s="9" t="s">
        <v>37</v>
      </c>
      <c r="R40" s="9" t="s">
        <v>37</v>
      </c>
      <c r="S40" s="9" t="s">
        <v>37</v>
      </c>
      <c r="T40" s="8" t="s">
        <v>37</v>
      </c>
      <c r="U40" s="9" t="s">
        <v>37</v>
      </c>
      <c r="V40" s="9" t="s">
        <v>37</v>
      </c>
      <c r="W40" s="9" t="s">
        <v>37</v>
      </c>
      <c r="X40" s="9" t="s">
        <v>37</v>
      </c>
      <c r="Y40" s="8" t="s">
        <v>37</v>
      </c>
      <c r="Z40" s="9" t="s">
        <v>37</v>
      </c>
      <c r="AA40" s="9" t="s">
        <v>37</v>
      </c>
      <c r="AB40" s="9" t="s">
        <v>37</v>
      </c>
      <c r="AC40" s="9" t="s">
        <v>37</v>
      </c>
      <c r="AD40" s="8">
        <f>J40</f>
        <v>297</v>
      </c>
    </row>
    <row r="41" spans="1:31" ht="38.25" customHeight="1">
      <c r="A41" s="38"/>
      <c r="B41" s="39" t="s">
        <v>93</v>
      </c>
      <c r="C41" s="94"/>
      <c r="D41" s="24"/>
      <c r="E41" s="8">
        <f>F41+G41+H41+I41</f>
        <v>2386</v>
      </c>
      <c r="F41" s="8">
        <f>SUM(F39)</f>
        <v>2386</v>
      </c>
      <c r="G41" s="8">
        <f>SUM(G39)</f>
        <v>0</v>
      </c>
      <c r="H41" s="8">
        <f>SUM(H39)</f>
        <v>0</v>
      </c>
      <c r="I41" s="8">
        <f>SUM(I39)</f>
        <v>0</v>
      </c>
      <c r="J41" s="8">
        <f>K41+L41+M41+N41</f>
        <v>7821</v>
      </c>
      <c r="K41" s="8">
        <f>SUM(K39+K40)</f>
        <v>7821</v>
      </c>
      <c r="L41" s="8">
        <f>SUM(L39)</f>
        <v>0</v>
      </c>
      <c r="M41" s="8">
        <f>SUM(M39)</f>
        <v>0</v>
      </c>
      <c r="N41" s="8">
        <f>SUM(N39)</f>
        <v>0</v>
      </c>
      <c r="O41" s="8">
        <f>P41+Q41+R41+S41</f>
        <v>6474</v>
      </c>
      <c r="P41" s="8">
        <f>SUM(P39)</f>
        <v>6474</v>
      </c>
      <c r="Q41" s="8">
        <f>SUM(Q39)</f>
        <v>0</v>
      </c>
      <c r="R41" s="8">
        <f>SUM(R39)</f>
        <v>0</v>
      </c>
      <c r="S41" s="8">
        <f>SUM(S39)</f>
        <v>0</v>
      </c>
      <c r="T41" s="8">
        <f>U41+V41+W41+X41</f>
        <v>9279</v>
      </c>
      <c r="U41" s="8">
        <f>SUM(U39)</f>
        <v>9279</v>
      </c>
      <c r="V41" s="8">
        <f>SUM(V39)</f>
        <v>0</v>
      </c>
      <c r="W41" s="8">
        <f>SUM(W39)</f>
        <v>0</v>
      </c>
      <c r="X41" s="8">
        <f>SUM(X39)</f>
        <v>0</v>
      </c>
      <c r="Y41" s="8">
        <f>Z41+AA41+AB41+AC41</f>
        <v>7299</v>
      </c>
      <c r="Z41" s="8">
        <f>SUM(Z39)</f>
        <v>7299</v>
      </c>
      <c r="AA41" s="8">
        <f>SUM(AA39)</f>
        <v>0</v>
      </c>
      <c r="AB41" s="8">
        <f>SUM(AB39)</f>
        <v>0</v>
      </c>
      <c r="AC41" s="8">
        <f>SUM(AC39)</f>
        <v>0</v>
      </c>
      <c r="AD41" s="8">
        <f>SUM(AD39+AD40)</f>
        <v>33259</v>
      </c>
      <c r="AE41" s="67">
        <f>E41+J41+O41+T41+Y41</f>
        <v>33259</v>
      </c>
    </row>
    <row r="42" spans="1:31" ht="38.25" customHeight="1">
      <c r="A42" s="165" t="s">
        <v>114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7"/>
      <c r="AE42" s="64"/>
    </row>
    <row r="43" spans="1:30" ht="60" customHeight="1">
      <c r="A43" s="36" t="s">
        <v>110</v>
      </c>
      <c r="B43" s="34" t="s">
        <v>25</v>
      </c>
      <c r="C43" s="15" t="s">
        <v>127</v>
      </c>
      <c r="D43" s="23" t="s">
        <v>79</v>
      </c>
      <c r="E43" s="8">
        <f>F43+G43+H43+I43</f>
        <v>289</v>
      </c>
      <c r="F43" s="9">
        <f>427-69-69</f>
        <v>289</v>
      </c>
      <c r="G43" s="9">
        <v>0</v>
      </c>
      <c r="H43" s="9">
        <v>0</v>
      </c>
      <c r="I43" s="9">
        <v>0</v>
      </c>
      <c r="J43" s="8">
        <f>K43+L43+M43+N43</f>
        <v>377</v>
      </c>
      <c r="K43" s="9">
        <f>0+377</f>
        <v>377</v>
      </c>
      <c r="L43" s="9">
        <v>0</v>
      </c>
      <c r="M43" s="9">
        <v>0</v>
      </c>
      <c r="N43" s="9">
        <v>0</v>
      </c>
      <c r="O43" s="8">
        <f>P43+Q43+R43+S43</f>
        <v>1332</v>
      </c>
      <c r="P43" s="9">
        <v>1332</v>
      </c>
      <c r="Q43" s="9">
        <v>0</v>
      </c>
      <c r="R43" s="9">
        <v>0</v>
      </c>
      <c r="S43" s="9">
        <v>0</v>
      </c>
      <c r="T43" s="8">
        <f>U43+V43+W43+X43</f>
        <v>1180</v>
      </c>
      <c r="U43" s="9">
        <v>1180</v>
      </c>
      <c r="V43" s="9">
        <v>0</v>
      </c>
      <c r="W43" s="9">
        <v>0</v>
      </c>
      <c r="X43" s="9">
        <v>0</v>
      </c>
      <c r="Y43" s="8">
        <f>Z43+AA43+AB43+AC43</f>
        <v>1180</v>
      </c>
      <c r="Z43" s="9">
        <v>1180</v>
      </c>
      <c r="AA43" s="9">
        <v>0</v>
      </c>
      <c r="AB43" s="9">
        <v>0</v>
      </c>
      <c r="AC43" s="9">
        <v>0</v>
      </c>
      <c r="AD43" s="8">
        <f>E43+J43+O43+T43+Y43</f>
        <v>4358</v>
      </c>
    </row>
    <row r="44" spans="1:30" ht="55.5" customHeight="1">
      <c r="A44" s="21" t="s">
        <v>111</v>
      </c>
      <c r="B44" s="22" t="s">
        <v>107</v>
      </c>
      <c r="C44" s="15" t="s">
        <v>128</v>
      </c>
      <c r="D44" s="15"/>
      <c r="E44" s="8">
        <f>F44+G44+H44+I44</f>
        <v>0</v>
      </c>
      <c r="F44" s="9">
        <v>0</v>
      </c>
      <c r="G44" s="9">
        <v>0</v>
      </c>
      <c r="H44" s="9">
        <v>0</v>
      </c>
      <c r="I44" s="9">
        <v>0</v>
      </c>
      <c r="J44" s="8">
        <f>K44+L44+M44+N44</f>
        <v>0</v>
      </c>
      <c r="K44" s="9">
        <v>0</v>
      </c>
      <c r="L44" s="9">
        <v>0</v>
      </c>
      <c r="M44" s="9">
        <v>0</v>
      </c>
      <c r="N44" s="9">
        <v>0</v>
      </c>
      <c r="O44" s="8">
        <f>P44+Q44+R44+S44</f>
        <v>0</v>
      </c>
      <c r="P44" s="9">
        <v>0</v>
      </c>
      <c r="Q44" s="9">
        <v>0</v>
      </c>
      <c r="R44" s="9">
        <v>0</v>
      </c>
      <c r="S44" s="9">
        <v>0</v>
      </c>
      <c r="T44" s="8">
        <f>U44+V44+W44+X44</f>
        <v>0</v>
      </c>
      <c r="U44" s="9">
        <f>976-976</f>
        <v>0</v>
      </c>
      <c r="V44" s="9">
        <v>0</v>
      </c>
      <c r="W44" s="9">
        <v>0</v>
      </c>
      <c r="X44" s="9">
        <v>0</v>
      </c>
      <c r="Y44" s="8">
        <f>Z44+AA44+AB44+AC44</f>
        <v>0</v>
      </c>
      <c r="Z44" s="9">
        <f>0+976-976</f>
        <v>0</v>
      </c>
      <c r="AA44" s="9">
        <v>0</v>
      </c>
      <c r="AB44" s="9">
        <v>0</v>
      </c>
      <c r="AC44" s="9">
        <v>0</v>
      </c>
      <c r="AD44" s="8">
        <f>E44+J44+O44+T44+Y44</f>
        <v>0</v>
      </c>
    </row>
    <row r="45" spans="1:31" ht="50.25" customHeight="1">
      <c r="A45" s="40"/>
      <c r="B45" s="41" t="s">
        <v>106</v>
      </c>
      <c r="C45" s="94"/>
      <c r="D45" s="24"/>
      <c r="E45" s="8">
        <f>F45+G45+H45+I45</f>
        <v>289</v>
      </c>
      <c r="F45" s="8">
        <f>SUM(F43:F44)</f>
        <v>289</v>
      </c>
      <c r="G45" s="8">
        <f>SUM(G43:G44)</f>
        <v>0</v>
      </c>
      <c r="H45" s="8">
        <f>SUM(H43:H44)</f>
        <v>0</v>
      </c>
      <c r="I45" s="8">
        <f>SUM(I43:I44)</f>
        <v>0</v>
      </c>
      <c r="J45" s="8">
        <f>K45+L45+M45+N45</f>
        <v>377</v>
      </c>
      <c r="K45" s="8">
        <f>SUM(K43:K44)</f>
        <v>377</v>
      </c>
      <c r="L45" s="8">
        <f>SUM(L43:L44)</f>
        <v>0</v>
      </c>
      <c r="M45" s="8">
        <f>SUM(M43:M44)</f>
        <v>0</v>
      </c>
      <c r="N45" s="8">
        <f>SUM(N43:N44)</f>
        <v>0</v>
      </c>
      <c r="O45" s="8">
        <f>P45+Q45+R45+S45</f>
        <v>1332</v>
      </c>
      <c r="P45" s="8">
        <f>SUM(P43:P44)</f>
        <v>1332</v>
      </c>
      <c r="Q45" s="8">
        <f>SUM(Q43:Q44)</f>
        <v>0</v>
      </c>
      <c r="R45" s="8">
        <f>SUM(R43:R44)</f>
        <v>0</v>
      </c>
      <c r="S45" s="8">
        <f>SUM(S43:S44)</f>
        <v>0</v>
      </c>
      <c r="T45" s="8">
        <f>U45+V45+W45+X45</f>
        <v>1180</v>
      </c>
      <c r="U45" s="8">
        <f>SUM(U43:U44)</f>
        <v>1180</v>
      </c>
      <c r="V45" s="8">
        <f>SUM(V43:V44)</f>
        <v>0</v>
      </c>
      <c r="W45" s="8">
        <f>SUM(W43:W44)</f>
        <v>0</v>
      </c>
      <c r="X45" s="8">
        <f>SUM(X43:X44)</f>
        <v>0</v>
      </c>
      <c r="Y45" s="8">
        <f>Z45+AA45+AB45+AC45</f>
        <v>1180</v>
      </c>
      <c r="Z45" s="8">
        <f>SUM(Z43:Z44)</f>
        <v>1180</v>
      </c>
      <c r="AA45" s="8">
        <f>SUM(AA43:AA44)</f>
        <v>0</v>
      </c>
      <c r="AB45" s="8">
        <f>SUM(AB43:AB44)</f>
        <v>0</v>
      </c>
      <c r="AC45" s="8">
        <f>SUM(AC43:AC44)</f>
        <v>0</v>
      </c>
      <c r="AD45" s="8">
        <f>AD43+AD44</f>
        <v>4358</v>
      </c>
      <c r="AE45" s="67">
        <f>E45+J45+O45+T45+Y45</f>
        <v>4358</v>
      </c>
    </row>
    <row r="46" spans="1:31" ht="50.25" customHeight="1">
      <c r="A46" s="165" t="s">
        <v>137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7"/>
      <c r="AE46" s="97"/>
    </row>
    <row r="47" spans="1:31" ht="85.5" customHeight="1">
      <c r="A47" s="36" t="s">
        <v>138</v>
      </c>
      <c r="B47" s="37" t="s">
        <v>195</v>
      </c>
      <c r="C47" s="94"/>
      <c r="D47" s="23" t="s">
        <v>207</v>
      </c>
      <c r="E47" s="8" t="s">
        <v>37</v>
      </c>
      <c r="F47" s="8" t="s">
        <v>37</v>
      </c>
      <c r="G47" s="8" t="s">
        <v>37</v>
      </c>
      <c r="H47" s="8" t="s">
        <v>37</v>
      </c>
      <c r="I47" s="8" t="s">
        <v>37</v>
      </c>
      <c r="J47" s="8">
        <f>J48+J50</f>
        <v>8465</v>
      </c>
      <c r="K47" s="9">
        <f>K48+K50</f>
        <v>1120</v>
      </c>
      <c r="L47" s="9">
        <f>L48+L50</f>
        <v>7345</v>
      </c>
      <c r="M47" s="9">
        <f>M48+M50</f>
        <v>0</v>
      </c>
      <c r="N47" s="9">
        <f>N48+N50</f>
        <v>0</v>
      </c>
      <c r="O47" s="8">
        <f>O48+O49+O50</f>
        <v>9322</v>
      </c>
      <c r="P47" s="8">
        <f>P48+P49+P50</f>
        <v>1025</v>
      </c>
      <c r="Q47" s="8">
        <f>Q48+Q49+Q50</f>
        <v>8297</v>
      </c>
      <c r="R47" s="8">
        <f>R48+R49+R50</f>
        <v>0</v>
      </c>
      <c r="S47" s="8">
        <f>S48+S49+S50</f>
        <v>0</v>
      </c>
      <c r="T47" s="8">
        <f>U47+V47+W47+X47</f>
        <v>74471</v>
      </c>
      <c r="U47" s="8">
        <f>U50+U51</f>
        <v>12036</v>
      </c>
      <c r="V47" s="8">
        <f>V50+V51</f>
        <v>62435</v>
      </c>
      <c r="W47" s="8">
        <f>W50+W51</f>
        <v>0</v>
      </c>
      <c r="X47" s="8">
        <f>X50+X51</f>
        <v>0</v>
      </c>
      <c r="Y47" s="8" t="s">
        <v>37</v>
      </c>
      <c r="Z47" s="8" t="s">
        <v>37</v>
      </c>
      <c r="AA47" s="8" t="s">
        <v>37</v>
      </c>
      <c r="AB47" s="8" t="s">
        <v>37</v>
      </c>
      <c r="AC47" s="8" t="s">
        <v>37</v>
      </c>
      <c r="AD47" s="8">
        <f>J47+O47+T47</f>
        <v>92258</v>
      </c>
      <c r="AE47" s="97"/>
    </row>
    <row r="48" spans="1:31" ht="74.25" customHeight="1">
      <c r="A48" s="168" t="s">
        <v>140</v>
      </c>
      <c r="B48" s="148" t="s">
        <v>135</v>
      </c>
      <c r="C48" s="15" t="s">
        <v>167</v>
      </c>
      <c r="D48" s="23" t="s">
        <v>164</v>
      </c>
      <c r="E48" s="8" t="s">
        <v>37</v>
      </c>
      <c r="F48" s="8" t="s">
        <v>37</v>
      </c>
      <c r="G48" s="8" t="s">
        <v>37</v>
      </c>
      <c r="H48" s="8" t="s">
        <v>37</v>
      </c>
      <c r="I48" s="8" t="s">
        <v>37</v>
      </c>
      <c r="J48" s="8">
        <f>K48+L48+M48+N48</f>
        <v>3017</v>
      </c>
      <c r="K48" s="9">
        <f>309+211</f>
        <v>520</v>
      </c>
      <c r="L48" s="9">
        <v>2497</v>
      </c>
      <c r="M48" s="9">
        <v>0</v>
      </c>
      <c r="N48" s="9">
        <v>0</v>
      </c>
      <c r="O48" s="8">
        <f>P48+Q48+R48+S48</f>
        <v>6823</v>
      </c>
      <c r="P48" s="9">
        <v>750</v>
      </c>
      <c r="Q48" s="9">
        <v>6073</v>
      </c>
      <c r="R48" s="9">
        <v>0</v>
      </c>
      <c r="S48" s="9">
        <v>0</v>
      </c>
      <c r="T48" s="8" t="s">
        <v>37</v>
      </c>
      <c r="U48" s="8" t="s">
        <v>37</v>
      </c>
      <c r="V48" s="8" t="s">
        <v>37</v>
      </c>
      <c r="W48" s="8" t="s">
        <v>37</v>
      </c>
      <c r="X48" s="8" t="s">
        <v>37</v>
      </c>
      <c r="Y48" s="8" t="s">
        <v>37</v>
      </c>
      <c r="Z48" s="8" t="s">
        <v>37</v>
      </c>
      <c r="AA48" s="8" t="s">
        <v>37</v>
      </c>
      <c r="AB48" s="8" t="s">
        <v>37</v>
      </c>
      <c r="AC48" s="8" t="s">
        <v>37</v>
      </c>
      <c r="AD48" s="8">
        <f>J48+O48</f>
        <v>9840</v>
      </c>
      <c r="AE48" s="97"/>
    </row>
    <row r="49" spans="1:31" ht="50.25" customHeight="1">
      <c r="A49" s="169"/>
      <c r="B49" s="149"/>
      <c r="C49" s="15" t="s">
        <v>166</v>
      </c>
      <c r="D49" s="23">
        <v>2021</v>
      </c>
      <c r="E49" s="8" t="s">
        <v>37</v>
      </c>
      <c r="F49" s="8" t="s">
        <v>37</v>
      </c>
      <c r="G49" s="8" t="s">
        <v>37</v>
      </c>
      <c r="H49" s="8" t="s">
        <v>37</v>
      </c>
      <c r="I49" s="8" t="s">
        <v>37</v>
      </c>
      <c r="J49" s="8" t="s">
        <v>37</v>
      </c>
      <c r="K49" s="8" t="s">
        <v>37</v>
      </c>
      <c r="L49" s="8" t="s">
        <v>37</v>
      </c>
      <c r="M49" s="8" t="s">
        <v>37</v>
      </c>
      <c r="N49" s="8" t="s">
        <v>37</v>
      </c>
      <c r="O49" s="8">
        <f>P49+Q49+R49+S49</f>
        <v>941</v>
      </c>
      <c r="P49" s="9">
        <f>104</f>
        <v>104</v>
      </c>
      <c r="Q49" s="9">
        <v>837</v>
      </c>
      <c r="R49" s="9">
        <v>0</v>
      </c>
      <c r="S49" s="9">
        <v>0</v>
      </c>
      <c r="T49" s="8" t="s">
        <v>37</v>
      </c>
      <c r="U49" s="8" t="s">
        <v>37</v>
      </c>
      <c r="V49" s="8" t="s">
        <v>37</v>
      </c>
      <c r="W49" s="8" t="s">
        <v>37</v>
      </c>
      <c r="X49" s="8" t="s">
        <v>37</v>
      </c>
      <c r="Y49" s="8" t="s">
        <v>37</v>
      </c>
      <c r="Z49" s="8" t="s">
        <v>37</v>
      </c>
      <c r="AA49" s="8" t="s">
        <v>37</v>
      </c>
      <c r="AB49" s="8" t="s">
        <v>37</v>
      </c>
      <c r="AC49" s="8" t="s">
        <v>37</v>
      </c>
      <c r="AD49" s="8">
        <f>O49</f>
        <v>941</v>
      </c>
      <c r="AE49" s="97"/>
    </row>
    <row r="50" spans="1:31" ht="69" customHeight="1">
      <c r="A50" s="36" t="s">
        <v>139</v>
      </c>
      <c r="B50" s="37" t="s">
        <v>136</v>
      </c>
      <c r="C50" s="15" t="s">
        <v>165</v>
      </c>
      <c r="D50" s="23" t="s">
        <v>207</v>
      </c>
      <c r="E50" s="8" t="s">
        <v>37</v>
      </c>
      <c r="F50" s="8" t="s">
        <v>37</v>
      </c>
      <c r="G50" s="8" t="s">
        <v>37</v>
      </c>
      <c r="H50" s="8" t="s">
        <v>37</v>
      </c>
      <c r="I50" s="8" t="s">
        <v>37</v>
      </c>
      <c r="J50" s="8">
        <f>K50+L50+M50+N50</f>
        <v>5448</v>
      </c>
      <c r="K50" s="9">
        <v>600</v>
      </c>
      <c r="L50" s="9">
        <v>4848</v>
      </c>
      <c r="M50" s="9">
        <v>0</v>
      </c>
      <c r="N50" s="9">
        <v>0</v>
      </c>
      <c r="O50" s="8">
        <f>P50+Q50+R50+S50</f>
        <v>1558</v>
      </c>
      <c r="P50" s="9">
        <v>171</v>
      </c>
      <c r="Q50" s="9">
        <v>1387</v>
      </c>
      <c r="R50" s="9">
        <v>0</v>
      </c>
      <c r="S50" s="9">
        <v>0</v>
      </c>
      <c r="T50" s="8">
        <f>U50+V50+W50+X50</f>
        <v>19001</v>
      </c>
      <c r="U50" s="9">
        <f>2568-478</f>
        <v>2090</v>
      </c>
      <c r="V50" s="9">
        <f>15951+960</f>
        <v>16911</v>
      </c>
      <c r="W50" s="9">
        <v>0</v>
      </c>
      <c r="X50" s="9">
        <v>0</v>
      </c>
      <c r="Y50" s="8" t="s">
        <v>37</v>
      </c>
      <c r="Z50" s="8" t="s">
        <v>37</v>
      </c>
      <c r="AA50" s="8" t="s">
        <v>37</v>
      </c>
      <c r="AB50" s="8" t="s">
        <v>37</v>
      </c>
      <c r="AC50" s="8" t="s">
        <v>37</v>
      </c>
      <c r="AD50" s="8">
        <f>J50+O50+T50</f>
        <v>26007</v>
      </c>
      <c r="AE50" s="97"/>
    </row>
    <row r="51" spans="1:32" ht="69" customHeight="1">
      <c r="A51" s="36" t="s">
        <v>169</v>
      </c>
      <c r="B51" s="37" t="s">
        <v>170</v>
      </c>
      <c r="C51" s="15" t="s">
        <v>171</v>
      </c>
      <c r="D51" s="23">
        <v>2022</v>
      </c>
      <c r="E51" s="8" t="s">
        <v>37</v>
      </c>
      <c r="F51" s="9" t="s">
        <v>37</v>
      </c>
      <c r="G51" s="9" t="s">
        <v>37</v>
      </c>
      <c r="H51" s="9" t="s">
        <v>37</v>
      </c>
      <c r="I51" s="9" t="s">
        <v>37</v>
      </c>
      <c r="J51" s="8" t="s">
        <v>37</v>
      </c>
      <c r="K51" s="9" t="s">
        <v>37</v>
      </c>
      <c r="L51" s="9" t="s">
        <v>37</v>
      </c>
      <c r="M51" s="9" t="s">
        <v>37</v>
      </c>
      <c r="N51" s="9" t="s">
        <v>37</v>
      </c>
      <c r="O51" s="8" t="s">
        <v>37</v>
      </c>
      <c r="P51" s="9" t="s">
        <v>37</v>
      </c>
      <c r="Q51" s="9" t="s">
        <v>37</v>
      </c>
      <c r="R51" s="9" t="s">
        <v>37</v>
      </c>
      <c r="S51" s="9" t="s">
        <v>37</v>
      </c>
      <c r="T51" s="8">
        <f>U51+V51+W51+X51</f>
        <v>55470</v>
      </c>
      <c r="U51" s="9">
        <f>9871+478-403</f>
        <v>9946</v>
      </c>
      <c r="V51" s="9">
        <f>49744-960-3260</f>
        <v>45524</v>
      </c>
      <c r="W51" s="9">
        <v>0</v>
      </c>
      <c r="X51" s="9">
        <v>0</v>
      </c>
      <c r="Y51" s="8" t="s">
        <v>37</v>
      </c>
      <c r="Z51" s="9" t="s">
        <v>37</v>
      </c>
      <c r="AA51" s="9" t="s">
        <v>37</v>
      </c>
      <c r="AB51" s="9" t="s">
        <v>37</v>
      </c>
      <c r="AC51" s="9" t="s">
        <v>37</v>
      </c>
      <c r="AD51" s="8">
        <f>T51</f>
        <v>55470</v>
      </c>
      <c r="AE51" s="160"/>
      <c r="AF51" s="161"/>
    </row>
    <row r="52" spans="1:31" ht="42" customHeight="1">
      <c r="A52" s="40"/>
      <c r="B52" s="41" t="s">
        <v>141</v>
      </c>
      <c r="C52" s="94"/>
      <c r="D52" s="24"/>
      <c r="E52" s="8" t="s">
        <v>37</v>
      </c>
      <c r="F52" s="8" t="s">
        <v>37</v>
      </c>
      <c r="G52" s="8" t="s">
        <v>37</v>
      </c>
      <c r="H52" s="8" t="s">
        <v>37</v>
      </c>
      <c r="I52" s="8" t="s">
        <v>37</v>
      </c>
      <c r="J52" s="8">
        <f>J47</f>
        <v>8465</v>
      </c>
      <c r="K52" s="8">
        <f>K47</f>
        <v>1120</v>
      </c>
      <c r="L52" s="8">
        <f>L47</f>
        <v>7345</v>
      </c>
      <c r="M52" s="8">
        <f>M47</f>
        <v>0</v>
      </c>
      <c r="N52" s="8">
        <f>N47</f>
        <v>0</v>
      </c>
      <c r="O52" s="8">
        <f>P52+Q52+R52+S52</f>
        <v>9322</v>
      </c>
      <c r="P52" s="8">
        <f>P47</f>
        <v>1025</v>
      </c>
      <c r="Q52" s="8">
        <f>Q47</f>
        <v>8297</v>
      </c>
      <c r="R52" s="8">
        <f>R47</f>
        <v>0</v>
      </c>
      <c r="S52" s="8">
        <f>S47</f>
        <v>0</v>
      </c>
      <c r="T52" s="8">
        <f>U52+V52+W52+X52</f>
        <v>74471</v>
      </c>
      <c r="U52" s="8">
        <f>U47</f>
        <v>12036</v>
      </c>
      <c r="V52" s="8">
        <f>V47</f>
        <v>62435</v>
      </c>
      <c r="W52" s="8">
        <f>W47</f>
        <v>0</v>
      </c>
      <c r="X52" s="8">
        <f>X47</f>
        <v>0</v>
      </c>
      <c r="Y52" s="8" t="s">
        <v>37</v>
      </c>
      <c r="Z52" s="8" t="s">
        <v>37</v>
      </c>
      <c r="AA52" s="8" t="s">
        <v>37</v>
      </c>
      <c r="AB52" s="8" t="s">
        <v>37</v>
      </c>
      <c r="AC52" s="8" t="s">
        <v>37</v>
      </c>
      <c r="AD52" s="8">
        <f>AD47</f>
        <v>92258</v>
      </c>
      <c r="AE52" s="68">
        <f>J52+O52+T52</f>
        <v>92258</v>
      </c>
    </row>
    <row r="53" spans="1:32" ht="45.75" customHeight="1">
      <c r="A53" s="162" t="s">
        <v>26</v>
      </c>
      <c r="B53" s="162"/>
      <c r="C53" s="24"/>
      <c r="D53" s="24"/>
      <c r="E53" s="8">
        <f>F53+G53+H53+I53</f>
        <v>14110</v>
      </c>
      <c r="F53" s="8">
        <f>F22+F30+F37+F41+F45</f>
        <v>9195</v>
      </c>
      <c r="G53" s="8">
        <f>G22+G30+G37+G41+G45</f>
        <v>4915</v>
      </c>
      <c r="H53" s="8">
        <f>H22+H30+H37+H41+H45</f>
        <v>0</v>
      </c>
      <c r="I53" s="8">
        <f>I22+I30+I37+I41+I45</f>
        <v>0</v>
      </c>
      <c r="J53" s="8">
        <f>K53+L53+M53+N53</f>
        <v>33592</v>
      </c>
      <c r="K53" s="8">
        <f>K22+K30+K37+K41+K45+K52</f>
        <v>13637</v>
      </c>
      <c r="L53" s="8">
        <f>L22+L30+L37+L41+L45+L52</f>
        <v>19955</v>
      </c>
      <c r="M53" s="8">
        <f>M22+M30+M37+M41+M45</f>
        <v>0</v>
      </c>
      <c r="N53" s="8">
        <f>N22+N30+N37+N41+N45</f>
        <v>0</v>
      </c>
      <c r="O53" s="8">
        <f>P53+Q53+R53+S53</f>
        <v>28855</v>
      </c>
      <c r="P53" s="8">
        <f>P22+P30+P37+P41+P45+P52</f>
        <v>15429</v>
      </c>
      <c r="Q53" s="8">
        <f>Q22+Q30+Q37+Q41+Q45+Q52</f>
        <v>13426</v>
      </c>
      <c r="R53" s="8">
        <f>R22+R30+R37+R41+R45+R52</f>
        <v>0</v>
      </c>
      <c r="S53" s="8">
        <f>S22+S30+S37+S41+S45+S52</f>
        <v>0</v>
      </c>
      <c r="T53" s="8">
        <f>U53+V53+W53+X53</f>
        <v>102794</v>
      </c>
      <c r="U53" s="8">
        <f>U22+U30+U37+U41+U45+U52</f>
        <v>30768</v>
      </c>
      <c r="V53" s="8">
        <f>V22+V30+V37+V41+V45+V52</f>
        <v>72026</v>
      </c>
      <c r="W53" s="8">
        <f>W22+W30+W37+W41+W45+W52</f>
        <v>0</v>
      </c>
      <c r="X53" s="8">
        <f>X22+X30+X37+X41+X45+X52</f>
        <v>0</v>
      </c>
      <c r="Y53" s="8">
        <f>Z53+AA53+AB53+AC53</f>
        <v>20405</v>
      </c>
      <c r="Z53" s="8">
        <f>Z22+Z30+Z37+Z41+Z45</f>
        <v>14454</v>
      </c>
      <c r="AA53" s="8">
        <f>AA22+AA30+AA37+AA41+AA45</f>
        <v>5951</v>
      </c>
      <c r="AB53" s="8">
        <f>AB22+AB30+AB37+AB41+AB45</f>
        <v>0</v>
      </c>
      <c r="AC53" s="8">
        <f>AC22+AC30+AC37+AC41+AC45</f>
        <v>0</v>
      </c>
      <c r="AD53" s="8">
        <f>AD22+AD30+AD37+AD41+AD45+AD52</f>
        <v>199756</v>
      </c>
      <c r="AE53" s="97"/>
      <c r="AF53" s="6"/>
    </row>
    <row r="54" spans="1:32" ht="33" customHeight="1" thickBot="1">
      <c r="A54" s="42"/>
      <c r="B54" s="42"/>
      <c r="C54" s="25"/>
      <c r="D54" s="25"/>
      <c r="E54" s="95"/>
      <c r="F54" s="95"/>
      <c r="G54" s="95"/>
      <c r="H54" s="95"/>
      <c r="I54" s="95"/>
      <c r="J54" s="95"/>
      <c r="K54" s="95"/>
      <c r="L54" s="73"/>
      <c r="M54" s="73"/>
      <c r="N54" s="73"/>
      <c r="O54" s="73"/>
      <c r="P54" s="73"/>
      <c r="Q54" s="73"/>
      <c r="R54" s="95"/>
      <c r="S54" s="95"/>
      <c r="T54" s="104"/>
      <c r="U54" s="104"/>
      <c r="V54" s="104"/>
      <c r="W54" s="104"/>
      <c r="X54" s="104"/>
      <c r="Y54" s="104"/>
      <c r="Z54" s="104"/>
      <c r="AA54" s="104"/>
      <c r="AB54" s="95"/>
      <c r="AC54" s="95"/>
      <c r="AD54" s="95"/>
      <c r="AE54" s="97"/>
      <c r="AF54" s="6"/>
    </row>
    <row r="55" spans="1:32" ht="24" customHeight="1">
      <c r="A55" s="42"/>
      <c r="B55" s="42"/>
      <c r="C55" s="25"/>
      <c r="D55" s="2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35"/>
      <c r="Q55" s="135"/>
      <c r="R55" s="135"/>
      <c r="S55" s="135"/>
      <c r="T55" s="121"/>
      <c r="U55" s="121"/>
      <c r="V55" s="121"/>
      <c r="W55" s="121"/>
      <c r="X55" s="121"/>
      <c r="Y55" s="121"/>
      <c r="Z55" s="121"/>
      <c r="AA55" s="121"/>
      <c r="AB55" s="95"/>
      <c r="AC55" s="95"/>
      <c r="AD55" s="95"/>
      <c r="AE55" s="97"/>
      <c r="AF55" s="6"/>
    </row>
    <row r="56" spans="1:32" ht="15" customHeight="1">
      <c r="A56" s="42"/>
      <c r="B56" s="42"/>
      <c r="C56" s="25"/>
      <c r="D56" s="2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104"/>
      <c r="U56" s="104"/>
      <c r="V56" s="104"/>
      <c r="W56" s="104"/>
      <c r="X56" s="104"/>
      <c r="Y56" s="104"/>
      <c r="Z56" s="104"/>
      <c r="AA56" s="104"/>
      <c r="AB56" s="95"/>
      <c r="AC56" s="95"/>
      <c r="AD56" s="95"/>
      <c r="AE56" s="97"/>
      <c r="AF56" s="6"/>
    </row>
    <row r="57" spans="1:31" ht="21" customHeight="1">
      <c r="A57" s="42"/>
      <c r="B57" s="42"/>
      <c r="C57" s="25"/>
      <c r="D57" s="25"/>
      <c r="E57" s="95"/>
      <c r="F57" s="95"/>
      <c r="G57" s="95"/>
      <c r="H57" s="95"/>
      <c r="I57" s="95"/>
      <c r="J57" s="95"/>
      <c r="K57" s="95"/>
      <c r="L57" s="135"/>
      <c r="M57" s="135"/>
      <c r="N57" s="95"/>
      <c r="O57" s="95"/>
      <c r="P57" s="95"/>
      <c r="Q57" s="95"/>
      <c r="R57" s="95"/>
      <c r="S57" s="95"/>
      <c r="T57" s="104"/>
      <c r="U57" s="104"/>
      <c r="V57" s="104"/>
      <c r="W57" s="104"/>
      <c r="X57" s="104"/>
      <c r="Y57" s="104"/>
      <c r="Z57" s="104"/>
      <c r="AA57" s="104"/>
      <c r="AB57" s="95"/>
      <c r="AC57" s="91" t="s">
        <v>153</v>
      </c>
      <c r="AD57" s="95">
        <f>F53+K53+P53+U53+Z53</f>
        <v>83483</v>
      </c>
      <c r="AE57" s="97"/>
    </row>
    <row r="58" spans="1:31" ht="21" customHeight="1">
      <c r="A58" s="43"/>
      <c r="B58" s="26"/>
      <c r="C58" s="26"/>
      <c r="D58" s="26"/>
      <c r="E58" s="26"/>
      <c r="F58" s="44"/>
      <c r="G58" s="26"/>
      <c r="H58" s="26"/>
      <c r="I58" s="26"/>
      <c r="J58" s="26"/>
      <c r="K58" s="26"/>
      <c r="L58" s="136"/>
      <c r="M58" s="136"/>
      <c r="N58" s="71"/>
      <c r="O58" s="95"/>
      <c r="P58" s="95"/>
      <c r="Q58" s="95"/>
      <c r="R58" s="135"/>
      <c r="S58" s="135"/>
      <c r="T58" s="104"/>
      <c r="U58" s="104"/>
      <c r="V58" s="104"/>
      <c r="W58" s="104"/>
      <c r="X58" s="104"/>
      <c r="Y58" s="104"/>
      <c r="Z58" s="104"/>
      <c r="AA58" s="104"/>
      <c r="AB58" s="26"/>
      <c r="AC58" s="90" t="s">
        <v>152</v>
      </c>
      <c r="AD58" s="45">
        <f>G53+L53+Q53+V53+AA53</f>
        <v>116273</v>
      </c>
      <c r="AE58" s="66"/>
    </row>
    <row r="59" spans="1:31" ht="21" customHeight="1">
      <c r="A59" s="4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136"/>
      <c r="M59" s="136"/>
      <c r="N59" s="71"/>
      <c r="O59" s="25"/>
      <c r="P59" s="95"/>
      <c r="Q59" s="95"/>
      <c r="R59" s="95"/>
      <c r="S59" s="95"/>
      <c r="T59" s="104"/>
      <c r="U59" s="104"/>
      <c r="V59" s="104"/>
      <c r="W59" s="104"/>
      <c r="X59" s="104"/>
      <c r="Y59" s="104"/>
      <c r="Z59" s="104"/>
      <c r="AA59" s="104"/>
      <c r="AB59" s="26"/>
      <c r="AC59" s="90" t="s">
        <v>181</v>
      </c>
      <c r="AD59" s="45">
        <f>AD57+AD58</f>
        <v>199756</v>
      </c>
      <c r="AE59" s="66"/>
    </row>
    <row r="60" spans="1:31" ht="21">
      <c r="A60" s="4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66"/>
    </row>
    <row r="61" spans="1:31" ht="21">
      <c r="A61" s="43"/>
      <c r="B61" s="26"/>
      <c r="C61" s="26"/>
      <c r="D61" s="26"/>
      <c r="E61" s="26"/>
      <c r="F61" s="26"/>
      <c r="G61" s="26"/>
      <c r="H61" s="26"/>
      <c r="I61" s="26"/>
      <c r="J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66"/>
    </row>
    <row r="62" spans="1:31" ht="21">
      <c r="A62" s="43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66"/>
    </row>
    <row r="63" spans="1:31" ht="21">
      <c r="A63" s="4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66"/>
    </row>
    <row r="64" spans="1:31" ht="21">
      <c r="A64" s="43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66"/>
    </row>
    <row r="65" spans="1:31" ht="21">
      <c r="A65" s="43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66"/>
    </row>
    <row r="66" spans="1:31" ht="21">
      <c r="A66" s="43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66"/>
    </row>
    <row r="67" spans="1:31" ht="21">
      <c r="A67" s="43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66"/>
    </row>
    <row r="68" spans="1:31" ht="21">
      <c r="A68" s="43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66"/>
    </row>
    <row r="69" spans="1:31" ht="21">
      <c r="A69" s="4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66"/>
    </row>
    <row r="70" spans="1:31" ht="21">
      <c r="A70" s="4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66"/>
    </row>
    <row r="71" spans="1:31" ht="21">
      <c r="A71" s="43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66"/>
    </row>
    <row r="72" spans="1:31" ht="21">
      <c r="A72" s="4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66"/>
    </row>
    <row r="73" spans="1:31" ht="21">
      <c r="A73" s="43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66"/>
    </row>
    <row r="74" spans="1:31" ht="21">
      <c r="A74" s="4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66"/>
    </row>
    <row r="75" spans="1:31" ht="21">
      <c r="A75" s="43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66"/>
    </row>
    <row r="76" spans="1:31" ht="21">
      <c r="A76" s="43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66"/>
    </row>
    <row r="77" spans="1:31" ht="21">
      <c r="A77" s="43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66"/>
    </row>
    <row r="78" spans="1:31" ht="21">
      <c r="A78" s="43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66"/>
    </row>
    <row r="79" spans="1:31" ht="21">
      <c r="A79" s="43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66"/>
    </row>
    <row r="80" spans="1:31" ht="21">
      <c r="A80" s="43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66"/>
    </row>
    <row r="81" spans="1:31" ht="21">
      <c r="A81" s="4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66"/>
    </row>
    <row r="82" spans="1:31" ht="21">
      <c r="A82" s="4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66"/>
    </row>
    <row r="83" spans="1:31" ht="21">
      <c r="A83" s="43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66"/>
    </row>
    <row r="84" spans="1:31" ht="21">
      <c r="A84" s="43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66"/>
    </row>
    <row r="85" spans="1:31" ht="21">
      <c r="A85" s="43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66"/>
    </row>
    <row r="86" spans="1:31" ht="21">
      <c r="A86" s="43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66"/>
    </row>
    <row r="87" spans="1:31" ht="21">
      <c r="A87" s="43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66"/>
    </row>
    <row r="88" spans="1:31" ht="21">
      <c r="A88" s="4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66"/>
    </row>
    <row r="89" spans="1:31" ht="21">
      <c r="A89" s="43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66"/>
    </row>
    <row r="90" spans="1:31" ht="21">
      <c r="A90" s="43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66"/>
    </row>
    <row r="91" spans="1:31" ht="21">
      <c r="A91" s="43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66"/>
    </row>
    <row r="92" spans="1:31" ht="21">
      <c r="A92" s="43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66"/>
    </row>
    <row r="93" spans="1:31" ht="21">
      <c r="A93" s="43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66"/>
    </row>
    <row r="94" spans="1:31" ht="21">
      <c r="A94" s="43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66"/>
    </row>
    <row r="95" spans="1:31" ht="21">
      <c r="A95" s="43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66"/>
    </row>
    <row r="96" spans="1:31" ht="21">
      <c r="A96" s="43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66"/>
    </row>
    <row r="97" spans="1:31" ht="21">
      <c r="A97" s="43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66"/>
    </row>
    <row r="98" spans="1:31" ht="21">
      <c r="A98" s="43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66"/>
    </row>
    <row r="99" spans="1:31" ht="21">
      <c r="A99" s="43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66"/>
    </row>
    <row r="100" spans="1:31" ht="21">
      <c r="A100" s="43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66"/>
    </row>
    <row r="101" spans="1:31" ht="21">
      <c r="A101" s="43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66"/>
    </row>
    <row r="102" spans="1:31" ht="21">
      <c r="A102" s="43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66"/>
    </row>
    <row r="103" spans="1:31" ht="21">
      <c r="A103" s="43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66"/>
    </row>
    <row r="104" spans="1:31" ht="21">
      <c r="A104" s="43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66"/>
    </row>
    <row r="105" spans="1:31" ht="21">
      <c r="A105" s="43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66"/>
    </row>
    <row r="106" spans="1:31" ht="21">
      <c r="A106" s="43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66"/>
    </row>
    <row r="107" spans="1:31" ht="21">
      <c r="A107" s="43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66"/>
    </row>
    <row r="108" spans="1:31" ht="21">
      <c r="A108" s="43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66"/>
    </row>
    <row r="109" spans="1:31" ht="21">
      <c r="A109" s="43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66"/>
    </row>
    <row r="110" spans="1:31" ht="21">
      <c r="A110" s="43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66"/>
    </row>
    <row r="111" spans="1:31" ht="21">
      <c r="A111" s="43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66"/>
    </row>
    <row r="112" spans="1:31" ht="21">
      <c r="A112" s="43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66"/>
    </row>
    <row r="113" spans="1:31" ht="21">
      <c r="A113" s="43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66"/>
    </row>
    <row r="114" spans="1:31" ht="21">
      <c r="A114" s="43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66"/>
    </row>
    <row r="115" spans="1:31" ht="21">
      <c r="A115" s="4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66"/>
    </row>
    <row r="116" spans="1:31" ht="21">
      <c r="A116" s="43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66"/>
    </row>
    <row r="117" spans="1:31" ht="21">
      <c r="A117" s="43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66"/>
    </row>
    <row r="118" spans="1:31" ht="21">
      <c r="A118" s="43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66"/>
    </row>
    <row r="119" spans="1:31" ht="21">
      <c r="A119" s="43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66"/>
    </row>
    <row r="120" spans="1:31" ht="21">
      <c r="A120" s="43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66"/>
    </row>
    <row r="121" spans="1:31" ht="21">
      <c r="A121" s="43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66"/>
    </row>
    <row r="122" spans="1:31" ht="21">
      <c r="A122" s="43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66"/>
    </row>
    <row r="123" spans="1:31" ht="21">
      <c r="A123" s="43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66"/>
    </row>
    <row r="124" spans="1:31" ht="21">
      <c r="A124" s="43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66"/>
    </row>
    <row r="125" spans="1:31" ht="21">
      <c r="A125" s="43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66"/>
    </row>
    <row r="126" spans="1:31" ht="21">
      <c r="A126" s="43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66"/>
    </row>
    <row r="127" spans="1:31" ht="21">
      <c r="A127" s="43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66"/>
    </row>
    <row r="128" spans="1:31" ht="21">
      <c r="A128" s="4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66"/>
    </row>
    <row r="129" spans="1:31" ht="21">
      <c r="A129" s="4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66"/>
    </row>
    <row r="130" spans="1:31" ht="21">
      <c r="A130" s="4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66"/>
    </row>
    <row r="131" spans="1:31" ht="21">
      <c r="A131" s="43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66"/>
    </row>
    <row r="132" spans="1:31" ht="21">
      <c r="A132" s="43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66"/>
    </row>
    <row r="133" spans="1:31" ht="21">
      <c r="A133" s="43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66"/>
    </row>
    <row r="134" spans="1:31" ht="21">
      <c r="A134" s="43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66"/>
    </row>
    <row r="135" spans="1:31" ht="21">
      <c r="A135" s="43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66"/>
    </row>
    <row r="136" spans="1:31" ht="21">
      <c r="A136" s="43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66"/>
    </row>
    <row r="137" spans="1:31" ht="21">
      <c r="A137" s="43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66"/>
    </row>
    <row r="138" spans="1:31" ht="21">
      <c r="A138" s="43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66"/>
    </row>
    <row r="139" spans="1:31" ht="21">
      <c r="A139" s="43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66"/>
    </row>
    <row r="140" spans="1:31" ht="21">
      <c r="A140" s="43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66"/>
    </row>
    <row r="141" spans="1:31" ht="21">
      <c r="A141" s="43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66"/>
    </row>
    <row r="142" spans="1:31" ht="21">
      <c r="A142" s="43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66"/>
    </row>
    <row r="143" spans="1:31" ht="21">
      <c r="A143" s="43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66"/>
    </row>
    <row r="144" spans="1:31" ht="21">
      <c r="A144" s="43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66"/>
    </row>
    <row r="145" spans="1:31" ht="21">
      <c r="A145" s="43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66"/>
    </row>
    <row r="146" spans="1:31" ht="21">
      <c r="A146" s="43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66"/>
    </row>
    <row r="147" spans="1:31" ht="21">
      <c r="A147" s="43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66"/>
    </row>
    <row r="148" spans="1:31" ht="21">
      <c r="A148" s="43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66"/>
    </row>
    <row r="149" spans="1:31" ht="21">
      <c r="A149" s="43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66"/>
    </row>
    <row r="150" spans="1:31" ht="21">
      <c r="A150" s="43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66"/>
    </row>
    <row r="151" spans="1:31" ht="21">
      <c r="A151" s="43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66"/>
    </row>
    <row r="152" spans="1:31" ht="21">
      <c r="A152" s="43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66"/>
    </row>
    <row r="153" spans="1:31" ht="21">
      <c r="A153" s="4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66"/>
    </row>
    <row r="154" spans="1:31" ht="21">
      <c r="A154" s="43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66"/>
    </row>
    <row r="155" spans="1:31" ht="21">
      <c r="A155" s="4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66"/>
    </row>
    <row r="156" spans="1:31" ht="21">
      <c r="A156" s="4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66"/>
    </row>
    <row r="157" spans="1:31" ht="21">
      <c r="A157" s="4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66"/>
    </row>
    <row r="158" spans="1:31" ht="21">
      <c r="A158" s="4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66"/>
    </row>
    <row r="159" spans="1:31" ht="21">
      <c r="A159" s="4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66"/>
    </row>
    <row r="160" spans="1:31" ht="21">
      <c r="A160" s="4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66"/>
    </row>
    <row r="161" spans="1:31" ht="21">
      <c r="A161" s="4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66"/>
    </row>
    <row r="162" spans="1:31" ht="21">
      <c r="A162" s="4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66"/>
    </row>
    <row r="163" spans="1:31" ht="21">
      <c r="A163" s="4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66"/>
    </row>
    <row r="164" spans="1:31" ht="21">
      <c r="A164" s="4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66"/>
    </row>
    <row r="165" spans="1:31" ht="21">
      <c r="A165" s="4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66"/>
    </row>
    <row r="166" spans="1:31" ht="21">
      <c r="A166" s="4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66"/>
    </row>
    <row r="167" spans="1:31" ht="21">
      <c r="A167" s="4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66"/>
    </row>
    <row r="168" spans="1:31" ht="21">
      <c r="A168" s="4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66"/>
    </row>
    <row r="169" spans="1:31" ht="21">
      <c r="A169" s="4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66"/>
    </row>
    <row r="170" spans="1:31" ht="21">
      <c r="A170" s="4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66"/>
    </row>
    <row r="171" spans="1:31" ht="21">
      <c r="A171" s="4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66"/>
    </row>
    <row r="172" spans="1:31" ht="21">
      <c r="A172" s="4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66"/>
    </row>
    <row r="173" spans="1:31" ht="21">
      <c r="A173" s="4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66"/>
    </row>
    <row r="174" spans="1:31" ht="21">
      <c r="A174" s="4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66"/>
    </row>
    <row r="175" spans="1:31" ht="21">
      <c r="A175" s="4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66"/>
    </row>
    <row r="176" spans="1:31" ht="21">
      <c r="A176" s="4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66"/>
    </row>
    <row r="177" spans="1:31" ht="21">
      <c r="A177" s="4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66"/>
    </row>
    <row r="178" spans="1:31" ht="21">
      <c r="A178" s="4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66"/>
    </row>
    <row r="179" spans="1:31" ht="21">
      <c r="A179" s="4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66"/>
    </row>
    <row r="180" spans="1:31" ht="21">
      <c r="A180" s="4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66"/>
    </row>
    <row r="181" spans="1:31" ht="21">
      <c r="A181" s="4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66"/>
    </row>
    <row r="182" spans="1:31" ht="21">
      <c r="A182" s="4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66"/>
    </row>
    <row r="183" spans="1:31" ht="21">
      <c r="A183" s="4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66"/>
    </row>
    <row r="184" spans="1:31" ht="21">
      <c r="A184" s="4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66"/>
    </row>
    <row r="185" spans="1:31" ht="21">
      <c r="A185" s="4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66"/>
    </row>
    <row r="186" spans="1:31" ht="21">
      <c r="A186" s="4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66"/>
    </row>
    <row r="187" spans="1:31" ht="21">
      <c r="A187" s="4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66"/>
    </row>
    <row r="188" spans="1:31" ht="21">
      <c r="A188" s="4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66"/>
    </row>
    <row r="189" spans="1:31" ht="21">
      <c r="A189" s="4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66"/>
    </row>
    <row r="190" spans="1:31" ht="21">
      <c r="A190" s="4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66"/>
    </row>
    <row r="191" spans="1:31" ht="21">
      <c r="A191" s="4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66"/>
    </row>
    <row r="192" spans="1:31" ht="21">
      <c r="A192" s="4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66"/>
    </row>
    <row r="193" spans="1:31" ht="21">
      <c r="A193" s="4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66"/>
    </row>
    <row r="194" spans="1:31" ht="21">
      <c r="A194" s="4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66"/>
    </row>
    <row r="195" spans="1:31" ht="21">
      <c r="A195" s="43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66"/>
    </row>
    <row r="196" spans="1:31" ht="21">
      <c r="A196" s="43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66"/>
    </row>
    <row r="197" spans="1:31" ht="21">
      <c r="A197" s="43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66"/>
    </row>
    <row r="198" spans="1:31" ht="21">
      <c r="A198" s="43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66"/>
    </row>
    <row r="199" spans="1:31" ht="21">
      <c r="A199" s="43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66"/>
    </row>
    <row r="200" spans="1:31" ht="21">
      <c r="A200" s="43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66"/>
    </row>
    <row r="201" spans="1:31" ht="21">
      <c r="A201" s="43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66"/>
    </row>
  </sheetData>
  <sheetProtection/>
  <mergeCells count="52">
    <mergeCell ref="D6:D8"/>
    <mergeCell ref="E6:N6"/>
    <mergeCell ref="Y7:AC7"/>
    <mergeCell ref="AD7:AD8"/>
    <mergeCell ref="Y1:AD1"/>
    <mergeCell ref="Y2:AD2"/>
    <mergeCell ref="Y3:AD3"/>
    <mergeCell ref="Y4:AD4"/>
    <mergeCell ref="A5:AD5"/>
    <mergeCell ref="A6:A8"/>
    <mergeCell ref="B6:B8"/>
    <mergeCell ref="C6:C8"/>
    <mergeCell ref="A38:AD38"/>
    <mergeCell ref="A42:AD42"/>
    <mergeCell ref="T14:X14"/>
    <mergeCell ref="Y14:AC14"/>
    <mergeCell ref="O6:X6"/>
    <mergeCell ref="Y6:AD6"/>
    <mergeCell ref="E7:I7"/>
    <mergeCell ref="J7:N7"/>
    <mergeCell ref="O7:S7"/>
    <mergeCell ref="T7:X7"/>
    <mergeCell ref="B2:C2"/>
    <mergeCell ref="E2:I2"/>
    <mergeCell ref="AE51:AF51"/>
    <mergeCell ref="A53:B53"/>
    <mergeCell ref="AE15:AI15"/>
    <mergeCell ref="O27:S27"/>
    <mergeCell ref="A46:AD46"/>
    <mergeCell ref="A48:A49"/>
    <mergeCell ref="Y27:AC27"/>
    <mergeCell ref="A17:A18"/>
    <mergeCell ref="B17:B18"/>
    <mergeCell ref="A20:A21"/>
    <mergeCell ref="L57:M57"/>
    <mergeCell ref="A22:B22"/>
    <mergeCell ref="A23:AD23"/>
    <mergeCell ref="J27:N27"/>
    <mergeCell ref="A31:AD31"/>
    <mergeCell ref="L58:M58"/>
    <mergeCell ref="L59:M59"/>
    <mergeCell ref="A10:AD10"/>
    <mergeCell ref="A11:AD11"/>
    <mergeCell ref="J14:N14"/>
    <mergeCell ref="O14:S14"/>
    <mergeCell ref="B20:B21"/>
    <mergeCell ref="R58:S58"/>
    <mergeCell ref="B48:B49"/>
    <mergeCell ref="T27:X27"/>
    <mergeCell ref="A30:B30"/>
    <mergeCell ref="P55:S55"/>
    <mergeCell ref="A37:B37"/>
  </mergeCells>
  <hyperlinks>
    <hyperlink ref="A22" location="P77" display="P77"/>
  </hyperlinks>
  <printOptions verticalCentered="1"/>
  <pageMargins left="0.15748031496062992" right="0.15748031496062992" top="0.7480314960629921" bottom="0.5118110236220472" header="0.31496062992125984" footer="0.2362204724409449"/>
  <pageSetup firstPageNumber="4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0"/>
  <sheetViews>
    <sheetView view="pageBreakPreview" zoomScale="60" zoomScaleNormal="74" zoomScalePageLayoutView="0" workbookViewId="0" topLeftCell="A1">
      <pane ySplit="8" topLeftCell="A46" activePane="bottomLeft" state="frozen"/>
      <selection pane="topLeft" activeCell="A1" sqref="A1"/>
      <selection pane="bottomLeft" activeCell="L38" sqref="L38"/>
    </sheetView>
  </sheetViews>
  <sheetFormatPr defaultColWidth="9.140625" defaultRowHeight="15"/>
  <cols>
    <col min="1" max="1" width="7.140625" style="17" customWidth="1"/>
    <col min="2" max="2" width="73.7109375" style="17" customWidth="1"/>
    <col min="3" max="3" width="99.28125" style="17" customWidth="1"/>
    <col min="4" max="4" width="9.7109375" style="17" customWidth="1"/>
    <col min="5" max="5" width="10.57421875" style="17" customWidth="1"/>
    <col min="6" max="9" width="15.421875" style="17" customWidth="1"/>
    <col min="10" max="10" width="15.421875" style="2" customWidth="1"/>
    <col min="11" max="11" width="22.8515625" style="13" customWidth="1"/>
    <col min="12" max="12" width="15.28125" style="13" customWidth="1"/>
    <col min="13" max="13" width="16.7109375" style="13" customWidth="1"/>
  </cols>
  <sheetData>
    <row r="1" spans="1:13" s="4" customFormat="1" ht="21" customHeight="1">
      <c r="A1" s="17"/>
      <c r="B1" s="16"/>
      <c r="C1" s="17"/>
      <c r="D1" s="17"/>
      <c r="E1" s="17"/>
      <c r="F1" s="17"/>
      <c r="G1" s="191" t="s">
        <v>125</v>
      </c>
      <c r="H1" s="191"/>
      <c r="I1" s="191"/>
      <c r="J1" s="191"/>
      <c r="K1" s="12"/>
      <c r="L1" s="12"/>
      <c r="M1" s="12"/>
    </row>
    <row r="2" spans="1:13" s="4" customFormat="1" ht="32.25" customHeight="1">
      <c r="A2" s="17"/>
      <c r="B2" s="124"/>
      <c r="C2" s="193"/>
      <c r="D2" s="17"/>
      <c r="E2" s="17"/>
      <c r="F2" s="17"/>
      <c r="G2" s="192" t="s">
        <v>91</v>
      </c>
      <c r="H2" s="192"/>
      <c r="I2" s="192"/>
      <c r="J2" s="192"/>
      <c r="K2" s="12"/>
      <c r="L2" s="12"/>
      <c r="M2" s="12"/>
    </row>
    <row r="3" spans="1:13" s="4" customFormat="1" ht="14.25">
      <c r="A3" s="17"/>
      <c r="B3" s="17"/>
      <c r="C3" s="193"/>
      <c r="D3" s="17"/>
      <c r="E3" s="17"/>
      <c r="F3" s="17"/>
      <c r="G3" s="191" t="s">
        <v>41</v>
      </c>
      <c r="H3" s="191"/>
      <c r="I3" s="191"/>
      <c r="J3" s="191"/>
      <c r="K3" s="12"/>
      <c r="L3" s="12"/>
      <c r="M3" s="12"/>
    </row>
    <row r="4" spans="6:11" ht="22.5" customHeight="1">
      <c r="F4" s="46"/>
      <c r="G4" s="191" t="s">
        <v>40</v>
      </c>
      <c r="H4" s="191"/>
      <c r="I4" s="191"/>
      <c r="J4" s="191"/>
      <c r="K4" s="81"/>
    </row>
    <row r="5" spans="6:11" ht="50.25" customHeight="1">
      <c r="F5" s="46"/>
      <c r="G5" s="198" t="s">
        <v>78</v>
      </c>
      <c r="H5" s="198"/>
      <c r="I5" s="198"/>
      <c r="J5" s="198"/>
      <c r="K5" s="81"/>
    </row>
    <row r="6" spans="1:10" ht="59.25" customHeight="1">
      <c r="A6" s="199" t="s">
        <v>42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31.5" customHeight="1">
      <c r="A7" s="157" t="s">
        <v>43</v>
      </c>
      <c r="B7" s="157" t="s">
        <v>44</v>
      </c>
      <c r="C7" s="157" t="s">
        <v>45</v>
      </c>
      <c r="D7" s="157" t="s">
        <v>46</v>
      </c>
      <c r="E7" s="157" t="s">
        <v>67</v>
      </c>
      <c r="F7" s="157" t="s">
        <v>47</v>
      </c>
      <c r="G7" s="157"/>
      <c r="H7" s="157"/>
      <c r="I7" s="157"/>
      <c r="J7" s="157"/>
    </row>
    <row r="8" spans="1:13" ht="31.5" customHeight="1">
      <c r="A8" s="157"/>
      <c r="B8" s="157"/>
      <c r="C8" s="157"/>
      <c r="D8" s="157"/>
      <c r="E8" s="157"/>
      <c r="F8" s="77">
        <v>2019</v>
      </c>
      <c r="G8" s="77">
        <v>2020</v>
      </c>
      <c r="H8" s="77">
        <v>2021</v>
      </c>
      <c r="I8" s="77">
        <v>2022</v>
      </c>
      <c r="J8" s="77">
        <v>2023</v>
      </c>
      <c r="L8" s="13" t="s">
        <v>189</v>
      </c>
      <c r="M8" s="13" t="s">
        <v>188</v>
      </c>
    </row>
    <row r="9" spans="1:10" ht="24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</row>
    <row r="10" spans="1:10" ht="33" customHeight="1">
      <c r="A10" s="175" t="s">
        <v>109</v>
      </c>
      <c r="B10" s="176"/>
      <c r="C10" s="176"/>
      <c r="D10" s="176"/>
      <c r="E10" s="176"/>
      <c r="F10" s="176"/>
      <c r="G10" s="176"/>
      <c r="H10" s="176"/>
      <c r="I10" s="176"/>
      <c r="J10" s="177"/>
    </row>
    <row r="11" spans="1:10" ht="31.5" customHeight="1">
      <c r="A11" s="175" t="s">
        <v>89</v>
      </c>
      <c r="B11" s="176"/>
      <c r="C11" s="176"/>
      <c r="D11" s="176"/>
      <c r="E11" s="176"/>
      <c r="F11" s="176"/>
      <c r="G11" s="176"/>
      <c r="H11" s="176"/>
      <c r="I11" s="176"/>
      <c r="J11" s="177"/>
    </row>
    <row r="12" spans="1:11" ht="31.5" customHeight="1">
      <c r="A12" s="47" t="s">
        <v>4</v>
      </c>
      <c r="B12" s="48" t="s">
        <v>179</v>
      </c>
      <c r="C12" s="79" t="s">
        <v>51</v>
      </c>
      <c r="D12" s="80" t="s">
        <v>52</v>
      </c>
      <c r="E12" s="80" t="s">
        <v>37</v>
      </c>
      <c r="F12" s="77" t="s">
        <v>37</v>
      </c>
      <c r="G12" s="77" t="s">
        <v>37</v>
      </c>
      <c r="H12" s="77">
        <v>43.7</v>
      </c>
      <c r="I12" s="122">
        <f>10+33.1</f>
        <v>43.1</v>
      </c>
      <c r="J12" s="122">
        <f>10+33.1</f>
        <v>43.1</v>
      </c>
      <c r="K12" s="116" t="s">
        <v>197</v>
      </c>
    </row>
    <row r="13" spans="1:11" ht="31.5" customHeight="1">
      <c r="A13" s="178" t="s">
        <v>5</v>
      </c>
      <c r="B13" s="181" t="s">
        <v>12</v>
      </c>
      <c r="C13" s="49" t="s">
        <v>53</v>
      </c>
      <c r="D13" s="77" t="s">
        <v>52</v>
      </c>
      <c r="E13" s="77">
        <v>40</v>
      </c>
      <c r="F13" s="77">
        <v>40</v>
      </c>
      <c r="G13" s="77">
        <v>40</v>
      </c>
      <c r="H13" s="77">
        <v>40</v>
      </c>
      <c r="I13" s="107">
        <v>40</v>
      </c>
      <c r="J13" s="107">
        <v>40</v>
      </c>
      <c r="K13" s="114"/>
    </row>
    <row r="14" spans="1:11" ht="31.5" customHeight="1">
      <c r="A14" s="179"/>
      <c r="B14" s="182"/>
      <c r="C14" s="49" t="s">
        <v>54</v>
      </c>
      <c r="D14" s="77" t="s">
        <v>52</v>
      </c>
      <c r="E14" s="77">
        <v>180</v>
      </c>
      <c r="F14" s="77">
        <v>180</v>
      </c>
      <c r="G14" s="77">
        <v>180</v>
      </c>
      <c r="H14" s="77">
        <v>400</v>
      </c>
      <c r="I14" s="107">
        <v>400</v>
      </c>
      <c r="J14" s="107">
        <v>400</v>
      </c>
      <c r="K14" s="114"/>
    </row>
    <row r="15" spans="1:11" ht="42" customHeight="1">
      <c r="A15" s="180"/>
      <c r="B15" s="182"/>
      <c r="C15" s="50" t="s">
        <v>55</v>
      </c>
      <c r="D15" s="80" t="s">
        <v>117</v>
      </c>
      <c r="E15" s="80">
        <v>14.8</v>
      </c>
      <c r="F15" s="77">
        <v>14.8</v>
      </c>
      <c r="G15" s="77">
        <v>15</v>
      </c>
      <c r="H15" s="76" t="s">
        <v>37</v>
      </c>
      <c r="I15" s="76" t="s">
        <v>37</v>
      </c>
      <c r="J15" s="76" t="s">
        <v>37</v>
      </c>
      <c r="K15" s="69"/>
    </row>
    <row r="16" spans="1:11" ht="31.5" customHeight="1">
      <c r="A16" s="19" t="s">
        <v>48</v>
      </c>
      <c r="B16" s="20" t="s">
        <v>32</v>
      </c>
      <c r="C16" s="20" t="s">
        <v>57</v>
      </c>
      <c r="D16" s="77" t="s">
        <v>58</v>
      </c>
      <c r="E16" s="77">
        <v>7979</v>
      </c>
      <c r="F16" s="77" t="s">
        <v>37</v>
      </c>
      <c r="G16" s="77">
        <v>7979</v>
      </c>
      <c r="H16" s="77">
        <v>7979</v>
      </c>
      <c r="I16" s="109">
        <v>7979</v>
      </c>
      <c r="J16" s="109">
        <v>7979</v>
      </c>
      <c r="K16" s="18"/>
    </row>
    <row r="17" spans="1:10" ht="31.5" customHeight="1">
      <c r="A17" s="51" t="s">
        <v>49</v>
      </c>
      <c r="B17" s="75" t="s">
        <v>162</v>
      </c>
      <c r="C17" s="75" t="s">
        <v>163</v>
      </c>
      <c r="D17" s="77" t="s">
        <v>59</v>
      </c>
      <c r="E17" s="77" t="s">
        <v>37</v>
      </c>
      <c r="F17" s="77" t="s">
        <v>37</v>
      </c>
      <c r="G17" s="77" t="s">
        <v>37</v>
      </c>
      <c r="H17" s="76">
        <v>69</v>
      </c>
      <c r="I17" s="76" t="s">
        <v>98</v>
      </c>
      <c r="J17" s="76" t="s">
        <v>98</v>
      </c>
    </row>
    <row r="18" spans="1:10" ht="31.5" customHeight="1">
      <c r="A18" s="19" t="s">
        <v>50</v>
      </c>
      <c r="B18" s="20" t="s">
        <v>13</v>
      </c>
      <c r="C18" s="20" t="s">
        <v>60</v>
      </c>
      <c r="D18" s="77" t="s">
        <v>59</v>
      </c>
      <c r="E18" s="77" t="s">
        <v>56</v>
      </c>
      <c r="F18" s="77" t="s">
        <v>37</v>
      </c>
      <c r="G18" s="77" t="s">
        <v>37</v>
      </c>
      <c r="H18" s="76" t="s">
        <v>98</v>
      </c>
      <c r="I18" s="76" t="s">
        <v>98</v>
      </c>
      <c r="J18" s="76" t="s">
        <v>98</v>
      </c>
    </row>
    <row r="19" spans="1:13" s="7" customFormat="1" ht="48" customHeight="1">
      <c r="A19" s="51" t="s">
        <v>100</v>
      </c>
      <c r="B19" s="20" t="s">
        <v>147</v>
      </c>
      <c r="C19" s="20" t="s">
        <v>101</v>
      </c>
      <c r="D19" s="77" t="s">
        <v>59</v>
      </c>
      <c r="E19" s="77" t="s">
        <v>37</v>
      </c>
      <c r="F19" s="77">
        <v>3</v>
      </c>
      <c r="G19" s="77">
        <v>3</v>
      </c>
      <c r="H19" s="77">
        <v>3</v>
      </c>
      <c r="I19" s="122">
        <v>4</v>
      </c>
      <c r="J19" s="122">
        <v>3</v>
      </c>
      <c r="K19" s="100" t="s">
        <v>198</v>
      </c>
      <c r="L19" s="118"/>
      <c r="M19" s="118"/>
    </row>
    <row r="20" spans="1:13" s="7" customFormat="1" ht="74.25" customHeight="1">
      <c r="A20" s="19" t="s">
        <v>172</v>
      </c>
      <c r="B20" s="75" t="s">
        <v>178</v>
      </c>
      <c r="C20" s="20" t="s">
        <v>173</v>
      </c>
      <c r="D20" s="77" t="s">
        <v>144</v>
      </c>
      <c r="E20" s="77" t="s">
        <v>37</v>
      </c>
      <c r="F20" s="77" t="s">
        <v>37</v>
      </c>
      <c r="G20" s="77" t="s">
        <v>37</v>
      </c>
      <c r="H20" s="77" t="s">
        <v>37</v>
      </c>
      <c r="I20" s="108">
        <v>1</v>
      </c>
      <c r="J20" s="77" t="s">
        <v>37</v>
      </c>
      <c r="K20" s="69"/>
      <c r="L20" s="118"/>
      <c r="M20" s="118"/>
    </row>
    <row r="21" spans="1:13" s="7" customFormat="1" ht="45" customHeight="1">
      <c r="A21" s="157" t="s">
        <v>184</v>
      </c>
      <c r="B21" s="186" t="s">
        <v>190</v>
      </c>
      <c r="C21" s="20" t="s">
        <v>185</v>
      </c>
      <c r="D21" s="122" t="s">
        <v>52</v>
      </c>
      <c r="E21" s="108" t="s">
        <v>56</v>
      </c>
      <c r="F21" s="108" t="s">
        <v>37</v>
      </c>
      <c r="G21" s="108" t="s">
        <v>37</v>
      </c>
      <c r="H21" s="108" t="s">
        <v>37</v>
      </c>
      <c r="I21" s="122">
        <f>10+22.1</f>
        <v>32.1</v>
      </c>
      <c r="J21" s="122">
        <f>10+22.1</f>
        <v>32.1</v>
      </c>
      <c r="K21" s="125" t="s">
        <v>199</v>
      </c>
      <c r="L21" s="118"/>
      <c r="M21" s="118"/>
    </row>
    <row r="22" spans="1:13" s="7" customFormat="1" ht="45" customHeight="1">
      <c r="A22" s="157"/>
      <c r="B22" s="187"/>
      <c r="C22" s="20" t="s">
        <v>186</v>
      </c>
      <c r="D22" s="122" t="s">
        <v>52</v>
      </c>
      <c r="E22" s="117" t="s">
        <v>56</v>
      </c>
      <c r="F22" s="117" t="s">
        <v>37</v>
      </c>
      <c r="G22" s="117" t="s">
        <v>37</v>
      </c>
      <c r="H22" s="117" t="s">
        <v>37</v>
      </c>
      <c r="I22" s="122">
        <v>5</v>
      </c>
      <c r="J22" s="122">
        <v>5</v>
      </c>
      <c r="K22" s="100"/>
      <c r="L22" s="118"/>
      <c r="M22" s="118"/>
    </row>
    <row r="23" spans="1:10" ht="42" customHeight="1">
      <c r="A23" s="200" t="s">
        <v>90</v>
      </c>
      <c r="B23" s="201"/>
      <c r="C23" s="201"/>
      <c r="D23" s="201"/>
      <c r="E23" s="201"/>
      <c r="F23" s="201"/>
      <c r="G23" s="201"/>
      <c r="H23" s="201"/>
      <c r="I23" s="201"/>
      <c r="J23" s="202"/>
    </row>
    <row r="24" spans="1:10" ht="44.25" customHeight="1">
      <c r="A24" s="52" t="s">
        <v>15</v>
      </c>
      <c r="B24" s="20" t="s">
        <v>17</v>
      </c>
      <c r="C24" s="20" t="s">
        <v>105</v>
      </c>
      <c r="D24" s="77" t="s">
        <v>62</v>
      </c>
      <c r="E24" s="77">
        <v>883</v>
      </c>
      <c r="F24" s="77">
        <v>894</v>
      </c>
      <c r="G24" s="77" t="s">
        <v>37</v>
      </c>
      <c r="H24" s="77" t="s">
        <v>37</v>
      </c>
      <c r="I24" s="76" t="s">
        <v>98</v>
      </c>
      <c r="J24" s="76" t="s">
        <v>98</v>
      </c>
    </row>
    <row r="25" spans="1:11" ht="31.5" customHeight="1">
      <c r="A25" s="52" t="s">
        <v>16</v>
      </c>
      <c r="B25" s="20" t="s">
        <v>102</v>
      </c>
      <c r="C25" s="20" t="s">
        <v>142</v>
      </c>
      <c r="D25" s="77" t="s">
        <v>58</v>
      </c>
      <c r="E25" s="77">
        <v>233</v>
      </c>
      <c r="F25" s="77">
        <v>350</v>
      </c>
      <c r="G25" s="76">
        <v>350</v>
      </c>
      <c r="H25" s="76">
        <v>350</v>
      </c>
      <c r="I25" s="120">
        <v>350</v>
      </c>
      <c r="J25" s="127">
        <v>350</v>
      </c>
      <c r="K25" s="99"/>
    </row>
    <row r="26" spans="1:11" ht="31.5" customHeight="1">
      <c r="A26" s="52" t="s">
        <v>18</v>
      </c>
      <c r="B26" s="20" t="s">
        <v>34</v>
      </c>
      <c r="C26" s="20" t="s">
        <v>61</v>
      </c>
      <c r="D26" s="77" t="s">
        <v>62</v>
      </c>
      <c r="E26" s="77">
        <v>313.96</v>
      </c>
      <c r="F26" s="77">
        <v>600</v>
      </c>
      <c r="G26" s="76">
        <v>600</v>
      </c>
      <c r="H26" s="76">
        <v>600</v>
      </c>
      <c r="I26" s="127">
        <v>600</v>
      </c>
      <c r="J26" s="127">
        <v>600</v>
      </c>
      <c r="K26" s="99"/>
    </row>
    <row r="27" spans="1:13" ht="42" customHeight="1">
      <c r="A27" s="178" t="s">
        <v>19</v>
      </c>
      <c r="B27" s="183" t="s">
        <v>35</v>
      </c>
      <c r="C27" s="20" t="s">
        <v>103</v>
      </c>
      <c r="D27" s="77" t="s">
        <v>58</v>
      </c>
      <c r="E27" s="77">
        <v>236</v>
      </c>
      <c r="F27" s="77">
        <v>470.5</v>
      </c>
      <c r="G27" s="76" t="s">
        <v>200</v>
      </c>
      <c r="H27" s="76" t="s">
        <v>37</v>
      </c>
      <c r="I27" s="76" t="s">
        <v>37</v>
      </c>
      <c r="J27" s="76" t="s">
        <v>37</v>
      </c>
      <c r="K27" s="70"/>
      <c r="L27" s="13">
        <f>F27+F28+0.1+61.5+200+200</f>
        <v>1506.1</v>
      </c>
      <c r="M27" s="13">
        <f>F27+F28+0.1+200+200+200</f>
        <v>1644.6</v>
      </c>
    </row>
    <row r="28" spans="1:11" ht="42" customHeight="1">
      <c r="A28" s="179"/>
      <c r="B28" s="184"/>
      <c r="C28" s="20" t="s">
        <v>104</v>
      </c>
      <c r="D28" s="77" t="s">
        <v>58</v>
      </c>
      <c r="E28" s="77" t="s">
        <v>37</v>
      </c>
      <c r="F28" s="77">
        <v>574</v>
      </c>
      <c r="G28" s="76" t="s">
        <v>37</v>
      </c>
      <c r="H28" s="76" t="s">
        <v>98</v>
      </c>
      <c r="I28" s="76" t="s">
        <v>98</v>
      </c>
      <c r="J28" s="76" t="s">
        <v>98</v>
      </c>
      <c r="K28" s="70" t="s">
        <v>187</v>
      </c>
    </row>
    <row r="29" spans="1:11" ht="53.25" customHeight="1">
      <c r="A29" s="180"/>
      <c r="B29" s="185"/>
      <c r="C29" s="20" t="s">
        <v>154</v>
      </c>
      <c r="D29" s="77" t="s">
        <v>58</v>
      </c>
      <c r="E29" s="76" t="s">
        <v>98</v>
      </c>
      <c r="F29" s="76" t="s">
        <v>98</v>
      </c>
      <c r="G29" s="76" t="s">
        <v>98</v>
      </c>
      <c r="H29" s="76" t="s">
        <v>201</v>
      </c>
      <c r="I29" s="120" t="s">
        <v>155</v>
      </c>
      <c r="J29" s="120" t="s">
        <v>155</v>
      </c>
      <c r="K29" s="126"/>
    </row>
    <row r="30" spans="1:13" ht="42" customHeight="1">
      <c r="A30" s="52" t="s">
        <v>33</v>
      </c>
      <c r="B30" s="20" t="s">
        <v>118</v>
      </c>
      <c r="C30" s="20" t="s">
        <v>119</v>
      </c>
      <c r="D30" s="77" t="s">
        <v>58</v>
      </c>
      <c r="E30" s="77">
        <v>233</v>
      </c>
      <c r="F30" s="77">
        <v>12</v>
      </c>
      <c r="G30" s="76">
        <v>137.46</v>
      </c>
      <c r="H30" s="102">
        <v>19.7</v>
      </c>
      <c r="I30" s="120">
        <f>39.5+6</f>
        <v>45.5</v>
      </c>
      <c r="J30" s="120">
        <v>8.4</v>
      </c>
      <c r="K30" s="115" t="s">
        <v>202</v>
      </c>
      <c r="L30" s="129">
        <f>F30+119.4+H30+I30+J30</f>
        <v>205</v>
      </c>
      <c r="M30" s="13">
        <f>F30+119.4+H30+14.71+14.71</f>
        <v>180.52</v>
      </c>
    </row>
    <row r="31" spans="1:10" ht="31.5" customHeight="1">
      <c r="A31" s="52" t="s">
        <v>36</v>
      </c>
      <c r="B31" s="33" t="s">
        <v>120</v>
      </c>
      <c r="C31" s="20" t="s">
        <v>121</v>
      </c>
      <c r="D31" s="77" t="s">
        <v>59</v>
      </c>
      <c r="E31" s="77" t="s">
        <v>37</v>
      </c>
      <c r="F31" s="77" t="s">
        <v>37</v>
      </c>
      <c r="G31" s="76" t="s">
        <v>37</v>
      </c>
      <c r="H31" s="76" t="s">
        <v>98</v>
      </c>
      <c r="I31" s="76" t="s">
        <v>98</v>
      </c>
      <c r="J31" s="76" t="s">
        <v>98</v>
      </c>
    </row>
    <row r="32" spans="1:11" ht="35.25" customHeight="1">
      <c r="A32" s="195" t="s">
        <v>115</v>
      </c>
      <c r="B32" s="196"/>
      <c r="C32" s="196"/>
      <c r="D32" s="196"/>
      <c r="E32" s="196"/>
      <c r="F32" s="196"/>
      <c r="G32" s="196"/>
      <c r="H32" s="196"/>
      <c r="I32" s="196"/>
      <c r="J32" s="197"/>
      <c r="K32" s="69"/>
    </row>
    <row r="33" spans="1:13" ht="48" customHeight="1">
      <c r="A33" s="78" t="s">
        <v>21</v>
      </c>
      <c r="B33" s="79" t="s">
        <v>68</v>
      </c>
      <c r="C33" s="20" t="s">
        <v>84</v>
      </c>
      <c r="D33" s="77" t="s">
        <v>58</v>
      </c>
      <c r="E33" s="77" t="s">
        <v>56</v>
      </c>
      <c r="F33" s="77">
        <v>69</v>
      </c>
      <c r="G33" s="117">
        <v>113</v>
      </c>
      <c r="H33" s="52" t="s">
        <v>158</v>
      </c>
      <c r="I33" s="120">
        <v>83</v>
      </c>
      <c r="J33" s="120">
        <v>64</v>
      </c>
      <c r="K33" s="116" t="s">
        <v>204</v>
      </c>
      <c r="L33" s="129">
        <f>F33+24.7+H33+I33+J33</f>
        <v>332.4</v>
      </c>
      <c r="M33" s="13">
        <f>69+24.7+91.7</f>
        <v>185.4</v>
      </c>
    </row>
    <row r="34" spans="1:13" ht="48" customHeight="1">
      <c r="A34" s="53" t="s">
        <v>22</v>
      </c>
      <c r="B34" s="54" t="s">
        <v>69</v>
      </c>
      <c r="C34" s="20" t="s">
        <v>77</v>
      </c>
      <c r="D34" s="77" t="s">
        <v>58</v>
      </c>
      <c r="E34" s="77" t="s">
        <v>56</v>
      </c>
      <c r="F34" s="77">
        <v>614</v>
      </c>
      <c r="G34" s="117">
        <v>859</v>
      </c>
      <c r="H34" s="52" t="s">
        <v>183</v>
      </c>
      <c r="I34" s="120">
        <v>725.5</v>
      </c>
      <c r="J34" s="120">
        <v>713.1</v>
      </c>
      <c r="K34" s="116" t="s">
        <v>204</v>
      </c>
      <c r="M34" s="119"/>
    </row>
    <row r="35" spans="1:13" ht="48" customHeight="1">
      <c r="A35" s="53" t="s">
        <v>80</v>
      </c>
      <c r="B35" s="54" t="s">
        <v>71</v>
      </c>
      <c r="C35" s="20" t="s">
        <v>82</v>
      </c>
      <c r="D35" s="77" t="s">
        <v>58</v>
      </c>
      <c r="E35" s="77" t="s">
        <v>56</v>
      </c>
      <c r="F35" s="77">
        <v>100</v>
      </c>
      <c r="G35" s="117">
        <v>69</v>
      </c>
      <c r="H35" s="52" t="s">
        <v>159</v>
      </c>
      <c r="I35" s="128" t="s">
        <v>203</v>
      </c>
      <c r="J35" s="120">
        <v>83</v>
      </c>
      <c r="K35" s="116" t="s">
        <v>204</v>
      </c>
      <c r="L35" s="129">
        <f>F35+6.8+H35+I35+J35</f>
        <v>323.5</v>
      </c>
      <c r="M35" s="13">
        <f>F35+6.8+81.7+62.6+42.1</f>
        <v>293.2</v>
      </c>
    </row>
    <row r="36" spans="1:11" ht="48" customHeight="1">
      <c r="A36" s="53" t="s">
        <v>81</v>
      </c>
      <c r="B36" s="54" t="s">
        <v>70</v>
      </c>
      <c r="C36" s="20" t="s">
        <v>83</v>
      </c>
      <c r="D36" s="77" t="s">
        <v>58</v>
      </c>
      <c r="E36" s="77" t="s">
        <v>56</v>
      </c>
      <c r="F36" s="77">
        <v>69</v>
      </c>
      <c r="G36" s="117">
        <v>113</v>
      </c>
      <c r="H36" s="103">
        <v>65</v>
      </c>
      <c r="I36" s="120">
        <v>64</v>
      </c>
      <c r="J36" s="120">
        <v>64</v>
      </c>
      <c r="K36" s="116" t="s">
        <v>204</v>
      </c>
    </row>
    <row r="37" spans="1:12" ht="43.5" customHeight="1">
      <c r="A37" s="188" t="s">
        <v>157</v>
      </c>
      <c r="B37" s="183" t="s">
        <v>176</v>
      </c>
      <c r="C37" s="20" t="s">
        <v>161</v>
      </c>
      <c r="D37" s="77" t="s">
        <v>58</v>
      </c>
      <c r="E37" s="77" t="s">
        <v>37</v>
      </c>
      <c r="F37" s="77" t="s">
        <v>37</v>
      </c>
      <c r="G37" s="77" t="s">
        <v>37</v>
      </c>
      <c r="H37" s="77">
        <v>9.4</v>
      </c>
      <c r="I37" s="77" t="s">
        <v>37</v>
      </c>
      <c r="J37" s="77" t="s">
        <v>37</v>
      </c>
      <c r="L37" s="13">
        <v>2.2</v>
      </c>
    </row>
    <row r="38" spans="1:10" ht="43.5" customHeight="1">
      <c r="A38" s="190"/>
      <c r="B38" s="185"/>
      <c r="C38" s="20" t="s">
        <v>160</v>
      </c>
      <c r="D38" s="77" t="s">
        <v>58</v>
      </c>
      <c r="E38" s="77" t="s">
        <v>37</v>
      </c>
      <c r="F38" s="77" t="s">
        <v>37</v>
      </c>
      <c r="G38" s="77" t="s">
        <v>37</v>
      </c>
      <c r="H38" s="77">
        <v>9.4</v>
      </c>
      <c r="I38" s="77" t="s">
        <v>37</v>
      </c>
      <c r="J38" s="77" t="s">
        <v>37</v>
      </c>
    </row>
    <row r="39" spans="1:13" s="2" customFormat="1" ht="39" customHeight="1">
      <c r="A39" s="195" t="s">
        <v>95</v>
      </c>
      <c r="B39" s="196"/>
      <c r="C39" s="196"/>
      <c r="D39" s="196"/>
      <c r="E39" s="196"/>
      <c r="F39" s="196"/>
      <c r="G39" s="196"/>
      <c r="H39" s="196"/>
      <c r="I39" s="196"/>
      <c r="J39" s="197"/>
      <c r="K39" s="14"/>
      <c r="L39" s="14"/>
      <c r="M39" s="14"/>
    </row>
    <row r="40" spans="1:13" s="2" customFormat="1" ht="39" customHeight="1">
      <c r="A40" s="188" t="s">
        <v>92</v>
      </c>
      <c r="B40" s="183" t="s">
        <v>94</v>
      </c>
      <c r="C40" s="20" t="s">
        <v>112</v>
      </c>
      <c r="D40" s="123" t="s">
        <v>97</v>
      </c>
      <c r="E40" s="123" t="s">
        <v>37</v>
      </c>
      <c r="F40" s="123">
        <v>1</v>
      </c>
      <c r="G40" s="123">
        <v>1</v>
      </c>
      <c r="H40" s="123">
        <v>1</v>
      </c>
      <c r="I40" s="123" t="s">
        <v>37</v>
      </c>
      <c r="J40" s="123" t="s">
        <v>37</v>
      </c>
      <c r="K40" s="72"/>
      <c r="L40" s="14"/>
      <c r="M40" s="14"/>
    </row>
    <row r="41" spans="1:13" s="2" customFormat="1" ht="40.5" customHeight="1">
      <c r="A41" s="189"/>
      <c r="B41" s="184"/>
      <c r="C41" s="20" t="s">
        <v>156</v>
      </c>
      <c r="D41" s="123" t="s">
        <v>151</v>
      </c>
      <c r="E41" s="123" t="s">
        <v>37</v>
      </c>
      <c r="F41" s="123" t="s">
        <v>37</v>
      </c>
      <c r="G41" s="123" t="s">
        <v>37</v>
      </c>
      <c r="H41" s="123">
        <v>100</v>
      </c>
      <c r="I41" s="130" t="s">
        <v>37</v>
      </c>
      <c r="J41" s="130" t="s">
        <v>37</v>
      </c>
      <c r="K41" s="131"/>
      <c r="L41" s="14"/>
      <c r="M41" s="14"/>
    </row>
    <row r="42" spans="1:13" s="2" customFormat="1" ht="40.5" customHeight="1">
      <c r="A42" s="190"/>
      <c r="B42" s="185"/>
      <c r="C42" s="20" t="s">
        <v>208</v>
      </c>
      <c r="D42" s="130" t="s">
        <v>151</v>
      </c>
      <c r="E42" s="130" t="s">
        <v>37</v>
      </c>
      <c r="F42" s="130" t="s">
        <v>37</v>
      </c>
      <c r="G42" s="130" t="s">
        <v>37</v>
      </c>
      <c r="H42" s="130" t="s">
        <v>37</v>
      </c>
      <c r="I42" s="130">
        <v>99.5</v>
      </c>
      <c r="J42" s="130">
        <v>99.5</v>
      </c>
      <c r="K42" s="131"/>
      <c r="L42" s="14"/>
      <c r="M42" s="14"/>
    </row>
    <row r="43" spans="1:13" s="2" customFormat="1" ht="42" customHeight="1">
      <c r="A43" s="53" t="s">
        <v>148</v>
      </c>
      <c r="B43" s="62" t="s">
        <v>149</v>
      </c>
      <c r="C43" s="20" t="s">
        <v>150</v>
      </c>
      <c r="D43" s="77" t="s">
        <v>151</v>
      </c>
      <c r="E43" s="77" t="s">
        <v>37</v>
      </c>
      <c r="F43" s="77" t="s">
        <v>37</v>
      </c>
      <c r="G43" s="77">
        <v>100</v>
      </c>
      <c r="H43" s="77" t="s">
        <v>37</v>
      </c>
      <c r="I43" s="77" t="s">
        <v>37</v>
      </c>
      <c r="J43" s="77" t="s">
        <v>37</v>
      </c>
      <c r="K43" s="14"/>
      <c r="L43" s="14"/>
      <c r="M43" s="14"/>
    </row>
    <row r="44" spans="1:13" s="2" customFormat="1" ht="48" customHeight="1">
      <c r="A44" s="194" t="s">
        <v>116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4"/>
      <c r="L44" s="14"/>
      <c r="M44" s="14"/>
    </row>
    <row r="45" spans="1:11" ht="41.25" customHeight="1">
      <c r="A45" s="55" t="s">
        <v>110</v>
      </c>
      <c r="B45" s="20" t="s">
        <v>25</v>
      </c>
      <c r="C45" s="20" t="s">
        <v>64</v>
      </c>
      <c r="D45" s="77" t="s">
        <v>65</v>
      </c>
      <c r="E45" s="77">
        <v>1</v>
      </c>
      <c r="F45" s="77">
        <v>1</v>
      </c>
      <c r="G45" s="77">
        <v>1</v>
      </c>
      <c r="H45" s="77">
        <v>1</v>
      </c>
      <c r="I45" s="108">
        <v>1</v>
      </c>
      <c r="J45" s="108">
        <v>1</v>
      </c>
      <c r="K45" s="69"/>
    </row>
    <row r="46" spans="1:10" ht="38.25" customHeight="1">
      <c r="A46" s="56" t="s">
        <v>111</v>
      </c>
      <c r="B46" s="20" t="s">
        <v>23</v>
      </c>
      <c r="C46" s="20" t="s">
        <v>63</v>
      </c>
      <c r="D46" s="77" t="s">
        <v>122</v>
      </c>
      <c r="E46" s="77" t="s">
        <v>37</v>
      </c>
      <c r="F46" s="77" t="s">
        <v>37</v>
      </c>
      <c r="G46" s="77" t="s">
        <v>37</v>
      </c>
      <c r="H46" s="77" t="s">
        <v>98</v>
      </c>
      <c r="I46" s="76" t="s">
        <v>37</v>
      </c>
      <c r="J46" s="77" t="s">
        <v>37</v>
      </c>
    </row>
    <row r="47" spans="1:10" ht="38.25" customHeight="1">
      <c r="A47" s="174" t="s">
        <v>137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1:10" ht="57" customHeight="1">
      <c r="A48" s="36" t="s">
        <v>138</v>
      </c>
      <c r="B48" s="37" t="s">
        <v>196</v>
      </c>
      <c r="C48" s="57"/>
      <c r="D48" s="58"/>
      <c r="E48" s="58"/>
      <c r="F48" s="58"/>
      <c r="G48" s="58"/>
      <c r="H48" s="58"/>
      <c r="I48" s="58"/>
      <c r="J48" s="58"/>
    </row>
    <row r="49" spans="1:10" ht="53.25" customHeight="1">
      <c r="A49" s="36" t="s">
        <v>140</v>
      </c>
      <c r="B49" s="37" t="s">
        <v>135</v>
      </c>
      <c r="C49" s="48" t="s">
        <v>145</v>
      </c>
      <c r="D49" s="58" t="s">
        <v>144</v>
      </c>
      <c r="E49" s="58" t="s">
        <v>37</v>
      </c>
      <c r="F49" s="58" t="s">
        <v>37</v>
      </c>
      <c r="G49" s="58">
        <v>4</v>
      </c>
      <c r="H49" s="58">
        <v>105</v>
      </c>
      <c r="I49" s="58" t="s">
        <v>37</v>
      </c>
      <c r="J49" s="58" t="s">
        <v>37</v>
      </c>
    </row>
    <row r="50" spans="1:11" ht="48" customHeight="1">
      <c r="A50" s="36" t="s">
        <v>139</v>
      </c>
      <c r="B50" s="37" t="s">
        <v>136</v>
      </c>
      <c r="C50" s="48" t="s">
        <v>143</v>
      </c>
      <c r="D50" s="58" t="s">
        <v>144</v>
      </c>
      <c r="E50" s="58" t="s">
        <v>37</v>
      </c>
      <c r="F50" s="58" t="s">
        <v>37</v>
      </c>
      <c r="G50" s="58">
        <v>106</v>
      </c>
      <c r="H50" s="58">
        <v>315</v>
      </c>
      <c r="I50" s="58">
        <v>13</v>
      </c>
      <c r="J50" s="58" t="s">
        <v>37</v>
      </c>
      <c r="K50" s="69" t="s">
        <v>204</v>
      </c>
    </row>
    <row r="51" spans="1:11" ht="48" customHeight="1">
      <c r="A51" s="36" t="s">
        <v>174</v>
      </c>
      <c r="B51" s="37" t="s">
        <v>170</v>
      </c>
      <c r="C51" s="48" t="s">
        <v>175</v>
      </c>
      <c r="D51" s="58" t="s">
        <v>144</v>
      </c>
      <c r="E51" s="58" t="s">
        <v>37</v>
      </c>
      <c r="F51" s="58" t="s">
        <v>37</v>
      </c>
      <c r="G51" s="58" t="s">
        <v>37</v>
      </c>
      <c r="H51" s="58" t="s">
        <v>37</v>
      </c>
      <c r="I51" s="58">
        <v>7</v>
      </c>
      <c r="J51" s="58" t="s">
        <v>37</v>
      </c>
      <c r="K51" s="69" t="s">
        <v>204</v>
      </c>
    </row>
    <row r="52" spans="1:10" ht="15">
      <c r="A52" s="59"/>
      <c r="B52" s="27"/>
      <c r="C52" s="27"/>
      <c r="D52" s="27"/>
      <c r="E52" s="27"/>
      <c r="F52" s="27"/>
      <c r="G52" s="27"/>
      <c r="H52" s="27"/>
      <c r="I52" s="27"/>
      <c r="J52" s="27"/>
    </row>
    <row r="53" spans="1:4" ht="15.75" thickBot="1">
      <c r="A53" s="60"/>
      <c r="C53" s="74"/>
      <c r="D53" s="74"/>
    </row>
    <row r="54" ht="15">
      <c r="A54" s="60"/>
    </row>
    <row r="55" ht="14.25">
      <c r="A55" s="61"/>
    </row>
    <row r="56" ht="14.25">
      <c r="A56" s="61"/>
    </row>
    <row r="57" ht="14.25">
      <c r="A57" s="61"/>
    </row>
    <row r="58" ht="14.25">
      <c r="A58" s="61"/>
    </row>
    <row r="59" ht="14.25">
      <c r="A59" s="61"/>
    </row>
    <row r="60" ht="14.25">
      <c r="A60" s="61"/>
    </row>
  </sheetData>
  <sheetProtection/>
  <mergeCells count="30">
    <mergeCell ref="A6:J6"/>
    <mergeCell ref="A37:A38"/>
    <mergeCell ref="B37:B38"/>
    <mergeCell ref="A32:J32"/>
    <mergeCell ref="A23:J23"/>
    <mergeCell ref="A27:A29"/>
    <mergeCell ref="A7:A8"/>
    <mergeCell ref="B7:B8"/>
    <mergeCell ref="C7:C8"/>
    <mergeCell ref="D7:D8"/>
    <mergeCell ref="G1:J1"/>
    <mergeCell ref="G2:J2"/>
    <mergeCell ref="G3:J3"/>
    <mergeCell ref="G4:J4"/>
    <mergeCell ref="C2:C3"/>
    <mergeCell ref="A44:J44"/>
    <mergeCell ref="A39:J39"/>
    <mergeCell ref="E7:E8"/>
    <mergeCell ref="F7:J7"/>
    <mergeCell ref="G5:J5"/>
    <mergeCell ref="A47:J47"/>
    <mergeCell ref="A10:J10"/>
    <mergeCell ref="A11:J11"/>
    <mergeCell ref="A13:A15"/>
    <mergeCell ref="B13:B15"/>
    <mergeCell ref="B27:B29"/>
    <mergeCell ref="A21:A22"/>
    <mergeCell ref="B21:B22"/>
    <mergeCell ref="A40:A42"/>
    <mergeCell ref="B40:B42"/>
  </mergeCells>
  <printOptions horizontalCentered="1"/>
  <pageMargins left="0.3937007874015748" right="0.3937007874015748" top="0.7480314960629921" bottom="0.5905511811023623" header="0.31496062992125984" footer="0.31496062992125984"/>
  <pageSetup firstPageNumber="7" useFirstPageNumber="1" fitToHeight="10" horizontalDpi="600" verticalDpi="600" orientation="landscape" paperSize="9" scale="50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2022-02-22T07:28:07Z</cp:lastPrinted>
  <dcterms:created xsi:type="dcterms:W3CDTF">2013-08-30T10:11:22Z</dcterms:created>
  <dcterms:modified xsi:type="dcterms:W3CDTF">2022-02-28T10:31:26Z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