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0" windowWidth="24000" windowHeight="7575" tabRatio="599" firstSheet="1" activeTab="4"/>
  </bookViews>
  <sheets>
    <sheet name="конеч.рез." sheetId="9" state="hidden" r:id="rId1"/>
    <sheet name="1.переченьПБДД" sheetId="5" r:id="rId2"/>
    <sheet name="2.переченьМРАД" sheetId="1" r:id="rId3"/>
    <sheet name="3.меропр." sheetId="4" r:id="rId4"/>
    <sheet name="4.индик. (2)" sheetId="10" r:id="rId5"/>
    <sheet name="4.индик." sheetId="8" state="hidden" r:id="rId6"/>
  </sheets>
  <externalReferences>
    <externalReference r:id="rId7"/>
    <externalReference r:id="rId8"/>
    <externalReference r:id="rId9"/>
  </externalReferences>
  <definedNames>
    <definedName name="_xlnm._FilterDatabase" localSheetId="1" hidden="1">'1.переченьПБДД'!#REF!</definedName>
    <definedName name="_xlnm._FilterDatabase" localSheetId="2" hidden="1">'2.переченьМРАД'!$A$4:$AE$6</definedName>
    <definedName name="_xlnm._FilterDatabase" localSheetId="3" hidden="1">'3.меропр.'!#REF!</definedName>
    <definedName name="Aс1" localSheetId="4">'[1]3.меропр.'!#REF!</definedName>
    <definedName name="Aс1">'3.меропр.'!#REF!</definedName>
    <definedName name="_xlnm.Print_Titles" localSheetId="1">'1.переченьПБДД'!$4:$7</definedName>
    <definedName name="_xlnm.Print_Titles" localSheetId="2">'2.переченьМРАД'!$4:$7</definedName>
    <definedName name="_xlnm.Print_Titles" localSheetId="3">'3.меропр.'!$4:$7</definedName>
    <definedName name="_xlnm.Print_Titles" localSheetId="5">'4.индик.'!$5:$9</definedName>
    <definedName name="_xlnm.Print_Titles" localSheetId="4">'4.индик. (2)'!$5:$9</definedName>
    <definedName name="_xlnm.Print_Titles" localSheetId="0">конеч.рез.!$3:$5</definedName>
    <definedName name="_xlnm.Print_Area" localSheetId="1">'1.переченьПБДД'!$A$1:$AB$765</definedName>
    <definedName name="_xlnm.Print_Area" localSheetId="2">'2.переченьМРАД'!$A$1:$AC$314</definedName>
    <definedName name="_xlnm.Print_Area" localSheetId="3">'3.меропр.'!$A$1:$AD$108</definedName>
    <definedName name="_xlnm.Print_Area" localSheetId="5">'4.индик.'!$A$1:$J$155</definedName>
    <definedName name="_xlnm.Print_Area" localSheetId="4">'4.индик. (2)'!$A$1:$J$155</definedName>
    <definedName name="_xlnm.Print_Area" localSheetId="0">конеч.рез.!$A$1:$I$28</definedName>
  </definedNames>
  <calcPr calcId="145621"/>
</workbook>
</file>

<file path=xl/calcChain.xml><?xml version="1.0" encoding="utf-8"?>
<calcChain xmlns="http://schemas.openxmlformats.org/spreadsheetml/2006/main">
  <c r="J18" i="10" l="1"/>
  <c r="X263" i="5" l="1"/>
  <c r="Z25" i="4" l="1"/>
  <c r="AA94" i="4"/>
  <c r="J148" i="10" l="1"/>
  <c r="I148" i="10"/>
  <c r="J141" i="10"/>
  <c r="I141" i="10"/>
  <c r="H141" i="10"/>
  <c r="I140" i="10"/>
  <c r="H140" i="10"/>
  <c r="E140" i="10"/>
  <c r="G138" i="10"/>
  <c r="J137" i="10"/>
  <c r="I137" i="10"/>
  <c r="H137" i="10"/>
  <c r="J121" i="10"/>
  <c r="J120" i="10"/>
  <c r="I120" i="10"/>
  <c r="H120" i="10"/>
  <c r="J115" i="10"/>
  <c r="I113" i="10"/>
  <c r="J112" i="10"/>
  <c r="I112" i="10"/>
  <c r="H112" i="10"/>
  <c r="I111" i="10"/>
  <c r="H111" i="10"/>
  <c r="G111" i="10"/>
  <c r="J106" i="10"/>
  <c r="J104" i="10"/>
  <c r="J103" i="10"/>
  <c r="J101" i="10"/>
  <c r="I101" i="10"/>
  <c r="H101" i="10"/>
  <c r="G101" i="10"/>
  <c r="H97" i="10"/>
  <c r="J95" i="10"/>
  <c r="I95" i="10"/>
  <c r="H95" i="10"/>
  <c r="G80" i="10"/>
  <c r="H78" i="10"/>
  <c r="I76" i="10"/>
  <c r="J75" i="10"/>
  <c r="J71" i="10"/>
  <c r="I69" i="10"/>
  <c r="H69" i="10"/>
  <c r="J68" i="10"/>
  <c r="G68" i="10"/>
  <c r="G65" i="10"/>
  <c r="I63" i="10"/>
  <c r="H63" i="10"/>
  <c r="G63" i="10"/>
  <c r="H46" i="10"/>
  <c r="I45" i="10"/>
  <c r="H45" i="10"/>
  <c r="H40" i="10"/>
  <c r="J39" i="10"/>
  <c r="I38" i="10"/>
  <c r="H38" i="10"/>
  <c r="G38" i="10"/>
  <c r="I37" i="10"/>
  <c r="H37" i="10"/>
  <c r="G37" i="10"/>
  <c r="I35" i="10"/>
  <c r="H35" i="10"/>
  <c r="G35" i="10"/>
  <c r="G34" i="10"/>
  <c r="H33" i="10"/>
  <c r="G32" i="10"/>
  <c r="J31" i="10"/>
  <c r="I31" i="10"/>
  <c r="J30" i="10"/>
  <c r="I30" i="10"/>
  <c r="H30" i="10"/>
  <c r="J29" i="10"/>
  <c r="I29" i="10"/>
  <c r="H29" i="10"/>
  <c r="J28" i="10"/>
  <c r="I28" i="10"/>
  <c r="H28" i="10"/>
  <c r="J25" i="10"/>
  <c r="J24" i="10"/>
  <c r="H21" i="10"/>
  <c r="J20" i="10"/>
  <c r="I20" i="10"/>
  <c r="H20" i="10"/>
  <c r="G20" i="10"/>
  <c r="J19" i="10"/>
  <c r="I19" i="10"/>
  <c r="H19" i="10"/>
  <c r="I18" i="10"/>
  <c r="H18" i="10"/>
  <c r="J17" i="10"/>
  <c r="I17" i="10"/>
  <c r="H17" i="10"/>
  <c r="J16" i="10"/>
  <c r="I16" i="10"/>
  <c r="H16" i="10"/>
  <c r="J15" i="10"/>
  <c r="I15" i="10"/>
  <c r="H15" i="10"/>
  <c r="F15" i="10"/>
  <c r="X49" i="5" l="1"/>
  <c r="X749" i="5"/>
  <c r="X725" i="5"/>
  <c r="X643" i="5"/>
  <c r="X249" i="5"/>
  <c r="X170" i="5"/>
  <c r="AC70" i="1" l="1"/>
  <c r="AC52" i="1"/>
  <c r="AB212" i="1"/>
  <c r="AC212" i="1"/>
  <c r="AC201" i="1" l="1"/>
  <c r="AC189" i="1"/>
  <c r="AC209" i="1" l="1"/>
  <c r="AA103" i="4" l="1"/>
  <c r="Z103" i="4"/>
  <c r="Z94" i="4"/>
  <c r="Z38" i="4" l="1"/>
  <c r="Z33" i="4"/>
  <c r="Z23" i="4"/>
  <c r="Z17" i="4"/>
  <c r="Z15" i="4"/>
  <c r="Z36" i="4" l="1"/>
  <c r="AC93" i="1" l="1"/>
  <c r="AB93" i="1" l="1"/>
  <c r="AC303" i="1" l="1"/>
  <c r="Z80" i="4"/>
  <c r="Z81" i="4"/>
  <c r="AC104" i="1" l="1"/>
  <c r="AC51" i="1"/>
  <c r="X618" i="5"/>
  <c r="Z27" i="4"/>
  <c r="Z22" i="4"/>
  <c r="X248" i="5"/>
  <c r="AA38" i="4" l="1"/>
  <c r="AF190" i="1"/>
  <c r="AC106" i="1"/>
  <c r="Z77" i="4"/>
  <c r="AC267" i="1" l="1"/>
  <c r="Z48" i="4"/>
  <c r="Z50" i="4"/>
  <c r="Z110" i="4" s="1"/>
  <c r="C195" i="1" l="1"/>
  <c r="Z43" i="1"/>
  <c r="U74" i="1" l="1"/>
  <c r="D74" i="1" l="1"/>
  <c r="Z74" i="1"/>
  <c r="J95" i="8"/>
  <c r="AC174" i="1"/>
  <c r="J104" i="8"/>
  <c r="AC210" i="1"/>
  <c r="AC208" i="1"/>
  <c r="Z32" i="4" l="1"/>
  <c r="Z28" i="4"/>
  <c r="Z26" i="4"/>
  <c r="Z19" i="4"/>
  <c r="Z14" i="4"/>
  <c r="Z13" i="4"/>
  <c r="X10" i="5"/>
  <c r="J15" i="8"/>
  <c r="X216" i="5" l="1"/>
  <c r="J16" i="8"/>
  <c r="X34" i="5"/>
  <c r="X629" i="5"/>
  <c r="X602" i="5"/>
  <c r="X642" i="5"/>
  <c r="J148" i="8" l="1"/>
  <c r="Z101" i="4"/>
  <c r="J112" i="8" l="1"/>
  <c r="Z29" i="4" l="1"/>
  <c r="AC211" i="1" l="1"/>
  <c r="Z212" i="1" l="1"/>
  <c r="J25" i="8" l="1"/>
  <c r="X632" i="5" l="1"/>
  <c r="X153" i="5" l="1"/>
  <c r="J39" i="8" l="1"/>
  <c r="J20" i="8" l="1"/>
  <c r="J19" i="8"/>
  <c r="J18" i="8"/>
  <c r="Z16" i="4"/>
  <c r="J115" i="8" l="1"/>
  <c r="J38" i="8"/>
  <c r="AC306" i="1"/>
  <c r="Z306" i="1"/>
  <c r="AC300" i="1"/>
  <c r="AC89" i="1" l="1"/>
  <c r="Z211" i="1"/>
  <c r="E211" i="1"/>
  <c r="F211" i="1"/>
  <c r="K211" i="1"/>
  <c r="O211" i="1"/>
  <c r="P211" i="1"/>
  <c r="U211" i="1"/>
  <c r="D211" i="1" l="1"/>
  <c r="C211" i="1"/>
  <c r="X711" i="5" l="1"/>
  <c r="U303" i="1"/>
  <c r="P303" i="1"/>
  <c r="O303" i="1"/>
  <c r="K303" i="1"/>
  <c r="F303" i="1"/>
  <c r="E303" i="1"/>
  <c r="U210" i="1"/>
  <c r="P210" i="1"/>
  <c r="O210" i="1"/>
  <c r="K210" i="1"/>
  <c r="F210" i="1"/>
  <c r="E210" i="1"/>
  <c r="U209" i="1"/>
  <c r="P209" i="1"/>
  <c r="O209" i="1"/>
  <c r="K209" i="1"/>
  <c r="F209" i="1"/>
  <c r="E209" i="1"/>
  <c r="U208" i="1"/>
  <c r="P208" i="1"/>
  <c r="O208" i="1"/>
  <c r="K208" i="1"/>
  <c r="F208" i="1"/>
  <c r="E208" i="1"/>
  <c r="J31" i="8" l="1"/>
  <c r="J17" i="8" l="1"/>
  <c r="J120" i="8"/>
  <c r="W632" i="5" l="1"/>
  <c r="Y28" i="4"/>
  <c r="J30" i="8" l="1"/>
  <c r="J29" i="8"/>
  <c r="J28" i="8"/>
  <c r="Z78" i="4" l="1"/>
  <c r="Z209" i="1" l="1"/>
  <c r="D209" i="1" s="1"/>
  <c r="Z208" i="1"/>
  <c r="D208" i="1" s="1"/>
  <c r="J101" i="8"/>
  <c r="W69" i="4" l="1"/>
  <c r="U69" i="4"/>
  <c r="M69" i="4"/>
  <c r="K69" i="4"/>
  <c r="AC304" i="1"/>
  <c r="Z69" i="4" s="1"/>
  <c r="AB304" i="1"/>
  <c r="AA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C304" i="1"/>
  <c r="Z303" i="1"/>
  <c r="Z304" i="1" s="1"/>
  <c r="Y69" i="4" s="1"/>
  <c r="D303" i="1" l="1"/>
  <c r="D304" i="1" s="1"/>
  <c r="AD69" i="4"/>
  <c r="Z210" i="1"/>
  <c r="D210" i="1" s="1"/>
  <c r="C210" i="1"/>
  <c r="AE260" i="1"/>
  <c r="AE190" i="1" l="1"/>
  <c r="E207" i="1" l="1"/>
  <c r="F207" i="1"/>
  <c r="K207" i="1"/>
  <c r="O207" i="1"/>
  <c r="P207" i="1"/>
  <c r="U207" i="1"/>
  <c r="Z106" i="4" l="1"/>
  <c r="J141" i="8" l="1"/>
  <c r="AC269" i="1" l="1"/>
  <c r="C207" i="1"/>
  <c r="Z207" i="1"/>
  <c r="Z71" i="4"/>
  <c r="D207" i="1" l="1"/>
  <c r="AB98" i="1"/>
  <c r="J68" i="8"/>
  <c r="I13" i="9" l="1"/>
  <c r="I9" i="9"/>
  <c r="Z93" i="1" l="1"/>
  <c r="Z192" i="1" l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190" i="1"/>
  <c r="Z191" i="1"/>
  <c r="U206" i="1"/>
  <c r="P206" i="1"/>
  <c r="O206" i="1"/>
  <c r="U205" i="1"/>
  <c r="P205" i="1"/>
  <c r="O205" i="1"/>
  <c r="U204" i="1"/>
  <c r="P204" i="1"/>
  <c r="O204" i="1"/>
  <c r="U203" i="1"/>
  <c r="P203" i="1"/>
  <c r="O203" i="1"/>
  <c r="U202" i="1"/>
  <c r="P202" i="1"/>
  <c r="O202" i="1"/>
  <c r="U201" i="1"/>
  <c r="P201" i="1"/>
  <c r="O201" i="1"/>
  <c r="U200" i="1"/>
  <c r="P200" i="1"/>
  <c r="O200" i="1"/>
  <c r="U199" i="1"/>
  <c r="P199" i="1"/>
  <c r="O199" i="1"/>
  <c r="U198" i="1"/>
  <c r="P198" i="1"/>
  <c r="O198" i="1"/>
  <c r="U197" i="1"/>
  <c r="P197" i="1"/>
  <c r="O197" i="1"/>
  <c r="U196" i="1"/>
  <c r="P196" i="1"/>
  <c r="O196" i="1"/>
  <c r="U195" i="1"/>
  <c r="P195" i="1"/>
  <c r="O195" i="1"/>
  <c r="U194" i="1"/>
  <c r="P194" i="1"/>
  <c r="O194" i="1"/>
  <c r="U193" i="1"/>
  <c r="P193" i="1"/>
  <c r="O193" i="1"/>
  <c r="U192" i="1"/>
  <c r="P192" i="1"/>
  <c r="O192" i="1"/>
  <c r="U191" i="1"/>
  <c r="P191" i="1"/>
  <c r="O191" i="1"/>
  <c r="U190" i="1"/>
  <c r="P190" i="1"/>
  <c r="F190" i="1"/>
  <c r="K190" i="1"/>
  <c r="F191" i="1"/>
  <c r="K191" i="1"/>
  <c r="F192" i="1"/>
  <c r="K192" i="1"/>
  <c r="F193" i="1"/>
  <c r="K193" i="1"/>
  <c r="F194" i="1"/>
  <c r="K194" i="1"/>
  <c r="F195" i="1"/>
  <c r="K195" i="1"/>
  <c r="F196" i="1"/>
  <c r="K196" i="1"/>
  <c r="F197" i="1"/>
  <c r="K197" i="1"/>
  <c r="F198" i="1"/>
  <c r="K198" i="1"/>
  <c r="F199" i="1"/>
  <c r="K199" i="1"/>
  <c r="F200" i="1"/>
  <c r="K200" i="1"/>
  <c r="F201" i="1"/>
  <c r="K201" i="1"/>
  <c r="F202" i="1"/>
  <c r="K202" i="1"/>
  <c r="F203" i="1"/>
  <c r="K203" i="1"/>
  <c r="F204" i="1"/>
  <c r="K204" i="1"/>
  <c r="F205" i="1"/>
  <c r="K205" i="1"/>
  <c r="F206" i="1"/>
  <c r="K206" i="1"/>
  <c r="E190" i="1"/>
  <c r="E191" i="1"/>
  <c r="E192" i="1"/>
  <c r="E193" i="1"/>
  <c r="E194" i="1"/>
  <c r="E195" i="1"/>
  <c r="E196" i="1"/>
  <c r="C196" i="1" s="1"/>
  <c r="E197" i="1"/>
  <c r="E198" i="1"/>
  <c r="E199" i="1"/>
  <c r="E200" i="1"/>
  <c r="C200" i="1" s="1"/>
  <c r="E201" i="1"/>
  <c r="E202" i="1"/>
  <c r="E203" i="1"/>
  <c r="E204" i="1"/>
  <c r="C204" i="1" s="1"/>
  <c r="E205" i="1"/>
  <c r="E206" i="1"/>
  <c r="AF260" i="1"/>
  <c r="AD241" i="1"/>
  <c r="Z260" i="1"/>
  <c r="Z261" i="1"/>
  <c r="Z262" i="1"/>
  <c r="Z263" i="1"/>
  <c r="Z264" i="1"/>
  <c r="Z265" i="1"/>
  <c r="C202" i="1" l="1"/>
  <c r="C198" i="1"/>
  <c r="AD190" i="1"/>
  <c r="C206" i="1"/>
  <c r="D206" i="1"/>
  <c r="D204" i="1"/>
  <c r="D202" i="1"/>
  <c r="D201" i="1"/>
  <c r="D200" i="1"/>
  <c r="D199" i="1"/>
  <c r="D198" i="1"/>
  <c r="D196" i="1"/>
  <c r="D195" i="1"/>
  <c r="D193" i="1"/>
  <c r="D191" i="1"/>
  <c r="D205" i="1"/>
  <c r="D203" i="1"/>
  <c r="D197" i="1"/>
  <c r="D194" i="1"/>
  <c r="D192" i="1"/>
  <c r="D190" i="1"/>
  <c r="C191" i="1"/>
  <c r="C205" i="1"/>
  <c r="C203" i="1"/>
  <c r="C201" i="1"/>
  <c r="C199" i="1"/>
  <c r="C197" i="1"/>
  <c r="C194" i="1"/>
  <c r="C192" i="1"/>
  <c r="U265" i="1" l="1"/>
  <c r="U264" i="1"/>
  <c r="U263" i="1"/>
  <c r="U262" i="1"/>
  <c r="U261" i="1"/>
  <c r="U260" i="1"/>
  <c r="F260" i="1"/>
  <c r="K260" i="1"/>
  <c r="P260" i="1"/>
  <c r="F261" i="1"/>
  <c r="K261" i="1"/>
  <c r="P261" i="1"/>
  <c r="F262" i="1"/>
  <c r="K262" i="1"/>
  <c r="P262" i="1"/>
  <c r="F263" i="1"/>
  <c r="K263" i="1"/>
  <c r="P263" i="1"/>
  <c r="F264" i="1"/>
  <c r="K264" i="1"/>
  <c r="P264" i="1"/>
  <c r="F265" i="1"/>
  <c r="K265" i="1"/>
  <c r="P265" i="1"/>
  <c r="C260" i="1"/>
  <c r="C261" i="1"/>
  <c r="C262" i="1"/>
  <c r="C263" i="1"/>
  <c r="C264" i="1"/>
  <c r="C265" i="1"/>
  <c r="D263" i="1" l="1"/>
  <c r="D265" i="1"/>
  <c r="D264" i="1"/>
  <c r="D262" i="1"/>
  <c r="D261" i="1"/>
  <c r="D260" i="1"/>
  <c r="Y17" i="4"/>
  <c r="Y103" i="4" l="1"/>
  <c r="AD103" i="4" s="1"/>
  <c r="Z92" i="4"/>
  <c r="J137" i="8" l="1"/>
  <c r="J75" i="8" l="1"/>
  <c r="J71" i="8"/>
  <c r="W711" i="5" l="1"/>
  <c r="W618" i="5"/>
  <c r="I17" i="8" l="1"/>
  <c r="Z274" i="1" l="1"/>
  <c r="AC66" i="1"/>
  <c r="AC48" i="1"/>
  <c r="AC301" i="1"/>
  <c r="Z68" i="4" s="1"/>
  <c r="AB301" i="1"/>
  <c r="AA301" i="1"/>
  <c r="Y301" i="1"/>
  <c r="W301" i="1"/>
  <c r="V301" i="1"/>
  <c r="T301" i="1"/>
  <c r="S301" i="1"/>
  <c r="R301" i="1"/>
  <c r="Q301" i="1"/>
  <c r="O301" i="1"/>
  <c r="N301" i="1"/>
  <c r="M301" i="1"/>
  <c r="L301" i="1"/>
  <c r="J301" i="1"/>
  <c r="I301" i="1"/>
  <c r="H301" i="1"/>
  <c r="G301" i="1"/>
  <c r="E301" i="1"/>
  <c r="Z300" i="1"/>
  <c r="Z301" i="1" s="1"/>
  <c r="Y68" i="4" s="1"/>
  <c r="AD68" i="4" s="1"/>
  <c r="X301" i="1"/>
  <c r="U300" i="1"/>
  <c r="U301" i="1" s="1"/>
  <c r="P300" i="1"/>
  <c r="P301" i="1" s="1"/>
  <c r="K300" i="1"/>
  <c r="K301" i="1" s="1"/>
  <c r="F301" i="1"/>
  <c r="C300" i="1"/>
  <c r="C301" i="1" s="1"/>
  <c r="Z276" i="1"/>
  <c r="AC275" i="1"/>
  <c r="Z275" i="1" s="1"/>
  <c r="C276" i="1"/>
  <c r="C275" i="1"/>
  <c r="D276" i="1"/>
  <c r="D300" i="1" l="1"/>
  <c r="D301" i="1" s="1"/>
  <c r="AC71" i="1"/>
  <c r="AC73" i="1"/>
  <c r="Z73" i="1" s="1"/>
  <c r="Y57" i="4"/>
  <c r="AD57" i="4" s="1"/>
  <c r="AA96" i="4" l="1"/>
  <c r="AA104" i="4" s="1"/>
  <c r="Z96" i="4"/>
  <c r="Z90" i="4"/>
  <c r="Z104" i="4" s="1"/>
  <c r="I140" i="8" l="1"/>
  <c r="H9" i="9" l="1"/>
  <c r="I95" i="8" l="1"/>
  <c r="V94" i="4" l="1"/>
  <c r="S749" i="5" l="1"/>
  <c r="U38" i="4"/>
  <c r="S725" i="5"/>
  <c r="S711" i="5"/>
  <c r="S706" i="5"/>
  <c r="S643" i="5"/>
  <c r="S642" i="5"/>
  <c r="S641" i="5"/>
  <c r="S618" i="5"/>
  <c r="S602" i="5"/>
  <c r="S263" i="5"/>
  <c r="S249" i="5"/>
  <c r="R249" i="5" s="1"/>
  <c r="S216" i="5"/>
  <c r="S170" i="5"/>
  <c r="S153" i="5"/>
  <c r="S49" i="5"/>
  <c r="H10" i="9" l="1"/>
  <c r="I37" i="8" l="1"/>
  <c r="I35" i="8"/>
  <c r="I30" i="8"/>
  <c r="I63" i="8" l="1"/>
  <c r="U25" i="4" l="1"/>
  <c r="U34" i="4"/>
  <c r="U61" i="4" l="1"/>
  <c r="T61" i="4" s="1"/>
  <c r="U77" i="4"/>
  <c r="U80" i="4"/>
  <c r="I76" i="8" l="1"/>
  <c r="X47" i="1"/>
  <c r="X12" i="1"/>
  <c r="X71" i="1"/>
  <c r="U306" i="1"/>
  <c r="W12" i="1"/>
  <c r="X13" i="1"/>
  <c r="U31" i="4" l="1"/>
  <c r="U27" i="4" l="1"/>
  <c r="U36" i="4" l="1"/>
  <c r="U35" i="4"/>
  <c r="U32" i="4"/>
  <c r="U17" i="4" l="1"/>
  <c r="U33" i="4"/>
  <c r="U16" i="4"/>
  <c r="U15" i="4"/>
  <c r="U19" i="4"/>
  <c r="U26" i="4"/>
  <c r="U23" i="4"/>
  <c r="X104" i="1" l="1"/>
  <c r="X270" i="1"/>
  <c r="X50" i="1"/>
  <c r="X175" i="1"/>
  <c r="X269" i="1"/>
  <c r="X72" i="1"/>
  <c r="U82" i="4"/>
  <c r="U84" i="4"/>
  <c r="U94" i="4" l="1"/>
  <c r="I29" i="8" l="1"/>
  <c r="I69" i="8" l="1"/>
  <c r="X46" i="1"/>
  <c r="X69" i="1"/>
  <c r="I19" i="8" l="1"/>
  <c r="I111" i="8" l="1"/>
  <c r="I120" i="8" l="1"/>
  <c r="U106" i="4" l="1"/>
  <c r="X100" i="1"/>
  <c r="W297" i="1"/>
  <c r="X297" i="1"/>
  <c r="U71" i="4"/>
  <c r="X70" i="1"/>
  <c r="Y61" i="4"/>
  <c r="AD61" i="4" s="1"/>
  <c r="U14" i="4" l="1"/>
  <c r="I101" i="8" l="1"/>
  <c r="S34" i="5" l="1"/>
  <c r="AC55" i="1" l="1"/>
  <c r="U71" i="1"/>
  <c r="X89" i="1"/>
  <c r="Y22" i="4" l="1"/>
  <c r="T22" i="4"/>
  <c r="AD22" i="4" l="1"/>
  <c r="W249" i="5"/>
  <c r="AB249" i="5" l="1"/>
  <c r="U212" i="1"/>
  <c r="P188" i="1" l="1"/>
  <c r="P187" i="1"/>
  <c r="P186" i="1"/>
  <c r="P185" i="1"/>
  <c r="E185" i="1"/>
  <c r="F185" i="1"/>
  <c r="K185" i="1"/>
  <c r="E186" i="1"/>
  <c r="F186" i="1"/>
  <c r="K186" i="1"/>
  <c r="E187" i="1"/>
  <c r="F187" i="1"/>
  <c r="K187" i="1"/>
  <c r="E188" i="1"/>
  <c r="F188" i="1"/>
  <c r="K188" i="1"/>
  <c r="X42" i="1" l="1"/>
  <c r="C188" i="1" l="1"/>
  <c r="U188" i="1"/>
  <c r="C186" i="1"/>
  <c r="C187" i="1"/>
  <c r="U185" i="1"/>
  <c r="U186" i="1"/>
  <c r="D186" i="1" s="1"/>
  <c r="U187" i="1"/>
  <c r="D187" i="1" s="1"/>
  <c r="C185" i="1"/>
  <c r="D185" i="1" l="1"/>
  <c r="AD185" i="1"/>
  <c r="D188" i="1"/>
  <c r="U50" i="1"/>
  <c r="W42" i="1" l="1"/>
  <c r="U13" i="4" l="1"/>
  <c r="T267" i="1" l="1"/>
  <c r="C292" i="1"/>
  <c r="F292" i="1"/>
  <c r="C287" i="1"/>
  <c r="K287" i="1"/>
  <c r="F287" i="1"/>
  <c r="C274" i="1"/>
  <c r="F275" i="1"/>
  <c r="F274" i="1"/>
  <c r="K274" i="1"/>
  <c r="P24" i="1"/>
  <c r="Z36" i="1"/>
  <c r="Z37" i="1"/>
  <c r="Z35" i="1"/>
  <c r="U35" i="1"/>
  <c r="U36" i="1"/>
  <c r="U37" i="1"/>
  <c r="P35" i="1"/>
  <c r="P36" i="1"/>
  <c r="P37" i="1"/>
  <c r="K36" i="1"/>
  <c r="K37" i="1"/>
  <c r="K35" i="1"/>
  <c r="F35" i="1"/>
  <c r="F36" i="1"/>
  <c r="F37" i="1"/>
  <c r="C35" i="1"/>
  <c r="C36" i="1"/>
  <c r="U15" i="1"/>
  <c r="U16" i="1"/>
  <c r="U17" i="1"/>
  <c r="U18" i="1"/>
  <c r="U19" i="1"/>
  <c r="U20" i="1"/>
  <c r="Z15" i="1"/>
  <c r="Z16" i="1"/>
  <c r="Z17" i="1"/>
  <c r="Z18" i="1"/>
  <c r="Z19" i="1"/>
  <c r="Z20" i="1"/>
  <c r="P15" i="1"/>
  <c r="P16" i="1"/>
  <c r="P17" i="1"/>
  <c r="P18" i="1"/>
  <c r="P19" i="1"/>
  <c r="P20" i="1"/>
  <c r="P14" i="1"/>
  <c r="K15" i="1"/>
  <c r="K16" i="1"/>
  <c r="K17" i="1"/>
  <c r="K18" i="1"/>
  <c r="K19" i="1"/>
  <c r="K20" i="1"/>
  <c r="C18" i="1"/>
  <c r="C22" i="1"/>
  <c r="F22" i="1"/>
  <c r="M22" i="1"/>
  <c r="N22" i="1"/>
  <c r="R22" i="1"/>
  <c r="S22" i="1"/>
  <c r="U22" i="1"/>
  <c r="Z44" i="1" l="1"/>
  <c r="D35" i="1"/>
  <c r="D36" i="1"/>
  <c r="P22" i="1"/>
  <c r="D17" i="1"/>
  <c r="D15" i="1"/>
  <c r="D19" i="1"/>
  <c r="K22" i="1"/>
  <c r="D22" i="1" s="1"/>
  <c r="D21" i="1" s="1"/>
  <c r="D20" i="1"/>
  <c r="D18" i="1"/>
  <c r="D16" i="1"/>
  <c r="I31" i="8"/>
  <c r="S10" i="5" l="1"/>
  <c r="I16" i="8"/>
  <c r="X52" i="1"/>
  <c r="U269" i="1"/>
  <c r="T84" i="4"/>
  <c r="AC68" i="1" l="1"/>
  <c r="AC76" i="1" s="1"/>
  <c r="I45" i="8" l="1"/>
  <c r="I38" i="8"/>
  <c r="I28" i="8" l="1"/>
  <c r="I18" i="8" l="1"/>
  <c r="I15" i="8"/>
  <c r="W267" i="1" l="1"/>
  <c r="U189" i="1"/>
  <c r="U104" i="1"/>
  <c r="U47" i="1" l="1"/>
  <c r="U46" i="1"/>
  <c r="O277" i="1" l="1"/>
  <c r="I113" i="8" l="1"/>
  <c r="S640" i="5" l="1"/>
  <c r="X640" i="5"/>
  <c r="X759" i="5" l="1"/>
  <c r="X761" i="5" s="1"/>
  <c r="Z30" i="4"/>
  <c r="U30" i="4"/>
  <c r="AG49" i="4" l="1"/>
  <c r="AH49" i="4"/>
  <c r="AF49" i="4"/>
  <c r="U93" i="1" l="1"/>
  <c r="C69" i="1"/>
  <c r="I20" i="8"/>
  <c r="U42" i="1" l="1"/>
  <c r="Y81" i="4" l="1"/>
  <c r="G17" i="9" l="1"/>
  <c r="G15" i="9"/>
  <c r="P94" i="4" l="1"/>
  <c r="P33" i="4"/>
  <c r="P17" i="4"/>
  <c r="P15" i="4"/>
  <c r="S58" i="1"/>
  <c r="R42" i="1"/>
  <c r="N643" i="5"/>
  <c r="N170" i="5"/>
  <c r="N49" i="5"/>
  <c r="U90" i="4" l="1"/>
  <c r="P259" i="1" l="1"/>
  <c r="P258" i="1"/>
  <c r="K259" i="1"/>
  <c r="K258" i="1"/>
  <c r="F259" i="1"/>
  <c r="F258" i="1"/>
  <c r="I148" i="8" l="1"/>
  <c r="I141" i="8"/>
  <c r="I137" i="8"/>
  <c r="H13" i="9"/>
  <c r="C73" i="1" l="1"/>
  <c r="C72" i="1"/>
  <c r="C70" i="1"/>
  <c r="C67" i="1"/>
  <c r="C68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49" i="1"/>
  <c r="C50" i="1"/>
  <c r="C51" i="1"/>
  <c r="AC257" i="1" l="1"/>
  <c r="AB257" i="1"/>
  <c r="AB256" i="1"/>
  <c r="AC256" i="1"/>
  <c r="AB255" i="1"/>
  <c r="AC255" i="1"/>
  <c r="AC254" i="1"/>
  <c r="AB254" i="1"/>
  <c r="AB253" i="1"/>
  <c r="AC253" i="1"/>
  <c r="X289" i="1" l="1"/>
  <c r="X279" i="1"/>
  <c r="W725" i="5" l="1"/>
  <c r="W170" i="5"/>
  <c r="AC180" i="1" l="1"/>
  <c r="AC96" i="1"/>
  <c r="AC98" i="1" s="1"/>
  <c r="Y269" i="1"/>
  <c r="X106" i="1"/>
  <c r="Z48" i="1"/>
  <c r="Z49" i="1"/>
  <c r="U48" i="1"/>
  <c r="U49" i="1"/>
  <c r="U28" i="4" l="1"/>
  <c r="X96" i="1" l="1"/>
  <c r="X98" i="1" s="1"/>
  <c r="X176" i="1"/>
  <c r="X267" i="1" s="1"/>
  <c r="C258" i="1"/>
  <c r="C259" i="1"/>
  <c r="U266" i="1"/>
  <c r="Z258" i="1" l="1"/>
  <c r="Z259" i="1"/>
  <c r="U259" i="1"/>
  <c r="U258" i="1"/>
  <c r="D258" i="1" l="1"/>
  <c r="D259" i="1"/>
  <c r="U73" i="1"/>
  <c r="D73" i="1" s="1"/>
  <c r="U177" i="1"/>
  <c r="X76" i="1" l="1"/>
  <c r="Z72" i="1"/>
  <c r="U72" i="1"/>
  <c r="U75" i="1"/>
  <c r="S629" i="5"/>
  <c r="S759" i="5" s="1"/>
  <c r="D72" i="1" l="1"/>
  <c r="W248" i="5"/>
  <c r="R248" i="5"/>
  <c r="Y23" i="4"/>
  <c r="T23" i="4"/>
  <c r="AD23" i="4" l="1"/>
  <c r="AB248" i="5"/>
  <c r="R725" i="5" l="1"/>
  <c r="R711" i="5"/>
  <c r="R706" i="5"/>
  <c r="R643" i="5"/>
  <c r="U78" i="4"/>
  <c r="U85" i="4" s="1"/>
  <c r="U96" i="4" l="1"/>
  <c r="U92" i="4"/>
  <c r="U101" i="4"/>
  <c r="X90" i="4"/>
  <c r="AC90" i="4"/>
  <c r="U104" i="4" l="1"/>
  <c r="P212" i="1"/>
  <c r="S266" i="1"/>
  <c r="R266" i="1"/>
  <c r="H112" i="8" l="1"/>
  <c r="H111" i="8"/>
  <c r="S104" i="1" l="1"/>
  <c r="S270" i="1"/>
  <c r="H78" i="8" l="1"/>
  <c r="H97" i="8"/>
  <c r="H33" i="8" l="1"/>
  <c r="H18" i="8"/>
  <c r="G22" i="9" l="1"/>
  <c r="G13" i="9"/>
  <c r="G10" i="9"/>
  <c r="G9" i="9"/>
  <c r="H18" i="9" l="1"/>
  <c r="G18" i="9"/>
  <c r="H17" i="9"/>
  <c r="H16" i="9"/>
  <c r="G16" i="9"/>
  <c r="H15" i="9"/>
  <c r="H141" i="8" l="1"/>
  <c r="H140" i="8" l="1"/>
  <c r="H17" i="8" l="1"/>
  <c r="H35" i="8" l="1"/>
  <c r="H37" i="8"/>
  <c r="S90" i="4" l="1"/>
  <c r="R237" i="1" l="1"/>
  <c r="S237" i="1"/>
  <c r="H760" i="5" l="1"/>
  <c r="C760" i="5"/>
  <c r="N760" i="5"/>
  <c r="Y49" i="4"/>
  <c r="T49" i="4"/>
  <c r="J49" i="4"/>
  <c r="E49" i="4"/>
  <c r="L48" i="4"/>
  <c r="M48" i="4"/>
  <c r="N48" i="4"/>
  <c r="G48" i="4"/>
  <c r="H48" i="4"/>
  <c r="I48" i="4"/>
  <c r="P38" i="4"/>
  <c r="H46" i="8"/>
  <c r="P36" i="4"/>
  <c r="P32" i="4"/>
  <c r="P29" i="4"/>
  <c r="P28" i="4"/>
  <c r="P27" i="4"/>
  <c r="P26" i="4"/>
  <c r="P25" i="4"/>
  <c r="P18" i="4"/>
  <c r="P49" i="4" s="1"/>
  <c r="P14" i="4"/>
  <c r="P13" i="4"/>
  <c r="O18" i="4" l="1"/>
  <c r="AD18" i="4" s="1"/>
  <c r="O49" i="4"/>
  <c r="P106" i="4" s="1"/>
  <c r="AE49" i="4"/>
  <c r="H16" i="8"/>
  <c r="H15" i="8"/>
  <c r="AD49" i="4" l="1"/>
  <c r="E99" i="4"/>
  <c r="J99" i="4"/>
  <c r="T99" i="4"/>
  <c r="Y99" i="4"/>
  <c r="O99" i="4"/>
  <c r="AD99" i="4" l="1"/>
  <c r="P80" i="4" l="1"/>
  <c r="N725" i="5" l="1"/>
  <c r="N34" i="5"/>
  <c r="N749" i="5"/>
  <c r="N642" i="5"/>
  <c r="N632" i="5"/>
  <c r="N629" i="5"/>
  <c r="N263" i="5"/>
  <c r="N602" i="5"/>
  <c r="N245" i="5" l="1"/>
  <c r="M215" i="5" l="1"/>
  <c r="M760" i="5" s="1"/>
  <c r="AB760" i="5" s="1"/>
  <c r="N216" i="5" l="1"/>
  <c r="N10" i="5"/>
  <c r="N618" i="5"/>
  <c r="S106" i="1" l="1"/>
  <c r="S176" i="1"/>
  <c r="S95" i="1" l="1"/>
  <c r="S269" i="1" l="1"/>
  <c r="S184" i="1" l="1"/>
  <c r="R183" i="1"/>
  <c r="S178" i="1"/>
  <c r="S40" i="1" l="1"/>
  <c r="S280" i="1" l="1"/>
  <c r="S291" i="1"/>
  <c r="S284" i="1"/>
  <c r="S281" i="1"/>
  <c r="Q277" i="1"/>
  <c r="R277" i="1"/>
  <c r="S277" i="1" l="1"/>
  <c r="S247" i="1"/>
  <c r="S238" i="1"/>
  <c r="R247" i="1" l="1"/>
  <c r="R241" i="1"/>
  <c r="S241" i="1"/>
  <c r="R239" i="1"/>
  <c r="S239" i="1"/>
  <c r="R238" i="1"/>
  <c r="R227" i="1"/>
  <c r="S227" i="1"/>
  <c r="R226" i="1"/>
  <c r="S226" i="1"/>
  <c r="R184" i="1"/>
  <c r="S183" i="1"/>
  <c r="R182" i="1"/>
  <c r="S182" i="1"/>
  <c r="C227" i="1"/>
  <c r="S180" i="1"/>
  <c r="S174" i="1"/>
  <c r="R94" i="1" l="1"/>
  <c r="S94" i="1"/>
  <c r="S71" i="1"/>
  <c r="S42" i="1" l="1"/>
  <c r="P84" i="4" l="1"/>
  <c r="P81" i="4"/>
  <c r="H137" i="8" l="1"/>
  <c r="P92" i="4"/>
  <c r="P21" i="4" l="1"/>
  <c r="P19" i="4"/>
  <c r="O13" i="4"/>
  <c r="G65" i="8" l="1"/>
  <c r="G62" i="4" l="1"/>
  <c r="F62" i="4"/>
  <c r="AA62" i="4"/>
  <c r="V62" i="4"/>
  <c r="U62" i="4"/>
  <c r="O101" i="4" l="1"/>
  <c r="I28" i="1"/>
  <c r="O247" i="1" l="1"/>
  <c r="G28" i="1" l="1"/>
  <c r="H28" i="1"/>
  <c r="AC298" i="1"/>
  <c r="AB298" i="1"/>
  <c r="AA298" i="1"/>
  <c r="Y298" i="1"/>
  <c r="X298" i="1"/>
  <c r="W298" i="1"/>
  <c r="V298" i="1"/>
  <c r="W68" i="4" s="1"/>
  <c r="T298" i="1"/>
  <c r="U68" i="4" s="1"/>
  <c r="Q298" i="1"/>
  <c r="O298" i="1"/>
  <c r="N298" i="1"/>
  <c r="M298" i="1"/>
  <c r="L67" i="4" s="1"/>
  <c r="L298" i="1"/>
  <c r="M68" i="4" s="1"/>
  <c r="J298" i="1"/>
  <c r="K68" i="4" s="1"/>
  <c r="H298" i="1"/>
  <c r="G298" i="1"/>
  <c r="E298" i="1"/>
  <c r="C297" i="1"/>
  <c r="C298" i="1" s="1"/>
  <c r="F297" i="1"/>
  <c r="F298" i="1" s="1"/>
  <c r="S38" i="1"/>
  <c r="R38" i="1"/>
  <c r="AB76" i="1"/>
  <c r="AA76" i="1"/>
  <c r="Y76" i="1"/>
  <c r="W76" i="1"/>
  <c r="V76" i="1"/>
  <c r="T76" i="1"/>
  <c r="R76" i="1"/>
  <c r="Q76" i="1"/>
  <c r="O76" i="1"/>
  <c r="J76" i="1"/>
  <c r="P38" i="1" l="1"/>
  <c r="AC175" i="1"/>
  <c r="Z96" i="1"/>
  <c r="U96" i="1"/>
  <c r="P41" i="1"/>
  <c r="P39" i="1"/>
  <c r="M41" i="1"/>
  <c r="K41" i="1" s="1"/>
  <c r="F41" i="1"/>
  <c r="C41" i="1"/>
  <c r="D41" i="1" l="1"/>
  <c r="P78" i="4" l="1"/>
  <c r="P77" i="4"/>
  <c r="C170" i="5" l="1"/>
  <c r="H101" i="8" l="1"/>
  <c r="O269" i="1" l="1"/>
  <c r="T269" i="1"/>
  <c r="H69" i="8"/>
  <c r="H63" i="8"/>
  <c r="C269" i="1" l="1"/>
  <c r="H120" i="8" l="1"/>
  <c r="E28" i="1" l="1"/>
  <c r="C28" i="1" s="1"/>
  <c r="Z32" i="1"/>
  <c r="N28" i="1"/>
  <c r="F32" i="1" l="1"/>
  <c r="U32" i="1"/>
  <c r="K32" i="1"/>
  <c r="P32" i="1"/>
  <c r="D32" i="1" l="1"/>
  <c r="H29" i="8"/>
  <c r="H28" i="8"/>
  <c r="H19" i="8" l="1"/>
  <c r="Q104" i="4" l="1"/>
  <c r="H38" i="8" l="1"/>
  <c r="N153" i="5" l="1"/>
  <c r="P16" i="4"/>
  <c r="S68" i="1"/>
  <c r="P40" i="1"/>
  <c r="S66" i="1"/>
  <c r="P85" i="4" l="1"/>
  <c r="O12" i="1"/>
  <c r="S12" i="1"/>
  <c r="E48" i="1"/>
  <c r="S48" i="1"/>
  <c r="O267" i="1"/>
  <c r="E76" i="1" l="1"/>
  <c r="C48" i="1"/>
  <c r="H20" i="8"/>
  <c r="H45" i="8" l="1"/>
  <c r="M725" i="5"/>
  <c r="H725" i="5"/>
  <c r="H30" i="8"/>
  <c r="M711" i="5"/>
  <c r="H711" i="5"/>
  <c r="AB725" i="5" l="1"/>
  <c r="AC85" i="4"/>
  <c r="AB85" i="4"/>
  <c r="AA85" i="4"/>
  <c r="X85" i="4"/>
  <c r="W85" i="4"/>
  <c r="V85" i="4"/>
  <c r="S85" i="4"/>
  <c r="R85" i="4"/>
  <c r="Q85" i="4"/>
  <c r="N85" i="4"/>
  <c r="M85" i="4"/>
  <c r="L85" i="4"/>
  <c r="I85" i="4"/>
  <c r="H85" i="4"/>
  <c r="G85" i="4"/>
  <c r="Z85" i="4"/>
  <c r="Y84" i="4"/>
  <c r="O84" i="4"/>
  <c r="J84" i="4"/>
  <c r="E84" i="4"/>
  <c r="AD84" i="4" l="1"/>
  <c r="P270" i="1"/>
  <c r="U270" i="1"/>
  <c r="K270" i="1"/>
  <c r="N269" i="1"/>
  <c r="K269" i="1" s="1"/>
  <c r="V104" i="4"/>
  <c r="K271" i="1" l="1"/>
  <c r="J101" i="4"/>
  <c r="Y101" i="4" l="1"/>
  <c r="T101" i="4"/>
  <c r="E101" i="4"/>
  <c r="AD101" i="4" l="1"/>
  <c r="Z71" i="1"/>
  <c r="P71" i="1"/>
  <c r="K71" i="1"/>
  <c r="C71" i="1"/>
  <c r="E21" i="4"/>
  <c r="K21" i="4"/>
  <c r="J21" i="4" s="1"/>
  <c r="O21" i="4"/>
  <c r="T21" i="4"/>
  <c r="Y21" i="4"/>
  <c r="D71" i="1" l="1"/>
  <c r="AD21" i="4"/>
  <c r="C245" i="5"/>
  <c r="H245" i="5"/>
  <c r="M245" i="5"/>
  <c r="R245" i="5"/>
  <c r="W245" i="5"/>
  <c r="AB245" i="5" l="1"/>
  <c r="U69" i="1" l="1"/>
  <c r="P69" i="1" l="1"/>
  <c r="N69" i="1" s="1"/>
  <c r="P70" i="1"/>
  <c r="N68" i="1"/>
  <c r="F68" i="1"/>
  <c r="Z70" i="1"/>
  <c r="U70" i="1" s="1"/>
  <c r="Z69" i="1"/>
  <c r="M69" i="1" l="1"/>
  <c r="L69" i="1" l="1"/>
  <c r="M76" i="1"/>
  <c r="F70" i="1"/>
  <c r="D70" i="1" s="1"/>
  <c r="K69" i="1" l="1"/>
  <c r="I69" i="1" s="1"/>
  <c r="L76" i="1"/>
  <c r="P189" i="1"/>
  <c r="E189" i="1"/>
  <c r="C189" i="1" s="1"/>
  <c r="F189" i="1"/>
  <c r="K189" i="1"/>
  <c r="Z189" i="1"/>
  <c r="D189" i="1" l="1"/>
  <c r="H69" i="1"/>
  <c r="R67" i="4"/>
  <c r="G69" i="1" l="1"/>
  <c r="H76" i="1"/>
  <c r="F69" i="1" l="1"/>
  <c r="D69" i="1" s="1"/>
  <c r="G76" i="1"/>
  <c r="E184" i="1"/>
  <c r="C184" i="1" s="1"/>
  <c r="F184" i="1"/>
  <c r="K184" i="1"/>
  <c r="P184" i="1"/>
  <c r="Z184" i="1"/>
  <c r="D184" i="1" l="1"/>
  <c r="P96" i="4"/>
  <c r="P104" i="4" s="1"/>
  <c r="H40" i="8" l="1"/>
  <c r="E183" i="1" l="1"/>
  <c r="C183" i="1" s="1"/>
  <c r="F183" i="1"/>
  <c r="K183" i="1"/>
  <c r="P183" i="1"/>
  <c r="Z183" i="1"/>
  <c r="E182" i="1"/>
  <c r="C182" i="1" s="1"/>
  <c r="F182" i="1"/>
  <c r="K182" i="1"/>
  <c r="P182" i="1"/>
  <c r="Z182" i="1"/>
  <c r="C212" i="1"/>
  <c r="H212" i="1"/>
  <c r="I212" i="1"/>
  <c r="K212" i="1"/>
  <c r="D182" i="1" l="1"/>
  <c r="D183" i="1"/>
  <c r="F212" i="1"/>
  <c r="D212" i="1" s="1"/>
  <c r="P93" i="1"/>
  <c r="M706" i="5"/>
  <c r="E181" i="1" l="1"/>
  <c r="C181" i="1" s="1"/>
  <c r="F181" i="1"/>
  <c r="K181" i="1"/>
  <c r="P181" i="1"/>
  <c r="Z181" i="1"/>
  <c r="D181" i="1" l="1"/>
  <c r="S298" i="1"/>
  <c r="R298" i="1"/>
  <c r="Q62" i="4"/>
  <c r="P46" i="1" l="1"/>
  <c r="C284" i="1"/>
  <c r="F284" i="1"/>
  <c r="K284" i="1"/>
  <c r="P284" i="1"/>
  <c r="Z284" i="1"/>
  <c r="D284" i="1" l="1"/>
  <c r="G101" i="8" l="1"/>
  <c r="P226" i="1"/>
  <c r="P227" i="1"/>
  <c r="P228" i="1" l="1"/>
  <c r="F22" i="9" l="1"/>
  <c r="G11" i="9"/>
  <c r="I112" i="8"/>
  <c r="G35" i="8" l="1"/>
  <c r="G63" i="8"/>
  <c r="J42" i="1"/>
  <c r="K63" i="1" l="1"/>
  <c r="K64" i="1"/>
  <c r="K65" i="1"/>
  <c r="K61" i="1"/>
  <c r="K62" i="1"/>
  <c r="P62" i="4"/>
  <c r="F48" i="1"/>
  <c r="K48" i="1"/>
  <c r="P48" i="1"/>
  <c r="D48" i="1" l="1"/>
  <c r="N89" i="1"/>
  <c r="N104" i="1"/>
  <c r="Z252" i="1"/>
  <c r="U252" i="1"/>
  <c r="P252" i="1"/>
  <c r="K252" i="1"/>
  <c r="F252" i="1"/>
  <c r="C252" i="1"/>
  <c r="Z251" i="1"/>
  <c r="U251" i="1"/>
  <c r="P251" i="1"/>
  <c r="K251" i="1"/>
  <c r="F251" i="1"/>
  <c r="C251" i="1"/>
  <c r="Z250" i="1"/>
  <c r="U250" i="1"/>
  <c r="P250" i="1"/>
  <c r="K250" i="1"/>
  <c r="F250" i="1"/>
  <c r="C250" i="1"/>
  <c r="M96" i="1"/>
  <c r="K96" i="1" s="1"/>
  <c r="M42" i="1"/>
  <c r="I749" i="5"/>
  <c r="I170" i="5"/>
  <c r="K38" i="4"/>
  <c r="K17" i="4"/>
  <c r="D250" i="1" l="1"/>
  <c r="D252" i="1"/>
  <c r="D251" i="1"/>
  <c r="J121" i="8" l="1"/>
  <c r="H95" i="8" l="1"/>
  <c r="O38" i="1" l="1"/>
  <c r="U53" i="1" l="1"/>
  <c r="U52" i="1"/>
  <c r="H21" i="8" l="1"/>
  <c r="Y277" i="1" l="1"/>
  <c r="Z80" i="1" l="1"/>
  <c r="Z81" i="1"/>
  <c r="Z82" i="1"/>
  <c r="Z83" i="1"/>
  <c r="T288" i="1"/>
  <c r="Z31" i="4" l="1"/>
  <c r="W602" i="5"/>
  <c r="AA64" i="4"/>
  <c r="Z64" i="4"/>
  <c r="C253" i="1"/>
  <c r="F253" i="1"/>
  <c r="K253" i="1"/>
  <c r="P253" i="1"/>
  <c r="U253" i="1"/>
  <c r="Z253" i="1"/>
  <c r="C254" i="1"/>
  <c r="F254" i="1"/>
  <c r="K254" i="1"/>
  <c r="P254" i="1"/>
  <c r="U254" i="1"/>
  <c r="Z254" i="1"/>
  <c r="C255" i="1"/>
  <c r="F255" i="1"/>
  <c r="K255" i="1"/>
  <c r="P255" i="1"/>
  <c r="U255" i="1"/>
  <c r="Z255" i="1"/>
  <c r="C256" i="1"/>
  <c r="F256" i="1"/>
  <c r="K256" i="1"/>
  <c r="P256" i="1"/>
  <c r="U256" i="1"/>
  <c r="Z256" i="1"/>
  <c r="C257" i="1"/>
  <c r="F257" i="1"/>
  <c r="K257" i="1"/>
  <c r="P257" i="1"/>
  <c r="U257" i="1"/>
  <c r="Z257" i="1"/>
  <c r="Y48" i="4" l="1"/>
  <c r="D257" i="1"/>
  <c r="D254" i="1"/>
  <c r="D256" i="1"/>
  <c r="D255" i="1"/>
  <c r="D253" i="1"/>
  <c r="Z180" i="1" l="1"/>
  <c r="P180" i="1"/>
  <c r="K180" i="1"/>
  <c r="F180" i="1"/>
  <c r="E180" i="1"/>
  <c r="C180" i="1" s="1"/>
  <c r="S50" i="1"/>
  <c r="S76" i="1" s="1"/>
  <c r="Z175" i="1"/>
  <c r="P94" i="1"/>
  <c r="D180" i="1" l="1"/>
  <c r="P58" i="4"/>
  <c r="Z174" i="1" l="1"/>
  <c r="U176" i="1"/>
  <c r="U178" i="1"/>
  <c r="Z178" i="1"/>
  <c r="K105" i="1"/>
  <c r="K106" i="1"/>
  <c r="P95" i="1"/>
  <c r="K95" i="1"/>
  <c r="K94" i="1"/>
  <c r="Z95" i="1"/>
  <c r="F95" i="1"/>
  <c r="E95" i="1"/>
  <c r="C95" i="1" s="1"/>
  <c r="Z94" i="1"/>
  <c r="F94" i="1"/>
  <c r="E94" i="1"/>
  <c r="C94" i="1" s="1"/>
  <c r="P12" i="1"/>
  <c r="K68" i="1"/>
  <c r="P68" i="1"/>
  <c r="U68" i="1"/>
  <c r="Z68" i="1"/>
  <c r="X25" i="1"/>
  <c r="S25" i="1"/>
  <c r="P25" i="1" s="1"/>
  <c r="Y38" i="4"/>
  <c r="T38" i="4"/>
  <c r="O38" i="4"/>
  <c r="AC104" i="4"/>
  <c r="AB104" i="4"/>
  <c r="X104" i="4"/>
  <c r="W104" i="4"/>
  <c r="S104" i="4"/>
  <c r="R104" i="4"/>
  <c r="Y98" i="4"/>
  <c r="T98" i="4"/>
  <c r="O98" i="4"/>
  <c r="Y97" i="4"/>
  <c r="Y96" i="4"/>
  <c r="T97" i="4"/>
  <c r="T96" i="4"/>
  <c r="O97" i="4"/>
  <c r="O96" i="4"/>
  <c r="T94" i="4"/>
  <c r="O94" i="4"/>
  <c r="Y93" i="4"/>
  <c r="T93" i="4"/>
  <c r="O93" i="4"/>
  <c r="Y92" i="4"/>
  <c r="T92" i="4"/>
  <c r="O92" i="4"/>
  <c r="Y90" i="4"/>
  <c r="T90" i="4"/>
  <c r="O90" i="4"/>
  <c r="Y83" i="4"/>
  <c r="Y82" i="4"/>
  <c r="T83" i="4"/>
  <c r="T82" i="4"/>
  <c r="T81" i="4"/>
  <c r="T80" i="4"/>
  <c r="Y80" i="4"/>
  <c r="Y78" i="4"/>
  <c r="T78" i="4"/>
  <c r="O83" i="4"/>
  <c r="O82" i="4"/>
  <c r="O81" i="4"/>
  <c r="O80" i="4"/>
  <c r="O78" i="4"/>
  <c r="T34" i="4"/>
  <c r="O34" i="4"/>
  <c r="Y33" i="4"/>
  <c r="T33" i="4"/>
  <c r="O33" i="4"/>
  <c r="Y31" i="4"/>
  <c r="T31" i="4"/>
  <c r="O31" i="4"/>
  <c r="Y29" i="4"/>
  <c r="T28" i="4"/>
  <c r="O28" i="4"/>
  <c r="Y27" i="4"/>
  <c r="Y26" i="4"/>
  <c r="Y20" i="4"/>
  <c r="T20" i="4"/>
  <c r="O20" i="4"/>
  <c r="Y19" i="4"/>
  <c r="T19" i="4"/>
  <c r="T17" i="4"/>
  <c r="Y16" i="4"/>
  <c r="T16" i="4"/>
  <c r="Y15" i="4"/>
  <c r="Y14" i="4"/>
  <c r="Y13" i="4"/>
  <c r="T14" i="4"/>
  <c r="O14" i="4"/>
  <c r="Y32" i="4"/>
  <c r="T32" i="4"/>
  <c r="O32" i="4"/>
  <c r="N640" i="5"/>
  <c r="N761" i="5" s="1"/>
  <c r="N759" i="5" s="1"/>
  <c r="Y30" i="4"/>
  <c r="T30" i="4"/>
  <c r="P30" i="4"/>
  <c r="O30" i="4" s="1"/>
  <c r="Y25" i="4"/>
  <c r="T25" i="4"/>
  <c r="O25" i="4"/>
  <c r="M629" i="5"/>
  <c r="T29" i="4"/>
  <c r="O29" i="4"/>
  <c r="W10" i="5"/>
  <c r="S33" i="5"/>
  <c r="S23" i="5"/>
  <c r="S22" i="5"/>
  <c r="S20" i="5"/>
  <c r="S19" i="5"/>
  <c r="S18" i="5"/>
  <c r="S17" i="5"/>
  <c r="S16" i="5"/>
  <c r="S15" i="5"/>
  <c r="S14" i="5"/>
  <c r="S13" i="5"/>
  <c r="S12" i="5"/>
  <c r="S11" i="5"/>
  <c r="T13" i="4"/>
  <c r="O17" i="4"/>
  <c r="O19" i="4"/>
  <c r="W153" i="5"/>
  <c r="R153" i="5"/>
  <c r="M153" i="5"/>
  <c r="O16" i="4"/>
  <c r="T26" i="4"/>
  <c r="O26" i="4"/>
  <c r="S761" i="5"/>
  <c r="O27" i="4"/>
  <c r="W49" i="5"/>
  <c r="T15" i="4"/>
  <c r="Y77" i="4"/>
  <c r="T77" i="4"/>
  <c r="O77" i="4"/>
  <c r="T104" i="4" l="1"/>
  <c r="T85" i="4"/>
  <c r="T27" i="4"/>
  <c r="U50" i="4"/>
  <c r="U48" i="4"/>
  <c r="T48" i="4" s="1"/>
  <c r="Y85" i="4"/>
  <c r="O104" i="4"/>
  <c r="O85" i="4"/>
  <c r="D68" i="1"/>
  <c r="D95" i="1"/>
  <c r="D94" i="1"/>
  <c r="Y104" i="4" l="1"/>
  <c r="G37" i="8"/>
  <c r="I642" i="5" l="1"/>
  <c r="I640" i="5"/>
  <c r="I618" i="5"/>
  <c r="I153" i="5"/>
  <c r="K16" i="4" l="1"/>
  <c r="K32" i="4"/>
  <c r="K30" i="4"/>
  <c r="F12" i="9" l="1"/>
  <c r="N39" i="1" l="1"/>
  <c r="M39" i="1"/>
  <c r="L93" i="4"/>
  <c r="L104" i="4" s="1"/>
  <c r="K93" i="4"/>
  <c r="G111" i="8" l="1"/>
  <c r="N174" i="1" l="1"/>
  <c r="N176" i="1"/>
  <c r="N178" i="1"/>
  <c r="M98" i="1"/>
  <c r="L62" i="4"/>
  <c r="K93" i="1"/>
  <c r="I10" i="5"/>
  <c r="K13" i="4"/>
  <c r="K27" i="4" l="1"/>
  <c r="G138" i="8" l="1"/>
  <c r="I104" i="4" l="1"/>
  <c r="E98" i="4"/>
  <c r="J98" i="4"/>
  <c r="AD98" i="4" l="1"/>
  <c r="G68" i="8" l="1"/>
  <c r="K176" i="1" l="1"/>
  <c r="K178" i="1"/>
  <c r="N67" i="1"/>
  <c r="N66" i="1"/>
  <c r="G38" i="8"/>
  <c r="I643" i="5" l="1"/>
  <c r="K33" i="4"/>
  <c r="K92" i="4"/>
  <c r="K49" i="1" l="1"/>
  <c r="U279" i="1"/>
  <c r="X288" i="1"/>
  <c r="W288" i="1"/>
  <c r="V288" i="1"/>
  <c r="U288" i="1" l="1"/>
  <c r="U289" i="1"/>
  <c r="K283" i="1"/>
  <c r="K282" i="1"/>
  <c r="K281" i="1"/>
  <c r="K280" i="1"/>
  <c r="K279" i="1"/>
  <c r="K278" i="1"/>
  <c r="K289" i="1"/>
  <c r="K291" i="1"/>
  <c r="F291" i="1"/>
  <c r="F289" i="1"/>
  <c r="F279" i="1"/>
  <c r="F280" i="1"/>
  <c r="F281" i="1"/>
  <c r="F282" i="1"/>
  <c r="F283" i="1"/>
  <c r="F278" i="1"/>
  <c r="G58" i="4"/>
  <c r="F288" i="1" l="1"/>
  <c r="C249" i="1"/>
  <c r="F249" i="1"/>
  <c r="K249" i="1"/>
  <c r="P249" i="1"/>
  <c r="U249" i="1"/>
  <c r="Z249" i="1"/>
  <c r="N267" i="1"/>
  <c r="P42" i="1"/>
  <c r="K20" i="4"/>
  <c r="T290" i="1"/>
  <c r="T293" i="1" s="1"/>
  <c r="Y290" i="1"/>
  <c r="U278" i="1"/>
  <c r="D249" i="1" l="1"/>
  <c r="J267" i="1"/>
  <c r="G80" i="8" l="1"/>
  <c r="M267" i="1"/>
  <c r="Z247" i="1" l="1"/>
  <c r="U247" i="1"/>
  <c r="P247" i="1"/>
  <c r="K247" i="1"/>
  <c r="F247" i="1"/>
  <c r="C247" i="1"/>
  <c r="D247" i="1" l="1"/>
  <c r="N54" i="1" l="1"/>
  <c r="N76" i="1" s="1"/>
  <c r="I263" i="5"/>
  <c r="M749" i="5"/>
  <c r="R749" i="5"/>
  <c r="W749" i="5"/>
  <c r="O761" i="5"/>
  <c r="P761" i="5"/>
  <c r="Q761" i="5"/>
  <c r="T761" i="5"/>
  <c r="U761" i="5"/>
  <c r="V761" i="5"/>
  <c r="AB711" i="5"/>
  <c r="H749" i="5"/>
  <c r="J35" i="4"/>
  <c r="J36" i="4"/>
  <c r="E36" i="4"/>
  <c r="O36" i="4"/>
  <c r="T36" i="4"/>
  <c r="Y36" i="4"/>
  <c r="K25" i="4"/>
  <c r="AD36" i="4" l="1"/>
  <c r="G34" i="8" l="1"/>
  <c r="G32" i="8"/>
  <c r="G20" i="8" l="1"/>
  <c r="K89" i="1" l="1"/>
  <c r="K94" i="4"/>
  <c r="K104" i="4" s="1"/>
  <c r="K29" i="4" l="1"/>
  <c r="I632" i="5"/>
  <c r="H706" i="5" l="1"/>
  <c r="AB706" i="5" s="1"/>
  <c r="D761" i="5"/>
  <c r="D759" i="5" s="1"/>
  <c r="H643" i="5"/>
  <c r="H642" i="5"/>
  <c r="Y34" i="4"/>
  <c r="J34" i="4"/>
  <c r="E34" i="4"/>
  <c r="J25" i="4"/>
  <c r="Y35" i="4"/>
  <c r="T35" i="4"/>
  <c r="O35" i="4"/>
  <c r="E35" i="4"/>
  <c r="P49" i="1"/>
  <c r="C76" i="1"/>
  <c r="I216" i="5"/>
  <c r="K19" i="4"/>
  <c r="K81" i="4"/>
  <c r="K85" i="4" s="1"/>
  <c r="E81" i="4"/>
  <c r="K67" i="1"/>
  <c r="K75" i="1"/>
  <c r="K48" i="4" l="1"/>
  <c r="J48" i="4" s="1"/>
  <c r="K50" i="4"/>
  <c r="Y50" i="4"/>
  <c r="D49" i="1"/>
  <c r="AD34" i="4"/>
  <c r="AD35" i="4"/>
  <c r="J81" i="4"/>
  <c r="P88" i="1"/>
  <c r="Z88" i="1"/>
  <c r="K90" i="1"/>
  <c r="P90" i="1"/>
  <c r="U90" i="1"/>
  <c r="F90" i="1"/>
  <c r="F89" i="1"/>
  <c r="Z89" i="1"/>
  <c r="C86" i="1"/>
  <c r="E90" i="1"/>
  <c r="C90" i="1" s="1"/>
  <c r="Z90" i="1"/>
  <c r="K85" i="1"/>
  <c r="U85" i="1"/>
  <c r="I85" i="1"/>
  <c r="H85" i="1"/>
  <c r="C85" i="1"/>
  <c r="U89" i="1" l="1"/>
  <c r="C89" i="1"/>
  <c r="P89" i="1"/>
  <c r="S98" i="1"/>
  <c r="P60" i="4" s="1"/>
  <c r="F85" i="1"/>
  <c r="D85" i="1" s="1"/>
  <c r="D90" i="1"/>
  <c r="K42" i="1"/>
  <c r="K54" i="1"/>
  <c r="N12" i="1"/>
  <c r="N11" i="1" s="1"/>
  <c r="K66" i="1"/>
  <c r="D89" i="1" l="1"/>
  <c r="L60" i="4"/>
  <c r="F91" i="1"/>
  <c r="K91" i="1"/>
  <c r="N24" i="1" l="1"/>
  <c r="I761" i="5"/>
  <c r="I759" i="5" s="1"/>
  <c r="K92" i="1" l="1"/>
  <c r="F92" i="1"/>
  <c r="C248" i="1" l="1"/>
  <c r="F248" i="1"/>
  <c r="K248" i="1"/>
  <c r="P248" i="1"/>
  <c r="U248" i="1"/>
  <c r="Z248" i="1"/>
  <c r="K174" i="1"/>
  <c r="K67" i="4"/>
  <c r="D248" i="1" l="1"/>
  <c r="N21" i="1" l="1"/>
  <c r="M21" i="1"/>
  <c r="K21" i="1" l="1"/>
  <c r="M28" i="1"/>
  <c r="L28" i="1"/>
  <c r="L38" i="1"/>
  <c r="M38" i="1"/>
  <c r="N38" i="1"/>
  <c r="K39" i="1"/>
  <c r="K38" i="1" s="1"/>
  <c r="L98" i="1"/>
  <c r="K31" i="1"/>
  <c r="K28" i="1" s="1"/>
  <c r="C31" i="1"/>
  <c r="F31" i="1"/>
  <c r="C245" i="1"/>
  <c r="F245" i="1"/>
  <c r="K245" i="1"/>
  <c r="P245" i="1"/>
  <c r="U245" i="1"/>
  <c r="Z245" i="1"/>
  <c r="D31" i="1" l="1"/>
  <c r="D245" i="1"/>
  <c r="AC288" i="1"/>
  <c r="AC290" i="1"/>
  <c r="Z28" i="1"/>
  <c r="N290" i="1" l="1"/>
  <c r="Z278" i="1"/>
  <c r="D278" i="1" s="1"/>
  <c r="U277" i="1" l="1"/>
  <c r="N277" i="1" l="1"/>
  <c r="P179" i="1"/>
  <c r="Z179" i="1"/>
  <c r="U179" i="1"/>
  <c r="K179" i="1"/>
  <c r="F179" i="1"/>
  <c r="C179" i="1"/>
  <c r="F67" i="4"/>
  <c r="F227" i="1"/>
  <c r="K227" i="1"/>
  <c r="U227" i="1"/>
  <c r="D179" i="1" l="1"/>
  <c r="J278" i="1"/>
  <c r="J277" i="1" s="1"/>
  <c r="D227" i="1"/>
  <c r="E19" i="4" l="1"/>
  <c r="P306" i="1"/>
  <c r="K306" i="1"/>
  <c r="F306" i="1"/>
  <c r="F50" i="1"/>
  <c r="F75" i="1"/>
  <c r="P75" i="1"/>
  <c r="Z75" i="1"/>
  <c r="AC106" i="4"/>
  <c r="AB106" i="4"/>
  <c r="X106" i="4"/>
  <c r="W106" i="4"/>
  <c r="S106" i="4"/>
  <c r="R106" i="4"/>
  <c r="N106" i="4"/>
  <c r="M106" i="4"/>
  <c r="L106" i="4"/>
  <c r="K106" i="4"/>
  <c r="G106" i="4"/>
  <c r="H106" i="4"/>
  <c r="I106" i="4"/>
  <c r="F106" i="4"/>
  <c r="AC71" i="4"/>
  <c r="AB71" i="4"/>
  <c r="X71" i="4"/>
  <c r="W71" i="4"/>
  <c r="S71" i="4"/>
  <c r="R71" i="4"/>
  <c r="P71" i="4"/>
  <c r="N71" i="4"/>
  <c r="M71" i="4"/>
  <c r="L71" i="4"/>
  <c r="K71" i="4"/>
  <c r="I71" i="4"/>
  <c r="G71" i="4"/>
  <c r="H71" i="4"/>
  <c r="F71" i="4"/>
  <c r="AE71" i="4" s="1"/>
  <c r="J59" i="4"/>
  <c r="E59" i="4"/>
  <c r="D306" i="1" l="1"/>
  <c r="AG71" i="4"/>
  <c r="AH71" i="4"/>
  <c r="E106" i="4"/>
  <c r="J106" i="4"/>
  <c r="D75" i="1"/>
  <c r="E71" i="4"/>
  <c r="J71" i="4"/>
  <c r="V98" i="1" l="1"/>
  <c r="C242" i="1" l="1"/>
  <c r="F242" i="1"/>
  <c r="K242" i="1"/>
  <c r="P242" i="1"/>
  <c r="U242" i="1"/>
  <c r="Z242" i="1"/>
  <c r="C243" i="1"/>
  <c r="F243" i="1"/>
  <c r="K243" i="1"/>
  <c r="P243" i="1"/>
  <c r="U243" i="1"/>
  <c r="Z243" i="1"/>
  <c r="C244" i="1"/>
  <c r="F244" i="1"/>
  <c r="K244" i="1"/>
  <c r="P244" i="1"/>
  <c r="U244" i="1"/>
  <c r="Z244" i="1"/>
  <c r="C246" i="1"/>
  <c r="F246" i="1"/>
  <c r="K246" i="1"/>
  <c r="P246" i="1"/>
  <c r="U246" i="1"/>
  <c r="Z246" i="1"/>
  <c r="AD242" i="1" l="1"/>
  <c r="D243" i="1"/>
  <c r="D246" i="1"/>
  <c r="D244" i="1"/>
  <c r="D242" i="1"/>
  <c r="K64" i="4" l="1"/>
  <c r="C289" i="1"/>
  <c r="C279" i="1"/>
  <c r="C280" i="1"/>
  <c r="C281" i="1"/>
  <c r="C282" i="1"/>
  <c r="C283" i="1"/>
  <c r="C278" i="1"/>
  <c r="Y267" i="1"/>
  <c r="C100" i="1"/>
  <c r="U103" i="1"/>
  <c r="U102" i="1"/>
  <c r="U101" i="1"/>
  <c r="U100" i="1"/>
  <c r="U79" i="1"/>
  <c r="U80" i="1"/>
  <c r="U81" i="1"/>
  <c r="D81" i="1" s="1"/>
  <c r="U82" i="1"/>
  <c r="U84" i="1"/>
  <c r="U86" i="1"/>
  <c r="U87" i="1"/>
  <c r="U88" i="1"/>
  <c r="C79" i="1"/>
  <c r="C80" i="1"/>
  <c r="C78" i="1"/>
  <c r="U78" i="1"/>
  <c r="P78" i="1"/>
  <c r="K78" i="1"/>
  <c r="Z51" i="1"/>
  <c r="X290" i="1"/>
  <c r="W290" i="1"/>
  <c r="V290" i="1"/>
  <c r="S290" i="1"/>
  <c r="Z52" i="1"/>
  <c r="X11" i="1"/>
  <c r="F66" i="1"/>
  <c r="P66" i="1"/>
  <c r="U66" i="1"/>
  <c r="Z66" i="1"/>
  <c r="F67" i="1"/>
  <c r="P67" i="1"/>
  <c r="U67" i="1"/>
  <c r="Z67" i="1"/>
  <c r="C178" i="1"/>
  <c r="F178" i="1"/>
  <c r="P178" i="1"/>
  <c r="C103" i="1"/>
  <c r="F103" i="1"/>
  <c r="K103" i="1"/>
  <c r="P103" i="1"/>
  <c r="Z103" i="1"/>
  <c r="F65" i="1"/>
  <c r="P65" i="1"/>
  <c r="U65" i="1"/>
  <c r="Z65" i="1"/>
  <c r="J30" i="4"/>
  <c r="C643" i="5"/>
  <c r="M643" i="5"/>
  <c r="W643" i="5"/>
  <c r="E33" i="4"/>
  <c r="J33" i="4"/>
  <c r="E20" i="4"/>
  <c r="J20" i="4"/>
  <c r="W244" i="5"/>
  <c r="R244" i="5"/>
  <c r="M244" i="5"/>
  <c r="H244" i="5"/>
  <c r="C244" i="5"/>
  <c r="M640" i="5"/>
  <c r="H640" i="5"/>
  <c r="R632" i="5"/>
  <c r="H629" i="5"/>
  <c r="R618" i="5"/>
  <c r="R602" i="5"/>
  <c r="R170" i="5"/>
  <c r="R49" i="5"/>
  <c r="R10" i="5"/>
  <c r="J80" i="4"/>
  <c r="Q66" i="4"/>
  <c r="L66" i="4"/>
  <c r="J29" i="4"/>
  <c r="J28" i="4"/>
  <c r="J27" i="4"/>
  <c r="J26" i="4"/>
  <c r="J19" i="4"/>
  <c r="J17" i="4"/>
  <c r="J16" i="4"/>
  <c r="O15" i="4"/>
  <c r="J15" i="4"/>
  <c r="J13" i="4"/>
  <c r="U271" i="1"/>
  <c r="P269" i="1"/>
  <c r="U175" i="1"/>
  <c r="P175" i="1"/>
  <c r="K175" i="1"/>
  <c r="U174" i="1"/>
  <c r="P174" i="1"/>
  <c r="U106" i="1"/>
  <c r="P106" i="1"/>
  <c r="P104" i="1"/>
  <c r="K104" i="1"/>
  <c r="P50" i="1"/>
  <c r="K50" i="1"/>
  <c r="K46" i="1"/>
  <c r="U25" i="1"/>
  <c r="K25" i="1"/>
  <c r="U12" i="1"/>
  <c r="K12" i="1"/>
  <c r="D178" i="1" l="1"/>
  <c r="D103" i="1"/>
  <c r="P271" i="1"/>
  <c r="X293" i="1"/>
  <c r="U293" i="1" s="1"/>
  <c r="U290" i="1"/>
  <c r="AD33" i="4"/>
  <c r="AB643" i="5"/>
  <c r="W44" i="1"/>
  <c r="X44" i="1"/>
  <c r="AB244" i="5"/>
  <c r="D66" i="1"/>
  <c r="D67" i="1"/>
  <c r="D65" i="1"/>
  <c r="AD20" i="4"/>
  <c r="H267" i="1"/>
  <c r="G96" i="4"/>
  <c r="G104" i="4" s="1"/>
  <c r="H269" i="1"/>
  <c r="I64" i="1"/>
  <c r="H39" i="1"/>
  <c r="F77" i="4"/>
  <c r="E77" i="4" l="1"/>
  <c r="G64" i="4"/>
  <c r="E96" i="4" l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66" i="1"/>
  <c r="K214" i="1"/>
  <c r="W64" i="4" l="1"/>
  <c r="V64" i="4"/>
  <c r="U64" i="4"/>
  <c r="T64" i="4" l="1"/>
  <c r="C226" i="1"/>
  <c r="U226" i="1"/>
  <c r="C42" i="1" l="1"/>
  <c r="F42" i="1"/>
  <c r="D42" i="1" s="1"/>
  <c r="C235" i="1" l="1"/>
  <c r="F235" i="1"/>
  <c r="P235" i="1"/>
  <c r="U235" i="1"/>
  <c r="Z235" i="1"/>
  <c r="K62" i="4" l="1"/>
  <c r="N98" i="1"/>
  <c r="D235" i="1"/>
  <c r="J83" i="4" l="1"/>
  <c r="J93" i="4"/>
  <c r="F13" i="4"/>
  <c r="J14" i="4"/>
  <c r="E14" i="4"/>
  <c r="AA761" i="5"/>
  <c r="Z761" i="5"/>
  <c r="Y761" i="5"/>
  <c r="L761" i="5"/>
  <c r="K761" i="5"/>
  <c r="J761" i="5"/>
  <c r="G761" i="5"/>
  <c r="F761" i="5"/>
  <c r="E761" i="5"/>
  <c r="W34" i="5"/>
  <c r="R34" i="5"/>
  <c r="M34" i="5"/>
  <c r="H34" i="5"/>
  <c r="C34" i="5"/>
  <c r="AD14" i="4" l="1"/>
  <c r="AB34" i="5"/>
  <c r="Q59" i="4"/>
  <c r="O59" i="4" s="1"/>
  <c r="V59" i="4"/>
  <c r="T59" i="4" s="1"/>
  <c r="AA59" i="4"/>
  <c r="Y59" i="4" s="1"/>
  <c r="Z64" i="1"/>
  <c r="U64" i="1"/>
  <c r="P64" i="1"/>
  <c r="F64" i="1"/>
  <c r="Z63" i="1"/>
  <c r="U63" i="1"/>
  <c r="P63" i="1"/>
  <c r="F63" i="1"/>
  <c r="Z102" i="1"/>
  <c r="P102" i="1"/>
  <c r="K102" i="1"/>
  <c r="F102" i="1"/>
  <c r="C102" i="1"/>
  <c r="Z101" i="1"/>
  <c r="P101" i="1"/>
  <c r="K101" i="1"/>
  <c r="F101" i="1"/>
  <c r="C101" i="1"/>
  <c r="D101" i="1" l="1"/>
  <c r="D102" i="1"/>
  <c r="V106" i="4"/>
  <c r="T106" i="4" s="1"/>
  <c r="V71" i="4"/>
  <c r="T71" i="4" s="1"/>
  <c r="Q106" i="4"/>
  <c r="O106" i="4" s="1"/>
  <c r="Q71" i="4"/>
  <c r="AA106" i="4"/>
  <c r="Y106" i="4" s="1"/>
  <c r="AA71" i="4"/>
  <c r="Y71" i="4" s="1"/>
  <c r="D64" i="1"/>
  <c r="D63" i="1"/>
  <c r="P177" i="1"/>
  <c r="F177" i="1"/>
  <c r="C177" i="1"/>
  <c r="D177" i="1" l="1"/>
  <c r="AD106" i="4"/>
  <c r="O71" i="4"/>
  <c r="AD71" i="4" s="1"/>
  <c r="AF71" i="4"/>
  <c r="AD59" i="4"/>
  <c r="AA98" i="1"/>
  <c r="Y98" i="1"/>
  <c r="T98" i="1"/>
  <c r="Q98" i="1"/>
  <c r="R98" i="1"/>
  <c r="O98" i="1"/>
  <c r="J98" i="1"/>
  <c r="G98" i="1"/>
  <c r="E98" i="1"/>
  <c r="Z97" i="1"/>
  <c r="K97" i="1"/>
  <c r="C97" i="1"/>
  <c r="Z60" i="4" l="1"/>
  <c r="D97" i="1"/>
  <c r="AE117" i="4"/>
  <c r="AF117" i="4"/>
  <c r="AG117" i="4"/>
  <c r="AH117" i="4"/>
  <c r="AH115" i="4"/>
  <c r="AG115" i="4"/>
  <c r="AF115" i="4"/>
  <c r="AE115" i="4"/>
  <c r="AH113" i="4"/>
  <c r="AG113" i="4"/>
  <c r="AF113" i="4"/>
  <c r="AE113" i="4"/>
  <c r="AH111" i="4"/>
  <c r="AG111" i="4"/>
  <c r="AF111" i="4"/>
  <c r="AE111" i="4"/>
  <c r="AH109" i="4"/>
  <c r="AG109" i="4"/>
  <c r="AF109" i="4"/>
  <c r="AE109" i="4"/>
  <c r="P176" i="1"/>
  <c r="F176" i="1"/>
  <c r="C176" i="1"/>
  <c r="P114" i="4"/>
  <c r="K114" i="4"/>
  <c r="G114" i="4"/>
  <c r="H114" i="4"/>
  <c r="I114" i="4"/>
  <c r="L114" i="4"/>
  <c r="M114" i="4"/>
  <c r="N114" i="4"/>
  <c r="Q114" i="4"/>
  <c r="R114" i="4"/>
  <c r="S114" i="4"/>
  <c r="V114" i="4"/>
  <c r="W114" i="4"/>
  <c r="X114" i="4"/>
  <c r="AA114" i="4"/>
  <c r="AB114" i="4"/>
  <c r="AC114" i="4"/>
  <c r="E83" i="4"/>
  <c r="AD83" i="4" s="1"/>
  <c r="F80" i="4"/>
  <c r="D176" i="1" l="1"/>
  <c r="AH114" i="4"/>
  <c r="AG114" i="4"/>
  <c r="AF114" i="4"/>
  <c r="K87" i="1"/>
  <c r="F87" i="1"/>
  <c r="C87" i="1"/>
  <c r="D87" i="1" l="1"/>
  <c r="E277" i="1"/>
  <c r="G277" i="1"/>
  <c r="H277" i="1"/>
  <c r="I277" i="1"/>
  <c r="L277" i="1"/>
  <c r="M277" i="1"/>
  <c r="T277" i="1"/>
  <c r="V277" i="1"/>
  <c r="W277" i="1"/>
  <c r="X277" i="1"/>
  <c r="AA277" i="1"/>
  <c r="AB277" i="1"/>
  <c r="AC277" i="1"/>
  <c r="H153" i="5" l="1"/>
  <c r="F166" i="1"/>
  <c r="F167" i="1"/>
  <c r="Z283" i="1"/>
  <c r="P283" i="1"/>
  <c r="D283" i="1" l="1"/>
  <c r="C216" i="5"/>
  <c r="P92" i="1"/>
  <c r="C92" i="1"/>
  <c r="D92" i="1" l="1"/>
  <c r="E93" i="4"/>
  <c r="AD93" i="4" s="1"/>
  <c r="J92" i="4"/>
  <c r="E92" i="4"/>
  <c r="AD92" i="4" l="1"/>
  <c r="F94" i="4"/>
  <c r="F104" i="4" s="1"/>
  <c r="H38" i="1"/>
  <c r="I38" i="1"/>
  <c r="G38" i="1"/>
  <c r="C40" i="1"/>
  <c r="F40" i="1"/>
  <c r="D40" i="1" s="1"/>
  <c r="U39" i="1"/>
  <c r="F39" i="1"/>
  <c r="C39" i="1"/>
  <c r="I46" i="1"/>
  <c r="I76" i="1" s="1"/>
  <c r="F47" i="1"/>
  <c r="C640" i="5"/>
  <c r="C642" i="5"/>
  <c r="E30" i="4"/>
  <c r="F82" i="4"/>
  <c r="F175" i="1"/>
  <c r="D175" i="1" s="1"/>
  <c r="C175" i="1"/>
  <c r="F85" i="4" l="1"/>
  <c r="F114" i="4" s="1"/>
  <c r="F58" i="4"/>
  <c r="D39" i="1"/>
  <c r="F38" i="1"/>
  <c r="F165" i="1"/>
  <c r="AB267" i="1"/>
  <c r="F162" i="1" l="1"/>
  <c r="F161" i="1"/>
  <c r="F158" i="1"/>
  <c r="F134" i="1"/>
  <c r="P64" i="4"/>
  <c r="F56" i="1"/>
  <c r="K86" i="1"/>
  <c r="F86" i="1"/>
  <c r="C38" i="1"/>
  <c r="U38" i="1"/>
  <c r="D38" i="1" s="1"/>
  <c r="P28" i="1"/>
  <c r="Q28" i="1"/>
  <c r="R28" i="1"/>
  <c r="S28" i="1"/>
  <c r="U28" i="1"/>
  <c r="V28" i="1"/>
  <c r="W28" i="1"/>
  <c r="X28" i="1"/>
  <c r="AA28" i="1"/>
  <c r="AB28" i="1"/>
  <c r="AC28" i="1"/>
  <c r="C30" i="1"/>
  <c r="C29" i="1"/>
  <c r="F30" i="1"/>
  <c r="D30" i="1" s="1"/>
  <c r="F29" i="1"/>
  <c r="J11" i="1"/>
  <c r="F174" i="1"/>
  <c r="D174" i="1" s="1"/>
  <c r="C174" i="1"/>
  <c r="Q64" i="4"/>
  <c r="L64" i="4"/>
  <c r="I267" i="1"/>
  <c r="F63" i="4" s="1"/>
  <c r="F28" i="1" l="1"/>
  <c r="D28" i="1" s="1"/>
  <c r="D86" i="1"/>
  <c r="P237" i="1"/>
  <c r="D29" i="1"/>
  <c r="Z241" i="1" l="1"/>
  <c r="U241" i="1"/>
  <c r="P241" i="1"/>
  <c r="F241" i="1"/>
  <c r="C241" i="1"/>
  <c r="Z240" i="1"/>
  <c r="U240" i="1"/>
  <c r="P240" i="1"/>
  <c r="F240" i="1"/>
  <c r="C240" i="1"/>
  <c r="Z239" i="1"/>
  <c r="U239" i="1"/>
  <c r="P239" i="1"/>
  <c r="F239" i="1"/>
  <c r="C239" i="1"/>
  <c r="Z238" i="1"/>
  <c r="U238" i="1"/>
  <c r="P238" i="1"/>
  <c r="F238" i="1"/>
  <c r="C238" i="1"/>
  <c r="Z237" i="1"/>
  <c r="U237" i="1"/>
  <c r="F237" i="1"/>
  <c r="C237" i="1"/>
  <c r="Z236" i="1"/>
  <c r="U236" i="1"/>
  <c r="P236" i="1"/>
  <c r="F236" i="1"/>
  <c r="C236" i="1"/>
  <c r="Z234" i="1"/>
  <c r="U234" i="1"/>
  <c r="P234" i="1"/>
  <c r="F234" i="1"/>
  <c r="C234" i="1"/>
  <c r="Z233" i="1"/>
  <c r="U233" i="1"/>
  <c r="P233" i="1"/>
  <c r="F233" i="1"/>
  <c r="C233" i="1"/>
  <c r="Z232" i="1"/>
  <c r="U232" i="1"/>
  <c r="P232" i="1"/>
  <c r="F232" i="1"/>
  <c r="C232" i="1"/>
  <c r="Z231" i="1"/>
  <c r="U231" i="1"/>
  <c r="P231" i="1"/>
  <c r="F231" i="1"/>
  <c r="C231" i="1"/>
  <c r="Z230" i="1"/>
  <c r="U230" i="1"/>
  <c r="P230" i="1"/>
  <c r="F230" i="1"/>
  <c r="C230" i="1"/>
  <c r="Z229" i="1"/>
  <c r="U229" i="1"/>
  <c r="F229" i="1"/>
  <c r="C229" i="1"/>
  <c r="Z228" i="1"/>
  <c r="U228" i="1"/>
  <c r="F228" i="1"/>
  <c r="C228" i="1"/>
  <c r="F226" i="1"/>
  <c r="X72" i="4"/>
  <c r="X70" i="4" s="1"/>
  <c r="AC72" i="4"/>
  <c r="AC70" i="4" s="1"/>
  <c r="I72" i="4"/>
  <c r="I70" i="4" s="1"/>
  <c r="N72" i="4"/>
  <c r="N70" i="4" s="1"/>
  <c r="S72" i="4"/>
  <c r="S70" i="4" s="1"/>
  <c r="AB64" i="4"/>
  <c r="R64" i="4"/>
  <c r="O64" i="4" s="1"/>
  <c r="M64" i="4"/>
  <c r="J64" i="4" s="1"/>
  <c r="H64" i="4"/>
  <c r="AB62" i="4"/>
  <c r="Y62" i="4" s="1"/>
  <c r="W62" i="4"/>
  <c r="T62" i="4" s="1"/>
  <c r="R62" i="4"/>
  <c r="O62" i="4" s="1"/>
  <c r="Y64" i="4" l="1"/>
  <c r="X112" i="4"/>
  <c r="N112" i="4"/>
  <c r="AC112" i="4"/>
  <c r="S112" i="4"/>
  <c r="I112" i="4"/>
  <c r="AH70" i="4"/>
  <c r="D226" i="1"/>
  <c r="D238" i="1"/>
  <c r="D240" i="1"/>
  <c r="D241" i="1"/>
  <c r="D237" i="1"/>
  <c r="D234" i="1"/>
  <c r="D239" i="1"/>
  <c r="D236" i="1"/>
  <c r="D230" i="1"/>
  <c r="D229" i="1"/>
  <c r="D231" i="1"/>
  <c r="D233" i="1"/>
  <c r="D228" i="1"/>
  <c r="D232" i="1"/>
  <c r="AH112" i="4" l="1"/>
  <c r="AA63" i="4" l="1"/>
  <c r="E140" i="8" l="1"/>
  <c r="W629" i="5" l="1"/>
  <c r="R629" i="5"/>
  <c r="AB629" i="5" l="1"/>
  <c r="C294" i="1" l="1"/>
  <c r="F294" i="1"/>
  <c r="K294" i="1"/>
  <c r="P294" i="1"/>
  <c r="U294" i="1"/>
  <c r="Z294" i="1"/>
  <c r="I298" i="1"/>
  <c r="D294" i="1" l="1"/>
  <c r="F64" i="4" l="1"/>
  <c r="E64" i="4" s="1"/>
  <c r="AD64" i="4" s="1"/>
  <c r="Z282" i="1"/>
  <c r="P282" i="1"/>
  <c r="D282" i="1" l="1"/>
  <c r="F15" i="8"/>
  <c r="AB67" i="4" l="1"/>
  <c r="AB72" i="4" s="1"/>
  <c r="AB70" i="4" s="1"/>
  <c r="AA67" i="4"/>
  <c r="Z67" i="4"/>
  <c r="W67" i="4"/>
  <c r="W72" i="4" s="1"/>
  <c r="W70" i="4" s="1"/>
  <c r="V67" i="4"/>
  <c r="U67" i="4"/>
  <c r="Q67" i="4"/>
  <c r="R72" i="4"/>
  <c r="R70" i="4" s="1"/>
  <c r="P67" i="4"/>
  <c r="M67" i="4"/>
  <c r="H67" i="4"/>
  <c r="G67" i="4"/>
  <c r="Z297" i="1"/>
  <c r="Z298" i="1" s="1"/>
  <c r="U297" i="1"/>
  <c r="U298" i="1" s="1"/>
  <c r="P297" i="1"/>
  <c r="P298" i="1" s="1"/>
  <c r="K297" i="1"/>
  <c r="K298" i="1" s="1"/>
  <c r="E267" i="1"/>
  <c r="G267" i="1"/>
  <c r="G63" i="4"/>
  <c r="E63" i="4" s="1"/>
  <c r="L267" i="1"/>
  <c r="Q267" i="1"/>
  <c r="V267" i="1"/>
  <c r="AA267" i="1"/>
  <c r="Y67" i="4" l="1"/>
  <c r="T67" i="4"/>
  <c r="O67" i="4"/>
  <c r="R112" i="4"/>
  <c r="W112" i="4"/>
  <c r="AB112" i="4"/>
  <c r="E67" i="4"/>
  <c r="J67" i="4"/>
  <c r="D297" i="1"/>
  <c r="D298" i="1" s="1"/>
  <c r="Z62" i="1"/>
  <c r="U62" i="1"/>
  <c r="P62" i="1"/>
  <c r="F62" i="1"/>
  <c r="Z61" i="1"/>
  <c r="U61" i="1"/>
  <c r="P61" i="1"/>
  <c r="F61" i="1"/>
  <c r="Z60" i="1"/>
  <c r="U60" i="1"/>
  <c r="P60" i="1"/>
  <c r="K60" i="1"/>
  <c r="F60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9" i="1"/>
  <c r="C167" i="1"/>
  <c r="C170" i="1"/>
  <c r="C171" i="1"/>
  <c r="C172" i="1"/>
  <c r="C168" i="1"/>
  <c r="C173" i="1"/>
  <c r="C91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9" i="1"/>
  <c r="F160" i="1"/>
  <c r="F163" i="1"/>
  <c r="F164" i="1"/>
  <c r="F169" i="1"/>
  <c r="F170" i="1"/>
  <c r="F171" i="1"/>
  <c r="F172" i="1"/>
  <c r="F168" i="1"/>
  <c r="F173" i="1"/>
  <c r="P91" i="1"/>
  <c r="P173" i="1"/>
  <c r="P168" i="1"/>
  <c r="P172" i="1"/>
  <c r="P171" i="1"/>
  <c r="P170" i="1"/>
  <c r="P167" i="1"/>
  <c r="D167" i="1" s="1"/>
  <c r="P169" i="1"/>
  <c r="P166" i="1"/>
  <c r="D166" i="1" s="1"/>
  <c r="P165" i="1"/>
  <c r="D165" i="1" s="1"/>
  <c r="P164" i="1"/>
  <c r="P163" i="1"/>
  <c r="P162" i="1"/>
  <c r="D162" i="1" s="1"/>
  <c r="P161" i="1"/>
  <c r="D161" i="1" s="1"/>
  <c r="P160" i="1"/>
  <c r="P159" i="1"/>
  <c r="P158" i="1"/>
  <c r="D158" i="1" s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D134" i="1" s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K59" i="1"/>
  <c r="K58" i="1"/>
  <c r="K55" i="1"/>
  <c r="K56" i="1"/>
  <c r="K57" i="1"/>
  <c r="K52" i="1"/>
  <c r="K53" i="1"/>
  <c r="K51" i="1"/>
  <c r="K47" i="1"/>
  <c r="D173" i="1" l="1"/>
  <c r="D164" i="1"/>
  <c r="D160" i="1"/>
  <c r="D171" i="1"/>
  <c r="D163" i="1"/>
  <c r="D156" i="1"/>
  <c r="D152" i="1"/>
  <c r="D148" i="1"/>
  <c r="D144" i="1"/>
  <c r="D140" i="1"/>
  <c r="D136" i="1"/>
  <c r="D131" i="1"/>
  <c r="D127" i="1"/>
  <c r="D123" i="1"/>
  <c r="D119" i="1"/>
  <c r="D115" i="1"/>
  <c r="D111" i="1"/>
  <c r="D107" i="1"/>
  <c r="D170" i="1"/>
  <c r="D155" i="1"/>
  <c r="D151" i="1"/>
  <c r="D147" i="1"/>
  <c r="D143" i="1"/>
  <c r="D139" i="1"/>
  <c r="D135" i="1"/>
  <c r="D130" i="1"/>
  <c r="D126" i="1"/>
  <c r="D122" i="1"/>
  <c r="D118" i="1"/>
  <c r="D114" i="1"/>
  <c r="D110" i="1"/>
  <c r="D168" i="1"/>
  <c r="D169" i="1"/>
  <c r="D159" i="1"/>
  <c r="D154" i="1"/>
  <c r="D150" i="1"/>
  <c r="D146" i="1"/>
  <c r="D142" i="1"/>
  <c r="D138" i="1"/>
  <c r="D133" i="1"/>
  <c r="D129" i="1"/>
  <c r="D125" i="1"/>
  <c r="D121" i="1"/>
  <c r="D117" i="1"/>
  <c r="D113" i="1"/>
  <c r="D109" i="1"/>
  <c r="D172" i="1"/>
  <c r="D157" i="1"/>
  <c r="D153" i="1"/>
  <c r="D149" i="1"/>
  <c r="D145" i="1"/>
  <c r="D141" i="1"/>
  <c r="D137" i="1"/>
  <c r="D132" i="1"/>
  <c r="D128" i="1"/>
  <c r="D124" i="1"/>
  <c r="D120" i="1"/>
  <c r="D116" i="1"/>
  <c r="D112" i="1"/>
  <c r="D108" i="1"/>
  <c r="K76" i="1"/>
  <c r="AD67" i="4"/>
  <c r="D61" i="1"/>
  <c r="D62" i="1"/>
  <c r="D91" i="1"/>
  <c r="D60" i="1"/>
  <c r="Z59" i="1"/>
  <c r="U59" i="1"/>
  <c r="P59" i="1"/>
  <c r="F59" i="1"/>
  <c r="Z58" i="1"/>
  <c r="U58" i="1"/>
  <c r="P58" i="1"/>
  <c r="F58" i="1"/>
  <c r="D59" i="1" l="1"/>
  <c r="D58" i="1"/>
  <c r="C27" i="1" l="1"/>
  <c r="P27" i="1"/>
  <c r="K27" i="1"/>
  <c r="F27" i="1"/>
  <c r="F26" i="1"/>
  <c r="K26" i="1"/>
  <c r="P26" i="1"/>
  <c r="H62" i="4"/>
  <c r="M62" i="4"/>
  <c r="D27" i="1" l="1"/>
  <c r="D26" i="1"/>
  <c r="C26" i="1"/>
  <c r="C214" i="1"/>
  <c r="F214" i="1"/>
  <c r="P214" i="1"/>
  <c r="U214" i="1"/>
  <c r="Z214" i="1"/>
  <c r="AD28" i="4"/>
  <c r="D214" i="1" l="1"/>
  <c r="R640" i="5"/>
  <c r="W640" i="5"/>
  <c r="M263" i="5"/>
  <c r="H263" i="5"/>
  <c r="C263" i="5"/>
  <c r="P50" i="4"/>
  <c r="P48" i="4" s="1"/>
  <c r="F25" i="4"/>
  <c r="F50" i="4" l="1"/>
  <c r="F48" i="4"/>
  <c r="AD30" i="4"/>
  <c r="AB640" i="5"/>
  <c r="R263" i="5"/>
  <c r="W263" i="5"/>
  <c r="F25" i="1"/>
  <c r="C25" i="1"/>
  <c r="F24" i="1"/>
  <c r="AE48" i="4" l="1"/>
  <c r="E48" i="4"/>
  <c r="AB263" i="5"/>
  <c r="D25" i="1"/>
  <c r="Y94" i="4"/>
  <c r="P96" i="1" l="1"/>
  <c r="D96" i="1" s="1"/>
  <c r="C96" i="1"/>
  <c r="O288" i="1" l="1"/>
  <c r="F266" i="1" l="1"/>
  <c r="C215" i="1"/>
  <c r="Z266" i="1" l="1"/>
  <c r="P266" i="1"/>
  <c r="C266" i="1"/>
  <c r="AD260" i="1" l="1"/>
  <c r="D266" i="1"/>
  <c r="C24" i="1"/>
  <c r="C21" i="1"/>
  <c r="E21" i="1"/>
  <c r="Z106" i="1" l="1"/>
  <c r="F106" i="1"/>
  <c r="C106" i="1"/>
  <c r="Z105" i="1"/>
  <c r="U105" i="1"/>
  <c r="P105" i="1"/>
  <c r="F105" i="1"/>
  <c r="C105" i="1"/>
  <c r="Z57" i="1"/>
  <c r="U57" i="1"/>
  <c r="P57" i="1"/>
  <c r="F57" i="1"/>
  <c r="Z56" i="1"/>
  <c r="U56" i="1"/>
  <c r="P56" i="1"/>
  <c r="Z55" i="1"/>
  <c r="U55" i="1"/>
  <c r="P55" i="1"/>
  <c r="F55" i="1"/>
  <c r="Z54" i="1"/>
  <c r="U54" i="1"/>
  <c r="P54" i="1"/>
  <c r="F54" i="1"/>
  <c r="D105" i="1" l="1"/>
  <c r="D106" i="1"/>
  <c r="U76" i="1"/>
  <c r="D56" i="1"/>
  <c r="D55" i="1"/>
  <c r="D57" i="1"/>
  <c r="D54" i="1"/>
  <c r="F52" i="1"/>
  <c r="AC116" i="4" l="1"/>
  <c r="AB116" i="4"/>
  <c r="AA116" i="4"/>
  <c r="Z116" i="4"/>
  <c r="X116" i="4"/>
  <c r="W116" i="4"/>
  <c r="V116" i="4"/>
  <c r="U116" i="4"/>
  <c r="S116" i="4"/>
  <c r="R116" i="4"/>
  <c r="Q116" i="4"/>
  <c r="N104" i="4"/>
  <c r="N116" i="4" s="1"/>
  <c r="M104" i="4"/>
  <c r="L116" i="4"/>
  <c r="I116" i="4"/>
  <c r="H104" i="4"/>
  <c r="G116" i="4"/>
  <c r="J96" i="4"/>
  <c r="P116" i="4"/>
  <c r="K116" i="4"/>
  <c r="J90" i="4"/>
  <c r="E90" i="4"/>
  <c r="J82" i="4"/>
  <c r="E82" i="4"/>
  <c r="E80" i="4"/>
  <c r="J78" i="4"/>
  <c r="J77" i="4"/>
  <c r="H56" i="4"/>
  <c r="AC50" i="4"/>
  <c r="AC110" i="4" s="1"/>
  <c r="AB50" i="4"/>
  <c r="AB110" i="4" s="1"/>
  <c r="AA50" i="4"/>
  <c r="AA110" i="4" s="1"/>
  <c r="X50" i="4"/>
  <c r="X110" i="4" s="1"/>
  <c r="W50" i="4"/>
  <c r="W110" i="4" s="1"/>
  <c r="V50" i="4"/>
  <c r="V110" i="4" s="1"/>
  <c r="S50" i="4"/>
  <c r="R50" i="4"/>
  <c r="Q50" i="4"/>
  <c r="P110" i="4"/>
  <c r="N50" i="4"/>
  <c r="N110" i="4" s="1"/>
  <c r="M50" i="4"/>
  <c r="M110" i="4" s="1"/>
  <c r="L50" i="4"/>
  <c r="L110" i="4" s="1"/>
  <c r="K110" i="4"/>
  <c r="I50" i="4"/>
  <c r="I110" i="4" s="1"/>
  <c r="H50" i="4"/>
  <c r="H110" i="4" s="1"/>
  <c r="G50" i="4"/>
  <c r="G110" i="4" s="1"/>
  <c r="U110" i="4"/>
  <c r="J38" i="4"/>
  <c r="E38" i="4"/>
  <c r="J32" i="4"/>
  <c r="E32" i="4"/>
  <c r="J31" i="4"/>
  <c r="J50" i="4" s="1"/>
  <c r="E31" i="4"/>
  <c r="E29" i="4"/>
  <c r="AD29" i="4" s="1"/>
  <c r="E27" i="4"/>
  <c r="AD27" i="4" s="1"/>
  <c r="E26" i="4"/>
  <c r="AD26" i="4" s="1"/>
  <c r="E25" i="4"/>
  <c r="AD19" i="4"/>
  <c r="F110" i="4"/>
  <c r="E16" i="4"/>
  <c r="AD16" i="4" s="1"/>
  <c r="E15" i="4"/>
  <c r="AD15" i="4" s="1"/>
  <c r="E13" i="4"/>
  <c r="AD13" i="4" s="1"/>
  <c r="Z291" i="1"/>
  <c r="P291" i="1"/>
  <c r="C291" i="1"/>
  <c r="AB290" i="1"/>
  <c r="AA290" i="1"/>
  <c r="R290" i="1"/>
  <c r="Q290" i="1"/>
  <c r="M290" i="1"/>
  <c r="L290" i="1"/>
  <c r="J290" i="1"/>
  <c r="I290" i="1"/>
  <c r="H290" i="1"/>
  <c r="G290" i="1"/>
  <c r="E290" i="1"/>
  <c r="Z289" i="1"/>
  <c r="P289" i="1"/>
  <c r="AB288" i="1"/>
  <c r="AA288" i="1"/>
  <c r="Y288" i="1"/>
  <c r="S288" i="1"/>
  <c r="R288" i="1"/>
  <c r="Q288" i="1"/>
  <c r="N288" i="1"/>
  <c r="M288" i="1"/>
  <c r="L288" i="1"/>
  <c r="J288" i="1"/>
  <c r="I288" i="1"/>
  <c r="H288" i="1"/>
  <c r="G288" i="1"/>
  <c r="E288" i="1"/>
  <c r="Z281" i="1"/>
  <c r="P281" i="1"/>
  <c r="Z280" i="1"/>
  <c r="P280" i="1"/>
  <c r="Z279" i="1"/>
  <c r="P279" i="1"/>
  <c r="K277" i="1"/>
  <c r="I285" i="1"/>
  <c r="AA271" i="1"/>
  <c r="Y271" i="1"/>
  <c r="V271" i="1"/>
  <c r="T271" i="1"/>
  <c r="S271" i="1"/>
  <c r="P65" i="4" s="1"/>
  <c r="R271" i="1"/>
  <c r="Q65" i="4" s="1"/>
  <c r="Q271" i="1"/>
  <c r="O271" i="1"/>
  <c r="N271" i="1"/>
  <c r="K65" i="4" s="1"/>
  <c r="M271" i="1"/>
  <c r="L65" i="4" s="1"/>
  <c r="L271" i="1"/>
  <c r="J271" i="1"/>
  <c r="I271" i="1"/>
  <c r="F65" i="4" s="1"/>
  <c r="H271" i="1"/>
  <c r="G65" i="4" s="1"/>
  <c r="G271" i="1"/>
  <c r="E271" i="1"/>
  <c r="Z270" i="1"/>
  <c r="D270" i="1" s="1"/>
  <c r="AC271" i="1"/>
  <c r="Z65" i="4" s="1"/>
  <c r="X271" i="1"/>
  <c r="F269" i="1"/>
  <c r="C271" i="1"/>
  <c r="Z104" i="1"/>
  <c r="F104" i="1"/>
  <c r="C104" i="1"/>
  <c r="Z218" i="1"/>
  <c r="U218" i="1"/>
  <c r="P218" i="1"/>
  <c r="F218" i="1"/>
  <c r="C218" i="1"/>
  <c r="Z224" i="1"/>
  <c r="U224" i="1"/>
  <c r="P224" i="1"/>
  <c r="F224" i="1"/>
  <c r="C224" i="1"/>
  <c r="Z223" i="1"/>
  <c r="U223" i="1"/>
  <c r="P223" i="1"/>
  <c r="F223" i="1"/>
  <c r="C223" i="1"/>
  <c r="Z225" i="1"/>
  <c r="U225" i="1"/>
  <c r="P225" i="1"/>
  <c r="F225" i="1"/>
  <c r="C225" i="1"/>
  <c r="Z215" i="1"/>
  <c r="U215" i="1"/>
  <c r="P215" i="1"/>
  <c r="F215" i="1"/>
  <c r="S267" i="1"/>
  <c r="P100" i="1"/>
  <c r="F100" i="1"/>
  <c r="Z222" i="1"/>
  <c r="U222" i="1"/>
  <c r="P222" i="1"/>
  <c r="F222" i="1"/>
  <c r="C222" i="1"/>
  <c r="Z219" i="1"/>
  <c r="U219" i="1"/>
  <c r="P219" i="1"/>
  <c r="F219" i="1"/>
  <c r="C219" i="1"/>
  <c r="Z216" i="1"/>
  <c r="U216" i="1"/>
  <c r="P216" i="1"/>
  <c r="F216" i="1"/>
  <c r="C216" i="1"/>
  <c r="Z217" i="1"/>
  <c r="U217" i="1"/>
  <c r="P217" i="1"/>
  <c r="F217" i="1"/>
  <c r="C217" i="1"/>
  <c r="Z220" i="1"/>
  <c r="U220" i="1"/>
  <c r="P220" i="1"/>
  <c r="F220" i="1"/>
  <c r="C220" i="1"/>
  <c r="Z221" i="1"/>
  <c r="U221" i="1"/>
  <c r="P221" i="1"/>
  <c r="F221" i="1"/>
  <c r="C221" i="1"/>
  <c r="K84" i="1"/>
  <c r="D84" i="1" s="1"/>
  <c r="C84" i="1"/>
  <c r="K83" i="1"/>
  <c r="C83" i="1"/>
  <c r="K82" i="1"/>
  <c r="C82" i="1"/>
  <c r="C81" i="1"/>
  <c r="D80" i="1"/>
  <c r="K79" i="1"/>
  <c r="Z78" i="1"/>
  <c r="P98" i="1"/>
  <c r="K88" i="1"/>
  <c r="C88" i="1"/>
  <c r="Q60" i="4"/>
  <c r="D93" i="1"/>
  <c r="Z58" i="4"/>
  <c r="AA58" i="4"/>
  <c r="U58" i="4"/>
  <c r="V58" i="4"/>
  <c r="Q58" i="4"/>
  <c r="L58" i="4"/>
  <c r="Z53" i="1"/>
  <c r="P53" i="1"/>
  <c r="P52" i="1"/>
  <c r="Z50" i="1"/>
  <c r="Z76" i="1" s="1"/>
  <c r="P47" i="1"/>
  <c r="F46" i="1"/>
  <c r="F76" i="1" s="1"/>
  <c r="AC44" i="1"/>
  <c r="AB44" i="1"/>
  <c r="H65" i="4"/>
  <c r="S44" i="1"/>
  <c r="F23" i="1"/>
  <c r="AC23" i="1"/>
  <c r="AB23" i="1"/>
  <c r="Z23" i="1"/>
  <c r="Y23" i="1"/>
  <c r="X23" i="1"/>
  <c r="W23" i="1"/>
  <c r="U23" i="1"/>
  <c r="T23" i="1"/>
  <c r="S23" i="1"/>
  <c r="R23" i="1"/>
  <c r="O23" i="1"/>
  <c r="N23" i="1"/>
  <c r="M23" i="1"/>
  <c r="J23" i="1"/>
  <c r="I23" i="1"/>
  <c r="H23" i="1"/>
  <c r="G23" i="1"/>
  <c r="C23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L21" i="1"/>
  <c r="J21" i="1"/>
  <c r="I21" i="1"/>
  <c r="H21" i="1"/>
  <c r="G21" i="1"/>
  <c r="Z14" i="1"/>
  <c r="U14" i="1"/>
  <c r="K14" i="1"/>
  <c r="C14" i="1"/>
  <c r="Z13" i="1"/>
  <c r="U13" i="1"/>
  <c r="P13" i="1"/>
  <c r="K13" i="1"/>
  <c r="F13" i="1"/>
  <c r="C13" i="1"/>
  <c r="Z12" i="1"/>
  <c r="S11" i="1"/>
  <c r="R11" i="1"/>
  <c r="C12" i="1"/>
  <c r="AC11" i="1"/>
  <c r="AB11" i="1"/>
  <c r="AA11" i="1"/>
  <c r="Y11" i="1"/>
  <c r="W11" i="1"/>
  <c r="V11" i="1"/>
  <c r="T11" i="1"/>
  <c r="Q11" i="1"/>
  <c r="O11" i="1"/>
  <c r="M11" i="1"/>
  <c r="L11" i="1"/>
  <c r="I11" i="1"/>
  <c r="H11" i="1"/>
  <c r="G11" i="1"/>
  <c r="E11" i="1"/>
  <c r="C749" i="5"/>
  <c r="W642" i="5"/>
  <c r="R642" i="5"/>
  <c r="M642" i="5"/>
  <c r="W641" i="5"/>
  <c r="R641" i="5"/>
  <c r="M641" i="5"/>
  <c r="H641" i="5"/>
  <c r="C641" i="5"/>
  <c r="M632" i="5"/>
  <c r="H632" i="5"/>
  <c r="C632" i="5"/>
  <c r="M618" i="5"/>
  <c r="H618" i="5"/>
  <c r="C618" i="5"/>
  <c r="M602" i="5"/>
  <c r="H602" i="5"/>
  <c r="C602" i="5"/>
  <c r="W216" i="5"/>
  <c r="R216" i="5"/>
  <c r="M216" i="5"/>
  <c r="H216" i="5"/>
  <c r="M170" i="5"/>
  <c r="H170" i="5"/>
  <c r="C153" i="5"/>
  <c r="AB153" i="5" s="1"/>
  <c r="M49" i="5"/>
  <c r="H49" i="5"/>
  <c r="C49" i="5"/>
  <c r="M10" i="5"/>
  <c r="H10" i="5"/>
  <c r="C10" i="5"/>
  <c r="Z267" i="1" l="1"/>
  <c r="W759" i="5"/>
  <c r="E85" i="4"/>
  <c r="D78" i="1"/>
  <c r="D104" i="1"/>
  <c r="U65" i="4"/>
  <c r="U267" i="1"/>
  <c r="O285" i="1"/>
  <c r="J33" i="1"/>
  <c r="P23" i="1"/>
  <c r="D14" i="1"/>
  <c r="H293" i="1"/>
  <c r="U11" i="1"/>
  <c r="N44" i="1"/>
  <c r="K56" i="4" s="1"/>
  <c r="H33" i="1"/>
  <c r="T33" i="1"/>
  <c r="W33" i="1"/>
  <c r="R33" i="1"/>
  <c r="E44" i="1"/>
  <c r="P76" i="1"/>
  <c r="S33" i="1"/>
  <c r="X33" i="1"/>
  <c r="C98" i="1"/>
  <c r="C267" i="1"/>
  <c r="F271" i="1"/>
  <c r="P277" i="1"/>
  <c r="G33" i="1"/>
  <c r="I33" i="1"/>
  <c r="N33" i="1"/>
  <c r="R759" i="5"/>
  <c r="Q110" i="4"/>
  <c r="AF110" i="4" s="1"/>
  <c r="Q48" i="4"/>
  <c r="AF48" i="4" s="1"/>
  <c r="S110" i="4"/>
  <c r="AH110" i="4" s="1"/>
  <c r="S48" i="4"/>
  <c r="AH48" i="4" s="1"/>
  <c r="R110" i="4"/>
  <c r="R48" i="4"/>
  <c r="AG48" i="4" s="1"/>
  <c r="J85" i="4"/>
  <c r="J114" i="4" s="1"/>
  <c r="C761" i="5"/>
  <c r="C759" i="5" s="1"/>
  <c r="M761" i="5"/>
  <c r="M759" i="5" s="1"/>
  <c r="W761" i="5"/>
  <c r="R761" i="5"/>
  <c r="H116" i="4"/>
  <c r="E104" i="4"/>
  <c r="M116" i="4"/>
  <c r="J104" i="4"/>
  <c r="S285" i="1"/>
  <c r="J285" i="1"/>
  <c r="P275" i="1"/>
  <c r="J293" i="1"/>
  <c r="O58" i="4"/>
  <c r="Y58" i="4"/>
  <c r="O65" i="4"/>
  <c r="P11" i="1"/>
  <c r="T58" i="4"/>
  <c r="O60" i="4"/>
  <c r="AD96" i="4"/>
  <c r="Y116" i="4"/>
  <c r="T116" i="4"/>
  <c r="D279" i="1"/>
  <c r="D281" i="1"/>
  <c r="Z292" i="1"/>
  <c r="D280" i="1"/>
  <c r="K288" i="1"/>
  <c r="D291" i="1"/>
  <c r="D289" i="1"/>
  <c r="AD31" i="4"/>
  <c r="N285" i="1"/>
  <c r="K267" i="1"/>
  <c r="K58" i="4"/>
  <c r="J58" i="4" s="1"/>
  <c r="C37" i="1"/>
  <c r="H761" i="5"/>
  <c r="H759" i="5" s="1"/>
  <c r="AD32" i="4"/>
  <c r="AD25" i="4"/>
  <c r="K98" i="1"/>
  <c r="J110" i="4"/>
  <c r="J62" i="4"/>
  <c r="K60" i="4"/>
  <c r="K290" i="1"/>
  <c r="F277" i="1"/>
  <c r="F285" i="1" s="1"/>
  <c r="AA44" i="1"/>
  <c r="D82" i="1"/>
  <c r="R293" i="1"/>
  <c r="AC33" i="1"/>
  <c r="Y44" i="1"/>
  <c r="D88" i="1"/>
  <c r="D100" i="1"/>
  <c r="F44" i="1"/>
  <c r="J44" i="1"/>
  <c r="I44" i="1"/>
  <c r="F56" i="4" s="1"/>
  <c r="O44" i="1"/>
  <c r="G44" i="1"/>
  <c r="H44" i="1"/>
  <c r="G56" i="4" s="1"/>
  <c r="D225" i="1"/>
  <c r="Z56" i="4"/>
  <c r="P56" i="4"/>
  <c r="T44" i="1"/>
  <c r="AB216" i="5"/>
  <c r="AE110" i="4"/>
  <c r="F267" i="1"/>
  <c r="L44" i="1"/>
  <c r="Q44" i="1"/>
  <c r="V44" i="1"/>
  <c r="AA56" i="4"/>
  <c r="R44" i="1"/>
  <c r="Q56" i="4" s="1"/>
  <c r="V56" i="4"/>
  <c r="O114" i="4"/>
  <c r="AH116" i="4"/>
  <c r="F98" i="1"/>
  <c r="AF116" i="4"/>
  <c r="AG110" i="4"/>
  <c r="AE104" i="4"/>
  <c r="F116" i="4"/>
  <c r="AE116" i="4" s="1"/>
  <c r="H98" i="1"/>
  <c r="G60" i="4" s="1"/>
  <c r="I98" i="1"/>
  <c r="F60" i="4" s="1"/>
  <c r="E114" i="4"/>
  <c r="U114" i="4"/>
  <c r="C277" i="1"/>
  <c r="Z277" i="1"/>
  <c r="Z285" i="1" s="1"/>
  <c r="H58" i="4"/>
  <c r="E58" i="4" s="1"/>
  <c r="Q33" i="1"/>
  <c r="E23" i="1"/>
  <c r="E33" i="1" s="1"/>
  <c r="C15" i="1"/>
  <c r="U44" i="1"/>
  <c r="I293" i="1"/>
  <c r="I295" i="1" s="1"/>
  <c r="N293" i="1"/>
  <c r="AA293" i="1"/>
  <c r="E293" i="1"/>
  <c r="Q293" i="1"/>
  <c r="AB293" i="1"/>
  <c r="M293" i="1"/>
  <c r="G293" i="1"/>
  <c r="L293" i="1"/>
  <c r="K63" i="4"/>
  <c r="P63" i="4"/>
  <c r="V63" i="4"/>
  <c r="U63" i="4"/>
  <c r="L63" i="4"/>
  <c r="R267" i="1"/>
  <c r="Z63" i="4"/>
  <c r="F21" i="1"/>
  <c r="AA60" i="4"/>
  <c r="H285" i="1"/>
  <c r="M285" i="1"/>
  <c r="AB285" i="1"/>
  <c r="E285" i="1"/>
  <c r="AA285" i="1"/>
  <c r="AG104" i="4"/>
  <c r="AD82" i="4"/>
  <c r="AH85" i="4"/>
  <c r="AH104" i="4"/>
  <c r="X285" i="1"/>
  <c r="X295" i="1" s="1"/>
  <c r="AB618" i="5"/>
  <c r="Z288" i="1"/>
  <c r="AF85" i="4"/>
  <c r="AB49" i="5"/>
  <c r="AB602" i="5"/>
  <c r="AF50" i="4"/>
  <c r="AD90" i="4"/>
  <c r="G285" i="1"/>
  <c r="Q285" i="1"/>
  <c r="Z11" i="1"/>
  <c r="P288" i="1"/>
  <c r="AB641" i="5"/>
  <c r="AB170" i="5"/>
  <c r="AB642" i="5"/>
  <c r="AB632" i="5"/>
  <c r="E94" i="4"/>
  <c r="AF104" i="4"/>
  <c r="E17" i="4"/>
  <c r="AD17" i="4" s="1"/>
  <c r="Y110" i="4"/>
  <c r="AG50" i="4"/>
  <c r="I107" i="4"/>
  <c r="S107" i="4"/>
  <c r="AC107" i="4"/>
  <c r="T114" i="4"/>
  <c r="O50" i="4"/>
  <c r="AH50" i="4"/>
  <c r="J94" i="4"/>
  <c r="AD81" i="4"/>
  <c r="AG85" i="4"/>
  <c r="AE50" i="4"/>
  <c r="D12" i="1"/>
  <c r="Y33" i="1"/>
  <c r="D47" i="1"/>
  <c r="W107" i="4"/>
  <c r="AB33" i="1"/>
  <c r="D51" i="1"/>
  <c r="K275" i="1"/>
  <c r="T50" i="4"/>
  <c r="T110" i="4" s="1"/>
  <c r="N107" i="4"/>
  <c r="X107" i="4"/>
  <c r="AD78" i="4"/>
  <c r="AD80" i="4"/>
  <c r="AB10" i="5"/>
  <c r="P274" i="1"/>
  <c r="R107" i="4"/>
  <c r="AB107" i="4"/>
  <c r="D52" i="1"/>
  <c r="C19" i="1"/>
  <c r="D220" i="1"/>
  <c r="D219" i="1"/>
  <c r="D222" i="1"/>
  <c r="D46" i="1"/>
  <c r="K11" i="1"/>
  <c r="V33" i="1"/>
  <c r="D215" i="1"/>
  <c r="D224" i="1"/>
  <c r="D218" i="1"/>
  <c r="Y285" i="1"/>
  <c r="P287" i="1"/>
  <c r="P290" i="1"/>
  <c r="Z290" i="1"/>
  <c r="S293" i="1"/>
  <c r="D216" i="1"/>
  <c r="C11" i="1"/>
  <c r="D13" i="1"/>
  <c r="F11" i="1"/>
  <c r="AA33" i="1"/>
  <c r="D221" i="1"/>
  <c r="W271" i="1"/>
  <c r="D50" i="1"/>
  <c r="D53" i="1"/>
  <c r="Z79" i="1"/>
  <c r="D79" i="1" s="1"/>
  <c r="D217" i="1"/>
  <c r="D223" i="1"/>
  <c r="W285" i="1"/>
  <c r="C288" i="1"/>
  <c r="U275" i="1"/>
  <c r="D37" i="1"/>
  <c r="V285" i="1"/>
  <c r="K292" i="1"/>
  <c r="M33" i="1"/>
  <c r="C20" i="1"/>
  <c r="AB271" i="1"/>
  <c r="Z269" i="1"/>
  <c r="D269" i="1" s="1"/>
  <c r="D271" i="1" s="1"/>
  <c r="E65" i="4"/>
  <c r="L285" i="1"/>
  <c r="R285" i="1"/>
  <c r="T285" i="1"/>
  <c r="T295" i="1" s="1"/>
  <c r="AC285" i="1"/>
  <c r="Z287" i="1"/>
  <c r="F290" i="1"/>
  <c r="O290" i="1"/>
  <c r="O293" i="1" s="1"/>
  <c r="C290" i="1"/>
  <c r="J65" i="4"/>
  <c r="Y293" i="1"/>
  <c r="AH72" i="4"/>
  <c r="D267" i="1" l="1"/>
  <c r="Y63" i="4"/>
  <c r="Z98" i="1"/>
  <c r="X307" i="1"/>
  <c r="X305" i="1" s="1"/>
  <c r="Q63" i="4"/>
  <c r="O63" i="4" s="1"/>
  <c r="D76" i="1"/>
  <c r="D275" i="1"/>
  <c r="T307" i="1"/>
  <c r="F33" i="1"/>
  <c r="D287" i="1"/>
  <c r="D288" i="1"/>
  <c r="D277" i="1"/>
  <c r="O295" i="1"/>
  <c r="E60" i="4"/>
  <c r="AG116" i="4"/>
  <c r="U55" i="4"/>
  <c r="U33" i="1"/>
  <c r="P33" i="1"/>
  <c r="P44" i="1"/>
  <c r="J295" i="1"/>
  <c r="J307" i="1" s="1"/>
  <c r="J305" i="1" s="1"/>
  <c r="O110" i="4"/>
  <c r="O48" i="4"/>
  <c r="AD48" i="4" s="1"/>
  <c r="P267" i="1"/>
  <c r="P285" i="1"/>
  <c r="Y56" i="4"/>
  <c r="O56" i="4"/>
  <c r="T63" i="4"/>
  <c r="Y60" i="4"/>
  <c r="K44" i="1"/>
  <c r="O116" i="4"/>
  <c r="T305" i="1"/>
  <c r="D290" i="1"/>
  <c r="G55" i="4"/>
  <c r="V55" i="4"/>
  <c r="H55" i="4"/>
  <c r="I307" i="1"/>
  <c r="I305" i="1" s="1"/>
  <c r="U66" i="4"/>
  <c r="AA295" i="1"/>
  <c r="AA307" i="1" s="1"/>
  <c r="Y295" i="1"/>
  <c r="AD38" i="4"/>
  <c r="AD50" i="4" s="1"/>
  <c r="AB749" i="5"/>
  <c r="AB761" i="5" s="1"/>
  <c r="AB759" i="5" s="1"/>
  <c r="AD58" i="4"/>
  <c r="L33" i="1"/>
  <c r="K24" i="1"/>
  <c r="D24" i="1" s="1"/>
  <c r="J116" i="4"/>
  <c r="I118" i="4"/>
  <c r="I105" i="4"/>
  <c r="AC118" i="4"/>
  <c r="AC105" i="4"/>
  <c r="N118" i="4"/>
  <c r="N105" i="4"/>
  <c r="X118" i="4"/>
  <c r="X105" i="4"/>
  <c r="S118" i="4"/>
  <c r="S105" i="4"/>
  <c r="C285" i="1"/>
  <c r="R118" i="4"/>
  <c r="R105" i="4"/>
  <c r="W118" i="4"/>
  <c r="W105" i="4"/>
  <c r="AB118" i="4"/>
  <c r="AB105" i="4"/>
  <c r="E116" i="4"/>
  <c r="AB295" i="1"/>
  <c r="AA66" i="4" s="1"/>
  <c r="S295" i="1"/>
  <c r="P66" i="4" s="1"/>
  <c r="O66" i="4" s="1"/>
  <c r="M44" i="1"/>
  <c r="L56" i="4" s="1"/>
  <c r="J56" i="4" s="1"/>
  <c r="E50" i="4"/>
  <c r="E110" i="4" s="1"/>
  <c r="C44" i="1"/>
  <c r="Z114" i="4"/>
  <c r="AE114" i="4" s="1"/>
  <c r="Y114" i="4"/>
  <c r="J63" i="4"/>
  <c r="E62" i="4"/>
  <c r="AD62" i="4" s="1"/>
  <c r="N295" i="1"/>
  <c r="K66" i="4" s="1"/>
  <c r="J66" i="4" s="1"/>
  <c r="L295" i="1"/>
  <c r="G295" i="1"/>
  <c r="G307" i="1" s="1"/>
  <c r="R295" i="1"/>
  <c r="R307" i="1" s="1"/>
  <c r="V295" i="1"/>
  <c r="V307" i="1" s="1"/>
  <c r="Q295" i="1"/>
  <c r="Q307" i="1" s="1"/>
  <c r="H295" i="1"/>
  <c r="H307" i="1" s="1"/>
  <c r="W295" i="1"/>
  <c r="V66" i="4" s="1"/>
  <c r="M295" i="1"/>
  <c r="E295" i="1"/>
  <c r="E307" i="1" s="1"/>
  <c r="E305" i="1" s="1"/>
  <c r="K293" i="1"/>
  <c r="F293" i="1"/>
  <c r="P293" i="1"/>
  <c r="AC293" i="1"/>
  <c r="Z293" i="1" s="1"/>
  <c r="P292" i="1"/>
  <c r="D292" i="1" s="1"/>
  <c r="Q55" i="4"/>
  <c r="P55" i="4"/>
  <c r="F55" i="4"/>
  <c r="F72" i="4" s="1"/>
  <c r="F70" i="4" s="1"/>
  <c r="AD77" i="4"/>
  <c r="U274" i="1"/>
  <c r="D274" i="1" s="1"/>
  <c r="C293" i="1"/>
  <c r="AH107" i="4"/>
  <c r="D11" i="1"/>
  <c r="Z55" i="4"/>
  <c r="AA65" i="4"/>
  <c r="Y65" i="4" s="1"/>
  <c r="V65" i="4"/>
  <c r="T65" i="4" s="1"/>
  <c r="AD94" i="4"/>
  <c r="AD104" i="4" s="1"/>
  <c r="U56" i="4"/>
  <c r="T56" i="4" s="1"/>
  <c r="D44" i="1"/>
  <c r="E56" i="4"/>
  <c r="L55" i="4"/>
  <c r="K55" i="4"/>
  <c r="K285" i="1"/>
  <c r="Z271" i="1"/>
  <c r="U285" i="1"/>
  <c r="U295" i="1" s="1"/>
  <c r="AA305" i="1" l="1"/>
  <c r="AB307" i="1"/>
  <c r="AB305" i="1" s="1"/>
  <c r="Z33" i="1"/>
  <c r="AH118" i="4"/>
  <c r="AH105" i="4"/>
  <c r="T55" i="4"/>
  <c r="C295" i="1"/>
  <c r="O55" i="4"/>
  <c r="AD85" i="4"/>
  <c r="AD114" i="4" s="1"/>
  <c r="S307" i="1"/>
  <c r="S305" i="1" s="1"/>
  <c r="D285" i="1"/>
  <c r="T66" i="4"/>
  <c r="AD116" i="4"/>
  <c r="Q305" i="1"/>
  <c r="M307" i="1"/>
  <c r="M305" i="1" s="1"/>
  <c r="V305" i="1"/>
  <c r="N307" i="1"/>
  <c r="N305" i="1" s="1"/>
  <c r="D293" i="1"/>
  <c r="K23" i="1"/>
  <c r="AC295" i="1"/>
  <c r="AC307" i="1" s="1"/>
  <c r="AD63" i="4"/>
  <c r="AD110" i="4"/>
  <c r="AE85" i="4"/>
  <c r="AD56" i="4"/>
  <c r="AD65" i="4"/>
  <c r="K72" i="4"/>
  <c r="F295" i="1"/>
  <c r="F307" i="1" s="1"/>
  <c r="F305" i="1" s="1"/>
  <c r="Q72" i="4"/>
  <c r="Q70" i="4" s="1"/>
  <c r="L72" i="4"/>
  <c r="L70" i="4" s="1"/>
  <c r="K295" i="1"/>
  <c r="P295" i="1"/>
  <c r="E55" i="4"/>
  <c r="P72" i="4"/>
  <c r="R305" i="1"/>
  <c r="H66" i="4"/>
  <c r="H72" i="4" s="1"/>
  <c r="H70" i="4" s="1"/>
  <c r="G305" i="1"/>
  <c r="G66" i="4"/>
  <c r="G72" i="4" s="1"/>
  <c r="G70" i="4" s="1"/>
  <c r="H305" i="1"/>
  <c r="AA55" i="4"/>
  <c r="Z295" i="1"/>
  <c r="J60" i="4"/>
  <c r="Z307" i="1" l="1"/>
  <c r="Z305" i="1" s="1"/>
  <c r="AA72" i="4"/>
  <c r="AA70" i="4" s="1"/>
  <c r="K33" i="1"/>
  <c r="D23" i="1"/>
  <c r="D33" i="1" s="1"/>
  <c r="D295" i="1"/>
  <c r="P307" i="1"/>
  <c r="P305" i="1" s="1"/>
  <c r="Y55" i="4"/>
  <c r="P70" i="4"/>
  <c r="O70" i="4" s="1"/>
  <c r="O72" i="4"/>
  <c r="E70" i="4"/>
  <c r="M55" i="4"/>
  <c r="M72" i="4" s="1"/>
  <c r="M70" i="4" s="1"/>
  <c r="AG70" i="4" s="1"/>
  <c r="L307" i="1"/>
  <c r="L305" i="1" s="1"/>
  <c r="K107" i="4"/>
  <c r="K105" i="4" s="1"/>
  <c r="K70" i="4"/>
  <c r="AC305" i="1"/>
  <c r="Z66" i="4"/>
  <c r="Z72" i="4" s="1"/>
  <c r="P112" i="4"/>
  <c r="K112" i="4"/>
  <c r="H112" i="4"/>
  <c r="L107" i="4"/>
  <c r="L112" i="4"/>
  <c r="Q107" i="4"/>
  <c r="Q112" i="4"/>
  <c r="P107" i="4"/>
  <c r="E66" i="4"/>
  <c r="H107" i="4"/>
  <c r="AA107" i="4" l="1"/>
  <c r="AA105" i="4" s="1"/>
  <c r="AA112" i="4"/>
  <c r="Z70" i="4"/>
  <c r="Y70" i="4" s="1"/>
  <c r="Z107" i="4"/>
  <c r="Y66" i="4"/>
  <c r="Y72" i="4" s="1"/>
  <c r="O107" i="4"/>
  <c r="J55" i="4"/>
  <c r="M107" i="4"/>
  <c r="M118" i="4" s="1"/>
  <c r="AG72" i="4"/>
  <c r="AG107" i="4" s="1"/>
  <c r="M112" i="4"/>
  <c r="AG112" i="4" s="1"/>
  <c r="J70" i="4"/>
  <c r="E72" i="4"/>
  <c r="E107" i="4" s="1"/>
  <c r="E105" i="4" s="1"/>
  <c r="P118" i="4"/>
  <c r="P105" i="4"/>
  <c r="Q118" i="4"/>
  <c r="Q105" i="4"/>
  <c r="K118" i="4"/>
  <c r="L118" i="4"/>
  <c r="L105" i="4"/>
  <c r="H118" i="4"/>
  <c r="H105" i="4"/>
  <c r="F112" i="4"/>
  <c r="G112" i="4"/>
  <c r="F107" i="4"/>
  <c r="G107" i="4"/>
  <c r="AA118" i="4" l="1"/>
  <c r="AD66" i="4"/>
  <c r="J72" i="4"/>
  <c r="J107" i="4" s="1"/>
  <c r="J105" i="4" s="1"/>
  <c r="AD55" i="4"/>
  <c r="AG118" i="4"/>
  <c r="AG105" i="4"/>
  <c r="O105" i="4"/>
  <c r="M105" i="4"/>
  <c r="Z112" i="4"/>
  <c r="G118" i="4"/>
  <c r="G105" i="4"/>
  <c r="F118" i="4"/>
  <c r="F105" i="4"/>
  <c r="E112" i="4"/>
  <c r="E118" i="4"/>
  <c r="O112" i="4"/>
  <c r="Y112" i="4"/>
  <c r="W98" i="1"/>
  <c r="J118" i="4" l="1"/>
  <c r="J112" i="4"/>
  <c r="Z118" i="4"/>
  <c r="Y107" i="4"/>
  <c r="Y118" i="4" s="1"/>
  <c r="V60" i="4"/>
  <c r="V72" i="4" s="1"/>
  <c r="V70" i="4" s="1"/>
  <c r="W307" i="1"/>
  <c r="W305" i="1" s="1"/>
  <c r="Z105" i="4"/>
  <c r="Y105" i="4" s="1"/>
  <c r="O118" i="4"/>
  <c r="U83" i="1"/>
  <c r="U60" i="4"/>
  <c r="U72" i="4" s="1"/>
  <c r="U98" i="1" l="1"/>
  <c r="U307" i="1" s="1"/>
  <c r="U305" i="1" s="1"/>
  <c r="D83" i="1"/>
  <c r="T60" i="4"/>
  <c r="AD60" i="4" s="1"/>
  <c r="AD72" i="4" s="1"/>
  <c r="U70" i="4"/>
  <c r="T70" i="4" s="1"/>
  <c r="AD70" i="4" s="1"/>
  <c r="AF70" i="4"/>
  <c r="AF72" i="4"/>
  <c r="AF107" i="4" s="1"/>
  <c r="V107" i="4"/>
  <c r="V118" i="4" s="1"/>
  <c r="V112" i="4"/>
  <c r="AF112" i="4" s="1"/>
  <c r="D98" i="1" l="1"/>
  <c r="AD107" i="4"/>
  <c r="AF118" i="4"/>
  <c r="AF105" i="4"/>
  <c r="V105" i="4"/>
  <c r="D307" i="1" l="1"/>
  <c r="D305" i="1" s="1"/>
  <c r="AE70" i="4"/>
  <c r="T72" i="4"/>
  <c r="T112" i="4" s="1"/>
  <c r="AE72" i="4"/>
  <c r="U107" i="4"/>
  <c r="U112" i="4"/>
  <c r="AE112" i="4" s="1"/>
  <c r="AD118" i="4"/>
  <c r="AD112" i="4"/>
  <c r="AE107" i="4" l="1"/>
  <c r="AE105" i="4" s="1"/>
  <c r="U118" i="4"/>
  <c r="T107" i="4"/>
  <c r="T118" i="4" s="1"/>
  <c r="U105" i="4"/>
  <c r="T105" i="4" s="1"/>
  <c r="AD105" i="4" s="1"/>
  <c r="C17" i="1"/>
  <c r="AE118" i="4" l="1"/>
  <c r="O33" i="1"/>
  <c r="O307" i="1" s="1"/>
  <c r="O305" i="1" s="1"/>
  <c r="C16" i="1"/>
  <c r="C33" i="1" s="1"/>
  <c r="K307" i="1"/>
  <c r="K305" i="1" s="1"/>
  <c r="Y307" i="1"/>
  <c r="Y305" i="1" s="1"/>
</calcChain>
</file>

<file path=xl/comments1.xml><?xml version="1.0" encoding="utf-8"?>
<comments xmlns="http://schemas.openxmlformats.org/spreadsheetml/2006/main">
  <authors>
    <author>Щербакова Екатерина Александровна</author>
    <author>krasnova.ai</author>
  </authors>
  <commentList>
    <comment ref="A32" authorId="0">
      <text>
        <r>
          <rPr>
            <b/>
            <sz val="9"/>
            <color indexed="81"/>
            <rFont val="Tahoma"/>
            <family val="2"/>
            <charset val="204"/>
          </rPr>
          <t>Щербакова Екатерина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Добавили новое мероприятие</t>
        </r>
      </text>
    </comment>
    <comment ref="B65" authorId="1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наименование!</t>
        </r>
      </text>
    </comment>
    <comment ref="B66" authorId="1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2 проекта (когда добавят областное финансирование добавить 1 индикатор)</t>
        </r>
      </text>
    </comment>
  </commentList>
</comments>
</file>

<file path=xl/comments2.xml><?xml version="1.0" encoding="utf-8"?>
<comments xmlns="http://schemas.openxmlformats.org/spreadsheetml/2006/main">
  <authors>
    <author>krasnova.ai</author>
  </authors>
  <commentList>
    <comment ref="G101" authorId="0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ремонт и дворы</t>
        </r>
      </text>
    </comment>
  </commentList>
</comments>
</file>

<file path=xl/comments3.xml><?xml version="1.0" encoding="utf-8"?>
<comments xmlns="http://schemas.openxmlformats.org/spreadsheetml/2006/main">
  <authors>
    <author>krasnova.ai</author>
  </authors>
  <commentList>
    <comment ref="G101" authorId="0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ремонт и дворы</t>
        </r>
      </text>
    </comment>
  </commentList>
</comments>
</file>

<file path=xl/sharedStrings.xml><?xml version="1.0" encoding="utf-8"?>
<sst xmlns="http://schemas.openxmlformats.org/spreadsheetml/2006/main" count="3594" uniqueCount="1670">
  <si>
    <t>Наименование мероприятий по объектам</t>
  </si>
  <si>
    <t>1.1.</t>
  </si>
  <si>
    <t>2.1.</t>
  </si>
  <si>
    <t>4.2.</t>
  </si>
  <si>
    <t>всего, тыс.руб.</t>
  </si>
  <si>
    <t>областной бюджет, тыс.руб.</t>
  </si>
  <si>
    <t>Осуществление строительного контроля на объекте: Капитальный ремонт автодороги по ул. Радищева (от ул. Октябрьская до ул. Новозаводская)</t>
  </si>
  <si>
    <t>1.1.1.</t>
  </si>
  <si>
    <t>2.1.1.</t>
  </si>
  <si>
    <t>1.2.</t>
  </si>
  <si>
    <t>1.2.1.</t>
  </si>
  <si>
    <t>1.2.2.</t>
  </si>
  <si>
    <t>местный бюджет, тыс.руб.</t>
  </si>
  <si>
    <t>Стоимость работ по годам, тыс.руб.</t>
  </si>
  <si>
    <t>1.1.2.</t>
  </si>
  <si>
    <t>1.3.</t>
  </si>
  <si>
    <t>1.2.3.</t>
  </si>
  <si>
    <t>Ремонт дворовых территорий многоквартирных домов и проездов к дворовым территориям многоквартирных домов городского округа Тольятти</t>
  </si>
  <si>
    <t>Оказание услуг по диагностике и оценке транспортно-эксплуатационного состояния автомобильных дорог общего пользования местного значения городского округа Тольятти</t>
  </si>
  <si>
    <t>Оказание услуг по техническому учету и паспортизации автомобильных дорог общего пользования местного значения городского округа Тольятти</t>
  </si>
  <si>
    <t>2021 год</t>
  </si>
  <si>
    <t>2022 год</t>
  </si>
  <si>
    <t>2023 год</t>
  </si>
  <si>
    <t>2024 год</t>
  </si>
  <si>
    <t>2025 год</t>
  </si>
  <si>
    <t>1.1.3.</t>
  </si>
  <si>
    <t xml:space="preserve">Строительство магистральной улицы общегородского значения регулируемого движения в продолжение ул. Фермерской до Южного шоссе </t>
  </si>
  <si>
    <t>Строительство бокового проезда - подъездной дороги к земельному участку, на котором расположен физкультурно-оздоровительный комплекс СДЮШОР №8 "Союз"</t>
  </si>
  <si>
    <t>Строительство улицы Казачья в жилой застройке  микрорайона Жигулевское море от ул. Ивана Красюка  до ул. Бориса Коваленко</t>
  </si>
  <si>
    <t>Осуществление строительного контроля на объекте: Капитальный ремонт автодороги по ул. Октябрьская (от ул. Комсомольская до б-ра 50 лет Октября, г. Тольятти, Самарской области)</t>
  </si>
  <si>
    <t>Осуществление строительного контроля на объекте: Капитальный ремонт автодороги по улице Базовая от ул. Комсомольская до улицы Ларина</t>
  </si>
  <si>
    <t>местный бюджет, тыс. руб.</t>
  </si>
  <si>
    <t>4.1.</t>
  </si>
  <si>
    <t>4.3.</t>
  </si>
  <si>
    <t>Капитальный ремонт автодороги по ул. Северная от дома №39 по улице Северная до улицы Цеховая</t>
  </si>
  <si>
    <t>Осуществление строительного контроля на объекте: Капитальный ремонт автодороги по ул. Северная от дома №39 по улице Северная до улицы Цеховая</t>
  </si>
  <si>
    <t>2.1.2.</t>
  </si>
  <si>
    <t>Строительство улично-дорожной сети западнее Московского проспекта - первая очередь</t>
  </si>
  <si>
    <t>3.1.</t>
  </si>
  <si>
    <t>3.2.</t>
  </si>
  <si>
    <t>Строительство улицы Ивана Красюка в жилой застройке  микрорайона Жигулевское море от ул. Казачьей до пересечения ул. Молодецкая и проезда Оренбургский</t>
  </si>
  <si>
    <t>Реконструкция кольцевой транспортной развязки на пересечении Южного шоссе и ул. Борковская. Устройство дополнительных правоповоротных полос движения (Юго-восточная полоса движения. Северо-западная полоса движения)</t>
  </si>
  <si>
    <t>ИТОГО ПО ПОДПРОГРАММЕ "РГПТ"</t>
  </si>
  <si>
    <t>2021-2025</t>
  </si>
  <si>
    <t xml:space="preserve">Департамент дорожного хозяйства и транспорта администрации городского округа Тольятти </t>
  </si>
  <si>
    <t xml:space="preserve">Изготовление и установка табличек на остановочных пунктах                                                     </t>
  </si>
  <si>
    <t>Департамент дорожного хозяйства и транспорта  администрации городского округа Тольятти</t>
  </si>
  <si>
    <t>Содержание МКУ "ЦОДД  ГОТ"</t>
  </si>
  <si>
    <t>Департамент дорожного хозяйства и транспорта            администрации городского округа Тольятти</t>
  </si>
  <si>
    <t xml:space="preserve">Приобретение материалов для содержания ТСОДД, ремонта остановочных павильонов   </t>
  </si>
  <si>
    <t>Департамент дорожного хозяйства и транспорта администрации городского округа Тольятти</t>
  </si>
  <si>
    <t xml:space="preserve">Проектирование устройства и переноса остановок общественного транспорта, в т.ч. экспертиза выполненных работ   </t>
  </si>
  <si>
    <t>Устройство пешеходных дорожек</t>
  </si>
  <si>
    <t xml:space="preserve">Департамент дорожного хозяйства и транспорта  администрации городского округа Тольятти                           </t>
  </si>
  <si>
    <t>Устройство  искусственных дорожных неровностей, в т.ч. экспертиза выполненных работ</t>
  </si>
  <si>
    <t>Внебюджетные средства</t>
  </si>
  <si>
    <t>федеральный   бюджет</t>
  </si>
  <si>
    <t>областной  бюджет</t>
  </si>
  <si>
    <t>Всего</t>
  </si>
  <si>
    <t xml:space="preserve"> План на 2025 год</t>
  </si>
  <si>
    <t xml:space="preserve"> План на 2024 год</t>
  </si>
  <si>
    <t xml:space="preserve"> План на 2023 год</t>
  </si>
  <si>
    <t xml:space="preserve"> План на 2022 год</t>
  </si>
  <si>
    <t xml:space="preserve"> План на 2021 год</t>
  </si>
  <si>
    <t>Итого</t>
  </si>
  <si>
    <t>Финансовое обеспечение реализации муниципальной программы, тыс. руб.</t>
  </si>
  <si>
    <t>Ответственный 
исполнитель</t>
  </si>
  <si>
    <t xml:space="preserve">
Наименование целей, задач и мероприятий муниципальной программы</t>
  </si>
  <si>
    <t>№</t>
  </si>
  <si>
    <t>внебюд-жетные средства</t>
  </si>
  <si>
    <t>федераль-ный   бюджет</t>
  </si>
  <si>
    <t xml:space="preserve">Подпрограмма "Повышение безопасности дорожного движения на период 2021-2025 гг."                       </t>
  </si>
  <si>
    <t>Нанесение горизонтальной дорожной разметки</t>
  </si>
  <si>
    <t>ИТОГО ПО ПОДПРОГРАММЕ "СУДС"</t>
  </si>
  <si>
    <t>Сроки реали-зации</t>
  </si>
  <si>
    <t>Центральный район:</t>
  </si>
  <si>
    <t>Комсомольский район:</t>
  </si>
  <si>
    <t>Оказание услуг по подготовке экспертных заключений о соответствии результатов выполненных работ по отсыпке автомобильных дорог городского округа Тольятти, расположенных в зоне застройки индивидуальными жилыми домами асфальтогранулятом</t>
  </si>
  <si>
    <t>Итого по Комсомольскому району:</t>
  </si>
  <si>
    <t xml:space="preserve">Автодороги Центральной части Центрального района </t>
  </si>
  <si>
    <t>Автодороги микрорайона Тимофеевка-2</t>
  </si>
  <si>
    <t>Автодороги микрорайона Федоровка</t>
  </si>
  <si>
    <t>Автодороги микрорайона Новоматюшкино</t>
  </si>
  <si>
    <t>Автодороги микрорайона Поволжский</t>
  </si>
  <si>
    <t xml:space="preserve">Автодороги мкр. Жигулевское море </t>
  </si>
  <si>
    <t>Итого Центральный район:</t>
  </si>
  <si>
    <t>Автодороги микрорайона Загородный</t>
  </si>
  <si>
    <t>местный бюджет</t>
  </si>
  <si>
    <t>областной бюджет</t>
  </si>
  <si>
    <t>Финансовые ресурсы, тыс. руб.</t>
  </si>
  <si>
    <t>Наименование мероприятий</t>
  </si>
  <si>
    <t>Наименование целей, задач и мероприятий муниципальной программы</t>
  </si>
  <si>
    <t>Наименование показателей (индикаторов)</t>
  </si>
  <si>
    <t>Единица измере-ния</t>
  </si>
  <si>
    <t>Базовое значение</t>
  </si>
  <si>
    <t>Значение показателей (индикаторов) по годам</t>
  </si>
  <si>
    <t>шт.</t>
  </si>
  <si>
    <t>-</t>
  </si>
  <si>
    <t>Устройство  искусственных дорожных  неровностей, в т.ч. экспертиза выполненных работ</t>
  </si>
  <si>
    <t>Количество устроенных искусственных дорожных неровностей</t>
  </si>
  <si>
    <t>Количество построенных пешеходных дорожек</t>
  </si>
  <si>
    <t>тыс.м.п.</t>
  </si>
  <si>
    <t>Количество обустроенных светофорных объектов</t>
  </si>
  <si>
    <t xml:space="preserve">Проектирование устройства и переноса остановок общественного транспорта, в т.ч. экспертиза выполненных работ </t>
  </si>
  <si>
    <t>ед.</t>
  </si>
  <si>
    <t>Приобретение материалов для содержания ТСОДД, ремонта остановочных павильонов</t>
  </si>
  <si>
    <t>Количество приобретенных видов материалов для содержания ТСОДД, ремонта остановочных павильонов</t>
  </si>
  <si>
    <t xml:space="preserve">Уровень исполнения бюджетной сметы расходов учреждения </t>
  </si>
  <si>
    <t>%</t>
  </si>
  <si>
    <t>Количество установленных табличек</t>
  </si>
  <si>
    <t>Количество автомобильных дорог общего пользования местного значения городского округа Тольятти, на которых проведён технический учёт и паспортизация</t>
  </si>
  <si>
    <t>км</t>
  </si>
  <si>
    <t>тыс. м2</t>
  </si>
  <si>
    <t>тыс.м2</t>
  </si>
  <si>
    <t>2 988,20</t>
  </si>
  <si>
    <t>1 222,64</t>
  </si>
  <si>
    <t>Площадь содержания автомобильных дорог</t>
  </si>
  <si>
    <t xml:space="preserve">Содержание надземных и подземных пешеходных переходов </t>
  </si>
  <si>
    <t>Количество типов дорожной разметки</t>
  </si>
  <si>
    <t xml:space="preserve">Устройство линий наружного электроосвещения мест концентрации ДТП     </t>
  </si>
  <si>
    <t xml:space="preserve">Количество устроенных линий наружного электроосвещения мест концентрации ДТП    </t>
  </si>
  <si>
    <t>Проектно-изыскательские работы по объекту: Реконструкция магистральной улицы городского значения регулируемого движения по ул.Спортивной на участке от ул.Степана Разина до ул. Юбилейная (строительство бокового проезда) в 8 квартале Автозаводского района г.Тольятти</t>
  </si>
  <si>
    <t>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</si>
  <si>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Проектно-изыскательские работы по объекту: 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</si>
  <si>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2.1.3.</t>
  </si>
  <si>
    <t>1.3.1.</t>
  </si>
  <si>
    <t>общего пользования?</t>
  </si>
  <si>
    <t>Подпрограмма "Развитие  городского пассажирского транспорта в городском округе Тольятти на период 2021-2025 гг."</t>
  </si>
  <si>
    <t xml:space="preserve">Содержание автомобильных дорог, в том числе: посадочных площадок ООТ, тротуаров, разделительных полос, элементов системы водоотвода, путепроводов, удерживающих барьерных ограждений </t>
  </si>
  <si>
    <t xml:space="preserve">Приложение № 1
к Муниципальной программе
"Развитие транспортной системы
и дорожного хозяйства
городского округа Тольятти
на 2021 - 2025 гг."
</t>
  </si>
  <si>
    <t xml:space="preserve"> -</t>
  </si>
  <si>
    <t>Регулярность выполнения перевозок по заключенным муниципальным контрактам</t>
  </si>
  <si>
    <t>Количество перевезенных пассажиров льготной категории граждан</t>
  </si>
  <si>
    <t>тыс.пас.</t>
  </si>
  <si>
    <t>2022-2025</t>
  </si>
  <si>
    <t>разные площади</t>
  </si>
  <si>
    <t>Устройство  искусственных дорожных неровностей, экспертиза выполненных работ, в т.ч.:</t>
  </si>
  <si>
    <t xml:space="preserve">план на 2021: </t>
  </si>
  <si>
    <t>план на 2022:</t>
  </si>
  <si>
    <t xml:space="preserve">ул. Офицерская (на участке от ул. Полякова до ул. Ботаническая); </t>
  </si>
  <si>
    <t>ул. Радищева (на участке от ул. Победы до ул. Новозаводская);</t>
  </si>
  <si>
    <t>ул. Северная (на участке от ул. Борковская до дома № 105 по ул. Северная);</t>
  </si>
  <si>
    <t>ул. Диагональная (на участке от ул. Баныкина до ул. Кунеевская);</t>
  </si>
  <si>
    <t>Устройство пешеходных дорожек, в т.ч.:</t>
  </si>
  <si>
    <t>в районе ООТ "70 лет Октября" по ул.70 лет Октября;</t>
  </si>
  <si>
    <t>Проектирование устройства и переноса остановок общественного транспорта, в т.ч. экспертиза выполненных работ, в т.ч.:</t>
  </si>
  <si>
    <t>план на 2021:</t>
  </si>
  <si>
    <t>Устройство и перенос остановок общественного транспорта  на территории городского округа Тольятти, в т.ч.:</t>
  </si>
  <si>
    <t>ООТ "Молокозавод" на ул. Коммунальная;</t>
  </si>
  <si>
    <t>Устройство парковочных площадок, карманов  и стоянок, в т.ч.:</t>
  </si>
  <si>
    <t xml:space="preserve">в районе ООТ "Приморский бульвар" по ул.Революционная; </t>
  </si>
  <si>
    <t>в районе ООТ "Озерки" по Поволжскому шоссе;</t>
  </si>
  <si>
    <t xml:space="preserve">в районе ООТ "Сосновый бор" по Поволжскому шоссе; </t>
  </si>
  <si>
    <t>в районе пересечения бульвара 50 лет Октября - ул.Герцена - ул.Украинская;</t>
  </si>
  <si>
    <t xml:space="preserve"> Ремонт дворовых территорий многоквартирных домов, проездов к дворовым территориям многоквартирных домов  городского округа Тольятти</t>
  </si>
  <si>
    <t>Количество разработанной проектно-сметной документации по капитальному ремонту автомобильных дорог общего пользования местного значения городского округа Тольятти</t>
  </si>
  <si>
    <t>Отсыпка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городском округе Тольятти</t>
  </si>
  <si>
    <t>Площадь отремонтированных путем ремонта дворовых территорий многоквартирных домов, проездов к дворовым территориям многоквартирных домов городского округа Тольятти</t>
  </si>
  <si>
    <t>Общая стоимость работ (ориентировочная), тыс.руб.</t>
  </si>
  <si>
    <t>федеральный бюджет, тыс. руб.</t>
  </si>
  <si>
    <t>областной бюджет, тыс. руб.</t>
  </si>
  <si>
    <t xml:space="preserve">Строительство магистральной улицы  районного значения транспортно-пешеходной  ул. Механизаторов от ул. Громовой до ул. Лизы Чайкиной в Комсомольском районе города Тольятти </t>
  </si>
  <si>
    <t>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 города Тольятти</t>
  </si>
  <si>
    <t>Осуществление строительного контроля на объекте: 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</t>
  </si>
  <si>
    <t>Осуществление авторского надзора на объекте: 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</t>
  </si>
  <si>
    <t>Капитальный ремонт ул.Калмыцкая на участке от ж/д. переезда до ул.Васильевская</t>
  </si>
  <si>
    <t>Осуществление строительного контроля на объекте: Капитальный ремонт автодороги по улице  ул.Калмыцкая на участке от ж/д. переезда до ул.Васильевская</t>
  </si>
  <si>
    <t>шт</t>
  </si>
  <si>
    <t>Доля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общей площади автомобильных дорог с невысокой транспортной нагрузкой в городском округе Тольятти</t>
  </si>
  <si>
    <t>Удовлетворенность населения содержанием УДС (от числа опрошенных)</t>
  </si>
  <si>
    <t>Наименование показателя конечного результата</t>
  </si>
  <si>
    <t>Единица измерения</t>
  </si>
  <si>
    <t>Планируемые значения показателя конечного результата</t>
  </si>
  <si>
    <t>Пассажирооборот транспорта общего пользования</t>
  </si>
  <si>
    <t>Доля подвижного состава автобусов, не превышающих нормативный срок эксплуатации</t>
  </si>
  <si>
    <t>Доля подвижного состава троллейбусов, не превышающих нормативный срок эксплуатации</t>
  </si>
  <si>
    <t>Обеспеченность парка транспортом с низким (пониженным) уровнем пола МП "ТТУ"</t>
  </si>
  <si>
    <t>базовое значение за 2018 год</t>
  </si>
  <si>
    <t>базовое значение 2018г.</t>
  </si>
  <si>
    <t xml:space="preserve">Доля протяженности дорожной сети городского округа Тольятти, находящейся в нормативном состоянии </t>
  </si>
  <si>
    <t>Протяженность автомобильных дорог общего пользования местного значения городского округа Тольятти, на которых проведена диагностика и оценка транспортно-эксплуатационного состояния</t>
  </si>
  <si>
    <t>Протяженность построенных автомобильных дорог общего пользования местного значения городского округа Тольятти</t>
  </si>
  <si>
    <t>Протяжённость реконструированных автомобильных дорог общего пользования местного значения городского округа Тольятти</t>
  </si>
  <si>
    <t>Количество разработанной проектно-сметной документации по реконструкции автомобильных дорог общего пользования местного значения городского округа Тольятти</t>
  </si>
  <si>
    <t>Количество заключенных контрактов на выполнение регулярных перевозок пассажиров и багажа по регулируемым тарифам</t>
  </si>
  <si>
    <t>Количество действующих маршрутов на выполнение регулярных перевозок пассажиров и багажа по регулируемым тарифам</t>
  </si>
  <si>
    <t>L(S) объекта, км (т.м2)</t>
  </si>
  <si>
    <t>Уровень дорожно-транспортного травматизма «Тяжесть последствий» (число погибших на 100 пострадавших) (обратный показатель)</t>
  </si>
  <si>
    <t>Количество зарегистрированных ДТП на территории городского округа Тольятти (обратный показатель)</t>
  </si>
  <si>
    <t>Подпрограмма "Модернизация и развитие автомобильных дорог общего пользования местного значения, а также автомобильных дорог, расположенных в зоне застройки индивидуальными жилыми домами городского округа Тольятти, на 2021-2025 гг."</t>
  </si>
  <si>
    <t>пр-д Фабричный</t>
  </si>
  <si>
    <t>ул. Дзержинского между ул. Революционная и световой опорой № 84 (89) по ул. Дзержинского</t>
  </si>
  <si>
    <t>ул. Тюленина от улицы Коммунистической до улицы Мурысева</t>
  </si>
  <si>
    <t>ул. Северная от улицы Цеховая до границы г.о. Тольятти (ул. Степная)</t>
  </si>
  <si>
    <t>Кольцевая транспортная развязка по Южному шоссе - ул.Полякова</t>
  </si>
  <si>
    <t>Устройство линий наружного электроосвещения мест концентрации ДТП</t>
  </si>
  <si>
    <t xml:space="preserve">Устройство и перенос остановок общественного транспорта  на территории городского округа Тольятти                                                                                                                                                        </t>
  </si>
  <si>
    <t>Строительство дороги по улице Владимира Высоцкого</t>
  </si>
  <si>
    <t>Строительство дороги местного значения и проездов в микрорайоне "Калина", Автозаводский район, г. Тольятти, Самарская область</t>
  </si>
  <si>
    <t>Протяженность установленных пешеходных ограждений</t>
  </si>
  <si>
    <t xml:space="preserve">Устройство парковочных площадок, карманов и стоянок                                   </t>
  </si>
  <si>
    <t>Строительство парковочных автостоянок вдоль Южных проходных ПАО "АВТОВАЗ" по Южному шоссе</t>
  </si>
  <si>
    <t xml:space="preserve">Проектно-изыскательские работы по корректировке проектно-сметной документации "Строительство магистральной улицы районного значения транспортно-пешеходной ул. Механизаторов от ул. Лизы Чайкиной до ул. Громовой в Комсомольском районе города Тольятти" </t>
  </si>
  <si>
    <t>Проектно-изыскательские работы по устройству подъездной дороги к поликлинике на 1000 посещений в смену</t>
  </si>
  <si>
    <t>Ремонт автопарковки в районе поликлиники на 500 посещений в смену</t>
  </si>
  <si>
    <t xml:space="preserve">Устройство съездов для инвалидов и других маломобильных групп населения на территории городского округа Тольятти </t>
  </si>
  <si>
    <t>нераспределенный остаток</t>
  </si>
  <si>
    <t>Приложение № 2                                                                                              к  постановлению администрации городского округа Тольятти "_____" _______________2021г. № _______________</t>
  </si>
  <si>
    <t>Устройство и перенос остановок общественного транспорта на территории городского округа Тольятти</t>
  </si>
  <si>
    <t>Устройство парковочных площадок, карманов и стоянок</t>
  </si>
  <si>
    <t>Количество  вновь введенных в эксплуатацию (реконструируемых) парковочных площадок, карманов и стоянок</t>
  </si>
  <si>
    <t>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</t>
  </si>
  <si>
    <t>Устройство технических средств организации дорожного движения</t>
  </si>
  <si>
    <t>Устройство технических средств организации дорожного движения, в т.ч:</t>
  </si>
  <si>
    <t>Приобретение дорожных знаков (заготовок дорожных знаков)</t>
  </si>
  <si>
    <t>Количество установленных  дорожных знаков</t>
  </si>
  <si>
    <t>Количество приобретенных дорожных знаков (заготовок дорожных знаков)</t>
  </si>
  <si>
    <t>Проектирование устройства парковочных площадок (карманов и стоянок)</t>
  </si>
  <si>
    <t>2021 - 2025</t>
  </si>
  <si>
    <t>ул. Дзержинского между ул. Ворошилова и ул. 40 лет Победы</t>
  </si>
  <si>
    <t>Борковский проезд от  ул. Вокзальная,54 до границы городского округа, южнее здания по адресу: ул. Вокзальная, 44Б</t>
  </si>
  <si>
    <t>ул.Офицерская от ул. Ботаническая до объекта недвижимости, имеющего адрес: ул. Офицерская, д.8, включая пересечение автодорог по ул.Полякова и ул.Офицерская</t>
  </si>
  <si>
    <t>улица Полякова от ул.Коммунальная до ул.Офицерская</t>
  </si>
  <si>
    <t>ул. Мира между ул. Родины и ул. Победы</t>
  </si>
  <si>
    <t>ул. Крупской от бульвара 50 лет Октября до ул. Шлютова</t>
  </si>
  <si>
    <t>Строительство объектов транспортной инфраструктуры с сетями наружного электроосвещения и ливневой канализации в рамках реализации проектов по развитию территорий 14а квартала (микрорайон "Ёлки"). Западная часть квартала</t>
  </si>
  <si>
    <t>Строительство объектов транспортной инфраструктуры с сетями наружного электроосвещения и ливневой канализации в рамках реализации проектов по развитию территорий 14а квартала (микрорайон "Ёлки"). Восточная часть квартала</t>
  </si>
  <si>
    <t>Выполнение проектно-изыскательских работ по объекту: «Строительство магистральной улицы общегородского значения регулируемого движения в продолжение ул. Фермерской до Южного шоссе»</t>
  </si>
  <si>
    <t>Проектно- изыскательские работы на строительство подъездной автомобильной дороги (проезда) от внутриквартального проезда к земельному участку с кадастровым номером 63:09:0101159:10329 (Физкультурно-оздоровительный комплекс с универсальным игровым залом (36х18 м) по адресу: Самарская область, г. Тольятти, Автозаводский район, южнее здания №15 по бульвару Кулибина, для МБУДСДЮШОР № 8 «Союз»)</t>
  </si>
  <si>
    <t>Устройство  искусственных дорожных неровностей на ул.Матросова, д.37, д.60</t>
  </si>
  <si>
    <t>Установка дорожных знаков, ликвидация подхода к пешеходному переходу на ул. Матросова, в районе домов № 53, 134</t>
  </si>
  <si>
    <t>Устройство островка безопасности и дорожных знаков на ул. Карла Маркса - пересечение с ул. Максима Горького</t>
  </si>
  <si>
    <t>Устройство пешеходного перехода, установка дорожных знаков, сокращение заездного кармана на ул. Новозаводская, в районе домов № 2, 2А, 2Е, 2Д.</t>
  </si>
  <si>
    <t xml:space="preserve">Установка дорожных знаков при выезде с Цветного бульвара  и от дома №5 на
ул. Дзержинского
</t>
  </si>
  <si>
    <t>Установка дорожных знаков  в начале кривой сопряжения и дорожных знаков на разделительной полосе 4 проезда, ул. Транспортная  - пересечение с  4 проездом, ул. Транспортная, д.№  21Б</t>
  </si>
  <si>
    <t>Установка дорожных знаков   в районе д. № 52 по ул. Революционная</t>
  </si>
  <si>
    <t xml:space="preserve">Устройство  искусственных дорожных неровностей, установка дорожных знаков на б-ре Здоровья от ул. Свердлова до Ленинского пр-та </t>
  </si>
  <si>
    <t>Устройство  искусственных дорожных неровностей на ул. Фрунзе, д.2Г</t>
  </si>
  <si>
    <t>Устройство  искусственных дорожных неровностей на ул. Ленина, д.108, МБУ "№ 13", ООТ "Гагарина"</t>
  </si>
  <si>
    <t>Устройство  искусственных дорожных неровностей, установка дорожных знаков, устройство тротуара на ул. Льва Толстого, д.10</t>
  </si>
  <si>
    <t>Устройство искусственных дорожных неровностей, установка дорожных знаков на ул. Саратовская от ул. Самарской до ул. Украинской, д. 5</t>
  </si>
  <si>
    <t>Устройство  искусственных дорожных неровностей, установка дорожных знаков на дублере вдоль ул. Тополиная от ул. Дзержинского до Южного шоссе</t>
  </si>
  <si>
    <t>Устройство  искусственных дорожных неровностей, установка дорожных знаков на дублере вдоль ул. Ворошилова от ул. 40 лет Победы до ул.Дзержинского</t>
  </si>
  <si>
    <t>Устройство  искусственных дорожных неровностей, установка дорожных знаков на дублере вдоль ул.70 лет Октября от ул. Льва Яшина до ул. Офицерской</t>
  </si>
  <si>
    <t>Установка дорожных знаков, сокращение заездного кармана, установка пешеходных ограждений на ул. Матросова, в районе домов № 134</t>
  </si>
  <si>
    <t xml:space="preserve">Устройство  искусственных дорожных неровностей, установка дорожных знаков, нанесение дорожной разметки на ул.Ленина д.73 на пересечении с ул.Чапаева </t>
  </si>
  <si>
    <t xml:space="preserve">Ликвидация места разворота, сокращение заездного кармана, устройство тротуара, установка пешеходных ограждений на Московском пр-те, д.7                                                </t>
  </si>
  <si>
    <t>Устройство островков безопасности и установка дорожных знаков по пр-ту Степана Разина на пересечении с Ленинским проспектом</t>
  </si>
  <si>
    <t>Установка дорожных знаков и заездного кармана на ул.Новозаводская в районе д.6</t>
  </si>
  <si>
    <t>Установка П-образных опор и дорожных знаков на Южном шоссе, в районе д.№5</t>
  </si>
  <si>
    <t>Устройство световозвращателей дорожных на проезжей части Поволжского шоссе</t>
  </si>
  <si>
    <t>Устройство световозвращателей дорожных на проезжей части дороги от Московского пр-та до ул. Фермерской с. Подстепки</t>
  </si>
  <si>
    <t>Установка ограничивающих пешеходных ограждений на бульваре Ленина от ул. Ленинградская до ул.Баныкина (со стороны Краеведческого музея)</t>
  </si>
  <si>
    <t>Установка ограничивающих пешеходных ограждений на Молодежном б-ре от ул.Победы до ул.Ленина</t>
  </si>
  <si>
    <t>Установка ограничивающих пешеходных ограждений на ул.Жилина от пл.Свободы до ул.Ленинградская</t>
  </si>
  <si>
    <t>Устройство искусственных дорожных неровностей,  установка дорожных знаков  на внутриквартальном проезде вдоль ул. Железнодорожная от пр. Дорофеева до ул. Шлюзовая</t>
  </si>
  <si>
    <t>Устройство искусственных дорожных неровностей,  установка дорожных знаков на внутриквартальном проезде вдоль ул. 40 лет Победы (от Южное шоссе до ул. Тополиная)</t>
  </si>
  <si>
    <t>Установка дорожных знаков и перенос светофорного объекта на ул.Жилина в районе дома №24 (пересечение с ул.Мира)</t>
  </si>
  <si>
    <t>Ликвидация въезда (выезда), устройство дорожных знаков на бульваре Ленина в районе д.27 ул.Баныкина, д.16 "Г"</t>
  </si>
  <si>
    <t>Устройство островка безопасности, устройство искусственных дорожных неровностей, установка дорожных знаков на  перекрестке ул.М.Горького-ул.Октябрьская с/ш № 4</t>
  </si>
  <si>
    <t>Устройство искусственных дорожных неровностей на б-ре Космонавтов, д.17, с/ш № 79</t>
  </si>
  <si>
    <t>Устройство искусственных дорожных неровностей, установка дорожных знаков на ул. Шлютова, д.130 д/с "Соловушка"</t>
  </si>
  <si>
    <t>Устройство пешеходной дорожки на пересечении ул. Баныкина и ул. Жилина</t>
  </si>
  <si>
    <t>Перенос и устройство ООТ "улица Фрунзе" по Московскому проспекту</t>
  </si>
  <si>
    <t>Модернизация светофорного объекта и установка дорожных знаков  на  ул. Юбилейная - пересечение с ул. Фрунзе, ул.Фрунзе в районе домов 31а, 14 в</t>
  </si>
  <si>
    <t xml:space="preserve">Устройство светофорного объекта, установка дорожных знаков, устройство тротуара, установка пешеходных ограждений на ул. Матросова, д. 70                                                                                                                                            </t>
  </si>
  <si>
    <t>Установка дополнительных секций светофорного объекта с дорожными знаками по  ул. Ленинградской, перед пересечением с ул.Жилина</t>
  </si>
  <si>
    <t>Модернизация светофорного объекта, установка дорожных знаков на ул. Заставная, д.№1, ООТ "Учебный центр"</t>
  </si>
  <si>
    <t xml:space="preserve">Устройство светофорных объектов, установка П-образных опор и дорожных знаков , устройство тротуара, установка пешеходных ограждений на пересечении ул. Спортивная д.3, д.5 и автодороги - продолжения пр-та Ст.Разина со стороны Лесопаркового шоссе </t>
  </si>
  <si>
    <t>Выполнение проектно-изыскательских работ по устройству линии наружного электроосвещения, в т.ч.инженерные изыскания по б-ру Буденного (от ул. Фрунзе до с/о №1) в Автозаводском районе городского округа Тольятти</t>
  </si>
  <si>
    <t>Проектирование линий наружного освещения ООТ "Парк-хаус"</t>
  </si>
  <si>
    <t>Проектирование устройства пешеходной дорожки вдоль ул. Шлютова от ул. Родины до ул. Победы</t>
  </si>
  <si>
    <t>Проектирование устройства пешеходной дорожки вдоль ул. Украинской</t>
  </si>
  <si>
    <t>Устройство наружного освещения на  Южном шоссе (на участке от опоры №501 до ул. Цеховая и от ул. Цеховая до опоры № 490)</t>
  </si>
  <si>
    <t>Выполнение работ по капитальному ремонту объекта: «Подземный пешеходный переход: подземный переход через автомобильную дорогу по адресу: Самарская область, г. Тольятти,
ул. Свердлова, в районе дома №80 (капитальный ремонт)»</t>
  </si>
  <si>
    <t>Установка дорожных знаков на  ул.Жилина, д. № 1</t>
  </si>
  <si>
    <t>Проектно-изыскательские работы на капитальный ремонт магистральной улицы общегородского значения регулируемого движения ул. Калмыцкая от ж/д переезда до ул. Васильевская</t>
  </si>
  <si>
    <t>Проектно-изыскательские работы на капитальный ремонт магистральной улицы общегородского значения регулируемого движения ул. Васильевская от ул. Калмыцкая до Обводного шоссе</t>
  </si>
  <si>
    <t>Проектно-изыскательские работы на устройство линии наружного освещения вдоль магистральной улицы общегородского значения регулируемого движения ул. Калмыцкая</t>
  </si>
  <si>
    <t>Ремонт дворовых территорий многоквартирных домов, проездов к дворовым территориям многоквартирных домов  городского округа Тольятти</t>
  </si>
  <si>
    <t xml:space="preserve">Количество устроенных линий наружного электроосвещения  </t>
  </si>
  <si>
    <t>Строительство магистральной улицы общегородского значения регулируемого движения ул. Офицерской</t>
  </si>
  <si>
    <t>Автодорога по улице Бузыцкова от Хрящевского шоссе до дома № 47 по ул.Бузыцкова</t>
  </si>
  <si>
    <t>ул. Грачева от Хрящевского шоссе до пересечения с ул. Бузыцкова</t>
  </si>
  <si>
    <t>Количество установленных дорожных знаков</t>
  </si>
  <si>
    <t>Количество вновь введенных (перенесенных) в эксплуатацию остановок общественного транспорта</t>
  </si>
  <si>
    <t>тыс. м.п.</t>
  </si>
  <si>
    <t xml:space="preserve">Подпрограмма "Повышение безопасности дорожного движения на период 2021-2025 гг."                      </t>
  </si>
  <si>
    <t>Показатели конечного результата муниципальной программы</t>
  </si>
  <si>
    <t>Площадь дорожных сооружений, находящихся на содержании</t>
  </si>
  <si>
    <t>ул. Родины от ул. Баныкина до ул. Комзина</t>
  </si>
  <si>
    <t>ул. Коммунальная от ул. Борковская до Обводного шоссе</t>
  </si>
  <si>
    <t>ул. Мичурина от ул. Ленина д. №48 до Енисейского пр-да д. № 54А</t>
  </si>
  <si>
    <t>ул. Офицерская от ул. Борковская до ул. Ботаническая</t>
  </si>
  <si>
    <t>ул. Ушакова от ул. Мира до ул. Баныкина</t>
  </si>
  <si>
    <t>ул. Дорофеева от ул. Железнодорожная до ул. Гидротехническая</t>
  </si>
  <si>
    <t>ул. Тополиная от ул. 70 лет Октября до ул. Дзержинского</t>
  </si>
  <si>
    <t>ул. Макарова от ул. Никонова до ул. Гидротехническая</t>
  </si>
  <si>
    <t>ул. Ботаническая от Южного шоссе до ул.Дзержинского</t>
  </si>
  <si>
    <t>ул. Жилина от ул. Мира до площади Свободы</t>
  </si>
  <si>
    <t>Проектирование устройства пешеходных дорожек, в т.ч. экспертиза проектов</t>
  </si>
  <si>
    <t>Проектно-изыскательские работы по устройству линий наружного электроосвещения</t>
  </si>
  <si>
    <t>Площадь содержания автомобильных дорог местного значения и внутриквартальных проездов</t>
  </si>
  <si>
    <t>Содержание автомобильных дорог местного значения и внутриквартальных проездов</t>
  </si>
  <si>
    <t>Строительный контроль и авторский надзор на объекте: "Строительство магистральной улицы общегородского значения регулируемого движения ул. Офицерской"</t>
  </si>
  <si>
    <t>Реконструкция Южного шоссе от ул. Заставной до ул. Цеховой с устройством парковочных автостоянок вдоль Южных проходных АО "АВТОВАЗ"</t>
  </si>
  <si>
    <t>Осуществление строительного контроля на объекте: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</si>
  <si>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Строительный контроль на объектах капитального строительства</t>
  </si>
  <si>
    <t>план на 2023:</t>
  </si>
  <si>
    <t>Проектно-изыскательские работы по объекту "Реконструкция магистральной улицы районного значения транспортно-пешеходной по бульвару Приморский от Московского проспекта до обводной дороги пос. Приморский" (1 этап)</t>
  </si>
  <si>
    <t>Количество отремонтированных путем капитального ремонта и ремонта надземных и подземных пешеходных переходов</t>
  </si>
  <si>
    <t>Количество разработанной документации по строительному контролю при капитальном ремонте</t>
  </si>
  <si>
    <t>Осуществление строительного контроля на объекте: Реконструкция Южного шоссе от ул. Заставной до ул. Цеховой с устройством парковочных автостоянок вдоль Южных проходных АО "АВТОВАЗ"</t>
  </si>
  <si>
    <t>Осуществление строительного контроля на объекте: Подземный пешеходный переход: подземный переход через автомобильную дорогу по адресу: Самарская область, г. Тольятти, ул. Свердлова, в районе дома № 80 (капитальный ремонт)</t>
  </si>
  <si>
    <t>Устройство разворотной площадки из асфальтогранулята в мкр.Северный</t>
  </si>
  <si>
    <t>Осуществление технологического присоединения к электрическим сетям на объекте: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</si>
  <si>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ПБДД</t>
  </si>
  <si>
    <t>МРАД</t>
  </si>
  <si>
    <t>СУДС</t>
  </si>
  <si>
    <t>РГПТ</t>
  </si>
  <si>
    <t>Количество разработанной документации по технологическому присоединению к электрическим сетям объектов капитального ремонта автомобильных дорог общего пользования местного значения городского округа Тольятти</t>
  </si>
  <si>
    <t>Предоставление субсидии на возмещение недополученных доходов и  финансовое обеспечение (возмещение) затрат в связи с выполнением работ по перевозке отдельных категорий граждан по социальной карте жителя Самарской области в связи с сокращением пассажиропотока в условиях угрозы распространения новой коронавирусной инфекции (COVID-19)</t>
  </si>
  <si>
    <t>Предоставление субсидий исполнителям, выполняющим работы по перевозке пассажиров и багажа транспортом общего пользования</t>
  </si>
  <si>
    <t>Экспертиза работ, выполняемых по объекту: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</si>
  <si>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Количество разработанной документации по строительному контролю и авторскому надзору по реконструкции объектов дорожного хозяйства</t>
  </si>
  <si>
    <t>Оказание услуг по проведению проверки сметной стоимости</t>
  </si>
  <si>
    <t>Количество заключений о достоверности определения сметной стоимости</t>
  </si>
  <si>
    <t>Количество разработанной документации по строительному контролю и авторскому надзору по строительству объектов дорожного хозяйства</t>
  </si>
  <si>
    <t>Доля отечественного оборудования (товаров, работ, услуг) в общем объеме закупок</t>
  </si>
  <si>
    <t>Ремонт автомобильной дороги по боковому проезду ул. Маршала Жукова от дома №1 до дома №35 по ул.Маршала Жукова</t>
  </si>
  <si>
    <t>Ремонт автомобильной дороги по ул. Тополиная (от  ул. 70 лет Октября до ул.40 лет Победы)</t>
  </si>
  <si>
    <t>Проектно-изыскательские работы на строительство улицы Ивана Красюка в жилой застройке микрорайона Жигулевское море от ул. Казачьей до пересечения ул. Молодецкая и проезда Оренбургский</t>
  </si>
  <si>
    <t>Проектно-изыскательские работы на строительство улицы Казачья в жилой застройке микрорайона Жигулевское море от ул. Ивана Красюка до ул. Бориса Коваленко</t>
  </si>
  <si>
    <t xml:space="preserve">Замена опор и установка подсветки, дублирующей сигналы светофоров на ул. 40 лет Победы, д.80 </t>
  </si>
  <si>
    <t>Установка светофоров Т7, сокращение заездного кармана, устройство тротуара на ул. Мира, д.170</t>
  </si>
  <si>
    <t>Устройство светофорного объекта с применением подсветки, дублирующий сигнал светофоров на ул. Голосова, д. 30А</t>
  </si>
  <si>
    <t>Устройство светофорного объекта, установка дорожных знаков, установка пешеходных ограждений на Южном шоссе в районе ООТ "Машиностроительный колледж"</t>
  </si>
  <si>
    <t>Установка светофора Т7,  установка пешеходных ограждений на ул. Мира в районе домов № 96, 96 А,100 Б, ООТ "Дом природы"</t>
  </si>
  <si>
    <t>Устройство светофоров Т7, устройство пешеходного перехода, устройство ИДН, устройство пешеходной дорожки, установка дорожных знаков, установка пешеходных ограждений на б-ре Королева, д. № 12</t>
  </si>
  <si>
    <t xml:space="preserve">Установка секций транспортных светофоров,  установка дорожных знаков перед
пересечением проезжих частей, по ул. Ларина и по ул. Новозаводской </t>
  </si>
  <si>
    <t>Осуществление технологического присоединения энергопринимающих устройств к электрическим сетям, в т.ч.:</t>
  </si>
  <si>
    <t>Осуществление технологического присоединения энергопринимающих устройств к электрическим сетям</t>
  </si>
  <si>
    <t>Устройство линий наружного электроосвещения мест концентрации ДТП, в т.ч.:</t>
  </si>
  <si>
    <t>ул. Октябрьская от ул. Комсомольская до здания 55 по ул. Октябрьская</t>
  </si>
  <si>
    <t>ул. Громовой, от ул. Матросова до ул.Куйбышева, северо-западнее объекта недвижимости, имеющего адрес: ул. Громовой, 92</t>
  </si>
  <si>
    <t>Реконструкция магистральной улицы районного значения транспортно-пешеходной по бульвару Приморский от Московского проспекта до обводной дороги пос. Приморский (I этап)</t>
  </si>
  <si>
    <t>Департамент дорожного хозяйства и транспорта администрации городского округа Тольятти, департамент градостроительной деятельности администрации городского округа Тольятти</t>
  </si>
  <si>
    <t>Уровень исполнения обязательств по лизингу (с нарастающим итогом)</t>
  </si>
  <si>
    <t>5,54 / -</t>
  </si>
  <si>
    <t>в том числе в рамках реализации национального проекта "Безопасные качественные дороги"</t>
  </si>
  <si>
    <t>Приобретение диагностической дорожной лаборатории</t>
  </si>
  <si>
    <t>2021-2022</t>
  </si>
  <si>
    <t>Проектно-изыскательские работы по капитальному ремонту автомобильной дороги к ОАО "Жито" от ул. Коммунистической</t>
  </si>
  <si>
    <t>Ремонт проезда Тупиковый, 2, строение, 3 до ул. Новозаводская</t>
  </si>
  <si>
    <t>Проектно-изыскательские работы по строительству улично-дорожной сети в мкр. "Тимофеевка-2" (1 этап)</t>
  </si>
  <si>
    <t>б-р Буденного;</t>
  </si>
  <si>
    <t>Хрящёвское шоссе на участке от Южного шоссе до Обводного шоссе;</t>
  </si>
  <si>
    <t>план на 2024:</t>
  </si>
  <si>
    <t>Проектирование устройства парковочных площадок (карманов и стоянок), в т.ч.:</t>
  </si>
  <si>
    <t>Количество разработанной проектно-сметной документации по капитальному ремонту путепроводов</t>
  </si>
  <si>
    <t>Количество разработанной проектно-сметной документации по капитальному ремонту подземных пешеходных переходов</t>
  </si>
  <si>
    <t>Тупиковый проезд от объекта, имеющего адрес: проезд Тупиковый, 2 строение 3, до улицы Новозаводской, юго-восточнее объекта, имеющего адрес: проезд Тупиковый, 2, строение 3</t>
  </si>
  <si>
    <t xml:space="preserve">Количество разработанной проектно-сметной документации по устройству линии наружного освещения </t>
  </si>
  <si>
    <t>Протяженность автомобильных дорог, на которых выполнена диагностика и оценка транспортно-эксплуатационного состояния дорог</t>
  </si>
  <si>
    <t>переход в районе ООТ «Парк Хаус»;</t>
  </si>
  <si>
    <t>ИТОГО ПО ПОДПРОГРАММЕ "МРАД"                                                   с учетом оплаты ранее принятых обязательств</t>
  </si>
  <si>
    <t>ИТОГО ПО ПОДПРОГРАММЕ "МРАД"                                                   без учета оплаты ранее принятых обязательств</t>
  </si>
  <si>
    <t>оплата ранее принятых обязательств</t>
  </si>
  <si>
    <t>ИТОГО ПО МУНИЦИПАЛЬНОЙ ПРОГРАММЕ                                                   без учета оплаты ранее принятых обязательств</t>
  </si>
  <si>
    <t>ИТОГО ПО МУНИЦИПАЛЬНОЙ ПРОГРАММЕ                                                   с учетом оплаты ранее принятых обязательств</t>
  </si>
  <si>
    <t>Оплата ранее принятых обязательств</t>
  </si>
  <si>
    <t>ул. Цеховая от ул.Вокзальной до ул.Северной</t>
  </si>
  <si>
    <t>ул.Цеховая от Южного шоссе до ул.Вокзальной</t>
  </si>
  <si>
    <t>Количество приобретенных передвижных специализированных дорожных лабораторий</t>
  </si>
  <si>
    <t>Количество устроенных островков безопасности, пандусов и замененных остановок общественного транспорта</t>
  </si>
  <si>
    <t>Количество перевезенных пассажиров льготной категории граждан за которых выплачена субсидия перевозчикам  в условиях угрозы распространения новой коронавирусной инфекции</t>
  </si>
  <si>
    <t>Количество разработанной проектной документации по устройству пункта автоматического весогабаритного контроля</t>
  </si>
  <si>
    <t>Протяженность дорог, находящихся в нормативном состоянии,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</si>
  <si>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построенных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</si>
  <si>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реконструированных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</si>
  <si>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Доля отремонтированных за счет капитального ремонта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</si>
  <si>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Выполнение проектно-изыскательских работ по строительству, реконструкции, устройству линии наружного освещения, капитальному ремонту и ремонту автомобильных дорог общего пользования местного значения городского округа Тольятти</t>
  </si>
  <si>
    <t>ул. Революционная от Ленинского пр-та до Приморского бульвара</t>
  </si>
  <si>
    <t xml:space="preserve">Техническое присоединение к централизованной системе водоотведения объекта: "Строительство магистральной улицы общегородского значения регулируемого движения ул. Офицерской" </t>
  </si>
  <si>
    <t xml:space="preserve">план на 2021-2022: </t>
  </si>
  <si>
    <t xml:space="preserve">Приложение № 1
к муниципальной программе
"Развитие транспортной системы
и дорожного хозяйства
городского округа Тольятти
на 2021 - 2025 гг."
</t>
  </si>
  <si>
    <t xml:space="preserve">Приложение № 2
к муниципальной программе
"Развитие транспортной системы
и дорожного хозяйства
городского округа Тольятти
на 2021 - 2025 гг."
</t>
  </si>
  <si>
    <t>Выполнение работ по ремонту съездов с Поволжского шоссе на Обводное шоссе</t>
  </si>
  <si>
    <t>Проектно-изыскательские работы по устройству линий наружного электроосвещения, в т.ч:</t>
  </si>
  <si>
    <t xml:space="preserve">Проектирование устройства пешеходных дорожек, в т.ч. экспертиза проектов, в т.ч: </t>
  </si>
  <si>
    <t>Количество разработанной документации по строительному контролю при капитальном ремонте надземных и подземных пешеходных переходов</t>
  </si>
  <si>
    <t>Осуществление технологического присоединения к электрическим сетям на объекте: 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</si>
  <si>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Выполнение работ по обеспечению безопасности участников дорожного движения</t>
  </si>
  <si>
    <t>Выполнение работ по обеспечению безопасности участников дорожного движения, в т.ч.:</t>
  </si>
  <si>
    <t>план на 2025:</t>
  </si>
  <si>
    <t>Количество объектов по обеспечению безопасности участников дорожного движения</t>
  </si>
  <si>
    <t>Выполнение работ по устройству технических средств организации дорожного движения</t>
  </si>
  <si>
    <t>Выполнение работ по устройству технических средств организации дорожного движения, в т.ч.:</t>
  </si>
  <si>
    <t>Количество отремонтированных путем капитального ремонта и ремонта путепроводов</t>
  </si>
  <si>
    <t>ул.Дзержинского от световой опоры №84(89) до пр-та Степана Разина</t>
  </si>
  <si>
    <t>ул.Ботаническая от Южного шоссе до ул.Дзержинского</t>
  </si>
  <si>
    <t>ул.Борковская от Южного шоссе до ул.Дзержинского</t>
  </si>
  <si>
    <t>Ремонт автодороги от ул. Спортивная до Набережной Автозаводского района</t>
  </si>
  <si>
    <t xml:space="preserve">Подпрограмма "Содержание улично-дорожной сети на 2021-2025 гг."                      </t>
  </si>
  <si>
    <t>Подпрограмма "Содержание улично-дорожной сети на 2021 - 2025 гг."</t>
  </si>
  <si>
    <t>Количество представленных актов об осуществлении технологического присоединения энергопринимающих устройств к электрическим сетям</t>
  </si>
  <si>
    <t>Количество разработанной проектно-сметной документации на устройство пешеходных дорожек</t>
  </si>
  <si>
    <t>Количество разработанной проектно-сметной документации на устройство и перенос остановок общественного транспорта</t>
  </si>
  <si>
    <t>Количество разработанной проектно-сметной документации на строительство и реконструкцию парковочных площадок (карманов и стоянок)</t>
  </si>
  <si>
    <t>Количество разработанной проектно-сметной документации на установку РМП</t>
  </si>
  <si>
    <t>Количество ликвидируемых мест разворота транспортных средств,  подходов к пешеходным переходам, разрывов в разделительной полосе, несанкционированных примыканий, заездных карманов, парковок, устроенных пешеходных дорожек, пешеходных переходов, островков безопасности, искусственных дорожных неровностей, шумовых полос , информационных щитов индивидуального проектирования, световозвращателей дорожных</t>
  </si>
  <si>
    <t>Количество разработанной проектно-сметной документации на устройство линий наружного электроосвещения, в том числе на осуществление технологического присоединения к электрическим сетям</t>
  </si>
  <si>
    <t>Количество установленных светофорных объектов</t>
  </si>
  <si>
    <t>Количество представленных экспертных заключений о соответствии представленных ОНМЦК нормативным правовым актам Российской Федерации, методическим рекомендациям, иным
правовым актам, регулирующим строительную деятельность</t>
  </si>
  <si>
    <t xml:space="preserve">Показатели (индикаторы) Стратегии, определенные Планом мероприятий по реализации Стратегии </t>
  </si>
  <si>
    <t>Количество разработанной проектно-сметной документации по устройству линий наружного электроосвещения</t>
  </si>
  <si>
    <t>Устройство островков безопасности, пандусов, замена остановок общественного транспорта, в т.ч.:</t>
  </si>
  <si>
    <t>Устройство островков безопасности, пандусов, замена остановок общественного транспорта</t>
  </si>
  <si>
    <t xml:space="preserve">Приложение № 3
к муниципальной программе
"Развитие транспортной системы
и дорожного хозяйства
городского округа Тольятти
на 2021 - 2025 гг."
</t>
  </si>
  <si>
    <t xml:space="preserve">Приложение № 4
к муниципальной программе
"Развитие транспортной системы
и дорожного хозяйства
городского округа Тольятти
на 2021 - 2025 гг."
</t>
  </si>
  <si>
    <t>3.1.1.</t>
  </si>
  <si>
    <t>3.2.1.</t>
  </si>
  <si>
    <t>4.1.1.</t>
  </si>
  <si>
    <t>4.2.1.</t>
  </si>
  <si>
    <t>4.3.1.</t>
  </si>
  <si>
    <t>Задача 3 подпрограммы : создание условий для осуществления деятельности муниципального казенного учреждения "Центр организации дорожного движения городского округа Тольятти"</t>
  </si>
  <si>
    <t>Задача 1 подпрограммы: проведение организационных и инженерных мер, направленных на предупреждение причин возникновения дорожно-транспортных происшествий</t>
  </si>
  <si>
    <t>1.</t>
  </si>
  <si>
    <t>2.</t>
  </si>
  <si>
    <t>2.1.4.</t>
  </si>
  <si>
    <t>2.1.5.</t>
  </si>
  <si>
    <t>2.1.6.</t>
  </si>
  <si>
    <t>2.1.7.</t>
  </si>
  <si>
    <t>2.1.8.</t>
  </si>
  <si>
    <t>1.1.4.</t>
  </si>
  <si>
    <t>1.1.5.</t>
  </si>
  <si>
    <t>1.1.6.</t>
  </si>
  <si>
    <t>1.1.7.</t>
  </si>
  <si>
    <t>Задача 2 подпрограммы: оптимизация режимов движения на участках УДС с использованием современных схем организации  дорожного движения, технических средств организации  дорожного движения  и автоматизированных систем управления дорожным движением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</si>
  <si>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</si>
  <si>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</si>
  <si>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</si>
  <si>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</si>
  <si>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</si>
  <si>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</si>
  <si>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</si>
  <si>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</si>
  <si>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</si>
  <si>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3.</t>
  </si>
  <si>
    <t>Задача 1 подпрограммы: выполнение мероприятий по уходу за автомобильными дорогами общего пользования местного значения и объектами дорожного хозяйства городского округа Тольятти</t>
  </si>
  <si>
    <t>3.1.2.</t>
  </si>
  <si>
    <t>3.2.2.</t>
  </si>
  <si>
    <t>3.2.3.</t>
  </si>
  <si>
    <t>3.2.4.</t>
  </si>
  <si>
    <t xml:space="preserve">4. </t>
  </si>
  <si>
    <t>Задача 1 подпрограммы: совершенствование технического и технологического обеспечения транспортного обслуживания</t>
  </si>
  <si>
    <t>Задача 2 подпрограммы: обеспечение регулярных перевозок пассажиров по регулируемым тарифам</t>
  </si>
  <si>
    <t>4.2.2.</t>
  </si>
  <si>
    <t>4.2.3.</t>
  </si>
  <si>
    <t>Задача 3 подпрограммы: оптимизация структуры парков транспортных средств и ускорение обновления их состава</t>
  </si>
  <si>
    <t>Задача 2 подпрограммы: оптимизация режимов движения на участках УДС с использованием современных схем организации  дорожного движения, технических средств организации  дорожного движения и автоматизированных систем управления дорожным движением</t>
  </si>
  <si>
    <t>Задача 3 подпрограммы: создание условий для осуществления деятельности муниципального казенного учреждения "Центр организации дорожного движения городского округа Тольятти"</t>
  </si>
  <si>
    <t>Задача 2 подпрограммы: выполнение мероприятий по организации дорожного движения</t>
  </si>
  <si>
    <t>4.</t>
  </si>
  <si>
    <t xml:space="preserve">2.1.1. </t>
  </si>
  <si>
    <t>2.1.1.5.</t>
  </si>
  <si>
    <t>Итого по объектам строительства по разделу 2.1.1:</t>
  </si>
  <si>
    <t>2.1.2.1.</t>
  </si>
  <si>
    <t>2.1.2.2.</t>
  </si>
  <si>
    <t>2.1.2.3.</t>
  </si>
  <si>
    <t>2.1.2.4.</t>
  </si>
  <si>
    <t>2.1.2.4.1.</t>
  </si>
  <si>
    <t>2.1.2.4.2.</t>
  </si>
  <si>
    <t>2.1.2.5.</t>
  </si>
  <si>
    <t>Итого по объектам реконструкции по разделу 2.1.2:</t>
  </si>
  <si>
    <t>Выполнение проектно-изыскательских работ по строительству, реконструкции, устройству линии наружного освещения, капитальному ремонту и ремонту автомобильных дорог общего пользования местного значения городского округа Тольятти:</t>
  </si>
  <si>
    <t>2.1.3.23.</t>
  </si>
  <si>
    <t>Итого по  объектам проектирования строительства, реконструкции, капитального ремонта и ремонта по разделу 2.1.3:</t>
  </si>
  <si>
    <t>Итого по объектам капитального ремонта по разделу 2.1.4:</t>
  </si>
  <si>
    <t>2.1.5.104</t>
  </si>
  <si>
    <t>Итого по объектам ремонта дорог по разделу 2.1.5:</t>
  </si>
  <si>
    <t>Итого по объектам ремонта дворовых территорий по разделу 2.1.6:</t>
  </si>
  <si>
    <t>Итого по объектам отсыпки автомобильных дорог асфальтогранулятом по разделу 2.1.7:</t>
  </si>
  <si>
    <t>2.1.8.1.</t>
  </si>
  <si>
    <t>на 2021 г.</t>
  </si>
  <si>
    <t>на 2022 г.</t>
  </si>
  <si>
    <t>на 2023 г.</t>
  </si>
  <si>
    <t>на 2024 г.</t>
  </si>
  <si>
    <t>на 2025 г.</t>
  </si>
  <si>
    <t>4.3.2.</t>
  </si>
  <si>
    <t>Приобретение автобусов путем заключения муниципального контракта на оказание услуг финансовой аренды (лизинга)</t>
  </si>
  <si>
    <t>46,48 / -</t>
  </si>
  <si>
    <t>2022-2024</t>
  </si>
  <si>
    <t>2023</t>
  </si>
  <si>
    <t xml:space="preserve">Капитальный ремонт путепровода через автодорогу Восточная завода - часть улицы Борковской </t>
  </si>
  <si>
    <t>Площадь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городском округе Тольятти</t>
  </si>
  <si>
    <t>км.</t>
  </si>
  <si>
    <t>Пробег специализированных автомобилей, осуществляющих перевозку маломобильных граждан</t>
  </si>
  <si>
    <t>Количество разработанной проектно-сметной документации по ремонту путепроводов</t>
  </si>
  <si>
    <t>Устройство бортового камня и устройство мест разворотов</t>
  </si>
  <si>
    <t>ул.Карбышева от ул.Комсомольская до ул.Баныкина</t>
  </si>
  <si>
    <t>ул.Комсомольская от ул.Родины до д.№94 по ул.Ленина</t>
  </si>
  <si>
    <t>ул.Ворошилова от ул.Дзержинского до ул.Офицерская</t>
  </si>
  <si>
    <t>Пр-т Степана Разина от ул.Дзержинского до Ленинского пр-та</t>
  </si>
  <si>
    <t>Поволжское шоссе от ул.Громовой до Обводного шоссе</t>
  </si>
  <si>
    <t>площадки южнее дома №77 по ул. Юбилейная</t>
  </si>
  <si>
    <t>Проектно-изыскательские работы по капитальному ремонту и ремонту путепроводов, подземных пешеходных переходов и мостов</t>
  </si>
  <si>
    <t>Проектно-изыскательские работы по объекту: "Устройство дополнительной полосы движения на ул. Комсомольская на пересечении с ул. Карла Маркса"</t>
  </si>
  <si>
    <t>2018, 2020 (Оплата ранее принятых обязательств)</t>
  </si>
  <si>
    <t>пас.</t>
  </si>
  <si>
    <t>Количество перевезенных маломобильных граждан специализированными автомобилями</t>
  </si>
  <si>
    <t>ул. Маршала Жукова от ул. Спортивная до ул. Фрунзе</t>
  </si>
  <si>
    <t>ул. Новозаводская от ул. Шлютова до Обводного шоссе</t>
  </si>
  <si>
    <t>Большой проезд от д.15 по ул. Грачева до ул. Бузыцкова</t>
  </si>
  <si>
    <t>ул. Викторова</t>
  </si>
  <si>
    <t>проезд от Хрящевского шоссе до д.17 по ул. Грачева</t>
  </si>
  <si>
    <t>ул. Подгорная</t>
  </si>
  <si>
    <t>ул. Непорожнего</t>
  </si>
  <si>
    <t>ул. Автомобилистов</t>
  </si>
  <si>
    <t>Выполнение работ по ремонту автомобильных дорог общего пользования местного значения городского округа Тольятти</t>
  </si>
  <si>
    <t>Ремонт автомобильной дороги по Поволжскому шоссе от ул. Громовой до c/о 232 по Поволжскому шоссе</t>
  </si>
  <si>
    <t>Ремонт автомобильной дороги по ул.Вокзальная вдоль железнодорожного вокзала</t>
  </si>
  <si>
    <t xml:space="preserve">Ремонт Фабричного проезда от здания № 46 по ул. Коммунальной до ул. Вокзальная </t>
  </si>
  <si>
    <t>Выполнение работ по ремонту автомобильных дорог общего пользования местного значения городского округа Тольятти (ремонт «картами»)</t>
  </si>
  <si>
    <t>Корректировка проектно-сметной документации по объекту: "Капитальный ремонт автодороги по улице Базовая от ул. Комсомольская до улицы Ларина"</t>
  </si>
  <si>
    <t>1.1.8.</t>
  </si>
  <si>
    <t xml:space="preserve">Количество введенных в эксплуатацию камер видеонаблюдения </t>
  </si>
  <si>
    <t>Количество объектов, на которых установлено оборудование видеонаблюдения</t>
  </si>
  <si>
    <t>Количество отремонтированных надземных и подземных пешеходных переходов</t>
  </si>
  <si>
    <t>Количество отремонтированных путепроводов</t>
  </si>
  <si>
    <t>Монтаж и ввод в эксплуатацию оборудования видеонаблюдения</t>
  </si>
  <si>
    <t>Монтаж и ввод в эксплуатацию оборудования видеонаблюдения, в т.ч.:</t>
  </si>
  <si>
    <t>2023-2025</t>
  </si>
  <si>
    <t>4.4.</t>
  </si>
  <si>
    <t>4.4.1.</t>
  </si>
  <si>
    <t>Предоставление субсидий юридическим лицам (за исключением субсидий государственным (муниципальным) учреждениям), индивидуальным предпринимателям в целях возмещения затрат (части затрат) от перевозки маломобильных граждан специализированными автомобилями в городском округе Тольятти</t>
  </si>
  <si>
    <t xml:space="preserve">Оказание услуг по подготовке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дорог </t>
  </si>
  <si>
    <t>Количество представленных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дорог</t>
  </si>
  <si>
    <t>Количество представленных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дворовых территорий многоквартирных домов, проездов к дворовым территориям многоквартирных домов городского округа Тольятти</t>
  </si>
  <si>
    <t>Задача 4 подпрограммы: обеспечение социальных перевозок пассажиров в городском округе Тольятти</t>
  </si>
  <si>
    <t>3.2.5.</t>
  </si>
  <si>
    <t>Оказание услуг по проведению негосударственной (государственной) экспертизы обоснования начальной (максимальной) цены контракта на выполнение работ по капитальному ремонту и ремонту автомобильных дорог общего пользования местного значения городского округа Тольятти</t>
  </si>
  <si>
    <t>Количество диагностируемых подземных пешеходных переходов</t>
  </si>
  <si>
    <t>Строительство магистральной улицы районного значения транспортно-пешеходной в продолжение ул. Дзержинского от Московского проспекта до ул. Фермерская</t>
  </si>
  <si>
    <t xml:space="preserve">Оказание услуг по подготовке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дворовых территорий многоквартирных домов, проездов к дворовым территориям многоквартирных домов </t>
  </si>
  <si>
    <t>2024-2025</t>
  </si>
  <si>
    <t>Оплата ранее принятых обязательств (2020г.)</t>
  </si>
  <si>
    <t>4.3.3.</t>
  </si>
  <si>
    <t>2020 (Оплата ранее принятых обязательств)</t>
  </si>
  <si>
    <t>ИТОГО ПО ПОДПРОГРАММЕ "ПБДД"                                                                                                                         без учета оплаты ранее принятых обязательств</t>
  </si>
  <si>
    <t>ИТОГО ПО ПОДПРОГРАММЕ "ПБДД"                                                    с учетом оплаты ранее принятых обязательств</t>
  </si>
  <si>
    <t>ИТОГО ПО ПОДПРОГРАММЕ "ПБДД"  (без учета оплаты ранее принятых обязательств)</t>
  </si>
  <si>
    <t>ИТОГО ПО ПОДПРОГРАММЕ "ПБДД" (с учетом оплаты ранее принятых обязательств)</t>
  </si>
  <si>
    <t>Количество приобретенных автобусов</t>
  </si>
  <si>
    <t xml:space="preserve">Осуществление строительного контроля на объекте: Путепровод через автодорогу Восточная завода - часть улицы Борковской </t>
  </si>
  <si>
    <t>Количество объектов, оборудованных съездами для инвалидов и других маломобильных групп населения</t>
  </si>
  <si>
    <t>40,97 / -</t>
  </si>
  <si>
    <t>309,25/203,81</t>
  </si>
  <si>
    <t>Приложение № 1                                                                                              к  постановлению администрации 
городского округа Тольятти 
от_______________№ _________</t>
  </si>
  <si>
    <t>дорога вдоль Южного шоссе от ул.Тополиной до ул.Автостроителей</t>
  </si>
  <si>
    <t>1.1.9.</t>
  </si>
  <si>
    <t>Количество объектов, на которых установлены указатели</t>
  </si>
  <si>
    <t xml:space="preserve">план на 2022-2023: </t>
  </si>
  <si>
    <t xml:space="preserve">план на 2024: </t>
  </si>
  <si>
    <t xml:space="preserve">Проектно-изыскательские работы на устройство заезда на внутриквартальный проезд (дублер) по Московскому проспекту в районе жилых домов №57-49 </t>
  </si>
  <si>
    <t>ул. Новозаводская от ул. Шлютова до ул.Голосова</t>
  </si>
  <si>
    <t xml:space="preserve">ул. Революционная от ул. Дзержинского до Ленинского проспекта </t>
  </si>
  <si>
    <t>Лесопарковое шоссе, от пр-та Степана Разина до ул. Комзина</t>
  </si>
  <si>
    <t>ул.Комзина от Лесопаркового шоссе до ул.Родины</t>
  </si>
  <si>
    <t xml:space="preserve">ул. Мира от ул. Победы до ул. Комсомольская </t>
  </si>
  <si>
    <t>ул. 40 лет Победы от ул. Дзержинского до с/о №93-95 по ул. 40 лет Победы</t>
  </si>
  <si>
    <t>Проектно-изыскательские работы по строительству магистральной улицы районного значения транспортно-пешеходной в продолжение ул. Дзержинского от Московского проспекта до ул. Фермерская</t>
  </si>
  <si>
    <t>Проектно-изыскательские работы по проектированию и строительству дороги ул.Калмыцкая от железнодорожного переезда до ул.Васильевской</t>
  </si>
  <si>
    <t>Проектно-изыскательские работы по капитальному ремонту автодороги от ш. Хрящевское вдоль СИЗО-4</t>
  </si>
  <si>
    <t>2024 - 2025</t>
  </si>
  <si>
    <t>Приобретение подвижного состава пассажирского транспорта общего пользования для обеспечения организации регулярных перевозок по межмуниципальным маршрутам на садово-дачные массивы</t>
  </si>
  <si>
    <t>Количество объектов, подключенных к централизованной системе водоотведения</t>
  </si>
  <si>
    <t>не менее 90</t>
  </si>
  <si>
    <t>не менее 99,5</t>
  </si>
  <si>
    <t>Устройство тактильной плитки</t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</si>
  <si>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</si>
  <si>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</si>
  <si>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          </t>
    </r>
    <r>
      <rPr>
        <i/>
        <sz val="10"/>
        <rFont val="Times New Roman"/>
        <family val="1"/>
        <charset val="204"/>
      </rPr>
      <t xml:space="preserve">    (ГП "Развитие транспортной системы Самарской области") </t>
    </r>
  </si>
  <si>
    <r>
      <t xml:space="preserve">Содержание автомобильных дорог местного значения и внутриквартальных проездов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</si>
  <si>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осуществлению регулярных перевозок пассажиров и багажа по регулируемым тарифам                         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</si>
  <si>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Приобретение автобусов путем предоставления субсидий в целях возмещения затрат на оплату лизинговых платежей за автобусы большого класса, работающие на газомоторном топливе, приобретенные в рамках национального проекта «Безопасные качественные дороги»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</si>
  <si>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</t>
    </r>
    <r>
      <rPr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</si>
  <si>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 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  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</si>
  <si>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</si>
  <si>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Содержание автомобильных дорог местного значения и внутриквартальных проездов                                                         </t>
    </r>
    <r>
      <rPr>
        <i/>
        <sz val="12"/>
        <rFont val="Times New Roman"/>
        <family val="1"/>
        <charset val="204"/>
      </rPr>
      <t xml:space="preserve">   (ГП "Развитие транспортной системы Самарской области") </t>
    </r>
  </si>
  <si>
    <r>
      <t xml:space="preserve">Выполнение работ по осуществлению регулярных перевозок пассажиров и багажа по регулируемым тарифам                                   </t>
    </r>
    <r>
      <rPr>
        <i/>
        <sz val="12"/>
        <rFont val="Times New Roman"/>
        <family val="1"/>
        <charset val="204"/>
      </rPr>
      <t xml:space="preserve">    (ГП "Развитие транспортной системы Самарской области") </t>
    </r>
  </si>
  <si>
    <r>
      <t xml:space="preserve">Приобретение автобусов путем предоставления субсидий в целях возмещения затрат на оплату лизинговых платежей за автобусы большого класса, работающие на газомоторном топливе, приобретенные в рамках национального проекта «Безопасные качественные дороги»                                                                       </t>
    </r>
    <r>
      <rPr>
        <i/>
        <sz val="12"/>
        <rFont val="Times New Roman"/>
        <family val="1"/>
        <charset val="204"/>
      </rPr>
      <t xml:space="preserve">(ГП "Развитие транспортной системы Самарской области") </t>
    </r>
  </si>
  <si>
    <t xml:space="preserve"> МКУ "ЦОДД ГОТ" (Департамент дорожного хозяйства и транспорта  администрации городского округа Тольятти)                             </t>
  </si>
  <si>
    <t xml:space="preserve">МКУ "ЦОДД ГОТ" (Департамент дорожного хозяйства и транспорта  администрации городского округа Тольятти)                              </t>
  </si>
  <si>
    <t xml:space="preserve">МКУ "ЦОДД ГОТ" (Департамент дорожного хозяйства и транспорта  администрации городского округа Тольятти)                                                    </t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</si>
  <si>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жилищного строительства в Самарской области",  ГП "Развитие транспортной системы Самарской области")</t>
    </r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</si>
  <si>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</t>
    </r>
    <r>
      <rPr>
        <i/>
        <sz val="12"/>
        <rFont val="Times New Roman"/>
        <family val="1"/>
        <charset val="204"/>
      </rPr>
      <t xml:space="preserve">  (ГП "Развитие жилищного строительства в Самарской области",  ГП "Развитие транспортной системы Самарской области")</t>
    </r>
  </si>
  <si>
    <t xml:space="preserve">Установка рамной П-образной опоры (РМП) </t>
  </si>
  <si>
    <t>Количество объектов на которых установлены РМП</t>
  </si>
  <si>
    <t>356,97/356,97</t>
  </si>
  <si>
    <t>270,51/247,61</t>
  </si>
  <si>
    <t>не менее 1 000</t>
  </si>
  <si>
    <t>Примечание:</t>
  </si>
  <si>
    <t>Корректировка проектно-сметной документации по объекту «Капитальный ремонт автодороги по ул. Октябрьская от ул. Комсомольская до б-ра 50 лет Октября, г. Тольятти Самарской области»</t>
  </si>
  <si>
    <t>Устройство разделительной полосы в районе пересечения ул.Вокзальная – ул. Окраинная</t>
  </si>
  <si>
    <t>ул.Ларина;</t>
  </si>
  <si>
    <t xml:space="preserve">Доля объектов, на которых предусматривается использование новых и наилучших технологий, включенных в Реестр </t>
  </si>
  <si>
    <t>Количество погибших в дорожно-транспортных происшествиях, человек на 100 тыс. населения</t>
  </si>
  <si>
    <t>Департамент дорожного хозяйства и транспорта  администрации городского округа Тольятти,                                                             МКУ "ЦОДД ГОТ" (Департамент дорожного хозяйства и транспорта  администрации городского округа Тольятти)</t>
  </si>
  <si>
    <t>2021-2024</t>
  </si>
  <si>
    <t>2022, 2024</t>
  </si>
  <si>
    <t>2021- 2024</t>
  </si>
  <si>
    <t>№   п/п</t>
  </si>
  <si>
    <t xml:space="preserve">Реконструкция магистральной улицы общегородского значения регулируемого движения по ул.Спортивной на участке от пр-та Степана Разина до ул. Юбилейная (строительство бокового проезда) в 8 квартале Автозаводского района       </t>
  </si>
  <si>
    <t>Проектно-изыскательские работы по капитальному ремонту автодороги по ул. Тополиной с целью устройства дополнительной выделенной полосы на пересечении с Южным шоссе</t>
  </si>
  <si>
    <t>Осуществление строительного контроля на объекте: Капитальный ремонт  ул.Васильевская от ул.Калмыцкая до Обводного шоссе</t>
  </si>
  <si>
    <t>Капитальный ремонт ул.Васильевская от ул.Калмыцкая до Обводного шоссе</t>
  </si>
  <si>
    <t>Устройство шумовых полос и информационных щитов индивидуального проектирования на Автозаводском шоссе, в районе домов № 3, 5.</t>
  </si>
  <si>
    <t>Устройство  искусственных дорожных неровностей, установка дорожных знаков на б-ре Луначарского,2  (ул. Ворошилова, д.4)</t>
  </si>
  <si>
    <t>Устройство  искусственных дорожных неровностей, установка дорожных знаков на б-ре Кулибина, д.2</t>
  </si>
  <si>
    <t xml:space="preserve">Устройство светофорного объекта, установка дорожных знаков на ул. Громовой, д.1,  ООТ "ул. Механизаторов"                                                                                                               </t>
  </si>
  <si>
    <t>Устройство светофорного объекта, установка дорожных знаков на ул. Автостроителей, д.13 А, ООТ "Гостиница Лада"</t>
  </si>
  <si>
    <t>Устройство светофорного объекта, установка дорожных знаков на ул. Автостроителей, д. 11, ООТ "Солнечный б-р"</t>
  </si>
  <si>
    <t>Устройство светофорного объекта, установка дорожных знаков и устройство пешеходной дорожки на Южном шоссе в районе дома №36, ООТ "1-я вставка"</t>
  </si>
  <si>
    <t>Устройство светофорного объекта, установка дорожных знаков и устройство пешеходной дорожки на Южном шоссе в районе дома №36, ООТ "3-я вставка"</t>
  </si>
  <si>
    <t>Устройство светофорного объекта, установка дорожных знаков на Южном шоссе в районе дома №36, ООТ "Жигулевская долина"</t>
  </si>
  <si>
    <t>Выполнение проектно-изыскательских работ по устройству линий наружного электроосвещения, в т.ч. инженерные изыскания по Хрящевскому шоссе (на участке от Южного шоссе до Обводного шоссе)</t>
  </si>
  <si>
    <t>Проектирование устройства остановки общественного транспорта ООТ "Лыжная база" по ул.М. Жукова</t>
  </si>
  <si>
    <t>Проектирование переноса  ООТ "Лесопитомник" по ул. Дзержинского</t>
  </si>
  <si>
    <t>ул. Фрунзе между Московским проспектом  и ул. Юбилейной</t>
  </si>
  <si>
    <t>ул. Железнодорожная от ул. Никонова до М-5 "Урал"</t>
  </si>
  <si>
    <t xml:space="preserve">ПОКАЗАТЕЛИ (ИНДИКАТОРЫ)
МУНИЦИПАЛЬНОЙ ПРОГРАММЫ "РАЗВИТИЕ ТРАНСПОРТНОЙ СИСТЕМЫ И ДОРОЖНОГО ХОЗЯЙСТВА ГОРОДСКОГО ОКРУГА ТОЛЬЯТТИ НА 2021 - 2025 ГГ."
</t>
  </si>
  <si>
    <t>Цель подпрограммы: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</t>
  </si>
  <si>
    <t>ул. Ларина (на участке от ул. Васильевская до ул. Ломоносова);</t>
  </si>
  <si>
    <t>ул.Кудашева;</t>
  </si>
  <si>
    <t>ул.40 лет Победы 57-б (поликлиника на 500 посещений в смену);</t>
  </si>
  <si>
    <t>б-р Здоровья;</t>
  </si>
  <si>
    <t>Устройство искусственных дорожных неровностей на Яблоневом проезде (от ул. Кирова до ул. Добролюбова);</t>
  </si>
  <si>
    <t>Устройство искусственных дорожных неровностей в районе досугового центра "Русич" по ул. Никонова;</t>
  </si>
  <si>
    <t>Устройство искусственных дорожных неровностей на проезде вдоль территории СОШ №61 (ул.Свердлова,23), д/с №115 "Салют" (ул. Свердлова, 27);</t>
  </si>
  <si>
    <t>Устройство искусственных дорожных неровностей по б-ру Орджоникидзе до дома №20 по пр-ту Ст. Разина;</t>
  </si>
  <si>
    <t>Устройство искусственных дорожных неровностей по ул. Патрульная;</t>
  </si>
  <si>
    <t>Устройство искусственных дорожных неровностей на внутриквартальном проезде от ул. Баныкина до ул. Мира вдоль территории д/с №49 "Веселые нотки";</t>
  </si>
  <si>
    <t>Устройство искусственных дорожных неровностей по внутриквартальному проезду от пр. Ст. Разина до ул. Юбилейная в районе ОЦ "Школа", "Школа №73", "Школа №76";</t>
  </si>
  <si>
    <t>Устройство искусственных дорожных неровностей в районе дома №102 на ул. Ставропольская (д/с №100 "Островок");</t>
  </si>
  <si>
    <t>Устройство искусственных дорожных неровностей в районе МБУ "Школа № 89" (ул.Дзержинского д. №39);</t>
  </si>
  <si>
    <t>Устройство искусственных дорожных неровностей на ул. Советская, 53 д/с "Жар-Птица";</t>
  </si>
  <si>
    <t>Устройство искусственных дорожных неровностей по ул. Фрунзе в районе ООТ "Маршала Жукова";</t>
  </si>
  <si>
    <t>ул.Матросова в районе дома №26 (д/с №69 "Веточка");</t>
  </si>
  <si>
    <t>внутриквартальный проезд по ул.Комсомольская 165;</t>
  </si>
  <si>
    <t>ул.Голосова д.57, д.59, д.61;</t>
  </si>
  <si>
    <t>ул.Л.Чайкиной, д.69 и д.71;</t>
  </si>
  <si>
    <t>в районе дома №66 по ул.Ларина (Центр технического творчества);</t>
  </si>
  <si>
    <t>по проезду Почтовый, в районе дома №95 по ул.Ленина (Д/с №41 "Огонек");</t>
  </si>
  <si>
    <t>в районе дома №84 по ул.Мурысева (Педколледж);</t>
  </si>
  <si>
    <t>внутриквартальный проезд в районе дома №43 по ул.Фрунзе (Школа Королева).;</t>
  </si>
  <si>
    <t>в районе дома №6 по ул.Д.Ульянова (Д/с "Чайка");</t>
  </si>
  <si>
    <t>в районе дома №10 и №14 по бульвару Татищева;</t>
  </si>
  <si>
    <t>по ул.40 лет Победы №106, ул.Ворошилова №61;</t>
  </si>
  <si>
    <t>по бульвару Космонавтов, в районе дома №15 (2 шт.);</t>
  </si>
  <si>
    <t>ул.Железнодорожная (1 шт.);</t>
  </si>
  <si>
    <t>внутриквартальный проезд в районе дома №64 по ул.Баныкина (2 шт.);</t>
  </si>
  <si>
    <t>внутриквартальный проезд в районе дома №14 по ул.Баныкина перед пересечением с бульваром Ленина (четная сторона) (1 шт.);</t>
  </si>
  <si>
    <t>в районе пешеходного перехода у дома №16"А" по бульвару Ленина (2 шт.);</t>
  </si>
  <si>
    <t>внутриквартальный проезд от ул.Фрунзе (д.№16) до пр-та Ленинский (д.№27) (3 квартал, напротив "Фанни-парк") (3 шт.);</t>
  </si>
  <si>
    <t>внутриквартальный проезд ул. Победы в районе домов №№66,68,70 по ул.Мира (4 шт.);</t>
  </si>
  <si>
    <t>в районе дома №77 по ул. Мира (проезд гостиницы "Звезда Жигулей" и ДК "Тольятти") (1 шт.);</t>
  </si>
  <si>
    <t>внутриквартальный проезд вдоль домов №10, 14 по б-ру Татищева (19 квартал) (2 шт.);</t>
  </si>
  <si>
    <t>внутриквартальный проезд вдоль домов №69, 71 по ул. Лизы Чайкиной (2 шт.);</t>
  </si>
  <si>
    <t>Почтовый проезд вдоль д/с №41 "Огонек" (ул. Ленина, д. 95) (1 шт.);</t>
  </si>
  <si>
    <t>б-р Туполева (вдоль территории МДОУ "Школа №47" д. 12 (1 шт.);</t>
  </si>
  <si>
    <t>на проезде Федоровские луга (в районе пешеходного перехода и ООТ по требованию) (8 шт.);</t>
  </si>
  <si>
    <t>на внутриквартальном проезде в районе дома № 63 по ул. 70 лет Октября (2 шт.);</t>
  </si>
  <si>
    <t>по б-ру Гая в районе дома № 10 (2 шт.);</t>
  </si>
  <si>
    <t>на внутриквартальном проезде вдоль дома № 17,21 по ул. Дзержинского и дома № 2 по б-ру Гая (3 шт.);</t>
  </si>
  <si>
    <t>вдоль территории МБУ "Школа №88"(ул. Тополиная, 5) и д/с №210 "Ладушки" (Южное шоссе, 41) -20 квартал;</t>
  </si>
  <si>
    <t>вдоль домов №43 по ул. Фрунзе (школа Королева);</t>
  </si>
  <si>
    <t>вдоль территории д/с № 184 "Жигуленок" (ул.Ворошилова д.61) и МБУ "Школа № 81" (ул.40 лет Победы,106) - 13 квартал;</t>
  </si>
  <si>
    <t>б-р Баумана в р-не домов №№ 1,2;</t>
  </si>
  <si>
    <t>в районе дома №9 по ул. Карбышева;</t>
  </si>
  <si>
    <t>в районе пересечения ул. Ленина - ул. Чапаева;</t>
  </si>
  <si>
    <t>в районе ООТ "17 квартал" по ул. Тополиная;</t>
  </si>
  <si>
    <t>в районе дома №5А по ул. Железнодорожная;</t>
  </si>
  <si>
    <t>по б-ру Орджоникидзе в районе дома №24 по Ленинскому проспекту;</t>
  </si>
  <si>
    <t>в районе дома №49 по ул. Радищева;</t>
  </si>
  <si>
    <t>в районе пересечения ул. Комсомольская-ул. Садовая;</t>
  </si>
  <si>
    <t>в районе дома №54 по ул. Мичурина;</t>
  </si>
  <si>
    <t>в районе дома №27А по ул. Мичурина;</t>
  </si>
  <si>
    <t>в районе пересечения ул. Шлютова-ул. Крупской;</t>
  </si>
  <si>
    <t>в районе дома №44 по ул. Лесная;</t>
  </si>
  <si>
    <t>в районе дома №77 по ул. Ленина;</t>
  </si>
  <si>
    <t>в районе дома №59 по ул. Октябрьская;</t>
  </si>
  <si>
    <t>в районе дома №93 по ул. Мурысева;</t>
  </si>
  <si>
    <t>в районе дома №91 по ул. Ленина;</t>
  </si>
  <si>
    <t>в районе дома №31 по Хрящевскому шоссе;</t>
  </si>
  <si>
    <t>в районе дома №12Б по ул. Офицерская;</t>
  </si>
  <si>
    <t>устройство тротуара к поликлинике на 500 посещений в смену;</t>
  </si>
  <si>
    <t>дорожка вдоль улицы Александра Кудашева на участке от ул. Льва Толстого до границы г.о.Тольятти;</t>
  </si>
  <si>
    <t>ул.Родины по лесной зоне до микрорайона Портовый;</t>
  </si>
  <si>
    <t>по Хрящевскому шоссе от Южного шоссе до Обводного шоссе;</t>
  </si>
  <si>
    <t>дорожка вдоль ул. Северная;</t>
  </si>
  <si>
    <t>ликвидация несанкционированного примыкания в районе ООТ "Автолюбитель" по б-ру 50 лет Октября;</t>
  </si>
  <si>
    <t>в районе ООТ "Аптека" по ул. Революционная;</t>
  </si>
  <si>
    <t>в районе ООТ "Универсам" по ул. Революционная;</t>
  </si>
  <si>
    <t>в районе ООТ "Гаражи" по ул.Ботаническая;</t>
  </si>
  <si>
    <t>по ул.Офицерской от ул.Полякова до ул.Ботанической;</t>
  </si>
  <si>
    <t>островок безопасности и пешеходная дорожка в районе пересечения ул.Мичурина и ул.Герцена;</t>
  </si>
  <si>
    <t>устройство пешеходной дорожки к пешеходному переходу на Приморском бульваре (на пересечении с ул. Революционной от сквера 50-летия АВТОВАЗа);</t>
  </si>
  <si>
    <t>устройство пешеходных дорожек на пересечении ул. Спортивная - пр- т Степана Разина;</t>
  </si>
  <si>
    <t>устройство пешеходной дорожки вдоль ул. Революционная в районе ул. Фрунзе;</t>
  </si>
  <si>
    <t>устройство тротуара на подходах к пешеходному переходу в районе дома №151 по ул. Комсомольской;</t>
  </si>
  <si>
    <t>устройство тротуаров на подходах к пешеходному переходу (перекресток ул. Победы – б-р 50 лет Октября);</t>
  </si>
  <si>
    <t>устройство тротуаров на подходах к пешеходному переходу – демонтаж существующего тротуара (перекресток ул. Ленина – ул. Кирова);</t>
  </si>
  <si>
    <t>устройство тротуара (на подходах к пешеходному переходу) на перекрестке ул. Коммунистическая и ул. Есенина;</t>
  </si>
  <si>
    <t>устройство тротуара по ул. Мира до ул. Голосова со стороны Прокуратуры;</t>
  </si>
  <si>
    <t>на подходах к пешеходному переходу в районе ООТ "ДС КВЦ ВАЗа";</t>
  </si>
  <si>
    <t>по ул.Борковской, до Фабричного проезда;</t>
  </si>
  <si>
    <t>на подходах к пешеходному переходу в районе ООТ "5 вставка ВАЗа";</t>
  </si>
  <si>
    <t>в районе дома №60 по Лесопарковому шоссе;</t>
  </si>
  <si>
    <t>на подходах к пешеходному переходу в районе ООТ "Магазин Восход" по ул. Свердлова;</t>
  </si>
  <si>
    <t xml:space="preserve">ул. Кудашева; </t>
  </si>
  <si>
    <t>ул. Фрунзе, в районе домов №№ 26,47 (перекресток улицы Фрунзе и Московского проспекта);</t>
  </si>
  <si>
    <t>ул. Ларина (на участке от Автозаводское шоссе до ул. Тимирязева);</t>
  </si>
  <si>
    <t xml:space="preserve">участок автодороги по ул. Кирова от Автозаводского шоссе до дома № 32 по ул. Кирова; </t>
  </si>
  <si>
    <t>участок переулка Островского от ул. Коммунистическая до ул. Мурысева;</t>
  </si>
  <si>
    <t>дорога вдоль ул. Спортивной (неч.сторона) от Физкультурного проезда до пр-та Степана Разина;</t>
  </si>
  <si>
    <t>дорога вдоль Московского проспекта от дома №57 до дома №45 (нечетная сторона);</t>
  </si>
  <si>
    <t>по Цветному бульвару от ул. Дзержинского до ул. 70 лет Октября 16 квартала Автозаводского района г.о. Тольятти;</t>
  </si>
  <si>
    <t xml:space="preserve">б-р Цветной в р-не дома № 20  (16 квартал);                </t>
  </si>
  <si>
    <t>в районе дома №33 по Московскому проспекту;</t>
  </si>
  <si>
    <t>в районе дома №35 по Московскому проспекту;</t>
  </si>
  <si>
    <t>ул. Ленинградская, 28;</t>
  </si>
  <si>
    <t>Рябиновый б-р, 1;</t>
  </si>
  <si>
    <t>Рябиновый б-р, 13;</t>
  </si>
  <si>
    <t>Московский пр-т - ул. Фрунзе;</t>
  </si>
  <si>
    <t>ул. Олимпийская в районе д. 20 по ул. Полевая;</t>
  </si>
  <si>
    <t>ул. Сиреневая, 24;</t>
  </si>
  <si>
    <t>внутриквартальный пр-д от пр-да Дорофеева до ул. Макарова;</t>
  </si>
  <si>
    <t>б-р Цветной, 24;</t>
  </si>
  <si>
    <t>б-р Цветной, 13;</t>
  </si>
  <si>
    <t>ул. Ленина, ООТ "Дворец молодежи";</t>
  </si>
  <si>
    <t>ул. Л. Яшина, ООТ "Северовосточная";</t>
  </si>
  <si>
    <t>Приморский б-р пересечение с б-ром Буденного;</t>
  </si>
  <si>
    <t>б-р Гая, 10;</t>
  </si>
  <si>
    <t>ул. Юбилейная, ООТ "Кафе Салют";</t>
  </si>
  <si>
    <t>ул. Юбилейная, ООТ "Парк Победы";</t>
  </si>
  <si>
    <t>Ленинский пр-т, ООТ "б-р Туполева";</t>
  </si>
  <si>
    <t>пр-т Ст. Разина, ООТ "Театральная";</t>
  </si>
  <si>
    <t>ул. Л. Толстого пересечение с ул. Ленина;</t>
  </si>
  <si>
    <t>ул. Победы пересечение с б-ром 50 лет Октября;</t>
  </si>
  <si>
    <t xml:space="preserve">Московский пр-т, ООТ "ул. Дзержинского"; </t>
  </si>
  <si>
    <t>ул. Спортивная в районе д. 55 по Приморскому б-ру;</t>
  </si>
  <si>
    <t>Московский пр-т, ООТ "Дом связи";</t>
  </si>
  <si>
    <t>ул. Цеховая,  ООТ "GM-АвтоВАЗ";</t>
  </si>
  <si>
    <t>ул. Родина пересечение с ул. Мира;</t>
  </si>
  <si>
    <t>ул. Голосова пересечение с ул. Новозаводская;</t>
  </si>
  <si>
    <t>ул. Революционная, ООТ "Экзотика";</t>
  </si>
  <si>
    <t>Обводное шоссе пересечение с ул. Новозаводская;</t>
  </si>
  <si>
    <t>Физкультурный проезд;</t>
  </si>
  <si>
    <t>ул. Спортивная, ООТ "Вега";</t>
  </si>
  <si>
    <t>ул. Революционная, ООТ "1000 мелочей";</t>
  </si>
  <si>
    <t>ул. Свердлова, 8;</t>
  </si>
  <si>
    <t>ул. Автостроителей, ООТ "40 лет Победы";</t>
  </si>
  <si>
    <t>ул. Борковская, ООТ "Южная база";</t>
  </si>
  <si>
    <t>ул. Горького, 46"А";</t>
  </si>
  <si>
    <t>ул. Матросова, 26;</t>
  </si>
  <si>
    <t>ул. Революционная, 47;</t>
  </si>
  <si>
    <t>ул. Гидротехническая пересечение с ул. Дорофеева;</t>
  </si>
  <si>
    <t>ул. Ворошилова, ООТ "б-р Луначарского";</t>
  </si>
  <si>
    <t>ул. Л.Яшина, ООТ "Льва Яшина";</t>
  </si>
  <si>
    <t>Приморский б-р, ООТ "8 квартал";</t>
  </si>
  <si>
    <t>ул. Коммунистическая, ООТ "Тюленина";</t>
  </si>
  <si>
    <t>ул. Коммунистическая, ООТ "Космодемьянской";</t>
  </si>
  <si>
    <t>ул. Родина, ООТ"Автовокзал";</t>
  </si>
  <si>
    <t>ул. Юбилейная, 85 и ООТ "Вега";</t>
  </si>
  <si>
    <t>ул. Новозаводская, ООТ "Химико-технологический колледж";</t>
  </si>
  <si>
    <t>ул. Автостроителей, ООТ "Молодежная";</t>
  </si>
  <si>
    <t>ул. 70 лет Октября, 33Б, 38, ООТ "Магазин мир продуктов";</t>
  </si>
  <si>
    <t>ул. Вокзальная, 100а (ООТ "10 КПП");</t>
  </si>
  <si>
    <t>ул. Комсомольская пересечение с ул. Новопромышленной;</t>
  </si>
  <si>
    <t>ул. Гидротехническая пересечение с ул. Шлюзовая;</t>
  </si>
  <si>
    <t>ул. Автостроителей, ООТ "Гостиница Лада";</t>
  </si>
  <si>
    <t>ул. 40 лет Победы, ООТ "Школа №70";</t>
  </si>
  <si>
    <t>ул. Громовой, ООТ "УТЭП";</t>
  </si>
  <si>
    <t>ул. Фрунзе, ООТ "11 квартал";</t>
  </si>
  <si>
    <t>ул. Железнодорожная, ООТ "Поликлиника";</t>
  </si>
  <si>
    <t>г.о. Тольятти, ул. Революционная от Ленинского проспекта до ул. Дзержинского;</t>
  </si>
  <si>
    <t>г.о.Тольятти, ул. Революционная пересечение с Ленинским проспектом;</t>
  </si>
  <si>
    <t xml:space="preserve">г.о. Тольятти, Ленинский проспект, д. №54Б/3 по ул.Революционная; </t>
  </si>
  <si>
    <t>г.о.Тольятти ул. Кудашева, начало населенного пункта;</t>
  </si>
  <si>
    <t>г.о.Тольятти, ул.Васильевская в районе перекрестка с Обводным шоссе, начало населенного пункта;</t>
  </si>
  <si>
    <t>г.о. Тольятти, ж/д переезд ул. Вокзальная, д.№101;</t>
  </si>
  <si>
    <t>г.о. Тольятти, ж/д переезд ул. Железнодорожная,д.№ 34 и д.34 ст.1 (два переезда);</t>
  </si>
  <si>
    <t>г.о. Тольятти, ж/д переезд, ул. Железнодорожная, д.№ 42;</t>
  </si>
  <si>
    <t>г.о. Тольятти, ж/д переезд ул. Индустриальная, пикет 0-500 (2,5 переезда);</t>
  </si>
  <si>
    <t>г.о. Тольятти, ж/д переезд ул. Индустриальная, пикет 500- 1000 (1,5 переезда);</t>
  </si>
  <si>
    <t>г.о. Тольятти, ж/д переезд ул. Индустриальная, пикет 1000-1500;</t>
  </si>
  <si>
    <t>г.о. Тольятти, ж/д переезд проезд перед ул. Калмыцкой (два переезда);</t>
  </si>
  <si>
    <t>г.о. Тольятти, ж/д переезд ул. Калмыцкая между ул. Новозаводской и ул. Васильевской;</t>
  </si>
  <si>
    <t>г.о. Тольятти, ж/д переезд ул. Коммунистическая, д. № 102 "а" (два переезда);</t>
  </si>
  <si>
    <t>г.о. Тольятти, ж/д переезд ул. Ларина, д.№ 148;</t>
  </si>
  <si>
    <t>г.о. Тольятти, ж/д переезд ул. Ларина, д.№ 151;</t>
  </si>
  <si>
    <t>г.о. Тольятти, ж/д переезд ул. Ларина, д.№ 169;</t>
  </si>
  <si>
    <t>г.о. Тольятти, ж/д переезд ул. Коммунистическая, д.№ 115;</t>
  </si>
  <si>
    <t>г.о. Тольятти, ж/д переезд ул. Никонова, д. № 43;</t>
  </si>
  <si>
    <t>г.о. Тольятти, ж/д переезд ул. Окраинная, д.№ 85 по ул. Северной;</t>
  </si>
  <si>
    <t>г.о. Тольятти, ж/д переезд ул. Окраинная, д. № 100 по ул. Вокзальной;</t>
  </si>
  <si>
    <t>г.о. Тольятти, ж/д переезд Поволжское шоссе, д.№ 34;</t>
  </si>
  <si>
    <t>г.о. Тольятти, ж/д переезд ул. Подгорная, д.№ 25 (перегон канал-Пискалы);</t>
  </si>
  <si>
    <t>г.о. Тольятти, ж/д переезд Хрящевское шоссе, д. № 13;</t>
  </si>
  <si>
    <t>Приморский б-р, ООТ "Театр Дилижанс";</t>
  </si>
  <si>
    <t>г.о. Тольятти, ул.40 лет Победы, ООТ "14 "а" квартал";</t>
  </si>
  <si>
    <t>г.о. Тольятти, ул.Гидротехническая - ул.Макарова перекресток;</t>
  </si>
  <si>
    <t>г.о. Тольятти, ул.Матросова,  д. №134 ООТ "МТЦ";</t>
  </si>
  <si>
    <t>г.о. Тольятти, Обводная дорога пос.Приморский;</t>
  </si>
  <si>
    <t>г.о. Тольятти, ул. Украинская от бульвара 50 лет Октября до ул. Шлютова;</t>
  </si>
  <si>
    <t>г.о. Тольятти, ул.Фрунзе, д. №22, д.№47 перекресток с Московским проспектом;</t>
  </si>
  <si>
    <t>г.о. Тольятти, ул. Революционная, ООТ "Ателье мод";</t>
  </si>
  <si>
    <t>ул. Вокзальная, ООТ "Кузнечно-прессовый цех";</t>
  </si>
  <si>
    <t>г.о.Тольятти, ул. Революционная, ООТ"Сатурн" и ООТ "1000 мелочей";</t>
  </si>
  <si>
    <t>г.о. Тольятти, ул. Революционная, ООТ "Универсам";</t>
  </si>
  <si>
    <t>г.о. Тольятти, Поволжское шоссе, ул.Раздольная ( подземный газопровод);</t>
  </si>
  <si>
    <t>г.о. Тольятти, ул. Комзина-Комсомольское шоссе перекресток;</t>
  </si>
  <si>
    <t>г.о. Тольятти, ул. Ингельберга,  д.№ 52, Школа №15;</t>
  </si>
  <si>
    <t>г.о. Тольятти, ул.Дзержинского, ООТ "Бульвар Кулибина";</t>
  </si>
  <si>
    <t>г.о. Тольятти, ул.40 лет Победы, ООТ "Школа №86";</t>
  </si>
  <si>
    <t>г.о. Тольятти, ул.40 лет Победы,  ООТ "Медучилище";</t>
  </si>
  <si>
    <t>г.о. Тольятти, ул.40 лет Победы,  д. №15 по Южному шоссе;</t>
  </si>
  <si>
    <t>г.о. Тольятти, ул.40 лет Победы, ООТ "ЖК "Лесной";</t>
  </si>
  <si>
    <t>г.о. Тольятти, ул. Победы-ул. Шлютова перекресток;</t>
  </si>
  <si>
    <t>г.о.Тольятти ул. Кудашева;</t>
  </si>
  <si>
    <t>г.о. Тольятти, ул.40 лет Победы, д. № 26;</t>
  </si>
  <si>
    <t>г.о. Тольятти, ул.Автостроителей, д.№ 9;</t>
  </si>
  <si>
    <t>г.о. Тольятти, ул.Баныкина, ООТ "72-й квартал";</t>
  </si>
  <si>
    <t>г.о. Тольятти, ул.Баныкина, ООТ "Магазин "Юность";</t>
  </si>
  <si>
    <t>г.о. Тольятти, ул.Баныкина, ООТ  "Спецавтохозяйство";</t>
  </si>
  <si>
    <t>г.о. Тольятти, ул.Баныкина, ООТ "Школа №1";</t>
  </si>
  <si>
    <t>г.о. Тольятти, ул.Голосова,д.№ 105 "а",  ООТ "АТС-26";</t>
  </si>
  <si>
    <t>г.о. Тольятти, ул.Коммунальная, д. №23, ООТ "Военный госпиталь";</t>
  </si>
  <si>
    <t>г.о. Тольятти, ул.Коммунальная, д. №33, ООТ "Пивзавод";</t>
  </si>
  <si>
    <t>г.о. Тольятти, ул.Комсомольская, ООТ "Информцентр";</t>
  </si>
  <si>
    <t>г.о. Тольятти, Ленинский проспект перед примыканием к Московскому  проспекту, д. 33 по Московскому проспекту;</t>
  </si>
  <si>
    <t>г.о. Тольятти, ул.Базовая, д. №7;</t>
  </si>
  <si>
    <t>г.о. Тольятти, Ленинский проспект, д. №40, д.№31;</t>
  </si>
  <si>
    <t>г.о. Тольятти, бульвар Луначарского, д. №1, №3;</t>
  </si>
  <si>
    <t>г.о. Тольятти, бульвар Луначарского,  д. №21;</t>
  </si>
  <si>
    <t>г.о. Тольятти, бульвар Луначарского,  д. №15, д.№17;</t>
  </si>
  <si>
    <t>г.о. Тольятти, ул. Маршала Жукова, д. № 56,  ООТ "Прилесье";</t>
  </si>
  <si>
    <t>г.о. Тольятти, Приморский бульвар, д.5;</t>
  </si>
  <si>
    <t>г.о. Тольятти, проспект Ст. Разина, д.№ 80;</t>
  </si>
  <si>
    <t>г.о. Тольятти, ул. Транспортная - Аптечный проезд (перекресток);</t>
  </si>
  <si>
    <t>г.о. Тольятти, ул.Шлюзовая, д. №14, д.№35;</t>
  </si>
  <si>
    <t xml:space="preserve">г.о. Тольятти, Южное шоссе, ООТ "АвтоВАЗ-ТО"; </t>
  </si>
  <si>
    <t>г.о. Тольятти,  ул. Автостроителей, в районе  ООТ "Ул. 40 лет Победы";</t>
  </si>
  <si>
    <t>г.о. Тольятти,  на перекрестке ул. Дзержинского - ул. Революционной - ул. Воскресенской;</t>
  </si>
  <si>
    <t>г.о. Тольятти, на  перекрестке ул. Карбышева - ул. Комсомольской;</t>
  </si>
  <si>
    <t>г.о. Тольятти, Обводное шоссе в районе пересечения с Хрящевским шоссе;</t>
  </si>
  <si>
    <t>г.о. Тольятти, пересечение ул. Ленинградская - ул. Гидростроевская ;</t>
  </si>
  <si>
    <t>г.о. Тольятти,   ул. Заставная и Московский проспект перед примыканием к ул. Дзержинского;</t>
  </si>
  <si>
    <t>г.о. Тольятти,  ул. Дзержинского в районе примыкания бульвара Курчатова;</t>
  </si>
  <si>
    <t>г.о. Тольятти, перекресток ул.К.Маркса и М.Горького;</t>
  </si>
  <si>
    <t>г.о. Тольятти,  ул. Комсомольская в районе пересечения с ул. Новопромышленной;</t>
  </si>
  <si>
    <t>г.о. Тольятти,  перекресток  ул.Мира - ул. Жилина;</t>
  </si>
  <si>
    <t>г.о. Тольятти, перекресток  ул. Гидротехническая - ул. В.Поплавского и перекресток  ул.Транспортная - 4-й проезд;</t>
  </si>
  <si>
    <t>г.о. Тольятти,  на перекрестке ул. Кирова - ул. Герцена;</t>
  </si>
  <si>
    <t>г.о. Тольятти,  перекресток ул. Юбилейной  - ул. Фрунзе;</t>
  </si>
  <si>
    <t>г.о. Тольятти,  ул. Маршала Жукова в районе ООТ "Лесной голосок";</t>
  </si>
  <si>
    <t>г.о. Тольятти,   ул. Маршала Жукова в районе ООТ "Весёлая семейка";</t>
  </si>
  <si>
    <t>г.о. Тольятти,   ул. Полякова, в районе  д.№24;</t>
  </si>
  <si>
    <t>г.о. Тольятти,  ул. Полякова в районе  ООТ "Ул.Полякова";</t>
  </si>
  <si>
    <t>г.о. Тольятти, ул. Ст. Разина в районе  ООТ "Театральная";</t>
  </si>
  <si>
    <t>г.о. Тольятти,  Южное шоссе в районе ООТ "Обводное шоссе";</t>
  </si>
  <si>
    <t>г.о. Тольяти, ул. 40 лет Победы, ООТ "Школа № 93";</t>
  </si>
  <si>
    <t>г.о. Тольятти, бульвар 50 лет Октября, ООТ "Ул. Октябрьская" в районе дома №38;</t>
  </si>
  <si>
    <t>г.о. Тольятти, ул. 70 лет Октября - ул.Тополиная в границах перекрестка;</t>
  </si>
  <si>
    <t>г.о. Тольятти, ул. Баныкина, ООТ "Белорусская";</t>
  </si>
  <si>
    <t>г.о. Тольятти, ул. Ворошилова, ООТ "Дом офицеров";</t>
  </si>
  <si>
    <t>г.о. Тольятти, ул. Коммунистическая  - ул. Механизаторов в границах перекрестка;</t>
  </si>
  <si>
    <t>г.о. Тольятти, ул. Комсомольская - ул .К.Маркса в границах перекрестка;</t>
  </si>
  <si>
    <t>г.о. Тольятти, ул. Ларина - ул. Герцена в границах перекрестка;</t>
  </si>
  <si>
    <t>г.о. Тольятти, ул. Маршала Жукова в районе дома №21, ООТ "Д/с "Елочка";</t>
  </si>
  <si>
    <t>г.о. Тольятти, ул. Мира - ул.К. Маркса в границах перекрестка;</t>
  </si>
  <si>
    <t>г.о. Тольятти, ул. Родины - ул.Республиканская в границах перекрестка;</t>
  </si>
  <si>
    <t>г.о. Тольятти, ул.Свердлова в районе дома №8;</t>
  </si>
  <si>
    <t>г.о. Тольятти, ул.Свердлова ООТ "бульвар Гая";</t>
  </si>
  <si>
    <t>г.о. Тольятти, ул.Свердлова ООТ "Магазин "Мебель" в районе дома №16;</t>
  </si>
  <si>
    <t>г.о. Тольятти, ул.Свердлова ООТ "Стоматологическая поликлиника" в районе дома №24 ;</t>
  </si>
  <si>
    <t>г.о. Тольятти, ул.Свердлова ООТ "Гостиница"в районе дома №32;</t>
  </si>
  <si>
    <t>г.о. Тольятти, ул.Свердлова в районе дома №38 перед пересечением с проспектом Ст.Разина;</t>
  </si>
  <si>
    <t>г.о. Тольятти, ул. Толстого в районе домов №28, 21;</t>
  </si>
  <si>
    <t>г.о. Тольятти, ул. Толстого ООТ "Толстого" в районе дома №22;</t>
  </si>
  <si>
    <t>г.о. Тольятти, ул. Юбилейная - ул. Свердлова в границах перекрестка;</t>
  </si>
  <si>
    <t>г.о. Тольятти, ул. Юбилейная - Ленинский проспект в границах перекрестка;</t>
  </si>
  <si>
    <t>г.о. Тольятти, ул. Юбилейная - ул.Дзержинского -ул.Борковская в границах перекрестка;</t>
  </si>
  <si>
    <t>г.о. Тольятти, ул. Громовой ООТ "Ул. У. Громовой" в районе дома №10 "А";</t>
  </si>
  <si>
    <t xml:space="preserve">г.о. Тольятти, ул. Толстого в районе дома №28; </t>
  </si>
  <si>
    <t>г.о. Тольятти, Южное шоссе, ООТ "19 квартал";</t>
  </si>
  <si>
    <t>г.о. Тольятти, Южное шоссе, ООТ "18 "А" квартал";</t>
  </si>
  <si>
    <t>г.о. Тольятти, Южное шоссе, ООТ "Автопарковая";</t>
  </si>
  <si>
    <t>г.о. Тольятти, ул. Ярославская, ООТ "Мясокомбинат" д. №49;</t>
  </si>
  <si>
    <t>г.о. Тольятти, ул. Чапаева, 124 напротив д/с "Соловушка";</t>
  </si>
  <si>
    <t>г.о. Тольятти, ул. Баумана в районе домов 1,2;</t>
  </si>
  <si>
    <t>г.о. Тольятти, ул. Кудашева, в районе ООТ "ул. Кудашева";</t>
  </si>
  <si>
    <t>г.о. Тольятти, перекресток ул. Ларина - ул. Ленина;</t>
  </si>
  <si>
    <t>г.о. Тольятти, на перекрестке проспекта Ст. Разина - ул. Дзержинского - ул. Ботанической;</t>
  </si>
  <si>
    <t>г.о. Тольятти, ул. Юбилейная перед пересечением с ул. Свердлова;</t>
  </si>
  <si>
    <t>г.о. Тольятти, на перекрестке ул. Новозаводской - ул. Комсомольской;</t>
  </si>
  <si>
    <t>г.о. Тольятти,   ул. 70 лет Октября, ООТ "19 квартал";</t>
  </si>
  <si>
    <t xml:space="preserve">г.о.Тольятти, ул.Революционная, ООТ "Приморский бульвар"; </t>
  </si>
  <si>
    <t>г.о.Тольятти, ул.Автостроителей, д.№ 41, д.№ 70, ООТ "12 квартал";</t>
  </si>
  <si>
    <t>г.о.Тольятти, перекресток ул. 70 лет Октября - ул. Тополиная;</t>
  </si>
  <si>
    <t>г.о.Тольятти, перекресток ул.Советская – ул.Комсомольская;</t>
  </si>
  <si>
    <t>г.о.Тольятти, перекресток ул.Революционная – ул.Фрунзе;</t>
  </si>
  <si>
    <t>г.о.Тольятти, ул.Коммунальная, д. №32 (ТЦ «Арбуз»), ООТ "Хладокомбинат";</t>
  </si>
  <si>
    <t>г.о.Тольятти, ул.М.Горького школа №5;</t>
  </si>
  <si>
    <t>г.о.Тольятти, ул.Спортивная, ООТ «Набережная";</t>
  </si>
  <si>
    <t>г.о. Тольятти, проезд от ул.Дорофеева до ул.Макарова;</t>
  </si>
  <si>
    <t>г.о. Тольятти, ул.Мурысева;</t>
  </si>
  <si>
    <t>г.о. Тольятти, проезд вдоль Школы №91, Льва Толстого,26А;</t>
  </si>
  <si>
    <t>г.о. Тольятти, ул.40 лет Победы ООТ "Лесная слобода";</t>
  </si>
  <si>
    <t>г.о. Тольятти, ул.40 лет Победы, ООТ "Школа № 86";</t>
  </si>
  <si>
    <t>г.о. Тольятти, ул.70 лет Октября, ООТ "Студенческая";</t>
  </si>
  <si>
    <t>г.о. Тольятти, ул. 70 лет Октября, ООТ "Рябиновый бульвар;</t>
  </si>
  <si>
    <t>г.о.Тольятти, ул. 70 лет Октября, ТЦ "Лада-Восход";</t>
  </si>
  <si>
    <t>г.о. Тольятти, ул. 70 лет Октября, ТЦ "Аврора";</t>
  </si>
  <si>
    <t>г.о. Тольятти, ул.Воскресенская,  ООТ "Проектное управление ВАЗа";</t>
  </si>
  <si>
    <t>г.о. Тольятти, перекресток ул.Гидротехническая - ул.Дорофеева;</t>
  </si>
  <si>
    <t>г.о. Тольятти, ул.Гидротехническая, д. №21  ООТ "Вокзальная";</t>
  </si>
  <si>
    <t>г.о. Тольятти, перекресток ул.Дзержинского - ул.Революционная - ул. Воскресенская;</t>
  </si>
  <si>
    <t>г.о. Тольятти, перекресток ул.Карла Маркса - ул.Чапаева;</t>
  </si>
  <si>
    <t>г.о. Тольятти, ул.Коммунистическая, д. № 96 "В", ООТ "Речной вокзал";</t>
  </si>
  <si>
    <t>г.о. Тольятти, ул.Коммунистическая, д.12, ДК "ТоАЗа";</t>
  </si>
  <si>
    <t>г.о. Тольятти,  ул. А. Кудашева, ООТ "Ул. А. Кудашева";</t>
  </si>
  <si>
    <t>г.о. Тольятти, Лесопарковое шоссе, д.60;</t>
  </si>
  <si>
    <t>г.о. Тольятти, ул. Никонова, д.18;</t>
  </si>
  <si>
    <t>г.о. Тольятти, перекресток ул. М. Горького - ул.Новопромышленная;</t>
  </si>
  <si>
    <t>г.о. Тольятти, Поволжское шоссе от с/о 210 до с/о 286;</t>
  </si>
  <si>
    <t>г.о. Тольятти, ул. Революционная ООТ "Кинотеатр "Сатурн";</t>
  </si>
  <si>
    <t>г.о. Тольятти, Поволжское шоссе с/о 252, ООТ "Кладбище";</t>
  </si>
  <si>
    <t>г.о. Тольятти, ул. Революционная, д. №25, МАУ "Автоград", д. №52 "А" ТЦ "Русь на Волге";</t>
  </si>
  <si>
    <t>г.о. Тольятти, ул. Спортивная, д.№ 16,  ООТ "Ул. Спортивная";</t>
  </si>
  <si>
    <t>г.о. Тольятти, ул. Спортивная, в районе д.№ 82  ул. Революционная;</t>
  </si>
  <si>
    <t>г.о. Тольятти, перекресток ул.Толстого - ул.Ленина;</t>
  </si>
  <si>
    <t>г.о. Тольятти, перекресток ул.Чайкиной - ул.Матросова;</t>
  </si>
  <si>
    <t>г.о. Тольятти, перекресток ул.Чайкиной - ул.Механизаторов;</t>
  </si>
  <si>
    <t>г.о.Тольятти, перекресток  ул. Дзержинского - ул. Ботаническая- проспект Ст.Разина;</t>
  </si>
  <si>
    <t>г.о.Тольятти, перекресток ул. 40 лет Победы и Южного шоссе;</t>
  </si>
  <si>
    <t>г.о. Тольятти, перекресток ул.Свердлова -  ул. Революционной;</t>
  </si>
  <si>
    <t>г.о. Тольятти, ул.Фрунзе, д. №23"Б",  ООТ "Административный центр";</t>
  </si>
  <si>
    <t>г.о. Тольятти,   Автозаводское шоосе, д.3, ООТ "Автозаводское шоссе" ;</t>
  </si>
  <si>
    <t>г.о.Тольятти, ул. Громовой д.54 "а", ООТ «Колхозный рынок";</t>
  </si>
  <si>
    <t>г.о. Тольятти, Южное ш.,  ООТ "7-я вставка";</t>
  </si>
  <si>
    <t>г.о. Тольятти, Южное ш., ООТ "Медсанчасть ВАЗа";</t>
  </si>
  <si>
    <t>г.о. Тольятти, Южное ш., ООТ "18-й А квартал";</t>
  </si>
  <si>
    <t>г.о. Тольятти, ул. Революционная, д. №52 "А", ТЦ "Русь на Волге";</t>
  </si>
  <si>
    <t>г.о. Тольятти, ул. Революционная, д. №47;</t>
  </si>
  <si>
    <t>г.о. Тольятти, ул. Революционная в районе перекрестка с Приморским бульваром;</t>
  </si>
  <si>
    <t>г.о. Тольятти, ул. Революционная, ООТ "Школа им. Академика Королева";</t>
  </si>
  <si>
    <t>г.о. Тольятти, ул. Революционная, ООТ "Приморский бульвар"</t>
  </si>
  <si>
    <t>г.о. Тольятти, перекресток  ул. Революционной и Ленинского проспекта;</t>
  </si>
  <si>
    <t>г.о. Тольятти, ул. Революционная, ООТ "Магазин "1000 мелочей"";</t>
  </si>
  <si>
    <t>г.о. Тольятти, ул. Революционная, ООТ "Аптека";</t>
  </si>
  <si>
    <t>г.о. Тольятти, Южное ш., ООТ "Жигулевская долина";</t>
  </si>
  <si>
    <t>г.о. Тольятти, Южное ш., ООТ "1 вставка ВАЗа";</t>
  </si>
  <si>
    <t>г.о. Тольятти, Южное ш., ООТ "3 вставка ВАЗа";</t>
  </si>
  <si>
    <t>г.о. Тольятти, Южное ш., ООТ "Машиностроительный колледж";</t>
  </si>
  <si>
    <t>г.о. Тольятти, Южное ш., ООТ "АвтоВАЗ ТО";</t>
  </si>
  <si>
    <t>г.о. Тольятти, Южное ш., ООТ "Восточное кольцо";</t>
  </si>
  <si>
    <t>г.о. Тольятти, Южное ш., ООТ "УВД";</t>
  </si>
  <si>
    <t>г.о. Тольятти, ул. 40 лет Победы в районе ООТ "Дендропарк";</t>
  </si>
  <si>
    <t>г.о. Тольятти,  ул. Механизаторов в районе примыкания к  ул. Мурысева;</t>
  </si>
  <si>
    <t xml:space="preserve">г.о. Тольятти,  Автозаводское шоссе, д.3;  </t>
  </si>
  <si>
    <t>г.о.Тольятти,  Автозаводское шоссе, д. 6;</t>
  </si>
  <si>
    <t>г.о.Тольятти, Автозаводское шоссе, д. 10Б;</t>
  </si>
  <si>
    <t>г.о. Тольятти,  Автозаводское шоссе, д.14;</t>
  </si>
  <si>
    <t xml:space="preserve">г.о. Тольятти,  Южное шоссе, д.19;  </t>
  </si>
  <si>
    <t>г.о. Тольятти,  Южное шоссе,  д.35;</t>
  </si>
  <si>
    <t>г.о. Тольятти,  ул. У.Громовой,  д.54А;</t>
  </si>
  <si>
    <t>г.о. Тольятти, дублер ул.Тополиная от Южного шоссе до ул.70 лет Октября, 19,20 квартал;</t>
  </si>
  <si>
    <t>г.о. Тольятти, дублер ул.Тополиная от ул.70 лет Октября до ул.Дзержинского, 16,17 квартал;</t>
  </si>
  <si>
    <t>г.о. Тольятти, ул.Дзержинского от ул.40 лет Победы до Московского пр-та;</t>
  </si>
  <si>
    <t>г.о. Тольятти, ул.Жилина от ул.Баныкина до площади Свободы;</t>
  </si>
  <si>
    <t>г.о. Тольятти, ул.Ушакова от ул.Баныкина до ул.Ленинградская;</t>
  </si>
  <si>
    <t xml:space="preserve">г.о. Тольятти, 12 квартал внутриквартальный проезд  от ул.Автостроителей до ул.Ворошилова; </t>
  </si>
  <si>
    <t>г.о. Тольятти, 12 квартал внутриквартальный проезд - дублер  ул.Свердлова;</t>
  </si>
  <si>
    <t>г.о. Тольятти, 13 квартал внутриквартальный проезд от ул.40 лет Победы до ул.Ворошилова;</t>
  </si>
  <si>
    <t>г.о. Тольятти, 13 квартал внутриквартальный проезд - дублер ул.40 лет Победы;</t>
  </si>
  <si>
    <t>г.о. Тольятти, 14 квартал внутриквартальный проезд от ул.Автостроителей до ул.40 лет Победы;</t>
  </si>
  <si>
    <t>г.о. Тольятти, 14 квартал внутриквартальный проезд - дублер ул.40 лет Победы;</t>
  </si>
  <si>
    <t>г.о. Тольятти, внутриквартальный проезд - дублер ул.Ярославская от ул.Громовой  до ул.Чайкиной;</t>
  </si>
  <si>
    <t>г.о. Тольятти, внутриквартальный проезд - дублер ул.Ярославская от ул.Чайкиной до ул.Мурысева;</t>
  </si>
  <si>
    <t>г.о. Тольятти, дублер ул.Мира от ул.Карбышева до ул.Комсомольской 73 квартал;</t>
  </si>
  <si>
    <t>г.о. Тольятти, дублер ул.Мира от ул.Голосова до ул.Карбышева, 72 квартал;</t>
  </si>
  <si>
    <t>г.о. Тольятти, дублер ул.Громовой от ул.Матросова до ул.Ярославская;</t>
  </si>
  <si>
    <t>ООТ "Театр Дилижанс" напротив здания по адресу: Приморский бульвар, 8;</t>
  </si>
  <si>
    <t>ООТ "База УМТС";</t>
  </si>
  <si>
    <t>ООТ "Детский городок";</t>
  </si>
  <si>
    <t>ООТ "Санаторий "Волжские зори"" на ул. Комзина;</t>
  </si>
  <si>
    <t>ООТ "АвтоВАЗагро" по ул.Ботаническая;</t>
  </si>
  <si>
    <t>ООТ "Лесопитомник" по ул.Дзержинского;</t>
  </si>
  <si>
    <t>ООТ "Лыжная база" по ул.М. Жукова;</t>
  </si>
  <si>
    <t>устройство парковочной площадки по пр-ту Степана Разина, в районе дома №93 ;</t>
  </si>
  <si>
    <t>Ликвидация въездов и парковочных карманов в районе домов 74,76 по ул. Дзержинского;</t>
  </si>
  <si>
    <t>Ликвидация выезда от ГСК на ул. Дзержинского;</t>
  </si>
  <si>
    <t>Устройство пандуса для съезда МНГ в районе дома, расположенного по адресу Мурысева,64;</t>
  </si>
  <si>
    <t>Устройство островка безопасности в районе ООТ "Школа исскуств" по ул. Дзержинского;</t>
  </si>
  <si>
    <t>Устройство островка безопасности в районе пересечения ул. Коммунальной и ул. Полякова;</t>
  </si>
  <si>
    <t>Ликвидация разрывов на 3-х разделительных полосах по Московскому проспекту, в районе дома №3;</t>
  </si>
  <si>
    <t>устройству бортового камня (ликвидации уширения проезжей части (на 1 полосу) на перекрестке ул. Коммунистическая и ул. Есенина;</t>
  </si>
  <si>
    <t>Устройство островка безопасности с установкой технических средств организации дорожного движения на Южном шоссе в районе ООТ «АвтоВАЗтранс»;</t>
  </si>
  <si>
    <t>Устройство островка безопасности с установкой технических средств организации дорожного движения на внутриквартальном проезде напротив ТРК "Капитал" ул. Дзержинского, д. № 21;</t>
  </si>
  <si>
    <t>Устройство бортового камня (сокращение длины заездного кармана) ООТ "ДС КВЦ ВАЗа";</t>
  </si>
  <si>
    <t>Устройство островка безопасности на КТР ул. 40 лет Победы - ул. 70 лет Октября - ул. Л. Яшина;</t>
  </si>
  <si>
    <t>Устройство островка безопасности в районе пересечения Южное шоссе-ул. Борковская;</t>
  </si>
  <si>
    <t>Устройство островка безопасности в районе ООТ "Лесная" по ул. Карла Маркса;</t>
  </si>
  <si>
    <t>Устройство островка безопасности в районе перекрестка с ул. Строителей (пос. Приморский);</t>
  </si>
  <si>
    <t>Устройство островка безопасности в районе КТР б-р 50 лет Октября-Автозаводское шоссе;</t>
  </si>
  <si>
    <t>Устройство островка безопасности по ул. Ворошилова в районе дома №5;</t>
  </si>
  <si>
    <t>Устройство бортового камня (сокращение длины заездного кармана) ООТ "5 вставка ВАЗа";</t>
  </si>
  <si>
    <t>Устройство бортового камня (сокращение длины заездного кармана) ООТ "Магазин Восход" по ул. Свердлова;</t>
  </si>
  <si>
    <t>Ликвидация места разворота по ул. Спортивная в районе пересечения с Приморским бульваром;</t>
  </si>
  <si>
    <t>на пересечении Московского пр-та и ул. Дзержинского;</t>
  </si>
  <si>
    <t>По устройству бортового камня для изменения геометрии выезда в районе дома № 12  по ул. Автостроителей;</t>
  </si>
  <si>
    <t>По устройству бортового камня для изменения геометрии выезда в районе дома № 58 по ул. Баныкина;</t>
  </si>
  <si>
    <t>По устройству бортового камня для изменения геометрии выезда в районе дома №7 по ул. Ботанической;</t>
  </si>
  <si>
    <t>По установке дорожных удерживающих боковых ограждении по внутреннему радиусу на Комсомольском шоссе в районе опор №145,146,149 и 150;</t>
  </si>
  <si>
    <t>По устройству тротуара перекресток ул. Ленина и ул. М. Горького;</t>
  </si>
  <si>
    <t>По устройству бортового камня для изменения геометрии разделительной полосы на пересечении ул. Победы и ул. Комсомольской;</t>
  </si>
  <si>
    <t>По устройству бортового камня для изменения геометрии разворота на ул. Фрунзе в районе дома №35;</t>
  </si>
  <si>
    <t>По устройству поперечных шумовых полос по ул. Шлютова  перекресток с улицей Украинской;</t>
  </si>
  <si>
    <t>По установке щитов "Аварийно-опасный участок" по адресу Южное шоссе пересечение с Хрящевским и Автозаводским шоссе;</t>
  </si>
  <si>
    <t>Устройство шумовых полос на автодороге по участку а/д от Московского пр- та до мкр Приморский в районе дома №12/7 по ул. Летней (пос. Приморский) и дома №25А по ул. Строителей (пос. Приморский);</t>
  </si>
  <si>
    <t>Устройство шумовых полос на автодороге по ул. Родины в районе световых опор №159,156,125,118</t>
  </si>
  <si>
    <t>По установке повторителей сигналов светофоров в районе дома № 12  по ул. Автостроителей;</t>
  </si>
  <si>
    <t>По установке повторителей сигналов, устройство технических средств организации дорожного движения в районе дома № 58 по ул. Баныкина;</t>
  </si>
  <si>
    <t>По устройству светофорного регулирования в районе дома №7 по ул. Ботанической;</t>
  </si>
  <si>
    <t>По устройству светофорного объекта на Московском проспекте на пересечении с ул. Дзержинского;</t>
  </si>
  <si>
    <t>По устройству светофорного объекта перекресток ул. Ленина и ул. М. Горького;</t>
  </si>
  <si>
    <t>По установке повторителей сигналов на консольные опоры перекресток улиц Мира и Голосова;</t>
  </si>
  <si>
    <t>По устройству светофорного объекта на пересечении ул. Победы и ул. Комсомольской;</t>
  </si>
  <si>
    <t>По установке повторителей сигнала светофора на пересечении ул. Фрунзе и ул. Революционной;</t>
  </si>
  <si>
    <t>По устройству светофорного объекта на перекрестке ул. Северной и ул. Борковской;</t>
  </si>
  <si>
    <t>По устройству светофорного объекта по адресу Южное шоссе пересечение с Хрящевским и Автозаводским шоссе;</t>
  </si>
  <si>
    <t>По устройству транспортного светофора на перекрестке Южное шоссе - ул. 40 лет Победы;</t>
  </si>
  <si>
    <t>Установка дорожного знака на ул.40 лет Победы 57-б (поликлиника на 500 посещений в смену);</t>
  </si>
  <si>
    <t xml:space="preserve">Устройство светофорного регулирования на перекресткес ул. Коммунистическая - ул. Есенина;                                                             </t>
  </si>
  <si>
    <t>Устройство светофорного объекта (перекресток ул. Ленина - ул. Кирова);</t>
  </si>
  <si>
    <t>Устройство ТСОДД (перекресток ул. Победы – б-р 50 лет Октября);</t>
  </si>
  <si>
    <t>Цель подпрограммы: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</si>
  <si>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Задача 1 подпрограммы: проектирование, строительство, реконструкция, капитальный ремонт и ремонт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</si>
  <si>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</si>
  <si>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(ГП "Развитие жилищного строительства в Самарской области",  ГП "Развитие транспортной системы Самарской области")</t>
    </r>
  </si>
  <si>
    <r>
      <t xml:space="preserve">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(ГП "Развитие транспортной системы Самарской области") </t>
    </r>
  </si>
  <si>
    <t>Устройство искусственной дорожной неровности, установка дорожных знаков 
на проезде между ул. Баныкина и ул. Ленинградская, ООШ №26 и д/с "Тополек"</t>
  </si>
  <si>
    <r>
      <t xml:space="preserve">Содержание автомобильных дорог местного значения и внутриквартальных проездов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(ГП "Развитие транспортной системы Самарской области")  </t>
    </r>
  </si>
  <si>
    <t>Цель муниципальной программы: развитие дорожно-транспортной инфраструктуры в городском округе Тольятти, обеспечение безопасных условий дорожного движения</t>
  </si>
  <si>
    <t>Задача 1 муниципальной 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</t>
  </si>
  <si>
    <t>Цель подпрограммы: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</si>
  <si>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Задача 4 муниципальной 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</si>
  <si>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Цель подпрограммы: содействие экономическому и социальному развитию городского округа Тольятти за счет поддержания надлежащего санитарно-технического и транспортно-эксплуатационного состояния объектов УДС</t>
  </si>
  <si>
    <t>Задача 2 муниципальной 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</si>
  <si>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Задача 3 муниципальной программы: содействие экономическому и социальному развитию городского округа Тольятти за счет поддержания надлежащего санитарно-технического и транспортно-эксплуатационного состояния объектов УДС</t>
  </si>
  <si>
    <t xml:space="preserve">Цель подпрограммы: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                       </t>
  </si>
  <si>
    <t>Задача 1 подпрограммы: проектирование, строительство, реконструкция, капитальный ремонт и ремонт автомобильных дорог общего пользования местного значения, дворовых территорий многоквартирных домов 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</si>
  <si>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Площадь автомобильных дорог, на которых проведен ремонт “картами”</t>
  </si>
  <si>
    <t>2023-2024</t>
  </si>
  <si>
    <t>пешеходная и велосипедная дорожка вдоль ул. Родины по лесной зоне до микрорайона Портовый;</t>
  </si>
  <si>
    <t xml:space="preserve">ООТ «Телецентр» по пр-ту Степана Разина; </t>
  </si>
  <si>
    <t>2.1.5.1</t>
  </si>
  <si>
    <t>2.1.5.2</t>
  </si>
  <si>
    <t>2.1.5.3</t>
  </si>
  <si>
    <t>2.1.5.4</t>
  </si>
  <si>
    <t>2.1.5.5</t>
  </si>
  <si>
    <t>2.1.5.6</t>
  </si>
  <si>
    <t>2.1.5.7</t>
  </si>
  <si>
    <t>2.1.5.8</t>
  </si>
  <si>
    <t>2.1.5.9</t>
  </si>
  <si>
    <t>2.1.5.10</t>
  </si>
  <si>
    <t>2.1.5.11</t>
  </si>
  <si>
    <t>2.1.5.12</t>
  </si>
  <si>
    <t>2.1.5.13</t>
  </si>
  <si>
    <t>2.1.5.14</t>
  </si>
  <si>
    <t>2.1.5.15</t>
  </si>
  <si>
    <t>2.1.5.16</t>
  </si>
  <si>
    <t>2.1.5.17</t>
  </si>
  <si>
    <t>2.1.5.18</t>
  </si>
  <si>
    <t>2.1.5.19</t>
  </si>
  <si>
    <t>2.1.5.20</t>
  </si>
  <si>
    <t>2.1.5.21</t>
  </si>
  <si>
    <t>2.1.5.22</t>
  </si>
  <si>
    <t>2.1.5.23</t>
  </si>
  <si>
    <t>2.1.5.24</t>
  </si>
  <si>
    <t>2.1.5.25</t>
  </si>
  <si>
    <t>2.1.5.26</t>
  </si>
  <si>
    <t>2.1.5.27</t>
  </si>
  <si>
    <t>2.1.5.28</t>
  </si>
  <si>
    <t>2.1.5.29</t>
  </si>
  <si>
    <t>2.1.5.30</t>
  </si>
  <si>
    <t>2.1.5.31</t>
  </si>
  <si>
    <t>2.1.5.32</t>
  </si>
  <si>
    <t>2.1.5.33</t>
  </si>
  <si>
    <t>2.1.5.34</t>
  </si>
  <si>
    <t>2.1.5.35</t>
  </si>
  <si>
    <t>2.1.5.36</t>
  </si>
  <si>
    <t>2.1.5.37</t>
  </si>
  <si>
    <t>2.1.5.38</t>
  </si>
  <si>
    <t>2.1.5.39</t>
  </si>
  <si>
    <t>2.1.5.40</t>
  </si>
  <si>
    <t>2.1.5.41</t>
  </si>
  <si>
    <t>2.1.5.42</t>
  </si>
  <si>
    <t>2.1.5.43</t>
  </si>
  <si>
    <t>2.1.5.44</t>
  </si>
  <si>
    <t>2.1.5.45</t>
  </si>
  <si>
    <t>2.1.5.46</t>
  </si>
  <si>
    <t>2.1.5.47</t>
  </si>
  <si>
    <t>2.1.5.48</t>
  </si>
  <si>
    <t>2.1.5.49</t>
  </si>
  <si>
    <t>2.1.5.50</t>
  </si>
  <si>
    <t>2.1.5.51</t>
  </si>
  <si>
    <t>2.1.5.52</t>
  </si>
  <si>
    <t>2.1.5.53</t>
  </si>
  <si>
    <t>2.1.5.54</t>
  </si>
  <si>
    <t>2.1.5.55</t>
  </si>
  <si>
    <t>2.1.5.56</t>
  </si>
  <si>
    <t>2.1.5.57</t>
  </si>
  <si>
    <t>2.1.5.58</t>
  </si>
  <si>
    <t>2.1.5.59</t>
  </si>
  <si>
    <t>2.1.5.60</t>
  </si>
  <si>
    <t>2.1.5.61</t>
  </si>
  <si>
    <t>2.1.5.62</t>
  </si>
  <si>
    <t>2.1.5.63</t>
  </si>
  <si>
    <t>2.1.5.64</t>
  </si>
  <si>
    <t>2.1.5.65</t>
  </si>
  <si>
    <t>2.1.5.66</t>
  </si>
  <si>
    <t>2.1.5.67</t>
  </si>
  <si>
    <t>2.1.5.68</t>
  </si>
  <si>
    <t>2.1.5.69</t>
  </si>
  <si>
    <t>2.1.5.70</t>
  </si>
  <si>
    <t>2.1.5.71</t>
  </si>
  <si>
    <t>2.1.5.72</t>
  </si>
  <si>
    <t>2.1.5.73</t>
  </si>
  <si>
    <t>2.1.5.74</t>
  </si>
  <si>
    <t>2.1.5.75</t>
  </si>
  <si>
    <t>2.1.5.76</t>
  </si>
  <si>
    <t>2.1.5.77</t>
  </si>
  <si>
    <t>2.1.5.78</t>
  </si>
  <si>
    <t>2.1.5.79</t>
  </si>
  <si>
    <t>2.1.5.80</t>
  </si>
  <si>
    <t>2.1.5.81</t>
  </si>
  <si>
    <t>2.1.5.82</t>
  </si>
  <si>
    <t>2.1.5.83</t>
  </si>
  <si>
    <t>2.1.5.84</t>
  </si>
  <si>
    <t>2.1.5.85</t>
  </si>
  <si>
    <t>2.1.5.86</t>
  </si>
  <si>
    <t>2.1.5.87</t>
  </si>
  <si>
    <t>2.1.5.88</t>
  </si>
  <si>
    <t>2.1.5.89</t>
  </si>
  <si>
    <t>2.1.5.90</t>
  </si>
  <si>
    <t>2.1.5.91</t>
  </si>
  <si>
    <t>2.1.5.92</t>
  </si>
  <si>
    <t>2.1.5.93</t>
  </si>
  <si>
    <t>2.1.5.94</t>
  </si>
  <si>
    <t>2.1.5.95</t>
  </si>
  <si>
    <t>2.1.5.96</t>
  </si>
  <si>
    <t>2.1.5.97</t>
  </si>
  <si>
    <t>2.1.5.98</t>
  </si>
  <si>
    <t>2.1.5.99</t>
  </si>
  <si>
    <t>2.1.5.100</t>
  </si>
  <si>
    <t>2.1.5.101</t>
  </si>
  <si>
    <t>2.1.5.102</t>
  </si>
  <si>
    <t>2.1.5.103</t>
  </si>
  <si>
    <t>2.1.5.105</t>
  </si>
  <si>
    <t>2.1.5.106</t>
  </si>
  <si>
    <t>2.1.5.107</t>
  </si>
  <si>
    <t>2.1.5.108</t>
  </si>
  <si>
    <t>2.1.5.109</t>
  </si>
  <si>
    <t>2.1.5.110</t>
  </si>
  <si>
    <t>2.1.5.111</t>
  </si>
  <si>
    <t>2.1.5.112</t>
  </si>
  <si>
    <t>2.1.5.113</t>
  </si>
  <si>
    <t>2.1.5.114</t>
  </si>
  <si>
    <t>2.1.5.115</t>
  </si>
  <si>
    <t>2.1.5.116</t>
  </si>
  <si>
    <t>2.1.5.117</t>
  </si>
  <si>
    <t>2.1.5.118</t>
  </si>
  <si>
    <t>2.1.5.119</t>
  </si>
  <si>
    <t>2.1.5.120</t>
  </si>
  <si>
    <t>2.1.5.121</t>
  </si>
  <si>
    <t>2.1.5.122</t>
  </si>
  <si>
    <t>2.1.5.123</t>
  </si>
  <si>
    <t>2.1.5.124</t>
  </si>
  <si>
    <t>2.1.5.125</t>
  </si>
  <si>
    <t>2.1.5.126</t>
  </si>
  <si>
    <t>2.1.5.127</t>
  </si>
  <si>
    <t>2.1.5.128</t>
  </si>
  <si>
    <t>2.1.5.129</t>
  </si>
  <si>
    <t>2.1.5.130</t>
  </si>
  <si>
    <t>2.1.5.131</t>
  </si>
  <si>
    <t>2.1.5.132</t>
  </si>
  <si>
    <t>2.1.5.133</t>
  </si>
  <si>
    <t>2.1.1.1.1</t>
  </si>
  <si>
    <t>2.1.1.1.2</t>
  </si>
  <si>
    <t>2.1.1.1</t>
  </si>
  <si>
    <t>2.1.1.1.3</t>
  </si>
  <si>
    <t>2.1.1.2</t>
  </si>
  <si>
    <t>2.1.1.3</t>
  </si>
  <si>
    <t>2.1.1.4</t>
  </si>
  <si>
    <t>2.1.1.6</t>
  </si>
  <si>
    <t>2.1.1.7</t>
  </si>
  <si>
    <t>2.1.1.8</t>
  </si>
  <si>
    <t>2.1.1.8.1</t>
  </si>
  <si>
    <t>2.1.1.9</t>
  </si>
  <si>
    <t>2.1.1.9.1</t>
  </si>
  <si>
    <t>2.1.1.10</t>
  </si>
  <si>
    <t>2.1.1.11</t>
  </si>
  <si>
    <t>2.1.1.12</t>
  </si>
  <si>
    <t>2.1.1.13</t>
  </si>
  <si>
    <t>2.1.1.13.1</t>
  </si>
  <si>
    <t>2.1.1.13.2</t>
  </si>
  <si>
    <t>2.1.1.13.3</t>
  </si>
  <si>
    <t>2.1.1.14</t>
  </si>
  <si>
    <t>2.1.3.1</t>
  </si>
  <si>
    <t>2.1.3.2</t>
  </si>
  <si>
    <t>2.1.3.3</t>
  </si>
  <si>
    <t>2.1.3.4</t>
  </si>
  <si>
    <t>2.1.3.5</t>
  </si>
  <si>
    <t>2.1.3.6</t>
  </si>
  <si>
    <t>2.1.3.7</t>
  </si>
  <si>
    <t>2.1.3.8</t>
  </si>
  <si>
    <t>2.1.3.9</t>
  </si>
  <si>
    <t>2.1.3.10</t>
  </si>
  <si>
    <t>2.1.3.11</t>
  </si>
  <si>
    <t>2.1.3.12</t>
  </si>
  <si>
    <t>2.1.3.13</t>
  </si>
  <si>
    <t>2.1.3.14</t>
  </si>
  <si>
    <t>2.1.3.15</t>
  </si>
  <si>
    <t>2.1.3.16</t>
  </si>
  <si>
    <t>2.1.3.17</t>
  </si>
  <si>
    <t>2.1.3.18</t>
  </si>
  <si>
    <t>2.1.3.19</t>
  </si>
  <si>
    <t>2.1.3.20</t>
  </si>
  <si>
    <t>2.1.3.22</t>
  </si>
  <si>
    <t>2.1.3.21</t>
  </si>
  <si>
    <t>2.1.3.24</t>
  </si>
  <si>
    <t>2.1.3.25</t>
  </si>
  <si>
    <t>2.1.3.26</t>
  </si>
  <si>
    <t>2.1.3.27</t>
  </si>
  <si>
    <t>2.1.3.28</t>
  </si>
  <si>
    <t>2.1.4.1</t>
  </si>
  <si>
    <t>2.1.4.2</t>
  </si>
  <si>
    <t>2.1.4.3</t>
  </si>
  <si>
    <t>2.1.4.4</t>
  </si>
  <si>
    <t>2.1.4.5</t>
  </si>
  <si>
    <t>2.1.4.6</t>
  </si>
  <si>
    <t>2.1.4.7</t>
  </si>
  <si>
    <t>2.1.4.8</t>
  </si>
  <si>
    <t>2.1.4.9</t>
  </si>
  <si>
    <t>2.1.4.10</t>
  </si>
  <si>
    <t>2.1.4.11</t>
  </si>
  <si>
    <t>2.1.4.12</t>
  </si>
  <si>
    <t>2.1.4.13</t>
  </si>
  <si>
    <t>2.1.4.14</t>
  </si>
  <si>
    <t>2.1.4.15</t>
  </si>
  <si>
    <t>2.1.4.16</t>
  </si>
  <si>
    <t>2.1.4.17</t>
  </si>
  <si>
    <t>2.1.4.18</t>
  </si>
  <si>
    <t>2.1.6.1</t>
  </si>
  <si>
    <t>2.1.6.2</t>
  </si>
  <si>
    <t>2.1.7.1</t>
  </si>
  <si>
    <t>2.1.7.2</t>
  </si>
  <si>
    <t>2.1.7.3</t>
  </si>
  <si>
    <t>2.1.7.3.1</t>
  </si>
  <si>
    <t>2.1.7.3.2</t>
  </si>
  <si>
    <t>2.1.7.3.3</t>
  </si>
  <si>
    <t>2.1.7.3.4</t>
  </si>
  <si>
    <t>2.1.7.3.5</t>
  </si>
  <si>
    <t>2.1.7.3.6</t>
  </si>
  <si>
    <t>2.1.7.3.7</t>
  </si>
  <si>
    <t>2.1.7.4</t>
  </si>
  <si>
    <t>2.1.7.5</t>
  </si>
  <si>
    <t>2.1.7.5.1</t>
  </si>
  <si>
    <t>2.1.7.6</t>
  </si>
  <si>
    <t>2.1.7.6.1</t>
  </si>
  <si>
    <t>Ремонт ул.Воскресенская  между ул.Дзержинского и ул.Заставная</t>
  </si>
  <si>
    <t>Ремнот Комсомольского шоссе между ул.Комзина и ул.Есенина</t>
  </si>
  <si>
    <t>Ремонт Южного шоссе, от ул.Борковская до ул.Полякова</t>
  </si>
  <si>
    <t>Ремонт Южная завода - часть Южного шоссе, между ул.Борковская и ул.Воскресенская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</si>
  <si>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 подпрограммы "Модернизация и развитие автомобильных дорог общего пользования местного значения, а также автомобильных дорог, расположенных в зоне застройки индивидуальными жилыми домами городского округа Тольятти, на 2021-2025 гг." и финансовые ресурсы</t>
  </si>
  <si>
    <t>Устройство  искусственных неровностей трапецеевидной формы по ул. Украинской перед пересечением с ул. Шлютова, устройство светофорного объекта,  установка дорожных знаков на ул. Шлютова - пересечение с ул. Украинская, ул.Шлютова д. № 108, д. № 110, д. 127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</si>
  <si>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мероприятий муниципальной программы "Развитие транспортной системы и дорожного хозяйства городского округа Тольятти на 2021-2025 гг." </t>
  </si>
  <si>
    <t>Количество диагностируемых надземных пешеходных переходов (мостов, путепроводов)</t>
  </si>
  <si>
    <t>2021, 2024</t>
  </si>
  <si>
    <t>1.1.10.</t>
  </si>
  <si>
    <t>Осуществление технологического присоединения к электрическим сетям объекта "Пункт весового контроля", расположенного по адресу: Самарская область, г.Тольятти, ул. Коммунальная</t>
  </si>
  <si>
    <t xml:space="preserve">Проезд к войсковой части </t>
  </si>
  <si>
    <t xml:space="preserve">Количество откорректированной проектно-сметной документации </t>
  </si>
  <si>
    <t>вдоль проспекта Степана Разина от дома №35 до дома №25;</t>
  </si>
  <si>
    <t>Устройство светофорного объекта (Южное шоссе  ООТ "ДС КВЦ ВАЗа");</t>
  </si>
  <si>
    <t>Устройство светофорного объекта (Южное шоссе  ООТ "5 вставка ВАЗа");</t>
  </si>
  <si>
    <t>2021 (Оплата ранее принятых обязательств)</t>
  </si>
  <si>
    <t>между домами №6 и 8 по б-ру Баумана;</t>
  </si>
  <si>
    <t>между домами №17 по ул. Офицерской и №3 по б-ру Солнечный;</t>
  </si>
  <si>
    <t>от ООТ "ТВВКИСУ" до перекрестка с ул. Ворошилова</t>
  </si>
  <si>
    <t>1.4.</t>
  </si>
  <si>
    <t>1.4.1.</t>
  </si>
  <si>
    <t>1.4.2.</t>
  </si>
  <si>
    <t>1.4.3.</t>
  </si>
  <si>
    <t>1.4.4.</t>
  </si>
  <si>
    <t>1.4.5.</t>
  </si>
  <si>
    <t>1.4.6.</t>
  </si>
  <si>
    <t>Департамент образования  администрации городского округа Тольятти</t>
  </si>
  <si>
    <t>Проведение городского профилактического мероприятия на знание правил дорожного движения "Интеллектуальный квиз "Дорога и СИМ"</t>
  </si>
  <si>
    <t>Проведение квеста по безопасности дорожного движения  среди  творческих объединений школьников - юных инспекторов движения "Битва отрядов ЮИД"</t>
  </si>
  <si>
    <t>Количество предоставленных точек по технологическому присоединению к централизованной системе водоотведения</t>
  </si>
  <si>
    <t xml:space="preserve">Количество предоставленных точек по технологическому присоединению к электрическим сетям </t>
  </si>
  <si>
    <t>Количество разработанной проектно-сметной документации по устройству, строительству заездов, проездов, автомобильных дорог общего пользования местного значения городского округа Тольятти</t>
  </si>
  <si>
    <t>Организация и проведение тестирования учащихся 3. 7, 10 классов на знание правил дорожного движения</t>
  </si>
  <si>
    <t>Задача 4 подпрограммы: формирование законопослушного поведения участников дорожного движения</t>
  </si>
  <si>
    <t xml:space="preserve">Количество проведенных квестов
</t>
  </si>
  <si>
    <t>Количество проведенных акций</t>
  </si>
  <si>
    <t>Количество проведенных мероприятий</t>
  </si>
  <si>
    <t>Проведение акции " Безопасность на дорогах начинается с семьи"</t>
  </si>
  <si>
    <t>Доля муниципальных дошкольных образовательных учреждений, в которых проведена акция</t>
  </si>
  <si>
    <t xml:space="preserve">Организация работы отрядов Юных помощников инспекторов движения </t>
  </si>
  <si>
    <t>Доля муниципальных общеобразовательных учреждений, в которых проведено тестирование</t>
  </si>
  <si>
    <t>1.4.7.</t>
  </si>
  <si>
    <t>1.4.8.</t>
  </si>
  <si>
    <t>Количество размещенной информации</t>
  </si>
  <si>
    <t>Информационное оповещение пассажиров о правилах дорожного движения в общественном городском наземном транспорте</t>
  </si>
  <si>
    <t>Доля подвижного состава, информирующая пассажиров о правилах дорожного движения</t>
  </si>
  <si>
    <t>Доля образовательных учреждений, принявших участие в профилактических  мероприятиях</t>
  </si>
  <si>
    <t>не менее 3</t>
  </si>
  <si>
    <t>не менее 50</t>
  </si>
  <si>
    <t>г.о. Тольятти,ул. Вокзальная ООТ "10 проходная";</t>
  </si>
  <si>
    <t>млн. пассажиро-километров</t>
  </si>
  <si>
    <t>Приобретение спецтехники и транспортных средств</t>
  </si>
  <si>
    <t>Количество приобретенных транспортных средств</t>
  </si>
  <si>
    <t xml:space="preserve">г.о. Тольятти, проезд вдоль домов №28,30а,32 по ул.Баныкина (71 квартал) </t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</si>
  <si>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</si>
  <si>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t>Проведение городской акции по профилактике и предупреждению дорожно-транспортных происшествий и правонарушений с участием лиц, использующих для передвижения средства индивидуальной мобильности "По Тольятти на СИМ безопасно колесим"</t>
  </si>
  <si>
    <t>Ремонт пешеходных дорожек и площадок остановок общественного транспорта</t>
  </si>
  <si>
    <t>ООТ «Аптека № 245» на ул. Революционной;</t>
  </si>
  <si>
    <t>ООТ «Кинотеатр “Сатурн”» на ул. Революционной;</t>
  </si>
  <si>
    <t>ООТ «Ателье Мод» на ул. Революционной;</t>
  </si>
  <si>
    <t>Пешеходная дорожка по ул. 70 лет Октября на пешеходном переходе между домами 68 и 47 по ул. 70 лет Октября;</t>
  </si>
  <si>
    <t>Количество отремонтированных  площадок остановок общественного транспорта</t>
  </si>
  <si>
    <t xml:space="preserve">Количество отремонтированных пешеходных дорожек </t>
  </si>
  <si>
    <t>350,26/194,12</t>
  </si>
  <si>
    <t>Приложение № 1                                                                                             к  постановлению администрации городского округа Тольятти от______________№ __________</t>
  </si>
  <si>
    <t>Приложение № 3                                                                                            к постановлению администрации городского округа Тольятти                           от______________ №_________</t>
  </si>
  <si>
    <t>2023 (Оплата ранее принятых обязательств)</t>
  </si>
  <si>
    <t>Проектно-изыскательские работы по объекту: "Устройство заездов (выездов) на внутриквартальные проезды (дублеры) по Ленинскому проспекту в квартале 3б и 9 Автозаводского района и места разворота транспортных средств"</t>
  </si>
  <si>
    <t>2.1.7.2.1</t>
  </si>
  <si>
    <t>ул.Рабочая</t>
  </si>
  <si>
    <t>2.1.9.</t>
  </si>
  <si>
    <t xml:space="preserve">Выполнение научно-исследовательской работы "Концепция развития улично-дорожной сети с учетом развития пассажирского транспорта"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</si>
  <si>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2.1.9.1.</t>
  </si>
  <si>
    <t>Выполнение научно-исследовательской работы "Концепция развития улично-дорожной сети с учетом развития пассажирского транспорта"</t>
  </si>
  <si>
    <t>Итого по содержанию автомобильных дорог местного значения и внутриквартальных проездов по разделу 2.1.8:</t>
  </si>
  <si>
    <t>Итого по выполнению научно-исследовательской работы "Концепция развития улично-дорожной сети с учетом развития пассажирского транспорта" по разделу 2.1.9:</t>
  </si>
  <si>
    <t xml:space="preserve">Выполнение научно-исследовательской работы "Концепция развития улично-дорожной сети с учетом развития пассажирского транспорта"                                                                            </t>
  </si>
  <si>
    <t xml:space="preserve">Количество разработанной документации </t>
  </si>
  <si>
    <t>2.1.5.134</t>
  </si>
  <si>
    <t>2.1.5.135</t>
  </si>
  <si>
    <t>2.1.5.136</t>
  </si>
  <si>
    <t>2.1.7.7</t>
  </si>
  <si>
    <t>Департамент дорожного хозяйства и транспорта  администрации городского округа Тольятти                                                                                                                                                                                                             МКУ "ЦОДД ГОТ" (Департамент дорожного хозяйства и транспорта  администрации городского округа Тольятти)</t>
  </si>
  <si>
    <t>Доля выполненных работ по обеспечению безопасности участников дорожного движения</t>
  </si>
  <si>
    <t>Замена ООТ «Мичурина», ул.  Мичурина четная сторона;</t>
  </si>
  <si>
    <t>Замена ООТ «Автовокзал», ул. Родины четная сторона;</t>
  </si>
  <si>
    <t xml:space="preserve">МП "ТТУ",                                                               МП "ТПАТП № 3" / АО ТПАТП №3       (с 19.11.2024)   (Департамент дорожного хозяйства и транспорта  администрации городского округа Тольятти)                                                    </t>
  </si>
  <si>
    <t>Обеспеченность парка транспортом с низким (пониженным) уровнем пола МП "ТПАТП № 3" / АО ТПАТП № 3 (с 19.11.2024)</t>
  </si>
  <si>
    <t>дорога вдоль улицы Свердлова (нечетная сторона) от дома №5 по ул.Свердлова до дома №94 по улице 40 лет Победы;</t>
  </si>
  <si>
    <t>на участке автодороги вдоль Центральной площади ДК "Тольятти" от ул.Ленинградской до ул.Мира;</t>
  </si>
  <si>
    <t>по дублеру автомобильной дороги ул. 40 лет Победы в 21 квартале Автозаводского района;</t>
  </si>
  <si>
    <t>ООТ "База УМТС"</t>
  </si>
  <si>
    <t>Пешеходная дорожка по ул. 40 лет Победы;</t>
  </si>
  <si>
    <t xml:space="preserve">Департамент дорожного хозяйства и транспорта  администрации городского округа Тольятти,                                                         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</si>
  <si>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 подпрограммы "Повышение безопасности дорожного движения на период 2021 - 2025 гг." и финансовые ресурсы</t>
  </si>
  <si>
    <t>подземный переход, расположенный по адресу: г. Тольятти, ул. Свердлова, ост. "Океан"</t>
  </si>
  <si>
    <t xml:space="preserve">г.о. Тольятти ул.Коммунистическая от ул.Тюленина </t>
  </si>
  <si>
    <t>Размещение на официальном сайте органов местного самоуправления информации о безопасном поведении на дороге</t>
  </si>
  <si>
    <t>4.5.</t>
  </si>
  <si>
    <t>Задача 5 подпрограммы: Организация стабильной работы муниципального транспорта на маршрутах городского округа Тольятти</t>
  </si>
  <si>
    <t>4.5.1.</t>
  </si>
  <si>
    <t>Приобретение специализированной техники</t>
  </si>
  <si>
    <t>Количество приобретенных эвакуаторов</t>
  </si>
  <si>
    <t>ул. Кудашева;</t>
  </si>
  <si>
    <t>ул.Ларина</t>
  </si>
  <si>
    <t xml:space="preserve">в том числе в рамках реализации национального проекта: "Безопасные качественные дороги"  (2021 - 2024 годы) / "Инфраструктура для жизни" (2025 год) </t>
  </si>
  <si>
    <t>2.1.5.137</t>
  </si>
  <si>
    <t>2.1.5.138</t>
  </si>
  <si>
    <t>2.1.5.139</t>
  </si>
  <si>
    <t>2.1.5.140</t>
  </si>
  <si>
    <t>2.1.5.141</t>
  </si>
  <si>
    <t>2.1.5.142</t>
  </si>
  <si>
    <t>ул. Ларина от Автозаводского шоссе до ул. Новозаводская</t>
  </si>
  <si>
    <t>ул. Заставная от ул. Дзержинского до Южного шоссе, северо-западнее объекта, имеющего адрес: проспект Московский, 1</t>
  </si>
  <si>
    <t>ул. Ворошилова от ул. Офицерская до ул. Свердлова</t>
  </si>
  <si>
    <t>ул. Дзержинского от ул. Ворошилова до пр-та Степана Разина</t>
  </si>
  <si>
    <t>ул. 40 лет Победы от с/о 93-95(с/о 92-94) до КТР (ул.Ворошилова-Ленинский проспект-ул.Маршала Жукова)</t>
  </si>
  <si>
    <t>ул. Коммунистическая от ул.Есенина до ул. Ярославская</t>
  </si>
  <si>
    <t>ул. Кирова от ул.Тимирязева до ул. Ломоносова</t>
  </si>
  <si>
    <t>ул. Телеграфная</t>
  </si>
  <si>
    <t>ул. Менделеева</t>
  </si>
  <si>
    <t>бульвар Ленина от ул. Ленинградской до ул. Баныкина, западнее квартала 71</t>
  </si>
  <si>
    <t>ул.70 лет Октября от ул.Автостроителей до КТР (ул.40 лет Победы, ул.Льва Яшина)</t>
  </si>
  <si>
    <t>Приморский бульвар от Московского проспекта до ул.Юбилейной</t>
  </si>
  <si>
    <t xml:space="preserve">Ремонт путепровода (моста) по ул. Революционной через автодорогу на пересечении с автодорогой по Ленинскому проспекту </t>
  </si>
  <si>
    <t>Устройство пешеходной дорожки вдоль ул.Шлютова</t>
  </si>
  <si>
    <t>Устройство пешеходной дорожки по б-ру Здоровья</t>
  </si>
  <si>
    <t>Устройство и перенос остановок общественного транспорта городского округа Тольятти по адресу: Самарская обл., г. Тольятти, Автозаводский район, ООТ «Детский городок» по Приморскому б-ру</t>
  </si>
  <si>
    <t>Устройство и перенос остановок общественного транспорта городского округа Тольятти по адресу: Самарская обл., г. Тольятти, Автозаводский район, ООТ «Театр Дилижанс» по Приморскому б-ру</t>
  </si>
  <si>
    <t>Устройство и перенос остановок общественного транспорта городского округа Тольятти по адресу: Самарская обл., г. Тольятти, Центральный район Автозаводское шоссе, ООТ «ЦРБ»</t>
  </si>
  <si>
    <t>ул.Высоковольтная от ул.Бориса Коваленко до здания имеющего адрес: Высоковольтная улица, 1/44</t>
  </si>
  <si>
    <t>ул.Энергетиков от ул.Куйбышева до здания имеющего адрес: Макарова, 23</t>
  </si>
  <si>
    <t>Приморский бульвар от пр-та Степана Разина до ул. Маршала Жукова</t>
  </si>
  <si>
    <t>Ремонт тротуара по ул. Кирова</t>
  </si>
  <si>
    <t>2.1.5.143</t>
  </si>
  <si>
    <t>2.1.5.144</t>
  </si>
  <si>
    <t>2.1.5.145</t>
  </si>
  <si>
    <t>2.1.5.146</t>
  </si>
  <si>
    <t>2.1.5.147</t>
  </si>
  <si>
    <t>2.1.5.148</t>
  </si>
  <si>
    <t>2.1.5.149</t>
  </si>
  <si>
    <t>2.1.5.150</t>
  </si>
  <si>
    <t>2.1.5.151</t>
  </si>
  <si>
    <t>2.1.5.152</t>
  </si>
  <si>
    <t>2.1.5.153</t>
  </si>
  <si>
    <t>2.1.5.154</t>
  </si>
  <si>
    <t>2.1.5.155</t>
  </si>
  <si>
    <t>2.1.5.156</t>
  </si>
  <si>
    <t>2.1.5.157</t>
  </si>
  <si>
    <t>2.1.5.158</t>
  </si>
  <si>
    <t>2.1.5.159</t>
  </si>
  <si>
    <t xml:space="preserve">В связи с невыполнением подрядной организацией капитального ремонта автодороги по ул.Никонова от улицы Железнодорожная до улицы Ингельберга  в 2022, 2023, 2024 году, площадь на которой необходимо произвести капитальный ремонт переносится на 2025 год. </t>
  </si>
  <si>
    <t>Количество отремонтированных тротуаров</t>
  </si>
  <si>
    <t>Количество устроенных и перенесенных остановок общественного транспорта</t>
  </si>
  <si>
    <t xml:space="preserve">Площадь отремонтированных путем капитального ремонта автомобильных дорог общего пользования местного значения городского округа Тольятти / в т.ч. в рамках реализации национального проекта "Безопасные качественные дороги"  (2021 - 2024 годы) / "Инфраструктура для жизни" (2025 год) </t>
  </si>
  <si>
    <t xml:space="preserve">Площадь отремонтированных путем ремонта автомобильных дорог общего пользования местного значения городского округа Тольятти / в т.ч. в рамках реализации национального проекта "Безопасные качественные дороги"  (2021 - 2024 годы) / "Инфраструктура для жизни" (2025 год) </t>
  </si>
  <si>
    <t>Проектно-изыскательские работы по объекту: Капитальный ремонт автомобильной дороги ул. Коммунальная на участке от Обводного шоссе до ул. Полякова в г. Тольятти с устройством пункта автоматического весогабаритного контроля</t>
  </si>
  <si>
    <t>Корректировка проектно-сметной документации по объекту: "Капитальный ремонт автодороги по улице Никонова (от  улицы Железнодорожная  до улицы Ингельберга) городского округа Тольятти Самарской области"</t>
  </si>
  <si>
    <t>Проектно-изыскательские работы по капитальному ремонту автомобильной дороги по  Тупиковому проезду</t>
  </si>
  <si>
    <t>Осуществление строительного контроля на объекте: "Капитальный ремонт автодороги по улице Никонова (от  улицы Железнодорожная  до улицы Ингельберга) городского округа Тольятти Самарской области"</t>
  </si>
  <si>
    <t xml:space="preserve">Строительный контроль на ремонт путепровода (моста) по ул. Революционной через автодорогу на пересечении с автодорогой по Ленинскому проспекту </t>
  </si>
  <si>
    <t>2.1.5.160</t>
  </si>
  <si>
    <t>Количество разработанной документации по строительному контролю при ремонте и капитальном ремонте надземных и подземных пешеходных переходов</t>
  </si>
  <si>
    <t>ул. Калмыцкая;</t>
  </si>
  <si>
    <t>ул. Кирова;</t>
  </si>
  <si>
    <t xml:space="preserve"> с четной и нечетной стороны по ул.Ботаническая;</t>
  </si>
  <si>
    <t>дорога вдоль Южного шоссе на участке от ул. Тополиной до ул. Автостроителей (нечетная сторона);</t>
  </si>
  <si>
    <t>дорога вдоль ул. Спортивная (нечетная сторона) от Физкультурного проезда до проспекта Степана Разина;</t>
  </si>
  <si>
    <t>по Поволжскому шоссе (от нового городского кладбища до проходной ПАО ТОАЗ);</t>
  </si>
  <si>
    <t>г.о. Тольятти, внутриквартальный проезд - дублер ул.Коммунистическая от д. №97 до д. №79;</t>
  </si>
  <si>
    <t>г.о.Тольятти, ул.Матросова ООТ «Газонаполнительная станция";</t>
  </si>
  <si>
    <t>г.о.Тольятти, перекресток ул.Комсомольской, ул. Лесной и ул. Ушакова;</t>
  </si>
  <si>
    <t>г.о. Тольятти, Ул. Лесная, д.36;</t>
  </si>
  <si>
    <t>г.о. Тольятти, перекресток ул. Дзержинского, ул. Заставной и Московского проспекта;</t>
  </si>
  <si>
    <t>г.о. Тольятти, перекресток ул. Комсомольской и ул. Карбышева;</t>
  </si>
  <si>
    <t>г.о.Тольятти, перекресток ул.Дзержинского, ул. Юбилейная и ул. Борковская;</t>
  </si>
  <si>
    <t>г.о.Тольятти, ул. 70 лет Октября ООТ «Цветной бульвар";</t>
  </si>
  <si>
    <t>Количество разработанной документации по строительному контролю при ремонте автомобильных дорог</t>
  </si>
  <si>
    <t>Строительный контроль  при ремонте автомобильных дорог</t>
  </si>
  <si>
    <t>2.1.5.161</t>
  </si>
  <si>
    <t>2.1.10.</t>
  </si>
  <si>
    <r>
      <t>Содержание автомобильных дорог, в том числе: посадочных площадок ООТ, тротуаров, разделительных полос, элементов системы водоотвода, путепроводов, удерживающих барьерных ограждений</t>
    </r>
    <r>
      <rPr>
        <sz val="12"/>
        <rFont val="Arial"/>
        <family val="2"/>
        <charset val="204"/>
      </rPr>
      <t xml:space="preserve"> </t>
    </r>
  </si>
  <si>
    <t>Укрепление обочин автомобильных дорог асфальтогранулятом</t>
  </si>
  <si>
    <t xml:space="preserve">Укрепление обочин автомобильных дорог асфальтогранулятом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</si>
  <si>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2.1.10.1.</t>
  </si>
  <si>
    <t>Итого по укреплению обочин автомобильных дорог асфальтогранулятом по разделу 2.1.10:</t>
  </si>
  <si>
    <t xml:space="preserve">Площадь укрепленных путем отсыпки асфальтогранулятом обочин автомобильных дорог </t>
  </si>
  <si>
    <t>2.1.5.162</t>
  </si>
  <si>
    <t>Ликвидация островка безопасности с увеличением числа полос движения до 3-х по ул. Офицерская</t>
  </si>
  <si>
    <t>Количество устроенных, построенных заездов, проездов, автомобильных дорог общего пользования местного значения городского округа Тольятти</t>
  </si>
  <si>
    <t>2.1.5.163</t>
  </si>
  <si>
    <t>Перенос места для разворота ул. 40 лет Победы (17 и 17А кварталами)</t>
  </si>
  <si>
    <t>Соответствие нанесенной дорожной разметки утвержденной дислокации горизонтальной дорожной разметки</t>
  </si>
  <si>
    <t>г.о. Тольятти, ул. Шлюзовая, д. 2</t>
  </si>
  <si>
    <t>Замена ООТ  «Мясокомбинат», ул. Ярославская четная сторона;</t>
  </si>
  <si>
    <t>Замена ООТ «Мясокомбинат», ул. Ярославская  нечетная сторона;</t>
  </si>
  <si>
    <t>Замена ООТ «ВНИИ НЕРУДНЫХ МАТЕРИАЛОВ», ул. Ярославская четная сторона;</t>
  </si>
  <si>
    <t>Замена ООТ «ВНИИ НЕРУДНЫХ МАТЕРИАЛОВ», ул. Ярославская нечетная сторона;</t>
  </si>
  <si>
    <t>Замена ООТ «Парк-Отель», ул. Комзина четная сторона;</t>
  </si>
  <si>
    <t xml:space="preserve"> Замена ООТ «Парк-Отель», ул. Комзина нечетная сторона;</t>
  </si>
  <si>
    <t>Замена ООТ «Профилакторий», ул. Комзина четная сторона;</t>
  </si>
  <si>
    <t>Замена ООТ «Профилакторий», ул. Комзина нечетная сторона;</t>
  </si>
  <si>
    <t>Замена ООТ «Санаторий Русский бор» Лесопарковое шоссе четная сторона;</t>
  </si>
  <si>
    <t>Замена ООТ «Профилакторий Звездный», Лесопарковое шоссе четная сторона;</t>
  </si>
  <si>
    <t xml:space="preserve">Замена ООТ «Санаторий Русский бор», Лесопарковое шоссе  нечетная сторона; </t>
  </si>
  <si>
    <t>Замена ООТ «Ателье Мод», ул. Революционная нечетная сторона;</t>
  </si>
  <si>
    <t>на ул. Баныкина в районе ООТ «ул. Голосова» (2 шт.)</t>
  </si>
  <si>
    <t>на внутриквартальном проезде вдоль дома 42 по ул. Победы (Филармония) (2 шт.)</t>
  </si>
  <si>
    <t>вдоль ул.Украинской;</t>
  </si>
  <si>
    <t xml:space="preserve"> ул. Александра Кудашева ;</t>
  </si>
  <si>
    <t>на подходах к пешеходному переходу на  ул. Маршала Жукова ООТ "Дубравушка" Лечебно-реабилитационный центр "Ариадна";</t>
  </si>
  <si>
    <t>на подходах к пешеходному переходу, устройство искусственной дорожной неровности с установкой соответствующих ТСОДД на ул. Зеленая д.11, д/с "Тюльпан;</t>
  </si>
  <si>
    <t>на подходах к пешеходному переходу на Приморском бульваре в районе дома 10;</t>
  </si>
  <si>
    <t>на подходах к пешеходному переходу перекресток Московский проспект-ул. Фрунзе;</t>
  </si>
  <si>
    <t>к пешеходному переходу на ул. 60 лет СССР в районе дома №3;</t>
  </si>
  <si>
    <t>Количество объектов на которых установлен или восстановлен бортовой камень</t>
  </si>
  <si>
    <t>Устройство заездного кармана на Приморском бульваре, ООТ "Стадион "Торпедо";</t>
  </si>
  <si>
    <t>Протяженность установленных дорожных барьерных ограждений</t>
  </si>
  <si>
    <t>м.п.</t>
  </si>
  <si>
    <t>Устройство барьерного ограждения на перекрестке ул.Сиреневая и ул. 60 лет СССР</t>
  </si>
  <si>
    <t>2021-2023, 2025</t>
  </si>
  <si>
    <t>Целевые показатели (индикаторы) национального проекта «Безопасные качественные дороги» (с 2021 по 2024 год) / «Инфраструктура для жизни» (2025 год) в части, касающейся городского округа Тольятти</t>
  </si>
  <si>
    <t>вдоль территории МБУ "Лицей №51" (ул.Фрунзе,12) - 3А квартал;</t>
  </si>
  <si>
    <t>г.о. Тольятти, ул.Автостроителей, д. №17, 38 ООТ "Школа №82";</t>
  </si>
  <si>
    <t>Капитальный ремонт автодороги по улице Никонова (от  улицы Железнодорожная  до улицы Ингельберга) городского округа Тольятти Самарской области &lt;*&gt;</t>
  </si>
  <si>
    <t xml:space="preserve">&lt;*&gt; Строка 2.1.4.16.:    </t>
  </si>
  <si>
    <t>Департамент общественной безопасности  и противодействия коррупции администрации городского округа Тольятти</t>
  </si>
  <si>
    <t>Организация и проведение тестирования учащихся 3, 7, 10 классов на знание правил дорожного движения</t>
  </si>
  <si>
    <t>г.о.Тольятти, проезд вдоль домов №106, №108 по ул.А.Кудашева;</t>
  </si>
  <si>
    <t>г.о.Тольятти, бульвар 50 лет Октября - ул. Герцена - ул. Украинская;</t>
  </si>
  <si>
    <t>г.о.Тольятти, бульвар 50 лет Октября ООТ "Ул. Новозаводская";</t>
  </si>
  <si>
    <t>г.о.Тольятти, Автозаводское шоссе ООТ "ТРЦ Парк Хаус";</t>
  </si>
  <si>
    <t>г.о.Тольятти,  ул.Баныкина ООТ "Школа № 1";</t>
  </si>
  <si>
    <t>г.о.Тольятти,  ул.Баныкина ООТ "72 квартал";</t>
  </si>
  <si>
    <t>г.о.Тольятти, ул. Баныкина ООТ "Магазин "Юность";</t>
  </si>
  <si>
    <t>г.о.Тольятти, ул.Баныкина ООТ "Стадион "Строитель";</t>
  </si>
  <si>
    <t>г.о.Тольятти, ул.Вокзальная ООТ «Кузнечно-прессовый цех";</t>
  </si>
  <si>
    <t>г.о.Тольятти, ул.Вокзальная ООТ «Производство пластмассовых изделий";</t>
  </si>
  <si>
    <t>г.о.Тольятти, ул.Вокзальная ООТ «Чугунно-литейный цех»;</t>
  </si>
  <si>
    <t>г.о.Тольятти, ул.Голосова ООТ "Хлебокомбинат ";</t>
  </si>
  <si>
    <t>г.о. Тольятти, ул. Дзержинского - ул. Ворошилова;</t>
  </si>
  <si>
    <t>г.о. Тольятти, ул.Дзержинского ООТ "Московский проспект";</t>
  </si>
  <si>
    <t xml:space="preserve">г.о. Тольятти, ул. Жилина, д 11, 16; </t>
  </si>
  <si>
    <t>г.о. Тольятти, бульвар Здоровья, ул. 40 лет Победы, д. 57 "б";</t>
  </si>
  <si>
    <t>г.о.Тольятти,  ул. Зеленая, д.11 Детский сад "Тюльпан";</t>
  </si>
  <si>
    <t>г.о.Тольятти,  ул.Коммунистическая - ул. Ярославская;</t>
  </si>
  <si>
    <t>г.о. Тольятти, ул. Коммунистическая ООТ "Речной вокзал";</t>
  </si>
  <si>
    <t>г.о. Тольятти, ул. Комсомольская, д.78 стр.1;</t>
  </si>
  <si>
    <t>г.о. Тольятти, ул. Комсомольская в районе перекрестка с ул. Новопромышленной;</t>
  </si>
  <si>
    <t>г.о. Тольятти, ул. Комсомольская, д 167 А ООТ "Информцентр";</t>
  </si>
  <si>
    <t>г.о. Тольятти, ул. Комсомольская, д 165 ООТ "Политехнический колледж";</t>
  </si>
  <si>
    <t>г.о. Тольятти, Кулибина,  д.2;</t>
  </si>
  <si>
    <t>г.о. Тольятти, Курчатова,  д.15;</t>
  </si>
  <si>
    <t>г.о. Тольятти, Ленина,  д.108;</t>
  </si>
  <si>
    <t>г.о. Тольятти, ул.Ленина  ООТ "Детский мир";</t>
  </si>
  <si>
    <t>г.о. Тольятти, ул. М.Горького- ул.Октябрьская;</t>
  </si>
  <si>
    <t>г.о.Тольятти,  ул. М.Горького - ул. Победы;</t>
  </si>
  <si>
    <t>г.о. Тольятти, ул.Маршала Жукова ООТ "Дубравушка";</t>
  </si>
  <si>
    <t>г.о. Тольятти, ул. Матросова, д. 37;</t>
  </si>
  <si>
    <t>г.о. Тольятти, ул.Мира - ул. Советская;</t>
  </si>
  <si>
    <t>г.о. Тольятти, ул. Мира - ул. Ушакова;</t>
  </si>
  <si>
    <t>г.о.Тольятти,  ул. Новозаводская-ул. М.Горького;</t>
  </si>
  <si>
    <t>г.о.Тольятти, ул. Офицерская, д.18;</t>
  </si>
  <si>
    <t>г.о.Тольятти,  ул. Победы - бульвар 50 лет Октября;</t>
  </si>
  <si>
    <t>г.о.Тольятти,  ул. Победы, д.30 ООТ "Индустриально-педагогический колледж";</t>
  </si>
  <si>
    <t>г.о. Тольятти, Поволжское шоссе с/о № 22  ООТ "Дачи";</t>
  </si>
  <si>
    <t>г.о. Тольятти, Поволжское шоссе с/о 54   ООТ "Озерки";</t>
  </si>
  <si>
    <t>г.о. Тольятти, Поволжское шоссе   ООТ "АвтоВАЗагрегат";</t>
  </si>
  <si>
    <t>г.о. Тольятти, Поволжское шоссе с/о 218 ООТ "Сосновый бор";</t>
  </si>
  <si>
    <t>г.о. Тольятти, Поволжское шоссе с/о 274  ООТ "ТП-20";</t>
  </si>
  <si>
    <t>г.о.Тольятти, ул.Полякова, д.30 ООТ "Ул.Полякова";</t>
  </si>
  <si>
    <t xml:space="preserve">г.о.Тольятти, Приморский бульвар, д.10;  </t>
  </si>
  <si>
    <t>г.о.Тольятти,  Приморский бульвар ООТ "Стадион "Торпедо";</t>
  </si>
  <si>
    <t>г.о.Тольятти, проспект Ст.Разина пересечение с Приморским бульваром д. 8"А";</t>
  </si>
  <si>
    <t>г.о.Тольятти, проспект Ст.Разина, д.41;</t>
  </si>
  <si>
    <t>г.о.Тольятти, ул.Толстого, д.28 Школа № 91;</t>
  </si>
  <si>
    <t>г.о.Тольятти, ул.Тополиная - ул. 70 лет Октября;</t>
  </si>
  <si>
    <t>г.о.Тольятти, ул.Тополиная ООТ "Школьная";</t>
  </si>
  <si>
    <t>г.о. Тольятти, ул.Фрунзе ООТ "11 квартал";</t>
  </si>
  <si>
    <t>г.о. Тольятти, ул.Фрунзе ООТ "Административный центр";</t>
  </si>
  <si>
    <t xml:space="preserve">ООТ "ЦРБ" напротив здания по адресу: ш.Автозаводское, 5; </t>
  </si>
  <si>
    <t>ООТ "14 квартал" Автозаводский район, ул. 40 лет Победы;</t>
  </si>
  <si>
    <t>ООТ " Учебный центр", Автозаводский район, ул. Воскресенская;</t>
  </si>
  <si>
    <t xml:space="preserve">ООТ "Управление кадров ВАЗа" Автозаводский район, Южное шоссе; </t>
  </si>
  <si>
    <t>ООТ " Телецентр" Автозаводский район, проспект Степана Разина;</t>
  </si>
  <si>
    <t>ООТ "Грузовое автохозяйство"  Центральный район ул. Новозаводская;</t>
  </si>
  <si>
    <t xml:space="preserve">ООТ "ул. Железнодорожная"  Комсомольский район, проезд Дорофеева; </t>
  </si>
  <si>
    <t xml:space="preserve">Молодежный бульвар в районе домов 25,31,35 (3 шт.); </t>
  </si>
  <si>
    <t xml:space="preserve">внутриквартальный проезд дублера ул. 40лет Победы (14 квартал) (3 шт.); </t>
  </si>
  <si>
    <t xml:space="preserve">внутриквартальный проезд по ул.Ворошилова в районе дома 5 (1 шт.); </t>
  </si>
  <si>
    <t xml:space="preserve">внутриквартальный проезд в районе дома 7А по ул. Л.Яшина (школа № 93)(1 шт.); </t>
  </si>
  <si>
    <t xml:space="preserve">ул. Матросова д.37, д.60 (4 шт.); </t>
  </si>
  <si>
    <t xml:space="preserve">ул. Мурысева д.89А, школа № 18 (1 шт.); </t>
  </si>
  <si>
    <t xml:space="preserve">ул. Ленина, д. 108, МБУ №13, ООТ "Гагарина" (1 шт.); </t>
  </si>
  <si>
    <t xml:space="preserve"> б-р Космонавтов, д.17, школа № 79 (2 шт.); </t>
  </si>
  <si>
    <t>ул. Шлютова, д.130,  д/с "Соловушка" (2 шт.);</t>
  </si>
  <si>
    <t xml:space="preserve">б-р Кулибина, д.2 (2 шт.); </t>
  </si>
  <si>
    <t xml:space="preserve">б-р Луначарского, (ул. Ворошилова, д.4) (1 шт.); </t>
  </si>
  <si>
    <t xml:space="preserve">б-р Здоровья от ул. Свердлова до Ленинского проспекта (9 шт.); </t>
  </si>
  <si>
    <t xml:space="preserve">внутриквартальный проезд вдоль ул. Железнодорожная от пр. Дорофеева до ул. Шлюзовая (8 шт.); </t>
  </si>
  <si>
    <t>бульвар Королева в районе д.6  (2 шт.);</t>
  </si>
  <si>
    <t xml:space="preserve">внутриквартальный проезд 8 квартал в районе д.77 по ул. Юбилейная и д.78 по проспекту Ст. Разина (7 шт.); </t>
  </si>
  <si>
    <t>внутриквартальный проезд по ул. Л. Чайкиной, 66, ул. Ярославская, д. 19. (2 шт.);</t>
  </si>
  <si>
    <t xml:space="preserve">ул.Украинская перед пересечением с ул. Шлютова (2 шт.); </t>
  </si>
  <si>
    <t xml:space="preserve">ул. Комсомольская в районе д.107 (ООТ «Центральный рынок») (1 шт.); </t>
  </si>
  <si>
    <t>на ул. Зеленая д.11, д/с "Тюльпан" (1 шт.);</t>
  </si>
  <si>
    <t>на ул. 60 лет СССР в районе дома №3 (1 шт.);</t>
  </si>
  <si>
    <t>на ул. Офицерская в районе дома №24 (3 шт.);</t>
  </si>
  <si>
    <t>на ул. Макарова в районе д. 14 (1 шт.);</t>
  </si>
  <si>
    <t>на ул. Крупской в районе д. 112,114 (1 шт.);</t>
  </si>
  <si>
    <t>на ул. В. Высоцкого в районе д.9,11 (2 шт.);</t>
  </si>
  <si>
    <t>на ул. Карбышева в районе д.14 (1 шт.);</t>
  </si>
  <si>
    <t>на ул. Баныкина в районе ООТ «бульвар Ленина» (2 шт.);</t>
  </si>
  <si>
    <t>на внутриквартальном проезде в районе д.31 по ул. 70 лет Октября (1 шт.);</t>
  </si>
  <si>
    <t>на Итальянском бульваре в районе д.6 (1 шт.);</t>
  </si>
  <si>
    <t>на Ученическом переулке в районе д.25, 8 (2 шт.);</t>
  </si>
  <si>
    <t>на ул. Казачкова в районе д.12, 35 (2 шт.);</t>
  </si>
  <si>
    <t>на ул. Грачева в районе д.43, 39 (2 шт.);</t>
  </si>
  <si>
    <t>Количество отремонтированных площадок остановок общественного транспорта</t>
  </si>
  <si>
    <t xml:space="preserve">2024-2025 </t>
  </si>
  <si>
    <t>по Хрящевскому шоссе от Южного шоссе до Обводного шоссе</t>
  </si>
  <si>
    <t xml:space="preserve"> ул. Александра Кудашева; </t>
  </si>
  <si>
    <t>цодд 21 585</t>
  </si>
  <si>
    <t xml:space="preserve">ДДХиТ                                       431 - ЛИКВИД МЕСТА РАЗВОРОТА СПОРТИВНАЯ;                                                   9 373 ОСТРОВКИ;                                                  942 ЗНАКИ К ОСТРОВКАМ                                    </t>
  </si>
  <si>
    <t xml:space="preserve">Замена ООТ «Универсам», ул. Революционная четная сторона; </t>
  </si>
  <si>
    <t>Перенос места для разворота на ул. Борковская в районе д.101 (перед перекрестком с ул. Дзержинского);</t>
  </si>
  <si>
    <t>Устройство разделительной полосы (островок безопасности) перекресток Московский проспект - ул. Фрунзе;</t>
  </si>
  <si>
    <t>Ликвидация места для разворота (обустройство островка) на ул. Комсомольская в районе д. 167 А ООТ "Информцентр";</t>
  </si>
  <si>
    <t>Обустройство разделительных "островков безопасности" по улице Вокзальной;</t>
  </si>
  <si>
    <t>Обустройство разделительных "островков безопасности" по Южному шоссе, при движении с обеих сторон перекрестка (Южное шоссе – ул. Полякова);</t>
  </si>
  <si>
    <t>Обустройство разделительных "островков безопасности" по Южному шоссе, при движении с обеих сторон перекрестка (Южное шоссе – ул. Ботаническая);</t>
  </si>
  <si>
    <t>Обустройство разделительного "островка безопасности" при выезде на перекресток со стороны здания № 10А по улице Новозаводской;</t>
  </si>
  <si>
    <t>Сокращение ширины выезда и въезда на улицу Ботаническую с улицы Офицерской до 8 метров;</t>
  </si>
  <si>
    <t>Ликвидация уширения проезжей части на ул. Победы перед перекрестком с ул. Радищева;</t>
  </si>
  <si>
    <t>Обустройство остановочной площадки на б-ре 50 лет Октября в районе д.42, ООТ "Октябрьская";</t>
  </si>
  <si>
    <t>Продление разделительной полосы по ул. Комсомольская  на 7м со стороны ул. Новозаводской;</t>
  </si>
  <si>
    <t>Перенос места для разворота в сторону улицы М.Горького на ул. Новопромышленная в районе д.13;</t>
  </si>
  <si>
    <t>Канализирование движения путем продления разделительной полосы по ул. Баныкина со стороны перекрестка с ул. Белорусской в сторону перекрестка с ул. Родины;</t>
  </si>
  <si>
    <t>Восстановление бортового камня в районе дома №53 по ул. Ленина;</t>
  </si>
  <si>
    <t>Замена ООТ «Автовокзал», ул. Родины нечетная сторона;</t>
  </si>
  <si>
    <t>Продление разделительной полосы по улице Борковской, в районе дома №90 на 30м в сторону ул. Дзержинского;</t>
  </si>
  <si>
    <t>Пешеходная дорожка от дома 61А по ул. 40 лет Победы до детской поликлиники на территории горбольницы № 5 в 14Б квартале;</t>
  </si>
  <si>
    <t>Пешеходная дорожка между остановками общественного транспорта четная и нечетная сторона по ул. Спортивная</t>
  </si>
  <si>
    <t>на подходах к пешеходному переходу на ул. Комсомольская в районе д. 167 А ООТ "Информцентр"</t>
  </si>
  <si>
    <t>Пешеходная дорожка в районе войсковой части 6622;</t>
  </si>
  <si>
    <t>Пешеходная дорожка по ул. Революционная;</t>
  </si>
  <si>
    <t>ООТ " 14 школа" Комсомольский район, ул. Куйбышева</t>
  </si>
  <si>
    <t>ООТ " ТП-20", Комсомольский район, Поволжское шоссе;</t>
  </si>
  <si>
    <t>Замена ООТ«Профилакторий Звездный», Лесопарковое шоссе нечетная сторона;</t>
  </si>
  <si>
    <t>Замена ООТ «Лесопарковое шоссе», ул.Спортивная четная сторона;</t>
  </si>
  <si>
    <t>Замена ООТ «Набережная», ул.Спортивная четная сторона;</t>
  </si>
  <si>
    <t>Замена ООТ «Лесопарковое шоссе», ул.Спортивная нечетная сторона;</t>
  </si>
  <si>
    <t>Замена ООТ «Спортивная», ул.Спортивная четная сторона;</t>
  </si>
  <si>
    <t>Замена ООТ «Спортивная», ул.Спортивная нечетная сторона;</t>
  </si>
  <si>
    <t>Замена ООТ «20 квартал», Южное шоссе нечетная сторона;</t>
  </si>
  <si>
    <t>Обустройство места для разворота на ул. Ботаническая в районе примыкания ул. Офицерской;</t>
  </si>
  <si>
    <t xml:space="preserve"> на пересечении Московского пр-та и ул. Дзержинского (установка РМП)</t>
  </si>
  <si>
    <t>Проведение акции "Безопасность на дорогах начинается с семьи"</t>
  </si>
  <si>
    <t>г.о.Тольятти, ул. Автостроителей, д.61 ООТ "Ул. 40 лет Победы";</t>
  </si>
  <si>
    <r>
      <t xml:space="preserve">Диагностика надземных пешеходных переходов (мостов, путепроводов):                                                                                      </t>
    </r>
    <r>
      <rPr>
        <u/>
        <sz val="12"/>
        <rFont val="Times New Roman"/>
        <family val="1"/>
        <charset val="204"/>
      </rPr>
      <t>2021 год</t>
    </r>
    <r>
      <rPr>
        <sz val="12"/>
        <rFont val="Times New Roman"/>
        <family val="1"/>
        <charset val="204"/>
      </rPr>
      <t xml:space="preserve">:                                                                                                     -путепровод через а/д на пересечении ул. Громовой – Поволжское шоссе г.о. Тольятти;                                                                         - путепровод через а/д на пересечении ул. Революционная – Ленинский проспект г.о. Тольятти;                      </t>
    </r>
    <r>
      <rPr>
        <u/>
        <sz val="12"/>
        <rFont val="Times New Roman"/>
        <family val="1"/>
        <charset val="204"/>
      </rPr>
      <t>2024 год</t>
    </r>
    <r>
      <rPr>
        <sz val="12"/>
        <rFont val="Times New Roman"/>
        <family val="1"/>
        <charset val="204"/>
      </rPr>
      <t>:                                                                              -путепровод «Автозаводское шоссе ООО «Детская многопрофильная больница»</t>
    </r>
  </si>
  <si>
    <r>
      <t xml:space="preserve">Диагностика подземных пешеходных переходов:                                                </t>
    </r>
    <r>
      <rPr>
        <u/>
        <sz val="12"/>
        <rFont val="Times New Roman"/>
        <family val="1"/>
        <charset val="204"/>
      </rPr>
      <t xml:space="preserve"> 2023 год</t>
    </r>
    <r>
      <rPr>
        <sz val="12"/>
        <rFont val="Times New Roman"/>
        <family val="1"/>
        <charset val="204"/>
      </rPr>
      <t xml:space="preserve">:                                       - автодороги Восточная завода-часть улицы Борковской между улицей Северной и шоссе Южным;                                                                </t>
    </r>
    <r>
      <rPr>
        <u/>
        <sz val="12"/>
        <rFont val="Times New Roman"/>
        <family val="1"/>
        <charset val="204"/>
      </rPr>
      <t>2024 год</t>
    </r>
    <r>
      <rPr>
        <sz val="12"/>
        <rFont val="Times New Roman"/>
        <family val="1"/>
        <charset val="204"/>
      </rPr>
      <t xml:space="preserve">:                                                       - северо-восточнее жилого дома, имеющего адрес проспект Ленинский, 27;                                          - по ул. Свердлова в районе ТД «Восход», имеющего адрес ул. Революционная, 20;                                                                    - северо-восточнее здания, имеющего адрес: ул. Новозаводская, д.11;               - северо-восточнее здания, имеющего адрес: ул. Новозаводская, д.7
</t>
    </r>
  </si>
  <si>
    <r>
      <t xml:space="preserve">Диагностика надземных пешеходных переходов (мостов,путепроводов):                                                                      </t>
    </r>
    <r>
      <rPr>
        <u/>
        <sz val="10"/>
        <rFont val="Times New Roman"/>
        <family val="1"/>
        <charset val="204"/>
      </rPr>
      <t xml:space="preserve"> 2021 год</t>
    </r>
    <r>
      <rPr>
        <sz val="10"/>
        <rFont val="Times New Roman"/>
        <family val="1"/>
        <charset val="204"/>
      </rPr>
      <t xml:space="preserve">:                                                              -путепровод через а/д на пересечении ул. Громовой – Поволжское шоссе г.о. Тольятти;                                                            -путепровод через а/д на пересечении ул. Революционная – Ленинский проспект г.о. Тольятти;                                                                       </t>
    </r>
    <r>
      <rPr>
        <u/>
        <sz val="10"/>
        <rFont val="Times New Roman"/>
        <family val="1"/>
        <charset val="204"/>
      </rPr>
      <t>2024 год</t>
    </r>
    <r>
      <rPr>
        <sz val="10"/>
        <rFont val="Times New Roman"/>
        <family val="1"/>
        <charset val="204"/>
      </rPr>
      <t xml:space="preserve">:                                                          -путепровод «Автозаводское шоссе ООО «Детская многопрофильная больница»
</t>
    </r>
  </si>
  <si>
    <r>
      <t xml:space="preserve">Диагностика подземных пешеходных переходов:                                                  </t>
    </r>
    <r>
      <rPr>
        <u/>
        <sz val="10"/>
        <rFont val="Times New Roman"/>
        <family val="1"/>
        <charset val="204"/>
      </rPr>
      <t>2023 год</t>
    </r>
    <r>
      <rPr>
        <sz val="10"/>
        <rFont val="Times New Roman"/>
        <family val="1"/>
        <charset val="204"/>
      </rPr>
      <t xml:space="preserve">:                                                                  -автодороги Восточная завода-часть улицы Борковской между улицей Северной и шоссе Южным;                                                              </t>
    </r>
    <r>
      <rPr>
        <u/>
        <sz val="10"/>
        <rFont val="Times New Roman"/>
        <family val="1"/>
        <charset val="204"/>
      </rPr>
      <t>2024 год</t>
    </r>
    <r>
      <rPr>
        <sz val="10"/>
        <rFont val="Times New Roman"/>
        <family val="1"/>
        <charset val="204"/>
      </rPr>
      <t xml:space="preserve">:                                                             -северо-восточнее жилого дома, имеющего адрес проспект Ленинский, 27;                                                                    -по ул. Свердлова в районе ТД «Восход», имеющего адрес ул. Революционная, 20;                                                                 -северо-восточнее здания, имеющего адрес: ул. Новозаводская, д.11;                                                        -северо-восточнее здания, имеющего адрес: ул. Новозаводская, д.7
</t>
    </r>
  </si>
  <si>
    <t>2.1.5.164</t>
  </si>
  <si>
    <t>Приложение № 4                                                                                                                                                                       к  постановлению администрации                                                                                                                                            городского  округа Тольятти                                                                                                           от______________ № __________</t>
  </si>
  <si>
    <t xml:space="preserve">ул.Громовой  (дублер)от С/о 139-141 до Поволжского шоссе </t>
  </si>
  <si>
    <t xml:space="preserve">Ремонт площадок остановок общественного транспорта по ул. Спортивной и Южному шоссе </t>
  </si>
  <si>
    <t>Красным - это убрать вслед внес изменений</t>
  </si>
  <si>
    <t>Красным - это убрать финансирование вслед внес изменений</t>
  </si>
  <si>
    <t xml:space="preserve">314,705 / 184,144 </t>
  </si>
  <si>
    <t>устройство парковки по ул. Мира до ул. Голосова со стороны Прокуратуры</t>
  </si>
  <si>
    <t>ул. Островского;</t>
  </si>
  <si>
    <t>вдоль Московского проспекта от дома № 57 до дома № 45 (нечетная сторона)</t>
  </si>
  <si>
    <t>2022-2023</t>
  </si>
  <si>
    <t>2021-2023</t>
  </si>
  <si>
    <t>2.1.3.29</t>
  </si>
  <si>
    <t>Осуществление технологического присоединения к централизованной системе водоотведения на объекте: Реконструкция магистральной улицы городского значения регулируемого движения по ул.Спортивной на участке от ул.Степана Разина до ул. Юбилейная (строительство бокового проезда) в 8 квартале Автозаводского района г.Тольятти</t>
  </si>
  <si>
    <t>Приложение № 2                                                                                              к  постановлению администрации городского округа Тольятти от_______________№ _________</t>
  </si>
  <si>
    <t>в районе домов №65, 67, 69 по ул.Краснодонцев, ул.Космодемьянской (5 шт.);</t>
  </si>
  <si>
    <t xml:space="preserve">ул. Максима Горького-ул. Октябрьская, школа № 4 (1 шт.); </t>
  </si>
  <si>
    <t>между зданиями №11 и №15Б по ул. 70 лет Октября</t>
  </si>
  <si>
    <t>пешеходного перехода через разделительную полосу автомобильной дороги по ул.Спортивная, в районе пересечения с пр-т.Степана Разина, со стороны 8 квартала Автозаводского р-на;</t>
  </si>
  <si>
    <t>ул. Борковская, 51 (ООТ "Спецавтоцентр");</t>
  </si>
  <si>
    <t xml:space="preserve">314,421 / 184,204 </t>
  </si>
  <si>
    <t>ЖДЕМ + 1 = 40</t>
  </si>
  <si>
    <t>Замена ООТ «КВД/Парк Хаус», Автозавоское шоссе четная сторона;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</si>
</sst>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_₽_-;\-* #,##0.00\ _₽_-;_-* &quot;-&quot;??\ _₽_-;_-@_-"/>
    <numFmt numFmtId="165" formatCode="0.0"/>
    <numFmt numFmtId="166" formatCode="#,##0.0"/>
    <numFmt numFmtId="167" formatCode="#,##0.0_р_."/>
    <numFmt numFmtId="168" formatCode="#,##0_р_."/>
    <numFmt numFmtId="169" formatCode="#,##0.00_р_."/>
    <numFmt numFmtId="170" formatCode="#,##0.000_р_."/>
    <numFmt numFmtId="171" formatCode="#,##0_ ;\-#,##0\ "/>
    <numFmt numFmtId="172" formatCode="0.000"/>
    <numFmt numFmtId="173" formatCode="_-* #,##0\ _₽_-;\-* #,##0\ _₽_-;_-* &quot;-&quot;??\ _₽_-;_-@_-"/>
    <numFmt numFmtId="174" formatCode="#,##0.000"/>
  </numFmts>
  <fonts count="6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name val="Arial Cyr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  <charset val="204"/>
    </font>
    <font>
      <sz val="11"/>
      <name val="Times New Roman"/>
      <family val="1"/>
      <charset val="204"/>
    </font>
    <font>
      <b/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name val="Arial Cyr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Cyr"/>
      <charset val="204"/>
    </font>
    <font>
      <b/>
      <i/>
      <sz val="9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name val="Arial Cyr"/>
      <charset val="204"/>
    </font>
    <font>
      <i/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name val="Arial Cyr"/>
      <charset val="204"/>
    </font>
    <font>
      <i/>
      <sz val="10"/>
      <name val="Arial Cyr"/>
      <charset val="204"/>
    </font>
    <font>
      <b/>
      <sz val="12"/>
      <name val="Arial"/>
      <family val="2"/>
      <charset val="204"/>
    </font>
    <font>
      <sz val="18"/>
      <name val="Times New Roman"/>
      <family val="1"/>
      <charset val="204"/>
    </font>
    <font>
      <sz val="18"/>
      <name val="Arial Cyr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FF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0">
    <xf numFmtId="0" fontId="0" fillId="0" borderId="0"/>
    <xf numFmtId="0" fontId="19" fillId="0" borderId="0"/>
    <xf numFmtId="0" fontId="19" fillId="0" borderId="0"/>
    <xf numFmtId="0" fontId="6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6">
    <xf numFmtId="0" fontId="0" fillId="0" borderId="0" xfId="0"/>
    <xf numFmtId="0" fontId="52" fillId="2" borderId="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6" xfId="0" applyFill="1" applyBorder="1"/>
    <xf numFmtId="0" fontId="20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8" fillId="2" borderId="1" xfId="0" applyFont="1" applyFill="1" applyBorder="1" applyAlignment="1">
      <alignment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2" fontId="46" fillId="2" borderId="1" xfId="0" applyNumberFormat="1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6" fillId="2" borderId="0" xfId="0" applyFont="1" applyFill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horizontal="center" vertical="center" wrapText="1"/>
    </xf>
    <xf numFmtId="168" fontId="8" fillId="2" borderId="4" xfId="0" applyNumberFormat="1" applyFont="1" applyFill="1" applyBorder="1" applyAlignment="1">
      <alignment horizontal="center" vertical="top" wrapText="1"/>
    </xf>
    <xf numFmtId="168" fontId="46" fillId="2" borderId="4" xfId="0" applyNumberFormat="1" applyFont="1" applyFill="1" applyBorder="1" applyAlignment="1">
      <alignment horizontal="center" vertical="top" wrapText="1"/>
    </xf>
    <xf numFmtId="169" fontId="8" fillId="2" borderId="1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top" wrapText="1"/>
    </xf>
    <xf numFmtId="0" fontId="13" fillId="2" borderId="7" xfId="0" applyFont="1" applyFill="1" applyBorder="1" applyAlignment="1">
      <alignment horizontal="center" vertical="top" wrapText="1"/>
    </xf>
    <xf numFmtId="168" fontId="8" fillId="2" borderId="1" xfId="0" applyNumberFormat="1" applyFont="1" applyFill="1" applyBorder="1" applyAlignment="1">
      <alignment horizontal="center" vertical="top" wrapText="1"/>
    </xf>
    <xf numFmtId="168" fontId="8" fillId="2" borderId="16" xfId="0" applyNumberFormat="1" applyFont="1" applyFill="1" applyBorder="1" applyAlignment="1">
      <alignment horizontal="center" vertical="top" wrapText="1"/>
    </xf>
    <xf numFmtId="168" fontId="8" fillId="2" borderId="13" xfId="0" applyNumberFormat="1" applyFont="1" applyFill="1" applyBorder="1" applyAlignment="1">
      <alignment horizontal="center" vertical="top" wrapText="1"/>
    </xf>
    <xf numFmtId="169" fontId="8" fillId="2" borderId="13" xfId="0" applyNumberFormat="1" applyFont="1" applyFill="1" applyBorder="1" applyAlignment="1">
      <alignment horizontal="center" vertical="top" wrapText="1"/>
    </xf>
    <xf numFmtId="169" fontId="8" fillId="2" borderId="14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168" fontId="46" fillId="2" borderId="1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169" fontId="8" fillId="2" borderId="1" xfId="0" applyNumberFormat="1" applyFont="1" applyFill="1" applyBorder="1" applyAlignment="1">
      <alignment horizontal="center" vertical="center" wrapText="1"/>
    </xf>
    <xf numFmtId="168" fontId="8" fillId="2" borderId="1" xfId="0" applyNumberFormat="1" applyFont="1" applyFill="1" applyBorder="1" applyAlignment="1">
      <alignment horizontal="center" vertical="center" wrapText="1"/>
    </xf>
    <xf numFmtId="168" fontId="46" fillId="2" borderId="1" xfId="0" applyNumberFormat="1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left" vertical="top" wrapText="1"/>
    </xf>
    <xf numFmtId="170" fontId="8" fillId="2" borderId="1" xfId="0" applyNumberFormat="1" applyFont="1" applyFill="1" applyBorder="1" applyAlignment="1">
      <alignment horizontal="center" vertical="top" wrapText="1"/>
    </xf>
    <xf numFmtId="169" fontId="8" fillId="2" borderId="1" xfId="0" applyNumberFormat="1" applyFont="1" applyFill="1" applyBorder="1" applyAlignment="1">
      <alignment horizontal="center" vertical="top" wrapText="1"/>
    </xf>
    <xf numFmtId="169" fontId="46" fillId="2" borderId="1" xfId="0" applyNumberFormat="1" applyFont="1" applyFill="1" applyBorder="1" applyAlignment="1">
      <alignment horizontal="center" vertical="top" wrapText="1"/>
    </xf>
    <xf numFmtId="169" fontId="8" fillId="2" borderId="1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167" fontId="8" fillId="2" borderId="1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172" fontId="8" fillId="2" borderId="1" xfId="0" applyNumberFormat="1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46" fillId="2" borderId="1" xfId="0" applyFont="1" applyFill="1" applyBorder="1" applyAlignment="1">
      <alignment horizontal="center" vertical="top" wrapText="1"/>
    </xf>
    <xf numFmtId="0" fontId="36" fillId="2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 wrapText="1"/>
    </xf>
    <xf numFmtId="2" fontId="46" fillId="2" borderId="1" xfId="0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167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left" vertical="center" wrapText="1"/>
    </xf>
    <xf numFmtId="169" fontId="8" fillId="3" borderId="1" xfId="0" applyNumberFormat="1" applyFont="1" applyFill="1" applyBorder="1" applyAlignment="1">
      <alignment horizontal="center" vertical="center" wrapText="1"/>
    </xf>
    <xf numFmtId="168" fontId="8" fillId="3" borderId="1" xfId="0" applyNumberFormat="1" applyFont="1" applyFill="1" applyBorder="1" applyAlignment="1">
      <alignment horizontal="center" vertical="top" wrapText="1"/>
    </xf>
    <xf numFmtId="168" fontId="8" fillId="3" borderId="4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3" fontId="29" fillId="0" borderId="1" xfId="0" applyNumberFormat="1" applyFont="1" applyFill="1" applyBorder="1" applyAlignment="1">
      <alignment horizontal="center" vertical="center"/>
    </xf>
    <xf numFmtId="172" fontId="8" fillId="0" borderId="1" xfId="1" applyNumberFormat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left" vertical="center" wrapText="1"/>
    </xf>
    <xf numFmtId="168" fontId="8" fillId="0" borderId="4" xfId="0" applyNumberFormat="1" applyFont="1" applyFill="1" applyBorder="1" applyAlignment="1">
      <alignment horizontal="center" vertical="top" wrapText="1"/>
    </xf>
    <xf numFmtId="168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9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5" fillId="0" borderId="0" xfId="0" applyFont="1" applyFill="1" applyAlignment="1">
      <alignment horizontal="center"/>
    </xf>
    <xf numFmtId="0" fontId="7" fillId="0" borderId="0" xfId="0" applyFont="1" applyFill="1"/>
    <xf numFmtId="0" fontId="26" fillId="0" borderId="0" xfId="0" applyFont="1" applyFill="1" applyAlignment="1">
      <alignment wrapText="1"/>
    </xf>
    <xf numFmtId="0" fontId="26" fillId="0" borderId="0" xfId="0" applyFont="1" applyFill="1" applyAlignment="1">
      <alignment horizontal="center" vertical="center"/>
    </xf>
    <xf numFmtId="0" fontId="16" fillId="0" borderId="0" xfId="0" applyFont="1" applyFill="1"/>
    <xf numFmtId="0" fontId="25" fillId="0" borderId="0" xfId="0" applyFont="1" applyFill="1"/>
    <xf numFmtId="0" fontId="25" fillId="0" borderId="0" xfId="0" applyFont="1" applyFill="1" applyAlignment="1">
      <alignment horizontal="center" vertical="top" wrapText="1"/>
    </xf>
    <xf numFmtId="0" fontId="0" fillId="0" borderId="0" xfId="0" applyFill="1" applyAlignment="1">
      <alignment wrapText="1"/>
    </xf>
    <xf numFmtId="165" fontId="0" fillId="0" borderId="0" xfId="0" applyNumberFormat="1" applyFill="1" applyAlignment="1">
      <alignment horizontal="center" vertical="center" wrapText="1"/>
    </xf>
    <xf numFmtId="0" fontId="26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44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horizontal="left" vertical="center" wrapText="1"/>
    </xf>
    <xf numFmtId="168" fontId="8" fillId="0" borderId="1" xfId="0" applyNumberFormat="1" applyFont="1" applyFill="1" applyBorder="1" applyAlignment="1">
      <alignment horizontal="center" vertical="top"/>
    </xf>
    <xf numFmtId="168" fontId="8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/>
    <xf numFmtId="0" fontId="45" fillId="0" borderId="8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left" vertical="center" wrapText="1"/>
    </xf>
    <xf numFmtId="0" fontId="45" fillId="0" borderId="0" xfId="0" applyFont="1" applyFill="1" applyAlignment="1">
      <alignment horizontal="left" vertical="center" wrapText="1"/>
    </xf>
    <xf numFmtId="168" fontId="8" fillId="0" borderId="5" xfId="0" applyNumberFormat="1" applyFont="1" applyFill="1" applyBorder="1" applyAlignment="1">
      <alignment horizontal="center" vertical="top"/>
    </xf>
    <xf numFmtId="168" fontId="8" fillId="0" borderId="5" xfId="0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168" fontId="9" fillId="0" borderId="8" xfId="0" applyNumberFormat="1" applyFont="1" applyFill="1" applyBorder="1" applyAlignment="1">
      <alignment horizontal="center" vertical="top"/>
    </xf>
    <xf numFmtId="168" fontId="8" fillId="0" borderId="8" xfId="0" applyNumberFormat="1" applyFont="1" applyFill="1" applyBorder="1" applyAlignment="1">
      <alignment horizontal="center" vertical="top"/>
    </xf>
    <xf numFmtId="0" fontId="26" fillId="0" borderId="6" xfId="0" applyFont="1" applyFill="1" applyBorder="1" applyAlignment="1">
      <alignment horizontal="left" vertical="center" wrapText="1"/>
    </xf>
    <xf numFmtId="168" fontId="9" fillId="0" borderId="4" xfId="0" applyNumberFormat="1" applyFont="1" applyFill="1" applyBorder="1" applyAlignment="1">
      <alignment horizontal="center" vertical="top"/>
    </xf>
    <xf numFmtId="168" fontId="8" fillId="0" borderId="4" xfId="0" applyNumberFormat="1" applyFont="1" applyFill="1" applyBorder="1" applyAlignment="1">
      <alignment horizontal="center" vertical="top"/>
    </xf>
    <xf numFmtId="168" fontId="8" fillId="0" borderId="15" xfId="0" applyNumberFormat="1" applyFont="1" applyFill="1" applyBorder="1" applyAlignment="1">
      <alignment horizontal="center" vertical="center"/>
    </xf>
    <xf numFmtId="168" fontId="8" fillId="0" borderId="4" xfId="0" applyNumberFormat="1" applyFont="1" applyFill="1" applyBorder="1" applyAlignment="1">
      <alignment horizontal="center" vertical="center"/>
    </xf>
    <xf numFmtId="168" fontId="8" fillId="0" borderId="2" xfId="0" applyNumberFormat="1" applyFont="1" applyFill="1" applyBorder="1" applyAlignment="1">
      <alignment horizontal="center" vertical="center"/>
    </xf>
    <xf numFmtId="0" fontId="26" fillId="0" borderId="0" xfId="0" applyFont="1" applyFill="1"/>
    <xf numFmtId="0" fontId="17" fillId="0" borderId="8" xfId="0" applyFont="1" applyFill="1" applyBorder="1" applyAlignment="1">
      <alignment horizontal="center" vertical="center" wrapText="1"/>
    </xf>
    <xf numFmtId="0" fontId="59" fillId="0" borderId="0" xfId="0" applyFont="1" applyFill="1"/>
    <xf numFmtId="168" fontId="9" fillId="0" borderId="8" xfId="0" applyNumberFormat="1" applyFont="1" applyFill="1" applyBorder="1" applyAlignment="1">
      <alignment horizontal="center" vertical="center"/>
    </xf>
    <xf numFmtId="168" fontId="8" fillId="0" borderId="8" xfId="0" applyNumberFormat="1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left" vertical="center" wrapText="1"/>
    </xf>
    <xf numFmtId="0" fontId="45" fillId="0" borderId="9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left" vertical="center"/>
    </xf>
    <xf numFmtId="0" fontId="59" fillId="0" borderId="0" xfId="0" applyFont="1" applyFill="1" applyBorder="1"/>
    <xf numFmtId="0" fontId="17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168" fontId="9" fillId="0" borderId="1" xfId="0" applyNumberFormat="1" applyFont="1" applyFill="1" applyBorder="1" applyAlignment="1">
      <alignment horizontal="center" vertical="center"/>
    </xf>
    <xf numFmtId="167" fontId="9" fillId="0" borderId="5" xfId="0" applyNumberFormat="1" applyFont="1" applyFill="1" applyBorder="1" applyAlignment="1">
      <alignment vertical="top"/>
    </xf>
    <xf numFmtId="167" fontId="9" fillId="0" borderId="5" xfId="0" applyNumberFormat="1" applyFont="1" applyFill="1" applyBorder="1" applyAlignment="1">
      <alignment vertical="center"/>
    </xf>
    <xf numFmtId="167" fontId="9" fillId="0" borderId="8" xfId="0" applyNumberFormat="1" applyFont="1" applyFill="1" applyBorder="1" applyAlignment="1">
      <alignment vertical="top"/>
    </xf>
    <xf numFmtId="167" fontId="9" fillId="0" borderId="8" xfId="0" applyNumberFormat="1" applyFont="1" applyFill="1" applyBorder="1" applyAlignment="1">
      <alignment vertical="center"/>
    </xf>
    <xf numFmtId="167" fontId="9" fillId="0" borderId="4" xfId="0" applyNumberFormat="1" applyFont="1" applyFill="1" applyBorder="1" applyAlignment="1">
      <alignment vertical="top"/>
    </xf>
    <xf numFmtId="167" fontId="9" fillId="0" borderId="4" xfId="0" applyNumberFormat="1" applyFont="1" applyFill="1" applyBorder="1" applyAlignment="1">
      <alignment vertical="center"/>
    </xf>
    <xf numFmtId="167" fontId="9" fillId="0" borderId="8" xfId="0" applyNumberFormat="1" applyFont="1" applyFill="1" applyBorder="1" applyAlignment="1">
      <alignment horizontal="center" vertical="top"/>
    </xf>
    <xf numFmtId="167" fontId="9" fillId="0" borderId="8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center" wrapText="1"/>
    </xf>
    <xf numFmtId="168" fontId="9" fillId="0" borderId="5" xfId="0" applyNumberFormat="1" applyFont="1" applyFill="1" applyBorder="1" applyAlignment="1">
      <alignment horizontal="center" vertical="center"/>
    </xf>
    <xf numFmtId="167" fontId="9" fillId="0" borderId="5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12" fillId="0" borderId="4" xfId="0" applyFont="1" applyFill="1" applyBorder="1" applyAlignment="1">
      <alignment horizontal="center" vertical="center"/>
    </xf>
    <xf numFmtId="168" fontId="9" fillId="0" borderId="1" xfId="0" applyNumberFormat="1" applyFont="1" applyFill="1" applyBorder="1" applyAlignment="1">
      <alignment vertical="top"/>
    </xf>
    <xf numFmtId="168" fontId="9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center" wrapText="1"/>
    </xf>
    <xf numFmtId="0" fontId="26" fillId="0" borderId="11" xfId="0" applyFont="1" applyFill="1" applyBorder="1" applyAlignment="1">
      <alignment horizontal="left" vertical="center" wrapText="1"/>
    </xf>
    <xf numFmtId="168" fontId="9" fillId="0" borderId="4" xfId="0" applyNumberFormat="1" applyFont="1" applyFill="1" applyBorder="1" applyAlignment="1">
      <alignment vertical="top"/>
    </xf>
    <xf numFmtId="168" fontId="9" fillId="0" borderId="4" xfId="0" applyNumberFormat="1" applyFont="1" applyFill="1" applyBorder="1" applyAlignment="1">
      <alignment vertical="center"/>
    </xf>
    <xf numFmtId="168" fontId="9" fillId="0" borderId="8" xfId="0" applyNumberFormat="1" applyFont="1" applyFill="1" applyBorder="1" applyAlignment="1">
      <alignment vertical="top"/>
    </xf>
    <xf numFmtId="168" fontId="9" fillId="0" borderId="8" xfId="0" applyNumberFormat="1" applyFont="1" applyFill="1" applyBorder="1" applyAlignment="1">
      <alignment vertical="center"/>
    </xf>
    <xf numFmtId="168" fontId="8" fillId="0" borderId="8" xfId="0" applyNumberFormat="1" applyFont="1" applyFill="1" applyBorder="1" applyAlignment="1">
      <alignment vertical="top"/>
    </xf>
    <xf numFmtId="174" fontId="26" fillId="0" borderId="0" xfId="0" applyNumberFormat="1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justify" vertical="center"/>
    </xf>
    <xf numFmtId="0" fontId="26" fillId="0" borderId="8" xfId="0" applyFont="1" applyFill="1" applyBorder="1" applyAlignment="1">
      <alignment horizontal="left" vertical="center"/>
    </xf>
    <xf numFmtId="0" fontId="26" fillId="0" borderId="4" xfId="0" applyFont="1" applyFill="1" applyBorder="1" applyAlignment="1">
      <alignment horizontal="left" vertical="center"/>
    </xf>
    <xf numFmtId="0" fontId="56" fillId="0" borderId="8" xfId="0" applyFont="1" applyFill="1" applyBorder="1" applyAlignment="1">
      <alignment horizontal="left" vertical="center" wrapText="1"/>
    </xf>
    <xf numFmtId="168" fontId="9" fillId="0" borderId="1" xfId="0" applyNumberFormat="1" applyFont="1" applyFill="1" applyBorder="1" applyAlignment="1">
      <alignment horizontal="center" vertical="top"/>
    </xf>
    <xf numFmtId="0" fontId="26" fillId="0" borderId="17" xfId="0" applyFont="1" applyFill="1" applyBorder="1" applyAlignment="1">
      <alignment horizontal="left" vertical="center" wrapText="1"/>
    </xf>
    <xf numFmtId="168" fontId="9" fillId="0" borderId="5" xfId="0" applyNumberFormat="1" applyFont="1" applyFill="1" applyBorder="1" applyAlignment="1">
      <alignment horizontal="center" vertical="top"/>
    </xf>
    <xf numFmtId="0" fontId="45" fillId="0" borderId="11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wrapText="1"/>
    </xf>
    <xf numFmtId="0" fontId="26" fillId="0" borderId="1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/>
    <xf numFmtId="0" fontId="18" fillId="0" borderId="0" xfId="0" applyFont="1" applyFill="1"/>
    <xf numFmtId="0" fontId="25" fillId="0" borderId="0" xfId="0" applyFont="1" applyFill="1" applyAlignment="1">
      <alignment horizontal="center" wrapText="1"/>
    </xf>
    <xf numFmtId="0" fontId="0" fillId="0" borderId="6" xfId="0" applyFill="1" applyBorder="1"/>
    <xf numFmtId="0" fontId="7" fillId="0" borderId="6" xfId="0" applyFont="1" applyFill="1" applyBorder="1"/>
    <xf numFmtId="0" fontId="20" fillId="0" borderId="0" xfId="0" applyFont="1" applyFill="1" applyAlignment="1">
      <alignment vertical="center" wrapText="1"/>
    </xf>
    <xf numFmtId="2" fontId="20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1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 shrinkToFit="1"/>
    </xf>
    <xf numFmtId="1" fontId="8" fillId="0" borderId="1" xfId="0" applyNumberFormat="1" applyFont="1" applyFill="1" applyBorder="1" applyAlignment="1">
      <alignment horizontal="center" vertical="center" shrinkToFit="1"/>
    </xf>
    <xf numFmtId="4" fontId="9" fillId="0" borderId="1" xfId="0" applyNumberFormat="1" applyFont="1" applyFill="1" applyBorder="1" applyAlignment="1">
      <alignment horizontal="center" vertical="center" wrapText="1" shrinkToFit="1"/>
    </xf>
    <xf numFmtId="4" fontId="15" fillId="0" borderId="1" xfId="0" applyNumberFormat="1" applyFont="1" applyFill="1" applyBorder="1" applyAlignment="1">
      <alignment vertical="center" wrapText="1" shrinkToFit="1"/>
    </xf>
    <xf numFmtId="2" fontId="9" fillId="0" borderId="1" xfId="0" applyNumberFormat="1" applyFont="1" applyFill="1" applyBorder="1" applyAlignment="1">
      <alignment horizontal="center" vertical="center" wrapText="1" shrinkToFi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4" fontId="8" fillId="0" borderId="1" xfId="0" applyNumberFormat="1" applyFont="1" applyFill="1" applyBorder="1" applyAlignment="1">
      <alignment horizontal="center" vertical="center" wrapText="1" shrinkToFit="1"/>
    </xf>
    <xf numFmtId="4" fontId="13" fillId="0" borderId="1" xfId="0" applyNumberFormat="1" applyFont="1" applyFill="1" applyBorder="1" applyAlignment="1">
      <alignment vertical="center" wrapText="1" shrinkToFit="1"/>
    </xf>
    <xf numFmtId="2" fontId="8" fillId="0" borderId="1" xfId="0" applyNumberFormat="1" applyFont="1" applyFill="1" applyBorder="1" applyAlignment="1">
      <alignment horizontal="center" vertical="center" wrapText="1" shrinkToFit="1"/>
    </xf>
    <xf numFmtId="3" fontId="8" fillId="0" borderId="1" xfId="0" applyNumberFormat="1" applyFont="1" applyFill="1" applyBorder="1" applyAlignment="1">
      <alignment horizontal="center" vertical="center" wrapText="1" shrinkToFit="1"/>
    </xf>
    <xf numFmtId="2" fontId="8" fillId="0" borderId="1" xfId="0" applyNumberFormat="1" applyFont="1" applyFill="1" applyBorder="1" applyAlignment="1">
      <alignment horizontal="center" vertical="center" shrinkToFit="1"/>
    </xf>
    <xf numFmtId="3" fontId="8" fillId="0" borderId="1" xfId="0" applyNumberFormat="1" applyFont="1" applyFill="1" applyBorder="1" applyAlignment="1">
      <alignment horizontal="center" vertical="center" shrinkToFit="1"/>
    </xf>
    <xf numFmtId="2" fontId="9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center" vertical="center" shrinkToFit="1"/>
    </xf>
    <xf numFmtId="4" fontId="10" fillId="0" borderId="1" xfId="0" applyNumberFormat="1" applyFont="1" applyFill="1" applyBorder="1" applyAlignment="1">
      <alignment horizontal="center" vertical="center" wrapText="1" shrinkToFit="1"/>
    </xf>
    <xf numFmtId="4" fontId="32" fillId="0" borderId="1" xfId="0" applyNumberFormat="1" applyFont="1" applyFill="1" applyBorder="1" applyAlignment="1">
      <alignment vertical="center" wrapText="1" shrinkToFit="1"/>
    </xf>
    <xf numFmtId="2" fontId="10" fillId="0" borderId="1" xfId="0" applyNumberFormat="1" applyFont="1" applyFill="1" applyBorder="1" applyAlignment="1">
      <alignment horizontal="center" vertical="center" wrapText="1" shrinkToFit="1"/>
    </xf>
    <xf numFmtId="3" fontId="10" fillId="0" borderId="1" xfId="0" applyNumberFormat="1" applyFont="1" applyFill="1" applyBorder="1" applyAlignment="1">
      <alignment horizontal="center" vertical="center" wrapText="1" shrinkToFit="1"/>
    </xf>
    <xf numFmtId="2" fontId="57" fillId="0" borderId="1" xfId="0" applyNumberFormat="1" applyFont="1" applyFill="1" applyBorder="1" applyAlignment="1">
      <alignment horizontal="center" vertical="center" wrapText="1" shrinkToFit="1"/>
    </xf>
    <xf numFmtId="4" fontId="11" fillId="0" borderId="0" xfId="0" applyNumberFormat="1" applyFont="1" applyFill="1"/>
    <xf numFmtId="4" fontId="12" fillId="0" borderId="1" xfId="0" applyNumberFormat="1" applyFont="1" applyFill="1" applyBorder="1" applyAlignment="1">
      <alignment horizontal="center" vertical="center" wrapText="1" shrinkToFit="1"/>
    </xf>
    <xf numFmtId="4" fontId="15" fillId="0" borderId="1" xfId="0" applyNumberFormat="1" applyFont="1" applyFill="1" applyBorder="1" applyAlignment="1">
      <alignment horizontal="left" vertical="center" wrapText="1" shrinkToFit="1"/>
    </xf>
    <xf numFmtId="4" fontId="13" fillId="0" borderId="1" xfId="0" applyNumberFormat="1" applyFont="1" applyFill="1" applyBorder="1" applyAlignment="1">
      <alignment horizontal="left" vertical="center" wrapText="1" shrinkToFit="1"/>
    </xf>
    <xf numFmtId="4" fontId="10" fillId="0" borderId="1" xfId="1" applyNumberFormat="1" applyFont="1" applyFill="1" applyBorder="1" applyAlignment="1">
      <alignment horizontal="left" vertical="center" wrapText="1"/>
    </xf>
    <xf numFmtId="4" fontId="35" fillId="0" borderId="1" xfId="0" applyNumberFormat="1" applyFont="1" applyFill="1" applyBorder="1" applyAlignment="1">
      <alignment horizontal="center" vertical="center" wrapText="1" shrinkToFit="1"/>
    </xf>
    <xf numFmtId="4" fontId="32" fillId="0" borderId="1" xfId="0" applyNumberFormat="1" applyFont="1" applyFill="1" applyBorder="1" applyAlignment="1">
      <alignment horizontal="left" vertical="center" wrapText="1" shrinkToFit="1"/>
    </xf>
    <xf numFmtId="4" fontId="39" fillId="0" borderId="0" xfId="0" applyNumberFormat="1" applyFont="1" applyFill="1"/>
    <xf numFmtId="0" fontId="39" fillId="0" borderId="0" xfId="0" applyFont="1" applyFill="1"/>
    <xf numFmtId="4" fontId="12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left" vertical="center" wrapText="1"/>
    </xf>
    <xf numFmtId="3" fontId="8" fillId="0" borderId="1" xfId="1" applyNumberFormat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left" vertical="center" wrapText="1"/>
    </xf>
    <xf numFmtId="2" fontId="9" fillId="0" borderId="1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3" fontId="26" fillId="0" borderId="1" xfId="1" applyNumberFormat="1" applyFont="1" applyFill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2" fontId="10" fillId="0" borderId="1" xfId="1" applyNumberFormat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Alignment="1">
      <alignment horizontal="center" vertical="center"/>
    </xf>
    <xf numFmtId="4" fontId="13" fillId="0" borderId="1" xfId="0" applyNumberFormat="1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center" vertical="center"/>
    </xf>
    <xf numFmtId="0" fontId="8" fillId="0" borderId="1" xfId="1" applyFont="1" applyFill="1" applyBorder="1" applyAlignment="1">
      <alignment horizontal="left" vertical="center" wrapText="1"/>
    </xf>
    <xf numFmtId="3" fontId="46" fillId="0" borderId="1" xfId="1" applyNumberFormat="1" applyFont="1" applyFill="1" applyBorder="1" applyAlignment="1">
      <alignment horizontal="center" vertical="center" wrapText="1"/>
    </xf>
    <xf numFmtId="4" fontId="49" fillId="0" borderId="1" xfId="1" applyNumberFormat="1" applyFont="1" applyFill="1" applyBorder="1" applyAlignment="1">
      <alignment horizontal="left" vertical="center" wrapText="1"/>
    </xf>
    <xf numFmtId="2" fontId="46" fillId="0" borderId="1" xfId="0" applyNumberFormat="1" applyFont="1" applyFill="1" applyBorder="1" applyAlignment="1">
      <alignment horizontal="center" vertical="center" wrapText="1"/>
    </xf>
    <xf numFmtId="2" fontId="46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172" fontId="8" fillId="0" borderId="1" xfId="0" applyNumberFormat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left" vertical="top" wrapText="1"/>
    </xf>
    <xf numFmtId="4" fontId="10" fillId="0" borderId="1" xfId="1" applyNumberFormat="1" applyFont="1" applyFill="1" applyBorder="1" applyAlignment="1">
      <alignment horizontal="center" vertical="center" wrapText="1"/>
    </xf>
    <xf numFmtId="166" fontId="10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13" fillId="0" borderId="1" xfId="1" applyNumberFormat="1" applyFont="1" applyFill="1" applyBorder="1" applyAlignment="1">
      <alignment horizontal="left" vertical="center" wrapText="1"/>
    </xf>
    <xf numFmtId="2" fontId="10" fillId="0" borderId="1" xfId="1" applyNumberFormat="1" applyFont="1" applyFill="1" applyBorder="1" applyAlignment="1">
      <alignment horizontal="left" vertical="center" wrapText="1"/>
    </xf>
    <xf numFmtId="2" fontId="12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65" fontId="32" fillId="0" borderId="1" xfId="0" applyNumberFormat="1" applyFont="1" applyFill="1" applyBorder="1" applyAlignment="1">
      <alignment horizontal="left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 shrinkToFit="1"/>
    </xf>
    <xf numFmtId="4" fontId="8" fillId="0" borderId="1" xfId="1" applyNumberFormat="1" applyFont="1" applyFill="1" applyBorder="1" applyAlignment="1">
      <alignment horizontal="center" vertical="center" wrapText="1"/>
    </xf>
    <xf numFmtId="166" fontId="8" fillId="0" borderId="1" xfId="1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173" fontId="9" fillId="0" borderId="1" xfId="4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 wrapText="1"/>
    </xf>
    <xf numFmtId="173" fontId="8" fillId="0" borderId="1" xfId="4" applyNumberFormat="1" applyFont="1" applyFill="1" applyBorder="1" applyAlignment="1">
      <alignment horizontal="center" vertical="center"/>
    </xf>
    <xf numFmtId="0" fontId="55" fillId="0" borderId="0" xfId="0" applyFont="1" applyFill="1" applyAlignment="1">
      <alignment vertical="center"/>
    </xf>
    <xf numFmtId="0" fontId="32" fillId="0" borderId="1" xfId="0" applyFont="1" applyFill="1" applyBorder="1" applyAlignment="1">
      <alignment horizontal="left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165" fontId="15" fillId="0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vertical="center" wrapText="1"/>
    </xf>
    <xf numFmtId="3" fontId="8" fillId="0" borderId="1" xfId="4" applyNumberFormat="1" applyFont="1" applyFill="1" applyBorder="1" applyAlignment="1">
      <alignment horizontal="center" vertical="center" wrapText="1"/>
    </xf>
    <xf numFmtId="171" fontId="8" fillId="0" borderId="1" xfId="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 wrapText="1" shrinkToFit="1"/>
    </xf>
    <xf numFmtId="2" fontId="9" fillId="0" borderId="0" xfId="1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left" wrapText="1"/>
    </xf>
    <xf numFmtId="1" fontId="0" fillId="0" borderId="0" xfId="0" applyNumberFormat="1" applyFill="1"/>
    <xf numFmtId="2" fontId="0" fillId="0" borderId="0" xfId="0" applyNumberFormat="1" applyFill="1"/>
    <xf numFmtId="2" fontId="7" fillId="0" borderId="0" xfId="0" applyNumberFormat="1" applyFont="1" applyFill="1"/>
    <xf numFmtId="0" fontId="0" fillId="0" borderId="6" xfId="0" applyFill="1" applyBorder="1" applyAlignment="1">
      <alignment wrapText="1"/>
    </xf>
    <xf numFmtId="2" fontId="0" fillId="0" borderId="6" xfId="0" applyNumberFormat="1" applyFill="1" applyBorder="1" applyAlignment="1">
      <alignment wrapText="1"/>
    </xf>
    <xf numFmtId="0" fontId="7" fillId="0" borderId="6" xfId="0" applyFont="1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7" fillId="0" borderId="0" xfId="0" applyFont="1" applyFill="1" applyAlignment="1">
      <alignment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168" fontId="26" fillId="0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 wrapText="1"/>
    </xf>
    <xf numFmtId="167" fontId="26" fillId="0" borderId="1" xfId="0" applyNumberFormat="1" applyFont="1" applyFill="1" applyBorder="1" applyAlignment="1">
      <alignment horizontal="center" vertical="center" wrapText="1"/>
    </xf>
    <xf numFmtId="3" fontId="53" fillId="0" borderId="1" xfId="0" applyNumberFormat="1" applyFont="1" applyFill="1" applyBorder="1" applyAlignment="1">
      <alignment horizontal="center" vertical="center"/>
    </xf>
    <xf numFmtId="3" fontId="54" fillId="0" borderId="1" xfId="0" applyNumberFormat="1" applyFont="1" applyFill="1" applyBorder="1" applyAlignment="1">
      <alignment horizontal="center" vertical="center"/>
    </xf>
    <xf numFmtId="0" fontId="56" fillId="0" borderId="7" xfId="0" applyFont="1" applyFill="1" applyBorder="1" applyAlignment="1">
      <alignment horizontal="center" vertical="center" wrapText="1"/>
    </xf>
    <xf numFmtId="49" fontId="26" fillId="0" borderId="3" xfId="0" applyNumberFormat="1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31" fillId="0" borderId="0" xfId="0" applyFont="1" applyFill="1"/>
    <xf numFmtId="0" fontId="21" fillId="0" borderId="0" xfId="0" applyFont="1" applyFill="1" applyAlignment="1">
      <alignment wrapText="1"/>
    </xf>
    <xf numFmtId="0" fontId="17" fillId="0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68" fontId="30" fillId="0" borderId="1" xfId="0" applyNumberFormat="1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67" fontId="26" fillId="0" borderId="2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/>
    </xf>
    <xf numFmtId="168" fontId="30" fillId="0" borderId="1" xfId="0" applyNumberFormat="1" applyFont="1" applyFill="1" applyBorder="1" applyAlignment="1">
      <alignment horizontal="center" vertical="center"/>
    </xf>
    <xf numFmtId="167" fontId="23" fillId="0" borderId="1" xfId="8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3" fontId="29" fillId="0" borderId="1" xfId="4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/>
    <xf numFmtId="3" fontId="25" fillId="0" borderId="0" xfId="0" applyNumberFormat="1" applyFont="1" applyFill="1"/>
    <xf numFmtId="3" fontId="30" fillId="0" borderId="1" xfId="4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3" fontId="30" fillId="0" borderId="1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vertical="center" wrapText="1"/>
    </xf>
    <xf numFmtId="16" fontId="20" fillId="0" borderId="1" xfId="0" applyNumberFormat="1" applyFont="1" applyFill="1" applyBorder="1" applyAlignment="1">
      <alignment horizontal="center" vertical="center"/>
    </xf>
    <xf numFmtId="168" fontId="0" fillId="0" borderId="0" xfId="0" applyNumberFormat="1" applyFill="1"/>
    <xf numFmtId="0" fontId="26" fillId="0" borderId="7" xfId="0" applyFont="1" applyFill="1" applyBorder="1" applyAlignment="1">
      <alignment horizontal="center" vertical="top" wrapText="1"/>
    </xf>
    <xf numFmtId="167" fontId="29" fillId="0" borderId="1" xfId="0" applyNumberFormat="1" applyFont="1" applyFill="1" applyBorder="1" applyAlignment="1">
      <alignment horizontal="center" vertical="center" wrapText="1"/>
    </xf>
    <xf numFmtId="165" fontId="26" fillId="0" borderId="1" xfId="6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26" fillId="0" borderId="1" xfId="6" applyFont="1" applyFill="1" applyBorder="1" applyAlignment="1">
      <alignment horizontal="center" vertical="center" wrapText="1"/>
    </xf>
    <xf numFmtId="3" fontId="30" fillId="0" borderId="1" xfId="6" applyNumberFormat="1" applyFont="1" applyFill="1" applyBorder="1" applyAlignment="1">
      <alignment horizontal="center" vertical="center"/>
    </xf>
    <xf numFmtId="3" fontId="29" fillId="0" borderId="1" xfId="6" applyNumberFormat="1" applyFont="1" applyFill="1" applyBorder="1" applyAlignment="1">
      <alignment horizontal="center" vertical="center"/>
    </xf>
    <xf numFmtId="3" fontId="53" fillId="0" borderId="1" xfId="6" applyNumberFormat="1" applyFont="1" applyFill="1" applyBorder="1" applyAlignment="1">
      <alignment horizontal="center" vertical="center"/>
    </xf>
    <xf numFmtId="3" fontId="54" fillId="0" borderId="1" xfId="6" applyNumberFormat="1" applyFont="1" applyFill="1" applyBorder="1" applyAlignment="1">
      <alignment horizontal="center" vertical="center"/>
    </xf>
    <xf numFmtId="165" fontId="26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65" fontId="26" fillId="0" borderId="3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28" fillId="0" borderId="0" xfId="0" applyFont="1" applyFill="1"/>
    <xf numFmtId="0" fontId="21" fillId="0" borderId="0" xfId="0" applyFont="1" applyFill="1" applyAlignment="1">
      <alignment horizontal="center"/>
    </xf>
    <xf numFmtId="3" fontId="30" fillId="0" borderId="0" xfId="0" applyNumberFormat="1" applyFont="1" applyFill="1" applyAlignment="1">
      <alignment horizontal="center" vertical="center"/>
    </xf>
    <xf numFmtId="0" fontId="0" fillId="0" borderId="3" xfId="0" applyFill="1" applyBorder="1"/>
    <xf numFmtId="0" fontId="7" fillId="0" borderId="3" xfId="0" applyFont="1" applyFill="1" applyBorder="1"/>
    <xf numFmtId="3" fontId="30" fillId="0" borderId="4" xfId="0" applyNumberFormat="1" applyFont="1" applyFill="1" applyBorder="1" applyAlignment="1">
      <alignment horizontal="center" vertical="center"/>
    </xf>
    <xf numFmtId="166" fontId="40" fillId="0" borderId="1" xfId="0" applyNumberFormat="1" applyFont="1" applyFill="1" applyBorder="1" applyAlignment="1">
      <alignment horizontal="center" vertical="center"/>
    </xf>
    <xf numFmtId="166" fontId="25" fillId="0" borderId="0" xfId="0" applyNumberFormat="1" applyFont="1" applyFill="1"/>
    <xf numFmtId="0" fontId="4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top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top"/>
    </xf>
    <xf numFmtId="0" fontId="8" fillId="0" borderId="15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center" vertical="center" wrapText="1"/>
    </xf>
    <xf numFmtId="168" fontId="46" fillId="0" borderId="4" xfId="0" applyNumberFormat="1" applyFont="1" applyFill="1" applyBorder="1" applyAlignment="1">
      <alignment horizontal="center" vertical="top" wrapText="1"/>
    </xf>
    <xf numFmtId="169" fontId="8" fillId="0" borderId="1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center" vertical="top" wrapText="1"/>
    </xf>
    <xf numFmtId="168" fontId="8" fillId="0" borderId="16" xfId="0" applyNumberFormat="1" applyFont="1" applyFill="1" applyBorder="1" applyAlignment="1">
      <alignment horizontal="center" vertical="top" wrapText="1"/>
    </xf>
    <xf numFmtId="168" fontId="8" fillId="0" borderId="13" xfId="0" applyNumberFormat="1" applyFont="1" applyFill="1" applyBorder="1" applyAlignment="1">
      <alignment horizontal="center" vertical="top" wrapText="1"/>
    </xf>
    <xf numFmtId="169" fontId="8" fillId="0" borderId="13" xfId="0" applyNumberFormat="1" applyFont="1" applyFill="1" applyBorder="1" applyAlignment="1">
      <alignment horizontal="center" vertical="top" wrapText="1"/>
    </xf>
    <xf numFmtId="169" fontId="8" fillId="0" borderId="14" xfId="0" applyNumberFormat="1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168" fontId="46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168" fontId="8" fillId="0" borderId="1" xfId="0" applyNumberFormat="1" applyFont="1" applyFill="1" applyBorder="1" applyAlignment="1">
      <alignment horizontal="center" vertical="center" wrapText="1"/>
    </xf>
    <xf numFmtId="168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left" vertical="top" wrapText="1"/>
    </xf>
    <xf numFmtId="170" fontId="8" fillId="0" borderId="1" xfId="0" applyNumberFormat="1" applyFont="1" applyFill="1" applyBorder="1" applyAlignment="1">
      <alignment horizontal="center" vertical="top" wrapText="1"/>
    </xf>
    <xf numFmtId="169" fontId="8" fillId="0" borderId="1" xfId="0" applyNumberFormat="1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top" wrapText="1"/>
    </xf>
    <xf numFmtId="169" fontId="46" fillId="0" borderId="1" xfId="0" applyNumberFormat="1" applyFont="1" applyFill="1" applyBorder="1" applyAlignment="1">
      <alignment horizontal="center" vertical="top" wrapText="1"/>
    </xf>
    <xf numFmtId="169" fontId="8" fillId="0" borderId="1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167" fontId="8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top" wrapText="1"/>
    </xf>
    <xf numFmtId="172" fontId="8" fillId="0" borderId="1" xfId="0" applyNumberFormat="1" applyFont="1" applyFill="1" applyBorder="1" applyAlignment="1">
      <alignment horizontal="center" vertical="top" wrapText="1"/>
    </xf>
    <xf numFmtId="0" fontId="36" fillId="0" borderId="2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/>
    </xf>
    <xf numFmtId="0" fontId="46" fillId="0" borderId="1" xfId="0" applyFont="1" applyFill="1" applyBorder="1" applyAlignment="1">
      <alignment horizontal="center" vertical="top" wrapText="1"/>
    </xf>
    <xf numFmtId="0" fontId="36" fillId="0" borderId="11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2" fontId="46" fillId="0" borderId="1" xfId="0" applyNumberFormat="1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167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left" vertical="center" wrapText="1"/>
    </xf>
    <xf numFmtId="168" fontId="8" fillId="0" borderId="5" xfId="0" applyNumberFormat="1" applyFont="1" applyFill="1" applyBorder="1" applyAlignment="1">
      <alignment horizontal="center" vertical="top"/>
    </xf>
    <xf numFmtId="168" fontId="8" fillId="0" borderId="8" xfId="0" applyNumberFormat="1" applyFont="1" applyFill="1" applyBorder="1" applyAlignment="1">
      <alignment horizontal="center" vertical="top"/>
    </xf>
    <xf numFmtId="168" fontId="9" fillId="0" borderId="8" xfId="0" applyNumberFormat="1" applyFont="1" applyFill="1" applyBorder="1" applyAlignment="1">
      <alignment horizontal="center" vertical="top"/>
    </xf>
    <xf numFmtId="0" fontId="17" fillId="0" borderId="8" xfId="0" applyFont="1" applyFill="1" applyBorder="1" applyAlignment="1">
      <alignment horizontal="center" vertical="top" wrapText="1"/>
    </xf>
    <xf numFmtId="168" fontId="8" fillId="0" borderId="5" xfId="0" applyNumberFormat="1" applyFont="1" applyFill="1" applyBorder="1" applyAlignment="1">
      <alignment horizontal="center" vertical="center"/>
    </xf>
    <xf numFmtId="0" fontId="60" fillId="0" borderId="0" xfId="0" applyFont="1" applyFill="1"/>
    <xf numFmtId="3" fontId="29" fillId="0" borderId="1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top" wrapText="1"/>
    </xf>
    <xf numFmtId="0" fontId="17" fillId="2" borderId="7" xfId="0" applyFont="1" applyFill="1" applyBorder="1" applyAlignment="1">
      <alignment wrapText="1"/>
    </xf>
    <xf numFmtId="0" fontId="17" fillId="2" borderId="3" xfId="0" applyFont="1" applyFill="1" applyBorder="1" applyAlignment="1">
      <alignment wrapText="1"/>
    </xf>
    <xf numFmtId="0" fontId="17" fillId="2" borderId="2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168" fontId="8" fillId="0" borderId="5" xfId="0" applyNumberFormat="1" applyFont="1" applyFill="1" applyBorder="1" applyAlignment="1">
      <alignment horizontal="center" vertical="top"/>
    </xf>
    <xf numFmtId="168" fontId="8" fillId="0" borderId="8" xfId="0" applyNumberFormat="1" applyFont="1" applyFill="1" applyBorder="1" applyAlignment="1">
      <alignment horizontal="center" vertical="top"/>
    </xf>
    <xf numFmtId="168" fontId="8" fillId="0" borderId="4" xfId="0" applyNumberFormat="1" applyFont="1" applyFill="1" applyBorder="1" applyAlignment="1">
      <alignment horizontal="center" vertical="top"/>
    </xf>
    <xf numFmtId="168" fontId="9" fillId="0" borderId="8" xfId="0" applyNumberFormat="1" applyFont="1" applyFill="1" applyBorder="1" applyAlignment="1">
      <alignment horizontal="center" vertical="top"/>
    </xf>
    <xf numFmtId="168" fontId="9" fillId="0" borderId="4" xfId="0" applyNumberFormat="1" applyFont="1" applyFill="1" applyBorder="1" applyAlignment="1">
      <alignment horizontal="center" vertical="top"/>
    </xf>
    <xf numFmtId="168" fontId="9" fillId="0" borderId="5" xfId="0" applyNumberFormat="1" applyFont="1" applyFill="1" applyBorder="1" applyAlignment="1">
      <alignment horizontal="center" vertical="top"/>
    </xf>
    <xf numFmtId="0" fontId="17" fillId="0" borderId="5" xfId="0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168" fontId="8" fillId="0" borderId="1" xfId="0" applyNumberFormat="1" applyFont="1" applyFill="1" applyBorder="1" applyAlignment="1">
      <alignment horizontal="center" vertical="center"/>
    </xf>
    <xf numFmtId="168" fontId="9" fillId="0" borderId="1" xfId="0" applyNumberFormat="1" applyFont="1" applyFill="1" applyBorder="1" applyAlignment="1">
      <alignment horizontal="center" vertical="center"/>
    </xf>
    <xf numFmtId="168" fontId="8" fillId="0" borderId="8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168" fontId="9" fillId="0" borderId="8" xfId="0" applyNumberFormat="1" applyFont="1" applyFill="1" applyBorder="1" applyAlignment="1">
      <alignment horizontal="center" vertical="center"/>
    </xf>
    <xf numFmtId="168" fontId="9" fillId="0" borderId="1" xfId="0" applyNumberFormat="1" applyFont="1" applyFill="1" applyBorder="1" applyAlignment="1">
      <alignment horizontal="center" vertical="top"/>
    </xf>
    <xf numFmtId="0" fontId="12" fillId="0" borderId="10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26" fillId="0" borderId="0" xfId="0" applyFont="1" applyFill="1" applyAlignment="1">
      <alignment horizontal="center" wrapText="1"/>
    </xf>
    <xf numFmtId="0" fontId="26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 wrapText="1"/>
    </xf>
    <xf numFmtId="0" fontId="38" fillId="0" borderId="6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168" fontId="8" fillId="0" borderId="1" xfId="0" applyNumberFormat="1" applyFont="1" applyFill="1" applyBorder="1" applyAlignment="1">
      <alignment horizontal="center" vertical="top"/>
    </xf>
    <xf numFmtId="0" fontId="17" fillId="0" borderId="8" xfId="0" applyFont="1" applyFill="1" applyBorder="1" applyAlignment="1">
      <alignment horizontal="center" vertical="center" wrapText="1"/>
    </xf>
    <xf numFmtId="0" fontId="51" fillId="0" borderId="7" xfId="0" applyFont="1" applyFill="1" applyBorder="1" applyAlignment="1">
      <alignment horizontal="left" vertical="center" wrapText="1"/>
    </xf>
    <xf numFmtId="0" fontId="51" fillId="0" borderId="3" xfId="0" applyFont="1" applyFill="1" applyBorder="1" applyAlignment="1">
      <alignment horizontal="left" vertical="center" wrapText="1"/>
    </xf>
    <xf numFmtId="0" fontId="51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center" vertical="top" wrapText="1"/>
    </xf>
    <xf numFmtId="168" fontId="8" fillId="0" borderId="9" xfId="0" applyNumberFormat="1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center" wrapText="1"/>
    </xf>
    <xf numFmtId="168" fontId="9" fillId="0" borderId="11" xfId="0" applyNumberFormat="1" applyFont="1" applyFill="1" applyBorder="1" applyAlignment="1">
      <alignment horizontal="center" vertical="top"/>
    </xf>
    <xf numFmtId="0" fontId="12" fillId="0" borderId="7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center" wrapText="1"/>
    </xf>
    <xf numFmtId="168" fontId="8" fillId="0" borderId="5" xfId="0" applyNumberFormat="1" applyFont="1" applyFill="1" applyBorder="1" applyAlignment="1">
      <alignment horizontal="center" vertical="center"/>
    </xf>
    <xf numFmtId="168" fontId="8" fillId="0" borderId="4" xfId="0" applyNumberFormat="1" applyFont="1" applyFill="1" applyBorder="1" applyAlignment="1">
      <alignment horizontal="center" vertical="center"/>
    </xf>
    <xf numFmtId="168" fontId="9" fillId="0" borderId="5" xfId="0" applyNumberFormat="1" applyFont="1" applyFill="1" applyBorder="1" applyAlignment="1">
      <alignment horizontal="center" vertical="center"/>
    </xf>
    <xf numFmtId="168" fontId="9" fillId="0" borderId="4" xfId="0" applyNumberFormat="1" applyFont="1" applyFill="1" applyBorder="1" applyAlignment="1">
      <alignment horizontal="center" vertical="center"/>
    </xf>
    <xf numFmtId="168" fontId="9" fillId="0" borderId="11" xfId="0" applyNumberFormat="1" applyFont="1" applyFill="1" applyBorder="1" applyAlignment="1">
      <alignment horizontal="center" vertical="center"/>
    </xf>
    <xf numFmtId="168" fontId="17" fillId="0" borderId="5" xfId="0" applyNumberFormat="1" applyFont="1" applyFill="1" applyBorder="1" applyAlignment="1">
      <alignment horizontal="center" vertical="top" wrapText="1"/>
    </xf>
    <xf numFmtId="168" fontId="17" fillId="0" borderId="8" xfId="0" applyNumberFormat="1" applyFont="1" applyFill="1" applyBorder="1" applyAlignment="1">
      <alignment horizontal="center" vertical="top" wrapText="1"/>
    </xf>
    <xf numFmtId="168" fontId="9" fillId="0" borderId="17" xfId="0" applyNumberFormat="1" applyFont="1" applyFill="1" applyBorder="1" applyAlignment="1">
      <alignment horizontal="center" vertical="top"/>
    </xf>
    <xf numFmtId="0" fontId="17" fillId="0" borderId="9" xfId="0" applyFont="1" applyFill="1" applyBorder="1" applyAlignment="1">
      <alignment horizontal="center" vertical="center" wrapText="1"/>
    </xf>
    <xf numFmtId="2" fontId="12" fillId="0" borderId="7" xfId="1" applyNumberFormat="1" applyFont="1" applyFill="1" applyBorder="1" applyAlignment="1">
      <alignment horizontal="left" vertical="center" wrapText="1"/>
    </xf>
    <xf numFmtId="2" fontId="12" fillId="0" borderId="3" xfId="1" applyNumberFormat="1" applyFont="1" applyFill="1" applyBorder="1" applyAlignment="1">
      <alignment horizontal="left" vertical="center" wrapText="1"/>
    </xf>
    <xf numFmtId="2" fontId="12" fillId="0" borderId="2" xfId="1" applyNumberFormat="1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2" fontId="12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wrapText="1"/>
    </xf>
    <xf numFmtId="0" fontId="29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wrapText="1"/>
    </xf>
    <xf numFmtId="4" fontId="12" fillId="0" borderId="7" xfId="1" applyNumberFormat="1" applyFont="1" applyFill="1" applyBorder="1" applyAlignment="1">
      <alignment horizontal="left" vertical="center" wrapText="1"/>
    </xf>
    <xf numFmtId="4" fontId="12" fillId="0" borderId="3" xfId="1" applyNumberFormat="1" applyFont="1" applyFill="1" applyBorder="1" applyAlignment="1">
      <alignment horizontal="left" vertical="center" wrapText="1"/>
    </xf>
    <xf numFmtId="4" fontId="12" fillId="0" borderId="2" xfId="1" applyNumberFormat="1" applyFont="1" applyFill="1" applyBorder="1" applyAlignment="1">
      <alignment horizontal="left" vertical="center" wrapText="1"/>
    </xf>
    <xf numFmtId="165" fontId="12" fillId="0" borderId="7" xfId="1" applyNumberFormat="1" applyFont="1" applyFill="1" applyBorder="1" applyAlignment="1">
      <alignment horizontal="left" vertical="center" wrapText="1"/>
    </xf>
    <xf numFmtId="165" fontId="12" fillId="0" borderId="3" xfId="1" applyNumberFormat="1" applyFont="1" applyFill="1" applyBorder="1" applyAlignment="1">
      <alignment horizontal="left" vertical="center" wrapText="1"/>
    </xf>
    <xf numFmtId="165" fontId="12" fillId="0" borderId="2" xfId="1" applyNumberFormat="1" applyFont="1" applyFill="1" applyBorder="1" applyAlignment="1">
      <alignment horizontal="left" vertical="center" wrapText="1"/>
    </xf>
    <xf numFmtId="165" fontId="12" fillId="0" borderId="1" xfId="1" applyNumberFormat="1" applyFont="1" applyFill="1" applyBorder="1" applyAlignment="1">
      <alignment horizontal="left" vertical="center" wrapText="1"/>
    </xf>
    <xf numFmtId="4" fontId="12" fillId="0" borderId="7" xfId="0" applyNumberFormat="1" applyFont="1" applyFill="1" applyBorder="1" applyAlignment="1">
      <alignment horizontal="left" vertical="center" wrapText="1" shrinkToFit="1"/>
    </xf>
    <xf numFmtId="4" fontId="12" fillId="0" borderId="3" xfId="0" applyNumberFormat="1" applyFont="1" applyFill="1" applyBorder="1" applyAlignment="1">
      <alignment horizontal="left" vertical="center" wrapText="1" shrinkToFit="1"/>
    </xf>
    <xf numFmtId="4" fontId="12" fillId="0" borderId="2" xfId="0" applyNumberFormat="1" applyFont="1" applyFill="1" applyBorder="1" applyAlignment="1">
      <alignment horizontal="left" vertical="center" wrapText="1" shrinkToFit="1"/>
    </xf>
    <xf numFmtId="2" fontId="9" fillId="0" borderId="1" xfId="0" applyNumberFormat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65" fontId="12" fillId="0" borderId="7" xfId="0" applyNumberFormat="1" applyFont="1" applyFill="1" applyBorder="1" applyAlignment="1">
      <alignment horizontal="left" vertical="center" wrapText="1"/>
    </xf>
    <xf numFmtId="165" fontId="12" fillId="0" borderId="3" xfId="0" applyNumberFormat="1" applyFont="1" applyFill="1" applyBorder="1" applyAlignment="1">
      <alignment horizontal="left" vertical="center" wrapText="1"/>
    </xf>
    <xf numFmtId="165" fontId="12" fillId="0" borderId="2" xfId="0" applyNumberFormat="1" applyFont="1" applyFill="1" applyBorder="1" applyAlignment="1">
      <alignment horizontal="left" vertical="center" wrapText="1"/>
    </xf>
    <xf numFmtId="0" fontId="42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5" fontId="26" fillId="0" borderId="1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3" fontId="29" fillId="0" borderId="1" xfId="0" applyNumberFormat="1" applyFont="1" applyFill="1" applyBorder="1" applyAlignment="1">
      <alignment horizontal="center" vertical="center"/>
    </xf>
    <xf numFmtId="3" fontId="30" fillId="0" borderId="1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4" fillId="0" borderId="6" xfId="0" applyFont="1" applyFill="1" applyBorder="1"/>
    <xf numFmtId="0" fontId="21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9" fillId="0" borderId="0" xfId="0" applyFont="1" applyFill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46" fillId="0" borderId="5" xfId="0" applyFont="1" applyFill="1" applyBorder="1" applyAlignment="1">
      <alignment horizontal="left" vertical="top" wrapText="1"/>
    </xf>
    <xf numFmtId="0" fontId="46" fillId="0" borderId="4" xfId="0" applyFont="1" applyFill="1" applyBorder="1" applyAlignment="1">
      <alignment horizontal="left" vertical="top" wrapText="1"/>
    </xf>
    <xf numFmtId="14" fontId="8" fillId="0" borderId="5" xfId="0" applyNumberFormat="1" applyFont="1" applyFill="1" applyBorder="1" applyAlignment="1">
      <alignment horizontal="center" vertical="top"/>
    </xf>
    <xf numFmtId="14" fontId="8" fillId="0" borderId="4" xfId="0" applyNumberFormat="1" applyFont="1" applyFill="1" applyBorder="1" applyAlignment="1">
      <alignment horizontal="center" vertical="top"/>
    </xf>
    <xf numFmtId="0" fontId="8" fillId="0" borderId="1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top" wrapText="1"/>
    </xf>
    <xf numFmtId="0" fontId="26" fillId="0" borderId="6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14" fontId="8" fillId="2" borderId="5" xfId="0" applyNumberFormat="1" applyFont="1" applyFill="1" applyBorder="1" applyAlignment="1">
      <alignment horizontal="center" vertical="top"/>
    </xf>
    <xf numFmtId="14" fontId="8" fillId="2" borderId="4" xfId="0" applyNumberFormat="1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46" fillId="2" borderId="5" xfId="0" applyFont="1" applyFill="1" applyBorder="1" applyAlignment="1">
      <alignment horizontal="left" vertical="top" wrapText="1"/>
    </xf>
    <xf numFmtId="0" fontId="46" fillId="2" borderId="4" xfId="0" applyFont="1" applyFill="1" applyBorder="1" applyAlignment="1">
      <alignment horizontal="left" vertical="top" wrapText="1"/>
    </xf>
    <xf numFmtId="0" fontId="8" fillId="2" borderId="1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center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</cellXfs>
  <cellStyles count="40">
    <cellStyle name="Обычный" xfId="0" builtinId="0"/>
    <cellStyle name="Обычный 2" xfId="1"/>
    <cellStyle name="Обычный 2 2" xfId="6"/>
    <cellStyle name="Обычный 2 3" xfId="7"/>
    <cellStyle name="Обычный 2 4" xfId="10"/>
    <cellStyle name="Обычный 2 4 2" xfId="14"/>
    <cellStyle name="Обычный 2 4 2 2" xfId="22"/>
    <cellStyle name="Обычный 2 4 2 2 2" xfId="38"/>
    <cellStyle name="Обычный 2 4 2 3" xfId="30"/>
    <cellStyle name="Обычный 2 4 3" xfId="18"/>
    <cellStyle name="Обычный 2 4 3 2" xfId="34"/>
    <cellStyle name="Обычный 2 4 4" xfId="26"/>
    <cellStyle name="Обычный 2 5" xfId="12"/>
    <cellStyle name="Обычный 2 5 2" xfId="20"/>
    <cellStyle name="Обычный 2 5 2 2" xfId="36"/>
    <cellStyle name="Обычный 2 5 3" xfId="28"/>
    <cellStyle name="Обычный 2 6" xfId="16"/>
    <cellStyle name="Обычный 2 6 2" xfId="32"/>
    <cellStyle name="Обычный 2 7" xfId="24"/>
    <cellStyle name="Обычный 3" xfId="2"/>
    <cellStyle name="Обычный 3 2" xfId="11"/>
    <cellStyle name="Обычный 3 2 2" xfId="15"/>
    <cellStyle name="Обычный 3 2 2 2" xfId="23"/>
    <cellStyle name="Обычный 3 2 2 2 2" xfId="39"/>
    <cellStyle name="Обычный 3 2 2 3" xfId="31"/>
    <cellStyle name="Обычный 3 2 3" xfId="19"/>
    <cellStyle name="Обычный 3 2 3 2" xfId="35"/>
    <cellStyle name="Обычный 3 2 4" xfId="27"/>
    <cellStyle name="Обычный 3 3" xfId="13"/>
    <cellStyle name="Обычный 3 3 2" xfId="21"/>
    <cellStyle name="Обычный 3 3 2 2" xfId="37"/>
    <cellStyle name="Обычный 3 3 3" xfId="29"/>
    <cellStyle name="Обычный 3 4" xfId="17"/>
    <cellStyle name="Обычный 3 4 2" xfId="33"/>
    <cellStyle name="Обычный 3 5" xfId="25"/>
    <cellStyle name="Обычный 4" xfId="3"/>
    <cellStyle name="Финансовый" xfId="4" builtinId="3"/>
    <cellStyle name="Финансовый 2" xfId="5"/>
    <cellStyle name="Финансовый 3" xfId="8"/>
    <cellStyle name="Финансовый 4" xfId="9"/>
  </cellStyles>
  <dxfs count="0"/>
  <tableStyles count="0" defaultTableStyle="TableStyleMedium2" defaultPivotStyle="PivotStyleLight16"/>
  <colors>
    <mruColors>
      <color rgb="FFF9B67F"/>
      <color rgb="FFFF99FF"/>
      <color rgb="FFFFFF00"/>
      <color rgb="FFFFFF66"/>
      <color rgb="FFFFFF99"/>
      <color rgb="FFFFFFCC"/>
      <color rgb="FFFF9933"/>
      <color rgb="FFFFCC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umplan/&#1101;&#1083;.&#1087;&#1086;&#1095;&#1090;&#1072;/&#1054;&#1058;&#1063;&#1045;&#1058;&#1067;%20&#1069;&#1050;&#1054;&#1053;&#1054;&#1052;&#1048;&#1057;&#1058;&#1067;/&#1055;&#1088;&#1086;&#1075;&#1088;&#1072;&#1084;&#1084;&#1072;/&#1055;&#1088;&#1086;&#1077;&#1082;&#1090;&#1099;%20&#1087;&#1086;&#1089;&#1090;&#1072;&#1085;&#1086;&#1074;&#1083;&#1077;&#1085;&#1080;&#1081;/&#1055;&#1088;&#1086;&#1075;&#1088;&#1072;&#1084;&#1084;&#1072;%202021-2025/2025/&#1048;&#1079;&#1084;&#1077;&#1085;%20&#8470;%20%20&#1086;&#1090;%2000.12.25%20(&#1056;&#1044;%20742%20&#1086;&#1090;%2024.12.25%20)%20&#1055;&#1086;&#1089;&#1090;%20&#8470;%20%20&#1086;&#1090;%20%20(&#1043;&#1042;%2000.00.00)%20&#1074;%20&#1088;&#1072;&#1073;&#1086;&#1090;&#1091;%2004.12.25&#1075;/&#1084;&#1086;&#1105;/&#1052;&#1054;&#1048;%20&#1055;&#1088;&#1080;&#1083;&#1086;&#1078;&#1077;&#1085;&#1080;&#1103;%20&#1074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3;.&#1087;&#1086;&#1095;&#1090;&#1072;/&#1054;&#1058;&#1063;&#1045;&#1058;&#1067;%20&#1069;&#1050;&#1054;&#1053;&#1054;&#1052;&#1048;&#1057;&#1058;&#1067;/&#1055;&#1088;&#1086;&#1075;&#1088;&#1072;&#1084;&#1084;&#1072;/&#1055;&#1088;&#1086;&#1077;&#1082;&#1090;&#1099;%20&#1087;&#1086;&#1089;&#1090;&#1072;&#1085;&#1086;&#1074;&#1083;&#1077;&#1085;&#1080;&#1081;/&#1055;&#1088;&#1086;&#1075;&#1088;&#1072;&#1084;&#1084;&#1072;%202021-2025/&#1080;&#1079;&#1084;.%20&#1044;&#1091;&#1084;&#1072;%2024.03.2021/&#1050;&#1086;&#1087;&#1080;&#1103;%20&#1087;&#1088;&#1080;&#1083;&#1086;&#1078;&#1077;&#1085;&#1080;&#1103;%2024.03.21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etshare/tumplan/&#1101;&#1083;.&#1087;&#1086;&#1095;&#1090;&#1072;/&#1054;&#1058;&#1063;&#1045;&#1058;&#1067;%20&#1069;&#1050;&#1054;&#1053;&#1054;&#1052;&#1048;&#1057;&#1058;&#1067;/&#1055;&#1088;&#1086;&#1075;&#1088;&#1072;&#1084;&#1084;&#1072;/&#1055;&#1088;&#1086;&#1077;&#1082;&#1090;&#1099;%20&#1087;&#1086;&#1089;&#1090;&#1072;&#1085;&#1086;&#1074;&#1083;&#1077;&#1085;&#1080;&#1081;/&#1055;&#1088;&#1086;&#1075;&#1088;&#1072;&#1084;&#1084;&#1072;%202021-2025/&#1080;&#1079;&#1084;.%20&#1044;&#1091;&#1084;&#1072;%20&#1088;&#1077;&#1096;.1137/2%20&#1050;&#1086;&#1087;&#1080;&#1103;%20&#1087;&#1088;&#1080;&#1083;&#1086;&#1078;&#1077;&#1085;&#1080;&#1103;%20&#1088;&#1077;&#1096;.1137%20(&#1089;%20&#1087;&#1086;&#1095;&#1090;&#1099;)%20&#1086;&#1088;&#1080;&#1075;&#1080;&#1085;&#1072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еч.рез."/>
      <sheetName val="1.переченьПБДД"/>
      <sheetName val="2.переченьМРАД"/>
      <sheetName val="3.меропр."/>
      <sheetName val="4.индик.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конеч.рез."/>
      <sheetName val="2.переченьПБДД"/>
      <sheetName val="3.переченьМРАД"/>
      <sheetName val="4.меропр."/>
      <sheetName val="5.индик."/>
      <sheetName val="Лист1"/>
    </sheetNames>
    <sheetDataSet>
      <sheetData sheetId="0" refreshError="1"/>
      <sheetData sheetId="1" refreshError="1"/>
      <sheetData sheetId="2" refreshError="1">
        <row r="96">
          <cell r="G96">
            <v>0</v>
          </cell>
          <cell r="Q96">
            <v>0</v>
          </cell>
          <cell r="V96">
            <v>0</v>
          </cell>
          <cell r="AA96">
            <v>0</v>
          </cell>
        </row>
        <row r="215">
          <cell r="G215">
            <v>0</v>
          </cell>
          <cell r="L215">
            <v>0</v>
          </cell>
          <cell r="Q215">
            <v>0</v>
          </cell>
          <cell r="AA215">
            <v>0</v>
          </cell>
        </row>
        <row r="216">
          <cell r="G216">
            <v>0</v>
          </cell>
          <cell r="L216">
            <v>0</v>
          </cell>
          <cell r="Q216">
            <v>0</v>
          </cell>
          <cell r="AA216">
            <v>0</v>
          </cell>
        </row>
        <row r="217">
          <cell r="G217">
            <v>0</v>
          </cell>
          <cell r="L217">
            <v>0</v>
          </cell>
          <cell r="Q217">
            <v>0</v>
          </cell>
          <cell r="AA217">
            <v>0</v>
          </cell>
        </row>
        <row r="218">
          <cell r="G218">
            <v>0</v>
          </cell>
          <cell r="L218">
            <v>0</v>
          </cell>
          <cell r="Q218">
            <v>0</v>
          </cell>
          <cell r="AA218">
            <v>0</v>
          </cell>
        </row>
        <row r="219">
          <cell r="G219">
            <v>0</v>
          </cell>
          <cell r="L219">
            <v>0</v>
          </cell>
          <cell r="Q219">
            <v>0</v>
          </cell>
          <cell r="AA219">
            <v>0</v>
          </cell>
        </row>
        <row r="220">
          <cell r="G220">
            <v>0</v>
          </cell>
          <cell r="L220">
            <v>0</v>
          </cell>
          <cell r="Q220">
            <v>0</v>
          </cell>
          <cell r="AA220">
            <v>0</v>
          </cell>
        </row>
        <row r="221">
          <cell r="G221">
            <v>0</v>
          </cell>
          <cell r="L221">
            <v>0</v>
          </cell>
          <cell r="Q221">
            <v>0</v>
          </cell>
          <cell r="AA221">
            <v>0</v>
          </cell>
        </row>
        <row r="222">
          <cell r="G222">
            <v>0</v>
          </cell>
          <cell r="L222">
            <v>0</v>
          </cell>
          <cell r="Q222">
            <v>0</v>
          </cell>
          <cell r="AA222">
            <v>0</v>
          </cell>
        </row>
        <row r="223">
          <cell r="G223">
            <v>0</v>
          </cell>
          <cell r="L223">
            <v>0</v>
          </cell>
          <cell r="Q223">
            <v>0</v>
          </cell>
          <cell r="AA223">
            <v>0</v>
          </cell>
        </row>
        <row r="224">
          <cell r="G224">
            <v>0</v>
          </cell>
          <cell r="L224">
            <v>0</v>
          </cell>
          <cell r="Q224">
            <v>0</v>
          </cell>
          <cell r="AA224">
            <v>0</v>
          </cell>
        </row>
        <row r="225">
          <cell r="G225">
            <v>0</v>
          </cell>
          <cell r="L225">
            <v>0</v>
          </cell>
          <cell r="Q225">
            <v>0</v>
          </cell>
          <cell r="AA225">
            <v>0</v>
          </cell>
        </row>
        <row r="226">
          <cell r="G226">
            <v>0</v>
          </cell>
          <cell r="L226">
            <v>0</v>
          </cell>
          <cell r="Q226">
            <v>0</v>
          </cell>
          <cell r="AA226">
            <v>0</v>
          </cell>
        </row>
        <row r="227">
          <cell r="G227">
            <v>0</v>
          </cell>
          <cell r="L227">
            <v>0</v>
          </cell>
          <cell r="Q227">
            <v>0</v>
          </cell>
          <cell r="AA227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еч.рез."/>
      <sheetName val="1.переченьПБДД"/>
      <sheetName val="2.переченьМРАД"/>
      <sheetName val="3.меропр."/>
      <sheetName val="4.индик."/>
    </sheetNames>
    <sheetDataSet>
      <sheetData sheetId="0"/>
      <sheetData sheetId="1"/>
      <sheetData sheetId="2">
        <row r="510">
          <cell r="M510">
            <v>0</v>
          </cell>
          <cell r="R510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7"/>
  <sheetViews>
    <sheetView view="pageBreakPreview" topLeftCell="A16" zoomScale="110" zoomScaleNormal="85" zoomScaleSheetLayoutView="110" zoomScalePageLayoutView="130" workbookViewId="0">
      <selection activeCell="H30" sqref="H30"/>
    </sheetView>
  </sheetViews>
  <sheetFormatPr defaultColWidth="9.140625" defaultRowHeight="12.75" x14ac:dyDescent="0.2"/>
  <cols>
    <col min="1" max="1" width="4.85546875" style="15" customWidth="1"/>
    <col min="2" max="2" width="35.140625" style="15" customWidth="1"/>
    <col min="3" max="3" width="11.5703125" style="15" customWidth="1"/>
    <col min="4" max="4" width="8.85546875" style="15"/>
    <col min="5" max="6" width="10.85546875" style="15" customWidth="1"/>
    <col min="7" max="7" width="11.5703125" style="15" customWidth="1"/>
    <col min="8" max="8" width="11" style="15" customWidth="1"/>
    <col min="9" max="9" width="12.42578125" style="15" customWidth="1"/>
    <col min="10" max="10" width="18.5703125" style="15" customWidth="1"/>
    <col min="11" max="16384" width="9.140625" style="15"/>
  </cols>
  <sheetData>
    <row r="1" spans="1:11" ht="84" customHeight="1" x14ac:dyDescent="0.25">
      <c r="E1" s="447" t="s">
        <v>558</v>
      </c>
      <c r="F1" s="447"/>
      <c r="G1" s="447"/>
      <c r="H1" s="447"/>
      <c r="I1" s="447"/>
      <c r="J1" s="16"/>
      <c r="K1" s="16"/>
    </row>
    <row r="2" spans="1:11" ht="40.15" customHeight="1" x14ac:dyDescent="0.2">
      <c r="A2" s="446" t="s">
        <v>288</v>
      </c>
      <c r="B2" s="446"/>
      <c r="C2" s="446"/>
      <c r="D2" s="446"/>
      <c r="E2" s="446"/>
      <c r="F2" s="446"/>
      <c r="G2" s="446"/>
      <c r="H2" s="446"/>
      <c r="I2" s="446"/>
    </row>
    <row r="3" spans="1:11" ht="31.5" customHeight="1" x14ac:dyDescent="0.2">
      <c r="A3" s="453" t="s">
        <v>68</v>
      </c>
      <c r="B3" s="453" t="s">
        <v>170</v>
      </c>
      <c r="C3" s="453" t="s">
        <v>171</v>
      </c>
      <c r="D3" s="453" t="s">
        <v>94</v>
      </c>
      <c r="E3" s="453" t="s">
        <v>172</v>
      </c>
      <c r="F3" s="453"/>
      <c r="G3" s="453"/>
      <c r="H3" s="453"/>
      <c r="I3" s="453"/>
    </row>
    <row r="4" spans="1:11" ht="27" customHeight="1" x14ac:dyDescent="0.2">
      <c r="A4" s="453"/>
      <c r="B4" s="453"/>
      <c r="C4" s="453"/>
      <c r="D4" s="453"/>
      <c r="E4" s="1" t="s">
        <v>484</v>
      </c>
      <c r="F4" s="1" t="s">
        <v>485</v>
      </c>
      <c r="G4" s="1" t="s">
        <v>486</v>
      </c>
      <c r="H4" s="1" t="s">
        <v>487</v>
      </c>
      <c r="I4" s="1" t="s">
        <v>488</v>
      </c>
    </row>
    <row r="5" spans="1:11" ht="15" x14ac:dyDescent="0.2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5">
        <v>6</v>
      </c>
      <c r="G5" s="65">
        <v>7</v>
      </c>
      <c r="H5" s="65">
        <v>8</v>
      </c>
      <c r="I5" s="65">
        <v>9</v>
      </c>
    </row>
    <row r="6" spans="1:11" ht="61.5" customHeight="1" x14ac:dyDescent="0.2">
      <c r="A6" s="70">
        <v>1</v>
      </c>
      <c r="B6" s="6" t="s">
        <v>187</v>
      </c>
      <c r="C6" s="70" t="s">
        <v>108</v>
      </c>
      <c r="D6" s="70">
        <v>2.5</v>
      </c>
      <c r="E6" s="70">
        <v>2.4500000000000002</v>
      </c>
      <c r="F6" s="67">
        <v>2.4</v>
      </c>
      <c r="G6" s="67">
        <v>2.35</v>
      </c>
      <c r="H6" s="67" t="s">
        <v>97</v>
      </c>
      <c r="I6" s="70" t="s">
        <v>97</v>
      </c>
    </row>
    <row r="7" spans="1:11" ht="45" customHeight="1" x14ac:dyDescent="0.2">
      <c r="A7" s="70">
        <v>2</v>
      </c>
      <c r="B7" s="6" t="s">
        <v>188</v>
      </c>
      <c r="C7" s="70" t="s">
        <v>167</v>
      </c>
      <c r="D7" s="70">
        <v>789</v>
      </c>
      <c r="E7" s="70">
        <v>788</v>
      </c>
      <c r="F7" s="70">
        <v>785</v>
      </c>
      <c r="G7" s="70">
        <v>780</v>
      </c>
      <c r="H7" s="70">
        <v>775</v>
      </c>
      <c r="I7" s="70">
        <v>770</v>
      </c>
    </row>
    <row r="8" spans="1:11" ht="48" customHeight="1" x14ac:dyDescent="0.2">
      <c r="A8" s="70">
        <v>3</v>
      </c>
      <c r="B8" s="6" t="s">
        <v>1330</v>
      </c>
      <c r="C8" s="70" t="s">
        <v>108</v>
      </c>
      <c r="D8" s="70" t="s">
        <v>97</v>
      </c>
      <c r="E8" s="70" t="s">
        <v>97</v>
      </c>
      <c r="F8" s="70" t="s">
        <v>97</v>
      </c>
      <c r="G8" s="70" t="s">
        <v>97</v>
      </c>
      <c r="H8" s="70">
        <v>100</v>
      </c>
      <c r="I8" s="70">
        <v>100</v>
      </c>
    </row>
    <row r="9" spans="1:11" ht="86.25" customHeight="1" x14ac:dyDescent="0.2">
      <c r="A9" s="70">
        <v>4</v>
      </c>
      <c r="B9" s="6" t="s">
        <v>377</v>
      </c>
      <c r="C9" s="70" t="s">
        <v>111</v>
      </c>
      <c r="D9" s="70">
        <v>711.9</v>
      </c>
      <c r="E9" s="12">
        <v>730.5</v>
      </c>
      <c r="F9" s="13">
        <v>755.75</v>
      </c>
      <c r="G9" s="13">
        <f>763.95-3.61+3.44-3.11</f>
        <v>760.67000000000007</v>
      </c>
      <c r="H9" s="13">
        <f>810.3-44.18-1.53+4.25+11.33-7.64</f>
        <v>772.53000000000009</v>
      </c>
      <c r="I9" s="70">
        <f>798.27</f>
        <v>798.27</v>
      </c>
    </row>
    <row r="10" spans="1:11" ht="98.25" customHeight="1" x14ac:dyDescent="0.2">
      <c r="A10" s="70">
        <v>5</v>
      </c>
      <c r="B10" s="6" t="s">
        <v>378</v>
      </c>
      <c r="C10" s="70" t="s">
        <v>108</v>
      </c>
      <c r="D10" s="70" t="s">
        <v>97</v>
      </c>
      <c r="E10" s="67">
        <v>0.35</v>
      </c>
      <c r="F10" s="13">
        <v>0.02</v>
      </c>
      <c r="G10" s="13">
        <f>0+0.19-0.17</f>
        <v>1.999999999999999E-2</v>
      </c>
      <c r="H10" s="13">
        <f>0.18-0.07</f>
        <v>0.10999999999999999</v>
      </c>
      <c r="I10" s="67" t="s">
        <v>97</v>
      </c>
    </row>
    <row r="11" spans="1:11" ht="112.5" customHeight="1" x14ac:dyDescent="0.2">
      <c r="A11" s="70">
        <v>6</v>
      </c>
      <c r="B11" s="6" t="s">
        <v>379</v>
      </c>
      <c r="C11" s="70" t="s">
        <v>108</v>
      </c>
      <c r="D11" s="70" t="s">
        <v>97</v>
      </c>
      <c r="E11" s="67">
        <v>0.1</v>
      </c>
      <c r="F11" s="13">
        <v>0.05</v>
      </c>
      <c r="G11" s="13">
        <f>100/868.09*1.96</f>
        <v>0.22578304092893592</v>
      </c>
      <c r="H11" s="70" t="s">
        <v>97</v>
      </c>
      <c r="I11" s="70" t="s">
        <v>97</v>
      </c>
    </row>
    <row r="12" spans="1:11" ht="112.5" customHeight="1" x14ac:dyDescent="0.2">
      <c r="A12" s="70">
        <v>7</v>
      </c>
      <c r="B12" s="6" t="s">
        <v>380</v>
      </c>
      <c r="C12" s="70" t="s">
        <v>108</v>
      </c>
      <c r="D12" s="70" t="s">
        <v>97</v>
      </c>
      <c r="E12" s="67">
        <v>0.05</v>
      </c>
      <c r="F12" s="13">
        <f>1.41-0.92</f>
        <v>0.48999999999999988</v>
      </c>
      <c r="G12" s="13" t="s">
        <v>97</v>
      </c>
      <c r="H12" s="67">
        <v>0.49</v>
      </c>
      <c r="I12" s="67">
        <v>0.49</v>
      </c>
    </row>
    <row r="13" spans="1:11" ht="146.25" customHeight="1" x14ac:dyDescent="0.2">
      <c r="A13" s="70">
        <v>8</v>
      </c>
      <c r="B13" s="6" t="s">
        <v>168</v>
      </c>
      <c r="C13" s="70" t="s">
        <v>108</v>
      </c>
      <c r="D13" s="70">
        <v>43.8</v>
      </c>
      <c r="E13" s="70">
        <v>3</v>
      </c>
      <c r="F13" s="14">
        <v>0.61</v>
      </c>
      <c r="G13" s="14">
        <f>2.34-0.17-0.18</f>
        <v>1.99</v>
      </c>
      <c r="H13" s="70">
        <f>2.16-0.29-0.12</f>
        <v>1.75</v>
      </c>
      <c r="I13" s="70">
        <f>0.78</f>
        <v>0.78</v>
      </c>
    </row>
    <row r="14" spans="1:11" ht="36" customHeight="1" x14ac:dyDescent="0.2">
      <c r="A14" s="70">
        <v>9</v>
      </c>
      <c r="B14" s="6" t="s">
        <v>169</v>
      </c>
      <c r="C14" s="70" t="s">
        <v>108</v>
      </c>
      <c r="D14" s="70">
        <v>40</v>
      </c>
      <c r="E14" s="70">
        <v>45</v>
      </c>
      <c r="F14" s="70">
        <v>49</v>
      </c>
      <c r="G14" s="70">
        <v>50</v>
      </c>
      <c r="H14" s="70">
        <v>55</v>
      </c>
      <c r="I14" s="70">
        <v>60</v>
      </c>
    </row>
    <row r="15" spans="1:11" ht="48.75" customHeight="1" x14ac:dyDescent="0.2">
      <c r="A15" s="70">
        <v>10</v>
      </c>
      <c r="B15" s="6" t="s">
        <v>174</v>
      </c>
      <c r="C15" s="70" t="s">
        <v>108</v>
      </c>
      <c r="D15" s="70">
        <v>20.5</v>
      </c>
      <c r="E15" s="70">
        <v>38.700000000000003</v>
      </c>
      <c r="F15" s="70">
        <v>18.8</v>
      </c>
      <c r="G15" s="70">
        <f>24.2+4.7-3.6</f>
        <v>25.299999999999997</v>
      </c>
      <c r="H15" s="70">
        <f>24.2+4.7</f>
        <v>28.9</v>
      </c>
      <c r="I15" s="70">
        <v>38.200000000000003</v>
      </c>
    </row>
    <row r="16" spans="1:11" ht="41.25" customHeight="1" x14ac:dyDescent="0.2">
      <c r="A16" s="70">
        <v>11</v>
      </c>
      <c r="B16" s="6" t="s">
        <v>175</v>
      </c>
      <c r="C16" s="70" t="s">
        <v>108</v>
      </c>
      <c r="D16" s="70">
        <v>77.5</v>
      </c>
      <c r="E16" s="70">
        <v>50.6</v>
      </c>
      <c r="F16" s="70">
        <v>54.8</v>
      </c>
      <c r="G16" s="70">
        <f>54.8+2.6</f>
        <v>57.4</v>
      </c>
      <c r="H16" s="70">
        <f>54.8+2.6</f>
        <v>57.4</v>
      </c>
      <c r="I16" s="70">
        <v>13.7</v>
      </c>
    </row>
    <row r="17" spans="1:9" ht="59.25" customHeight="1" x14ac:dyDescent="0.2">
      <c r="A17" s="70">
        <v>12</v>
      </c>
      <c r="B17" s="6" t="s">
        <v>1371</v>
      </c>
      <c r="C17" s="70" t="s">
        <v>108</v>
      </c>
      <c r="D17" s="70">
        <v>90.1</v>
      </c>
      <c r="E17" s="12">
        <v>94</v>
      </c>
      <c r="F17" s="12">
        <v>95.1</v>
      </c>
      <c r="G17" s="12">
        <f>95.4+0.4-0.2</f>
        <v>95.600000000000009</v>
      </c>
      <c r="H17" s="12">
        <f>95.4+0.4</f>
        <v>95.800000000000011</v>
      </c>
      <c r="I17" s="12">
        <v>96.9</v>
      </c>
    </row>
    <row r="18" spans="1:9" ht="42" customHeight="1" x14ac:dyDescent="0.2">
      <c r="A18" s="70">
        <v>13</v>
      </c>
      <c r="B18" s="6" t="s">
        <v>176</v>
      </c>
      <c r="C18" s="70" t="s">
        <v>108</v>
      </c>
      <c r="D18" s="70">
        <v>81.3</v>
      </c>
      <c r="E18" s="70">
        <v>82.3</v>
      </c>
      <c r="F18" s="12">
        <v>89</v>
      </c>
      <c r="G18" s="12">
        <f>89+2.2</f>
        <v>91.2</v>
      </c>
      <c r="H18" s="12">
        <f>89+2.2</f>
        <v>91.2</v>
      </c>
      <c r="I18" s="68">
        <v>98</v>
      </c>
    </row>
    <row r="19" spans="1:9" ht="13.5" x14ac:dyDescent="0.25">
      <c r="A19" s="451" t="s">
        <v>414</v>
      </c>
      <c r="B19" s="452"/>
      <c r="C19" s="452"/>
      <c r="D19" s="452"/>
      <c r="E19" s="452"/>
      <c r="F19" s="452"/>
      <c r="G19" s="452"/>
      <c r="H19" s="452"/>
      <c r="I19" s="452"/>
    </row>
    <row r="20" spans="1:9" ht="39.75" customHeight="1" x14ac:dyDescent="0.2">
      <c r="A20" s="70">
        <v>14</v>
      </c>
      <c r="B20" s="11" t="s">
        <v>173</v>
      </c>
      <c r="C20" s="70" t="s">
        <v>1334</v>
      </c>
      <c r="D20" s="12">
        <v>1115.1470999999999</v>
      </c>
      <c r="E20" s="70">
        <v>1115.5</v>
      </c>
      <c r="F20" s="12">
        <v>1115.75</v>
      </c>
      <c r="G20" s="12">
        <v>1116</v>
      </c>
      <c r="H20" s="12">
        <v>1116.25</v>
      </c>
      <c r="I20" s="70">
        <v>1116.5</v>
      </c>
    </row>
    <row r="21" spans="1:9" ht="29.25" customHeight="1" x14ac:dyDescent="0.25">
      <c r="A21" s="448" t="s">
        <v>1505</v>
      </c>
      <c r="B21" s="449"/>
      <c r="C21" s="449"/>
      <c r="D21" s="449"/>
      <c r="E21" s="449"/>
      <c r="F21" s="449"/>
      <c r="G21" s="449"/>
      <c r="H21" s="449"/>
      <c r="I21" s="450"/>
    </row>
    <row r="22" spans="1:9" ht="49.5" customHeight="1" x14ac:dyDescent="0.2">
      <c r="A22" s="70">
        <v>15</v>
      </c>
      <c r="B22" s="6" t="s">
        <v>179</v>
      </c>
      <c r="C22" s="70" t="s">
        <v>108</v>
      </c>
      <c r="D22" s="12" t="s">
        <v>97</v>
      </c>
      <c r="E22" s="12">
        <v>74.66</v>
      </c>
      <c r="F22" s="12">
        <f>80.1+0.6</f>
        <v>80.699999999999989</v>
      </c>
      <c r="G22" s="67">
        <f>84.14+0.22-0.22</f>
        <v>84.14</v>
      </c>
      <c r="H22" s="12">
        <v>92.3</v>
      </c>
      <c r="I22" s="12">
        <v>85</v>
      </c>
    </row>
    <row r="23" spans="1:9" ht="55.5" customHeight="1" x14ac:dyDescent="0.2">
      <c r="A23" s="70">
        <v>16</v>
      </c>
      <c r="B23" s="6" t="s">
        <v>606</v>
      </c>
      <c r="C23" s="70" t="s">
        <v>108</v>
      </c>
      <c r="D23" s="70" t="s">
        <v>97</v>
      </c>
      <c r="E23" s="70">
        <v>10</v>
      </c>
      <c r="F23" s="70">
        <v>20</v>
      </c>
      <c r="G23" s="70">
        <v>30</v>
      </c>
      <c r="H23" s="70">
        <v>100</v>
      </c>
      <c r="I23" s="70" t="s">
        <v>97</v>
      </c>
    </row>
    <row r="24" spans="1:9" ht="49.5" customHeight="1" x14ac:dyDescent="0.2">
      <c r="A24" s="70">
        <v>17</v>
      </c>
      <c r="B24" s="6" t="s">
        <v>328</v>
      </c>
      <c r="C24" s="70" t="s">
        <v>108</v>
      </c>
      <c r="D24" s="70" t="s">
        <v>97</v>
      </c>
      <c r="E24" s="70">
        <v>62</v>
      </c>
      <c r="F24" s="70">
        <v>64</v>
      </c>
      <c r="G24" s="70">
        <v>66</v>
      </c>
      <c r="H24" s="70">
        <v>100</v>
      </c>
      <c r="I24" s="70" t="s">
        <v>97</v>
      </c>
    </row>
    <row r="25" spans="1:9" ht="46.5" customHeight="1" x14ac:dyDescent="0.2">
      <c r="A25" s="70">
        <v>18</v>
      </c>
      <c r="B25" s="6" t="s">
        <v>607</v>
      </c>
      <c r="C25" s="70" t="s">
        <v>108</v>
      </c>
      <c r="D25" s="70" t="s">
        <v>97</v>
      </c>
      <c r="E25" s="70" t="s">
        <v>97</v>
      </c>
      <c r="F25" s="70" t="s">
        <v>97</v>
      </c>
      <c r="G25" s="70" t="s">
        <v>97</v>
      </c>
      <c r="H25" s="70">
        <v>2.67</v>
      </c>
      <c r="I25" s="67">
        <v>4</v>
      </c>
    </row>
    <row r="26" spans="1:9" ht="30.75" customHeight="1" x14ac:dyDescent="0.2"/>
    <row r="27" spans="1:9" ht="27" customHeight="1" x14ac:dyDescent="0.2">
      <c r="D27" s="4"/>
      <c r="E27" s="4"/>
    </row>
  </sheetData>
  <mergeCells count="9">
    <mergeCell ref="A2:I2"/>
    <mergeCell ref="E1:I1"/>
    <mergeCell ref="A21:I21"/>
    <mergeCell ref="A19:I19"/>
    <mergeCell ref="A3:A4"/>
    <mergeCell ref="B3:B4"/>
    <mergeCell ref="C3:C4"/>
    <mergeCell ref="D3:D4"/>
    <mergeCell ref="E3:I3"/>
  </mergeCells>
  <pageMargins left="0.70866141732283472" right="0.11811023622047245" top="0.74803149606299213" bottom="0.74803149606299213" header="0.31496062992125984" footer="0.31496062992125984"/>
  <pageSetup paperSize="9" scale="82" firstPageNumber="9" fitToHeight="0" orientation="portrait" useFirstPageNumber="1" r:id="rId1"/>
  <headerFooter>
    <oddHeader>&amp;C&amp;P</oddHeader>
  </headerFooter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7"/>
  <sheetViews>
    <sheetView view="pageBreakPreview" topLeftCell="A148" zoomScale="90" zoomScaleNormal="50" zoomScaleSheetLayoutView="90" workbookViewId="0">
      <selection activeCell="B168" sqref="B168"/>
    </sheetView>
  </sheetViews>
  <sheetFormatPr defaultColWidth="9.140625" defaultRowHeight="42" customHeight="1" outlineLevelCol="2" x14ac:dyDescent="0.2"/>
  <cols>
    <col min="1" max="1" width="7.85546875" style="94" customWidth="1"/>
    <col min="2" max="2" width="110.7109375" style="95" customWidth="1"/>
    <col min="3" max="3" width="11.140625" style="96" customWidth="1"/>
    <col min="4" max="4" width="16.5703125" style="94" customWidth="1"/>
    <col min="5" max="5" width="10.42578125" style="94" hidden="1" customWidth="1" outlineLevel="1"/>
    <col min="6" max="6" width="11.7109375" style="94" hidden="1" customWidth="1" outlineLevel="1"/>
    <col min="7" max="7" width="13" style="94" hidden="1" customWidth="1" outlineLevel="1"/>
    <col min="8" max="8" width="10.85546875" style="96" customWidth="1" collapsed="1"/>
    <col min="9" max="9" width="15.42578125" style="94" customWidth="1"/>
    <col min="10" max="10" width="10.140625" style="94" hidden="1" customWidth="1" outlineLevel="2"/>
    <col min="11" max="11" width="12.42578125" style="94" hidden="1" customWidth="1" outlineLevel="2"/>
    <col min="12" max="12" width="0.140625" style="94" customWidth="1" outlineLevel="2"/>
    <col min="13" max="13" width="10.7109375" style="96" customWidth="1"/>
    <col min="14" max="14" width="16.7109375" style="94" customWidth="1"/>
    <col min="15" max="15" width="10.28515625" style="94" hidden="1" customWidth="1" outlineLevel="1"/>
    <col min="16" max="16" width="12.5703125" style="94" hidden="1" customWidth="1" outlineLevel="1"/>
    <col min="17" max="17" width="2.140625" style="94" hidden="1" customWidth="1" outlineLevel="1"/>
    <col min="18" max="18" width="12.85546875" style="96" customWidth="1" collapsed="1"/>
    <col min="19" max="19" width="16.85546875" style="94" customWidth="1"/>
    <col min="20" max="20" width="9.5703125" style="94" hidden="1" customWidth="1" outlineLevel="1"/>
    <col min="21" max="21" width="11.28515625" style="94" hidden="1" customWidth="1" outlineLevel="1"/>
    <col min="22" max="22" width="13" style="94" hidden="1" customWidth="1" outlineLevel="1"/>
    <col min="23" max="23" width="12.5703125" style="96" customWidth="1" collapsed="1"/>
    <col min="24" max="24" width="15.85546875" style="94" customWidth="1"/>
    <col min="25" max="25" width="10.42578125" style="94" hidden="1" customWidth="1" outlineLevel="1"/>
    <col min="26" max="26" width="11.42578125" style="94" hidden="1" customWidth="1" outlineLevel="1"/>
    <col min="27" max="27" width="14" style="94" hidden="1" customWidth="1" outlineLevel="1"/>
    <col min="28" max="28" width="11.5703125" style="191" customWidth="1" collapsed="1"/>
    <col min="29" max="29" width="14.5703125" style="94" bestFit="1" customWidth="1"/>
    <col min="30" max="30" width="11" style="94" bestFit="1" customWidth="1"/>
    <col min="31" max="16384" width="9.140625" style="94"/>
  </cols>
  <sheetData>
    <row r="1" spans="1:30" ht="80.25" customHeight="1" x14ac:dyDescent="0.25">
      <c r="S1" s="97"/>
      <c r="T1" s="97" t="s">
        <v>207</v>
      </c>
      <c r="U1" s="97" t="s">
        <v>207</v>
      </c>
      <c r="V1" s="97" t="s">
        <v>207</v>
      </c>
      <c r="W1" s="473" t="s">
        <v>1348</v>
      </c>
      <c r="X1" s="473"/>
      <c r="Y1" s="473"/>
      <c r="Z1" s="473"/>
      <c r="AA1" s="473"/>
      <c r="AB1" s="473"/>
    </row>
    <row r="2" spans="1:30" s="100" customFormat="1" ht="118.5" customHeight="1" x14ac:dyDescent="0.25">
      <c r="A2" s="98"/>
      <c r="B2" s="98"/>
      <c r="C2" s="99"/>
      <c r="H2" s="101"/>
      <c r="I2" s="102"/>
      <c r="J2" s="102"/>
      <c r="K2" s="102"/>
      <c r="L2" s="102"/>
      <c r="M2" s="94"/>
      <c r="N2" s="94"/>
      <c r="O2" s="103"/>
      <c r="P2" s="94"/>
      <c r="Q2" s="94"/>
      <c r="R2" s="94"/>
      <c r="S2" s="104"/>
      <c r="T2" s="104" t="s">
        <v>129</v>
      </c>
      <c r="U2" s="104" t="s">
        <v>129</v>
      </c>
      <c r="V2" s="104" t="s">
        <v>129</v>
      </c>
      <c r="W2" s="474" t="s">
        <v>385</v>
      </c>
      <c r="X2" s="474"/>
      <c r="Y2" s="474"/>
      <c r="Z2" s="474"/>
      <c r="AA2" s="474"/>
      <c r="AB2" s="474"/>
    </row>
    <row r="3" spans="1:30" ht="55.5" customHeight="1" x14ac:dyDescent="0.35">
      <c r="A3" s="105"/>
      <c r="B3" s="476" t="s">
        <v>1378</v>
      </c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7"/>
      <c r="S3" s="477"/>
      <c r="T3" s="477"/>
      <c r="U3" s="477"/>
      <c r="V3" s="477"/>
      <c r="W3" s="477"/>
      <c r="X3" s="477"/>
      <c r="Y3" s="477"/>
      <c r="Z3" s="477"/>
      <c r="AA3" s="477"/>
      <c r="AB3" s="477"/>
    </row>
    <row r="4" spans="1:30" ht="27.6" customHeight="1" x14ac:dyDescent="0.2">
      <c r="A4" s="484" t="s">
        <v>68</v>
      </c>
      <c r="B4" s="485" t="s">
        <v>90</v>
      </c>
      <c r="C4" s="487" t="s">
        <v>89</v>
      </c>
      <c r="D4" s="487"/>
      <c r="E4" s="487"/>
      <c r="F4" s="487"/>
      <c r="G4" s="487"/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  <c r="T4" s="488"/>
      <c r="U4" s="488"/>
      <c r="V4" s="488"/>
      <c r="W4" s="488"/>
      <c r="X4" s="488"/>
      <c r="Y4" s="488"/>
      <c r="Z4" s="488"/>
      <c r="AA4" s="488"/>
      <c r="AB4" s="478" t="s">
        <v>64</v>
      </c>
    </row>
    <row r="5" spans="1:30" ht="27.6" customHeight="1" x14ac:dyDescent="0.2">
      <c r="A5" s="484"/>
      <c r="B5" s="486"/>
      <c r="C5" s="475" t="s">
        <v>63</v>
      </c>
      <c r="D5" s="475"/>
      <c r="E5" s="475"/>
      <c r="F5" s="475"/>
      <c r="G5" s="475"/>
      <c r="H5" s="475" t="s">
        <v>62</v>
      </c>
      <c r="I5" s="475"/>
      <c r="J5" s="475"/>
      <c r="K5" s="475"/>
      <c r="L5" s="475"/>
      <c r="M5" s="475" t="s">
        <v>61</v>
      </c>
      <c r="N5" s="475"/>
      <c r="O5" s="475"/>
      <c r="P5" s="475"/>
      <c r="Q5" s="475"/>
      <c r="R5" s="475" t="s">
        <v>60</v>
      </c>
      <c r="S5" s="475"/>
      <c r="T5" s="475"/>
      <c r="U5" s="475"/>
      <c r="V5" s="475"/>
      <c r="W5" s="475" t="s">
        <v>59</v>
      </c>
      <c r="X5" s="475"/>
      <c r="Y5" s="475"/>
      <c r="Z5" s="475"/>
      <c r="AA5" s="475"/>
      <c r="AB5" s="478"/>
    </row>
    <row r="6" spans="1:30" ht="24.6" customHeight="1" x14ac:dyDescent="0.2">
      <c r="A6" s="484"/>
      <c r="B6" s="486"/>
      <c r="C6" s="106" t="s">
        <v>58</v>
      </c>
      <c r="D6" s="107" t="s">
        <v>87</v>
      </c>
      <c r="E6" s="107" t="s">
        <v>57</v>
      </c>
      <c r="F6" s="107" t="s">
        <v>56</v>
      </c>
      <c r="G6" s="107" t="s">
        <v>55</v>
      </c>
      <c r="H6" s="106" t="s">
        <v>58</v>
      </c>
      <c r="I6" s="107" t="s">
        <v>87</v>
      </c>
      <c r="J6" s="107" t="s">
        <v>57</v>
      </c>
      <c r="K6" s="107" t="s">
        <v>56</v>
      </c>
      <c r="L6" s="107" t="s">
        <v>55</v>
      </c>
      <c r="M6" s="106" t="s">
        <v>58</v>
      </c>
      <c r="N6" s="107" t="s">
        <v>87</v>
      </c>
      <c r="O6" s="107" t="s">
        <v>57</v>
      </c>
      <c r="P6" s="107" t="s">
        <v>56</v>
      </c>
      <c r="Q6" s="107" t="s">
        <v>55</v>
      </c>
      <c r="R6" s="106" t="s">
        <v>58</v>
      </c>
      <c r="S6" s="107" t="s">
        <v>87</v>
      </c>
      <c r="T6" s="107" t="s">
        <v>57</v>
      </c>
      <c r="U6" s="107" t="s">
        <v>56</v>
      </c>
      <c r="V6" s="107" t="s">
        <v>55</v>
      </c>
      <c r="W6" s="106" t="s">
        <v>58</v>
      </c>
      <c r="X6" s="107" t="s">
        <v>87</v>
      </c>
      <c r="Y6" s="107" t="s">
        <v>57</v>
      </c>
      <c r="Z6" s="107" t="s">
        <v>56</v>
      </c>
      <c r="AA6" s="107" t="s">
        <v>55</v>
      </c>
      <c r="AB6" s="478"/>
    </row>
    <row r="7" spans="1:30" s="109" customFormat="1" ht="21.6" customHeight="1" x14ac:dyDescent="0.2">
      <c r="A7" s="108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8">
        <v>7</v>
      </c>
      <c r="H7" s="108">
        <v>5</v>
      </c>
      <c r="I7" s="108">
        <v>6</v>
      </c>
      <c r="J7" s="108">
        <v>10</v>
      </c>
      <c r="K7" s="108">
        <v>11</v>
      </c>
      <c r="L7" s="108">
        <v>12</v>
      </c>
      <c r="M7" s="108">
        <v>7</v>
      </c>
      <c r="N7" s="108">
        <v>8</v>
      </c>
      <c r="O7" s="108">
        <v>15</v>
      </c>
      <c r="P7" s="108">
        <v>16</v>
      </c>
      <c r="Q7" s="108">
        <v>17</v>
      </c>
      <c r="R7" s="108">
        <v>9</v>
      </c>
      <c r="S7" s="108">
        <v>10</v>
      </c>
      <c r="T7" s="108">
        <v>20</v>
      </c>
      <c r="U7" s="108">
        <v>21</v>
      </c>
      <c r="V7" s="108">
        <v>22</v>
      </c>
      <c r="W7" s="108">
        <v>11</v>
      </c>
      <c r="X7" s="108">
        <v>12</v>
      </c>
      <c r="Y7" s="108">
        <v>25</v>
      </c>
      <c r="Z7" s="108">
        <v>26</v>
      </c>
      <c r="AA7" s="108">
        <v>27</v>
      </c>
      <c r="AB7" s="108">
        <v>13</v>
      </c>
    </row>
    <row r="8" spans="1:30" s="109" customFormat="1" ht="29.25" customHeight="1" x14ac:dyDescent="0.2">
      <c r="A8" s="481" t="s">
        <v>632</v>
      </c>
      <c r="B8" s="482"/>
      <c r="C8" s="482"/>
      <c r="D8" s="482"/>
      <c r="E8" s="482"/>
      <c r="F8" s="482"/>
      <c r="G8" s="482"/>
      <c r="H8" s="482"/>
      <c r="I8" s="482"/>
      <c r="J8" s="482"/>
      <c r="K8" s="482"/>
      <c r="L8" s="482"/>
      <c r="M8" s="482"/>
      <c r="N8" s="482"/>
      <c r="O8" s="482"/>
      <c r="P8" s="482"/>
      <c r="Q8" s="482"/>
      <c r="R8" s="482"/>
      <c r="S8" s="482"/>
      <c r="T8" s="482"/>
      <c r="U8" s="482"/>
      <c r="V8" s="482"/>
      <c r="W8" s="482"/>
      <c r="X8" s="482"/>
      <c r="Y8" s="482"/>
      <c r="Z8" s="482"/>
      <c r="AA8" s="482"/>
      <c r="AB8" s="483"/>
      <c r="AC8" s="110"/>
      <c r="AD8" s="110"/>
    </row>
    <row r="9" spans="1:30" s="109" customFormat="1" ht="34.5" customHeight="1" x14ac:dyDescent="0.2">
      <c r="A9" s="111" t="s">
        <v>1</v>
      </c>
      <c r="B9" s="466" t="s">
        <v>426</v>
      </c>
      <c r="C9" s="467"/>
      <c r="D9" s="467"/>
      <c r="E9" s="467"/>
      <c r="F9" s="467"/>
      <c r="G9" s="467"/>
      <c r="H9" s="467"/>
      <c r="I9" s="467"/>
      <c r="J9" s="467"/>
      <c r="K9" s="467"/>
      <c r="L9" s="467"/>
      <c r="M9" s="467"/>
      <c r="N9" s="467"/>
      <c r="O9" s="467"/>
      <c r="P9" s="467"/>
      <c r="Q9" s="467"/>
      <c r="R9" s="467"/>
      <c r="S9" s="467"/>
      <c r="T9" s="467"/>
      <c r="U9" s="467"/>
      <c r="V9" s="467"/>
      <c r="W9" s="467"/>
      <c r="X9" s="467"/>
      <c r="Y9" s="467"/>
      <c r="Z9" s="467"/>
      <c r="AA9" s="467"/>
      <c r="AB9" s="467"/>
      <c r="AC9" s="112"/>
      <c r="AD9" s="113"/>
    </row>
    <row r="10" spans="1:30" s="117" customFormat="1" ht="13.9" customHeight="1" x14ac:dyDescent="0.2">
      <c r="A10" s="489" t="s">
        <v>7</v>
      </c>
      <c r="B10" s="114" t="s">
        <v>342</v>
      </c>
      <c r="C10" s="459">
        <f>D10+E10+F10+G10</f>
        <v>67429</v>
      </c>
      <c r="D10" s="454">
        <v>67429</v>
      </c>
      <c r="E10" s="115">
        <v>0</v>
      </c>
      <c r="F10" s="115">
        <v>0</v>
      </c>
      <c r="G10" s="115">
        <v>0</v>
      </c>
      <c r="H10" s="459">
        <f>I10+J10+K10+L10</f>
        <v>19781</v>
      </c>
      <c r="I10" s="454">
        <f>6885+12896</f>
        <v>19781</v>
      </c>
      <c r="J10" s="115">
        <v>0</v>
      </c>
      <c r="K10" s="115">
        <v>0</v>
      </c>
      <c r="L10" s="115">
        <v>0</v>
      </c>
      <c r="M10" s="459">
        <f>N10</f>
        <v>757</v>
      </c>
      <c r="N10" s="454">
        <f>30758-12896-17501-30+426</f>
        <v>757</v>
      </c>
      <c r="O10" s="116">
        <v>0</v>
      </c>
      <c r="P10" s="116">
        <v>0</v>
      </c>
      <c r="Q10" s="116">
        <v>0</v>
      </c>
      <c r="R10" s="459">
        <f>S10</f>
        <v>20213</v>
      </c>
      <c r="S10" s="454">
        <f>30758-22399-1128-23+13546-541</f>
        <v>20213</v>
      </c>
      <c r="T10" s="115">
        <v>0</v>
      </c>
      <c r="U10" s="115">
        <v>0</v>
      </c>
      <c r="V10" s="115">
        <v>0</v>
      </c>
      <c r="W10" s="459">
        <f>X10</f>
        <v>78215</v>
      </c>
      <c r="X10" s="454">
        <f>34182+3431+38092+4355-1980-951+1284-198</f>
        <v>78215</v>
      </c>
      <c r="Y10" s="115">
        <v>0</v>
      </c>
      <c r="Z10" s="115">
        <v>0</v>
      </c>
      <c r="AA10" s="115">
        <v>0</v>
      </c>
      <c r="AB10" s="459">
        <f>C10+H10+M10+R10+W10</f>
        <v>186395</v>
      </c>
    </row>
    <row r="11" spans="1:30" s="117" customFormat="1" ht="15.75" customHeight="1" x14ac:dyDescent="0.2">
      <c r="A11" s="489"/>
      <c r="B11" s="118" t="s">
        <v>137</v>
      </c>
      <c r="C11" s="457"/>
      <c r="D11" s="455"/>
      <c r="E11" s="115"/>
      <c r="F11" s="115"/>
      <c r="G11" s="115"/>
      <c r="H11" s="457"/>
      <c r="I11" s="455"/>
      <c r="J11" s="115"/>
      <c r="K11" s="115"/>
      <c r="L11" s="115"/>
      <c r="M11" s="457"/>
      <c r="N11" s="455"/>
      <c r="O11" s="116"/>
      <c r="P11" s="116"/>
      <c r="Q11" s="116"/>
      <c r="R11" s="457"/>
      <c r="S11" s="455">
        <f t="shared" ref="S11:S33" si="0">30758-22399</f>
        <v>8359</v>
      </c>
      <c r="T11" s="115"/>
      <c r="U11" s="115"/>
      <c r="V11" s="115"/>
      <c r="W11" s="457"/>
      <c r="X11" s="455">
        <v>34182</v>
      </c>
      <c r="Y11" s="115"/>
      <c r="Z11" s="115"/>
      <c r="AA11" s="115"/>
      <c r="AB11" s="457"/>
    </row>
    <row r="12" spans="1:30" s="117" customFormat="1" ht="13.9" customHeight="1" x14ac:dyDescent="0.2">
      <c r="A12" s="489"/>
      <c r="B12" s="119" t="s">
        <v>139</v>
      </c>
      <c r="C12" s="457"/>
      <c r="D12" s="455"/>
      <c r="E12" s="115"/>
      <c r="F12" s="115"/>
      <c r="G12" s="115"/>
      <c r="H12" s="457"/>
      <c r="I12" s="455"/>
      <c r="J12" s="115"/>
      <c r="K12" s="115"/>
      <c r="L12" s="115"/>
      <c r="M12" s="457"/>
      <c r="N12" s="455"/>
      <c r="O12" s="116"/>
      <c r="P12" s="116"/>
      <c r="Q12" s="116"/>
      <c r="R12" s="457"/>
      <c r="S12" s="455">
        <f t="shared" si="0"/>
        <v>8359</v>
      </c>
      <c r="T12" s="115"/>
      <c r="U12" s="115"/>
      <c r="V12" s="115"/>
      <c r="W12" s="457"/>
      <c r="X12" s="455">
        <v>34182</v>
      </c>
      <c r="Y12" s="115"/>
      <c r="Z12" s="115"/>
      <c r="AA12" s="115"/>
      <c r="AB12" s="457"/>
    </row>
    <row r="13" spans="1:30" s="117" customFormat="1" ht="13.9" customHeight="1" x14ac:dyDescent="0.2">
      <c r="A13" s="489"/>
      <c r="B13" s="119" t="s">
        <v>140</v>
      </c>
      <c r="C13" s="457"/>
      <c r="D13" s="455"/>
      <c r="E13" s="115"/>
      <c r="F13" s="115"/>
      <c r="G13" s="115"/>
      <c r="H13" s="457"/>
      <c r="I13" s="455"/>
      <c r="J13" s="115"/>
      <c r="K13" s="115"/>
      <c r="L13" s="115"/>
      <c r="M13" s="457"/>
      <c r="N13" s="455"/>
      <c r="O13" s="116"/>
      <c r="P13" s="116"/>
      <c r="Q13" s="116"/>
      <c r="R13" s="457"/>
      <c r="S13" s="455">
        <f t="shared" si="0"/>
        <v>8359</v>
      </c>
      <c r="T13" s="115"/>
      <c r="U13" s="115"/>
      <c r="V13" s="115"/>
      <c r="W13" s="457"/>
      <c r="X13" s="455">
        <v>34182</v>
      </c>
      <c r="Y13" s="115"/>
      <c r="Z13" s="115"/>
      <c r="AA13" s="115"/>
      <c r="AB13" s="457"/>
    </row>
    <row r="14" spans="1:30" s="117" customFormat="1" ht="13.9" customHeight="1" x14ac:dyDescent="0.2">
      <c r="A14" s="489"/>
      <c r="B14" s="119" t="s">
        <v>141</v>
      </c>
      <c r="C14" s="457"/>
      <c r="D14" s="455"/>
      <c r="E14" s="115"/>
      <c r="F14" s="115"/>
      <c r="G14" s="115"/>
      <c r="H14" s="457"/>
      <c r="I14" s="455"/>
      <c r="J14" s="115"/>
      <c r="K14" s="115"/>
      <c r="L14" s="115"/>
      <c r="M14" s="457"/>
      <c r="N14" s="455"/>
      <c r="O14" s="116"/>
      <c r="P14" s="116"/>
      <c r="Q14" s="116"/>
      <c r="R14" s="457"/>
      <c r="S14" s="455">
        <f t="shared" si="0"/>
        <v>8359</v>
      </c>
      <c r="T14" s="115"/>
      <c r="U14" s="115"/>
      <c r="V14" s="115"/>
      <c r="W14" s="457"/>
      <c r="X14" s="455">
        <v>34182</v>
      </c>
      <c r="Y14" s="115"/>
      <c r="Z14" s="115"/>
      <c r="AA14" s="115"/>
      <c r="AB14" s="457"/>
    </row>
    <row r="15" spans="1:30" s="117" customFormat="1" ht="13.9" customHeight="1" x14ac:dyDescent="0.2">
      <c r="A15" s="489"/>
      <c r="B15" s="119" t="s">
        <v>142</v>
      </c>
      <c r="C15" s="457"/>
      <c r="D15" s="455"/>
      <c r="E15" s="115"/>
      <c r="F15" s="115"/>
      <c r="G15" s="115"/>
      <c r="H15" s="457"/>
      <c r="I15" s="455"/>
      <c r="J15" s="115"/>
      <c r="K15" s="115"/>
      <c r="L15" s="115"/>
      <c r="M15" s="457"/>
      <c r="N15" s="455"/>
      <c r="O15" s="116"/>
      <c r="P15" s="116"/>
      <c r="Q15" s="116"/>
      <c r="R15" s="457"/>
      <c r="S15" s="455">
        <f t="shared" si="0"/>
        <v>8359</v>
      </c>
      <c r="T15" s="115"/>
      <c r="U15" s="115"/>
      <c r="V15" s="115"/>
      <c r="W15" s="457"/>
      <c r="X15" s="455">
        <v>34182</v>
      </c>
      <c r="Y15" s="115"/>
      <c r="Z15" s="115"/>
      <c r="AA15" s="115"/>
      <c r="AB15" s="457"/>
    </row>
    <row r="16" spans="1:30" s="117" customFormat="1" ht="13.9" customHeight="1" x14ac:dyDescent="0.2">
      <c r="A16" s="489"/>
      <c r="B16" s="119" t="s">
        <v>633</v>
      </c>
      <c r="C16" s="457"/>
      <c r="D16" s="455"/>
      <c r="E16" s="115"/>
      <c r="F16" s="115"/>
      <c r="G16" s="115"/>
      <c r="H16" s="457"/>
      <c r="I16" s="455"/>
      <c r="J16" s="115"/>
      <c r="K16" s="115"/>
      <c r="L16" s="115"/>
      <c r="M16" s="457"/>
      <c r="N16" s="455"/>
      <c r="O16" s="116"/>
      <c r="P16" s="116"/>
      <c r="Q16" s="116"/>
      <c r="R16" s="457"/>
      <c r="S16" s="455">
        <f t="shared" si="0"/>
        <v>8359</v>
      </c>
      <c r="T16" s="115"/>
      <c r="U16" s="115"/>
      <c r="V16" s="115"/>
      <c r="W16" s="457"/>
      <c r="X16" s="455">
        <v>34182</v>
      </c>
      <c r="Y16" s="115"/>
      <c r="Z16" s="115"/>
      <c r="AA16" s="115"/>
      <c r="AB16" s="457"/>
    </row>
    <row r="17" spans="1:28" s="117" customFormat="1" ht="13.9" customHeight="1" x14ac:dyDescent="0.2">
      <c r="A17" s="489"/>
      <c r="B17" s="119" t="s">
        <v>190</v>
      </c>
      <c r="C17" s="457"/>
      <c r="D17" s="455"/>
      <c r="E17" s="115"/>
      <c r="F17" s="115"/>
      <c r="G17" s="115"/>
      <c r="H17" s="457"/>
      <c r="I17" s="455"/>
      <c r="J17" s="115"/>
      <c r="K17" s="115"/>
      <c r="L17" s="115"/>
      <c r="M17" s="457"/>
      <c r="N17" s="455"/>
      <c r="O17" s="116"/>
      <c r="P17" s="116"/>
      <c r="Q17" s="116"/>
      <c r="R17" s="457"/>
      <c r="S17" s="455">
        <f t="shared" si="0"/>
        <v>8359</v>
      </c>
      <c r="T17" s="115"/>
      <c r="U17" s="115"/>
      <c r="V17" s="115"/>
      <c r="W17" s="457"/>
      <c r="X17" s="455">
        <v>34182</v>
      </c>
      <c r="Y17" s="115"/>
      <c r="Z17" s="115"/>
      <c r="AA17" s="115"/>
      <c r="AB17" s="457"/>
    </row>
    <row r="18" spans="1:28" s="117" customFormat="1" ht="15.75" customHeight="1" x14ac:dyDescent="0.2">
      <c r="A18" s="489"/>
      <c r="B18" s="118" t="s">
        <v>138</v>
      </c>
      <c r="C18" s="457"/>
      <c r="D18" s="455"/>
      <c r="E18" s="115"/>
      <c r="F18" s="115"/>
      <c r="G18" s="115"/>
      <c r="H18" s="457"/>
      <c r="I18" s="455"/>
      <c r="J18" s="115"/>
      <c r="K18" s="115"/>
      <c r="L18" s="115"/>
      <c r="M18" s="457"/>
      <c r="N18" s="455"/>
      <c r="O18" s="116"/>
      <c r="P18" s="116"/>
      <c r="Q18" s="116"/>
      <c r="R18" s="457"/>
      <c r="S18" s="455">
        <f t="shared" si="0"/>
        <v>8359</v>
      </c>
      <c r="T18" s="115"/>
      <c r="U18" s="115"/>
      <c r="V18" s="115"/>
      <c r="W18" s="457"/>
      <c r="X18" s="455">
        <v>34182</v>
      </c>
      <c r="Y18" s="115"/>
      <c r="Z18" s="115"/>
      <c r="AA18" s="115"/>
      <c r="AB18" s="457"/>
    </row>
    <row r="19" spans="1:28" s="117" customFormat="1" ht="17.25" customHeight="1" x14ac:dyDescent="0.2">
      <c r="A19" s="489"/>
      <c r="B19" s="120" t="s">
        <v>356</v>
      </c>
      <c r="C19" s="457"/>
      <c r="D19" s="455"/>
      <c r="E19" s="115"/>
      <c r="F19" s="115"/>
      <c r="G19" s="115"/>
      <c r="H19" s="457"/>
      <c r="I19" s="455"/>
      <c r="J19" s="115"/>
      <c r="K19" s="115"/>
      <c r="L19" s="115"/>
      <c r="M19" s="457"/>
      <c r="N19" s="455"/>
      <c r="O19" s="116"/>
      <c r="P19" s="116"/>
      <c r="Q19" s="116"/>
      <c r="R19" s="457"/>
      <c r="S19" s="455">
        <f t="shared" si="0"/>
        <v>8359</v>
      </c>
      <c r="T19" s="115"/>
      <c r="U19" s="115"/>
      <c r="V19" s="115"/>
      <c r="W19" s="457"/>
      <c r="X19" s="455">
        <v>34182</v>
      </c>
      <c r="Y19" s="115"/>
      <c r="Z19" s="115"/>
      <c r="AA19" s="115"/>
      <c r="AB19" s="457"/>
    </row>
    <row r="20" spans="1:28" s="117" customFormat="1" ht="15.75" customHeight="1" x14ac:dyDescent="0.2">
      <c r="A20" s="489"/>
      <c r="B20" s="121" t="s">
        <v>308</v>
      </c>
      <c r="C20" s="457"/>
      <c r="D20" s="455"/>
      <c r="E20" s="115"/>
      <c r="F20" s="115"/>
      <c r="G20" s="115"/>
      <c r="H20" s="457"/>
      <c r="I20" s="455"/>
      <c r="J20" s="115"/>
      <c r="K20" s="115"/>
      <c r="L20" s="115"/>
      <c r="M20" s="457"/>
      <c r="N20" s="455"/>
      <c r="O20" s="116"/>
      <c r="P20" s="116"/>
      <c r="Q20" s="116"/>
      <c r="R20" s="457"/>
      <c r="S20" s="455">
        <f t="shared" si="0"/>
        <v>8359</v>
      </c>
      <c r="T20" s="115"/>
      <c r="U20" s="115"/>
      <c r="V20" s="115"/>
      <c r="W20" s="457"/>
      <c r="X20" s="455">
        <v>34182</v>
      </c>
      <c r="Y20" s="115"/>
      <c r="Z20" s="115"/>
      <c r="AA20" s="115"/>
      <c r="AB20" s="457"/>
    </row>
    <row r="21" spans="1:28" s="117" customFormat="1" ht="15.75" customHeight="1" x14ac:dyDescent="0.2">
      <c r="A21" s="489"/>
      <c r="B21" s="120" t="s">
        <v>635</v>
      </c>
      <c r="C21" s="457"/>
      <c r="D21" s="455"/>
      <c r="E21" s="122"/>
      <c r="F21" s="122"/>
      <c r="G21" s="122"/>
      <c r="H21" s="457"/>
      <c r="I21" s="455"/>
      <c r="J21" s="122"/>
      <c r="K21" s="122"/>
      <c r="L21" s="122"/>
      <c r="M21" s="457"/>
      <c r="N21" s="455"/>
      <c r="O21" s="123"/>
      <c r="P21" s="123"/>
      <c r="Q21" s="123"/>
      <c r="R21" s="457"/>
      <c r="S21" s="455"/>
      <c r="T21" s="122"/>
      <c r="U21" s="122"/>
      <c r="V21" s="122"/>
      <c r="W21" s="457"/>
      <c r="X21" s="455"/>
      <c r="Y21" s="122"/>
      <c r="Z21" s="122"/>
      <c r="AA21" s="122"/>
      <c r="AB21" s="457"/>
    </row>
    <row r="22" spans="1:28" s="117" customFormat="1" ht="15.75" customHeight="1" x14ac:dyDescent="0.2">
      <c r="A22" s="489"/>
      <c r="B22" s="119" t="s">
        <v>364</v>
      </c>
      <c r="C22" s="457"/>
      <c r="D22" s="455"/>
      <c r="E22" s="122"/>
      <c r="F22" s="122"/>
      <c r="G22" s="122"/>
      <c r="H22" s="457"/>
      <c r="I22" s="455"/>
      <c r="J22" s="122"/>
      <c r="K22" s="122"/>
      <c r="L22" s="122"/>
      <c r="M22" s="457"/>
      <c r="N22" s="455"/>
      <c r="O22" s="123"/>
      <c r="P22" s="123"/>
      <c r="Q22" s="123"/>
      <c r="R22" s="457"/>
      <c r="S22" s="455">
        <f t="shared" si="0"/>
        <v>8359</v>
      </c>
      <c r="T22" s="122"/>
      <c r="U22" s="122"/>
      <c r="V22" s="122"/>
      <c r="W22" s="457"/>
      <c r="X22" s="455">
        <v>34182</v>
      </c>
      <c r="Y22" s="122"/>
      <c r="Z22" s="122"/>
      <c r="AA22" s="122"/>
      <c r="AB22" s="457"/>
    </row>
    <row r="23" spans="1:28" s="117" customFormat="1" ht="15.75" customHeight="1" x14ac:dyDescent="0.2">
      <c r="A23" s="489"/>
      <c r="B23" s="121" t="s">
        <v>357</v>
      </c>
      <c r="C23" s="457"/>
      <c r="D23" s="455"/>
      <c r="E23" s="122"/>
      <c r="F23" s="122"/>
      <c r="G23" s="122"/>
      <c r="H23" s="457"/>
      <c r="I23" s="455"/>
      <c r="J23" s="122"/>
      <c r="K23" s="122"/>
      <c r="L23" s="122"/>
      <c r="M23" s="457"/>
      <c r="N23" s="455"/>
      <c r="O23" s="123"/>
      <c r="P23" s="123"/>
      <c r="Q23" s="123"/>
      <c r="R23" s="457"/>
      <c r="S23" s="455">
        <f t="shared" si="0"/>
        <v>8359</v>
      </c>
      <c r="T23" s="122"/>
      <c r="U23" s="122"/>
      <c r="V23" s="122"/>
      <c r="W23" s="457"/>
      <c r="X23" s="455">
        <v>34182</v>
      </c>
      <c r="Y23" s="122"/>
      <c r="Z23" s="122"/>
      <c r="AA23" s="122"/>
      <c r="AB23" s="457"/>
    </row>
    <row r="24" spans="1:28" s="117" customFormat="1" ht="15.75" customHeight="1" x14ac:dyDescent="0.2">
      <c r="A24" s="489"/>
      <c r="B24" s="120" t="s">
        <v>605</v>
      </c>
      <c r="C24" s="457"/>
      <c r="D24" s="455"/>
      <c r="E24" s="122"/>
      <c r="F24" s="122"/>
      <c r="G24" s="122"/>
      <c r="H24" s="457"/>
      <c r="I24" s="455"/>
      <c r="J24" s="122"/>
      <c r="K24" s="122"/>
      <c r="L24" s="122"/>
      <c r="M24" s="457"/>
      <c r="N24" s="455"/>
      <c r="O24" s="123"/>
      <c r="P24" s="123"/>
      <c r="Q24" s="123"/>
      <c r="R24" s="457"/>
      <c r="S24" s="455"/>
      <c r="T24" s="122"/>
      <c r="U24" s="122"/>
      <c r="V24" s="122"/>
      <c r="W24" s="457"/>
      <c r="X24" s="455"/>
      <c r="Y24" s="122"/>
      <c r="Z24" s="122"/>
      <c r="AA24" s="122"/>
      <c r="AB24" s="457"/>
    </row>
    <row r="25" spans="1:28" s="117" customFormat="1" ht="15.75" customHeight="1" x14ac:dyDescent="0.2">
      <c r="A25" s="489"/>
      <c r="B25" s="120" t="s">
        <v>355</v>
      </c>
      <c r="C25" s="457"/>
      <c r="D25" s="455"/>
      <c r="E25" s="122"/>
      <c r="F25" s="122"/>
      <c r="G25" s="122"/>
      <c r="H25" s="457"/>
      <c r="I25" s="455"/>
      <c r="J25" s="122"/>
      <c r="K25" s="122"/>
      <c r="L25" s="122"/>
      <c r="M25" s="457"/>
      <c r="N25" s="455"/>
      <c r="O25" s="123"/>
      <c r="P25" s="123"/>
      <c r="Q25" s="123"/>
      <c r="R25" s="457"/>
      <c r="S25" s="455"/>
      <c r="T25" s="122"/>
      <c r="U25" s="122"/>
      <c r="V25" s="122"/>
      <c r="W25" s="457"/>
      <c r="X25" s="455"/>
      <c r="Y25" s="122"/>
      <c r="Z25" s="122"/>
      <c r="AA25" s="122"/>
      <c r="AB25" s="457"/>
    </row>
    <row r="26" spans="1:28" s="117" customFormat="1" ht="15.75" customHeight="1" x14ac:dyDescent="0.2">
      <c r="A26" s="489"/>
      <c r="B26" s="119" t="s">
        <v>634</v>
      </c>
      <c r="C26" s="457"/>
      <c r="D26" s="455"/>
      <c r="E26" s="122"/>
      <c r="F26" s="122"/>
      <c r="G26" s="122"/>
      <c r="H26" s="457"/>
      <c r="I26" s="455"/>
      <c r="J26" s="122"/>
      <c r="K26" s="122"/>
      <c r="L26" s="122"/>
      <c r="M26" s="457"/>
      <c r="N26" s="455"/>
      <c r="O26" s="123"/>
      <c r="P26" s="123"/>
      <c r="Q26" s="123"/>
      <c r="R26" s="457"/>
      <c r="S26" s="455"/>
      <c r="T26" s="122"/>
      <c r="U26" s="122"/>
      <c r="V26" s="122"/>
      <c r="W26" s="457"/>
      <c r="X26" s="455"/>
      <c r="Y26" s="122"/>
      <c r="Z26" s="122"/>
      <c r="AA26" s="122"/>
      <c r="AB26" s="457"/>
    </row>
    <row r="27" spans="1:28" s="117" customFormat="1" ht="15.75" customHeight="1" x14ac:dyDescent="0.2">
      <c r="A27" s="489"/>
      <c r="B27" s="121" t="s">
        <v>394</v>
      </c>
      <c r="C27" s="457"/>
      <c r="D27" s="455"/>
      <c r="E27" s="122"/>
      <c r="F27" s="122"/>
      <c r="G27" s="122"/>
      <c r="H27" s="457"/>
      <c r="I27" s="455"/>
      <c r="J27" s="122"/>
      <c r="K27" s="122"/>
      <c r="L27" s="122"/>
      <c r="M27" s="457"/>
      <c r="N27" s="455"/>
      <c r="O27" s="123"/>
      <c r="P27" s="123"/>
      <c r="Q27" s="123"/>
      <c r="R27" s="457"/>
      <c r="S27" s="455"/>
      <c r="T27" s="122"/>
      <c r="U27" s="122"/>
      <c r="V27" s="122"/>
      <c r="W27" s="457"/>
      <c r="X27" s="455"/>
      <c r="Y27" s="122"/>
      <c r="Z27" s="122"/>
      <c r="AA27" s="122"/>
      <c r="AB27" s="457"/>
    </row>
    <row r="28" spans="1:28" s="117" customFormat="1" ht="15.75" customHeight="1" x14ac:dyDescent="0.2">
      <c r="A28" s="489"/>
      <c r="B28" s="120" t="s">
        <v>636</v>
      </c>
      <c r="C28" s="457"/>
      <c r="D28" s="455"/>
      <c r="E28" s="122"/>
      <c r="F28" s="122"/>
      <c r="G28" s="122"/>
      <c r="H28" s="457"/>
      <c r="I28" s="455"/>
      <c r="J28" s="122"/>
      <c r="K28" s="122"/>
      <c r="L28" s="122"/>
      <c r="M28" s="457"/>
      <c r="N28" s="455"/>
      <c r="O28" s="123"/>
      <c r="P28" s="123"/>
      <c r="Q28" s="123"/>
      <c r="R28" s="457"/>
      <c r="S28" s="455"/>
      <c r="T28" s="122"/>
      <c r="U28" s="122"/>
      <c r="V28" s="122"/>
      <c r="W28" s="457"/>
      <c r="X28" s="455"/>
      <c r="Y28" s="122"/>
      <c r="Z28" s="122"/>
      <c r="AA28" s="122"/>
      <c r="AB28" s="457"/>
    </row>
    <row r="29" spans="1:28" s="117" customFormat="1" ht="15.75" customHeight="1" x14ac:dyDescent="0.2">
      <c r="A29" s="489"/>
      <c r="B29" s="120" t="s">
        <v>1447</v>
      </c>
      <c r="C29" s="457"/>
      <c r="D29" s="455"/>
      <c r="E29" s="122"/>
      <c r="F29" s="122"/>
      <c r="G29" s="122"/>
      <c r="H29" s="457"/>
      <c r="I29" s="455"/>
      <c r="J29" s="122"/>
      <c r="K29" s="122"/>
      <c r="L29" s="122"/>
      <c r="M29" s="457"/>
      <c r="N29" s="455"/>
      <c r="O29" s="123"/>
      <c r="P29" s="123"/>
      <c r="Q29" s="123"/>
      <c r="R29" s="457"/>
      <c r="S29" s="455"/>
      <c r="T29" s="122"/>
      <c r="U29" s="122"/>
      <c r="V29" s="122"/>
      <c r="W29" s="457"/>
      <c r="X29" s="455"/>
      <c r="Y29" s="122"/>
      <c r="Z29" s="122"/>
      <c r="AA29" s="122"/>
      <c r="AB29" s="457"/>
    </row>
    <row r="30" spans="1:28" s="117" customFormat="1" ht="15.75" customHeight="1" x14ac:dyDescent="0.2">
      <c r="A30" s="489"/>
      <c r="B30" s="120" t="s">
        <v>1387</v>
      </c>
      <c r="C30" s="457"/>
      <c r="D30" s="455"/>
      <c r="E30" s="122"/>
      <c r="F30" s="122"/>
      <c r="G30" s="122"/>
      <c r="H30" s="457"/>
      <c r="I30" s="455"/>
      <c r="J30" s="122"/>
      <c r="K30" s="122"/>
      <c r="L30" s="122"/>
      <c r="M30" s="457"/>
      <c r="N30" s="455"/>
      <c r="O30" s="123"/>
      <c r="P30" s="123"/>
      <c r="Q30" s="123"/>
      <c r="R30" s="457"/>
      <c r="S30" s="455"/>
      <c r="T30" s="122"/>
      <c r="U30" s="122"/>
      <c r="V30" s="122"/>
      <c r="W30" s="457"/>
      <c r="X30" s="455"/>
      <c r="Y30" s="122"/>
      <c r="Z30" s="122"/>
      <c r="AA30" s="122"/>
      <c r="AB30" s="457"/>
    </row>
    <row r="31" spans="1:28" s="117" customFormat="1" ht="15.75" customHeight="1" x14ac:dyDescent="0.2">
      <c r="A31" s="489"/>
      <c r="B31" s="120" t="s">
        <v>1448</v>
      </c>
      <c r="C31" s="457"/>
      <c r="D31" s="455"/>
      <c r="E31" s="122"/>
      <c r="F31" s="122"/>
      <c r="G31" s="122"/>
      <c r="H31" s="457"/>
      <c r="I31" s="455"/>
      <c r="J31" s="122"/>
      <c r="K31" s="122"/>
      <c r="L31" s="122"/>
      <c r="M31" s="457"/>
      <c r="N31" s="455"/>
      <c r="O31" s="123"/>
      <c r="P31" s="123"/>
      <c r="Q31" s="123"/>
      <c r="R31" s="457"/>
      <c r="S31" s="455"/>
      <c r="T31" s="122"/>
      <c r="U31" s="122"/>
      <c r="V31" s="122"/>
      <c r="W31" s="457"/>
      <c r="X31" s="455"/>
      <c r="Y31" s="122"/>
      <c r="Z31" s="122"/>
      <c r="AA31" s="122"/>
      <c r="AB31" s="457"/>
    </row>
    <row r="32" spans="1:28" s="117" customFormat="1" ht="15.75" customHeight="1" x14ac:dyDescent="0.2">
      <c r="A32" s="489"/>
      <c r="B32" s="120" t="s">
        <v>1655</v>
      </c>
      <c r="C32" s="457"/>
      <c r="D32" s="455"/>
      <c r="E32" s="122"/>
      <c r="F32" s="122"/>
      <c r="G32" s="122"/>
      <c r="H32" s="457"/>
      <c r="I32" s="455"/>
      <c r="J32" s="122"/>
      <c r="K32" s="122"/>
      <c r="L32" s="122"/>
      <c r="M32" s="457"/>
      <c r="N32" s="455"/>
      <c r="O32" s="123"/>
      <c r="P32" s="123"/>
      <c r="Q32" s="123"/>
      <c r="R32" s="457"/>
      <c r="S32" s="455"/>
      <c r="T32" s="122"/>
      <c r="U32" s="122"/>
      <c r="V32" s="122"/>
      <c r="W32" s="457"/>
      <c r="X32" s="455"/>
      <c r="Y32" s="122"/>
      <c r="Z32" s="122"/>
      <c r="AA32" s="122"/>
      <c r="AB32" s="457"/>
    </row>
    <row r="33" spans="1:28" s="117" customFormat="1" ht="15.75" customHeight="1" x14ac:dyDescent="0.2">
      <c r="A33" s="489"/>
      <c r="B33" s="120" t="s">
        <v>1656</v>
      </c>
      <c r="C33" s="457"/>
      <c r="D33" s="455"/>
      <c r="E33" s="122"/>
      <c r="F33" s="122"/>
      <c r="G33" s="122"/>
      <c r="H33" s="457"/>
      <c r="I33" s="455"/>
      <c r="J33" s="122"/>
      <c r="K33" s="122"/>
      <c r="L33" s="122"/>
      <c r="M33" s="457"/>
      <c r="N33" s="456"/>
      <c r="O33" s="123"/>
      <c r="P33" s="123"/>
      <c r="Q33" s="123"/>
      <c r="R33" s="457"/>
      <c r="S33" s="455">
        <f t="shared" si="0"/>
        <v>8359</v>
      </c>
      <c r="T33" s="122"/>
      <c r="U33" s="122"/>
      <c r="V33" s="122"/>
      <c r="W33" s="457"/>
      <c r="X33" s="455">
        <v>34182</v>
      </c>
      <c r="Y33" s="122"/>
      <c r="Z33" s="122"/>
      <c r="AA33" s="122"/>
      <c r="AB33" s="457"/>
    </row>
    <row r="34" spans="1:28" s="117" customFormat="1" ht="31.5" customHeight="1" x14ac:dyDescent="0.2">
      <c r="A34" s="460" t="s">
        <v>14</v>
      </c>
      <c r="B34" s="114" t="s">
        <v>340</v>
      </c>
      <c r="C34" s="459">
        <f>D34+E34+F34+G34</f>
        <v>1235</v>
      </c>
      <c r="D34" s="454">
        <v>1235</v>
      </c>
      <c r="E34" s="115">
        <v>0</v>
      </c>
      <c r="F34" s="115">
        <v>0</v>
      </c>
      <c r="G34" s="115">
        <v>0</v>
      </c>
      <c r="H34" s="459">
        <f>I34+J34+K34+L34</f>
        <v>741</v>
      </c>
      <c r="I34" s="454">
        <v>741</v>
      </c>
      <c r="J34" s="115">
        <v>0</v>
      </c>
      <c r="K34" s="115">
        <v>0</v>
      </c>
      <c r="L34" s="115">
        <v>0</v>
      </c>
      <c r="M34" s="459">
        <f>N34+O34+P34+Q34</f>
        <v>115</v>
      </c>
      <c r="N34" s="454">
        <f>0+115</f>
        <v>115</v>
      </c>
      <c r="O34" s="116">
        <v>0</v>
      </c>
      <c r="P34" s="116">
        <v>0</v>
      </c>
      <c r="Q34" s="116">
        <v>0</v>
      </c>
      <c r="R34" s="459">
        <f>S34+T34+U34+V34</f>
        <v>1174</v>
      </c>
      <c r="S34" s="454">
        <f>23+119+71+882+79</f>
        <v>1174</v>
      </c>
      <c r="T34" s="115">
        <v>0</v>
      </c>
      <c r="U34" s="115">
        <v>0</v>
      </c>
      <c r="V34" s="115">
        <v>0</v>
      </c>
      <c r="W34" s="459">
        <f>X34+Y34+Z34+AA34</f>
        <v>209</v>
      </c>
      <c r="X34" s="454">
        <f>11+198</f>
        <v>209</v>
      </c>
      <c r="Y34" s="115">
        <v>0</v>
      </c>
      <c r="Z34" s="115">
        <v>0</v>
      </c>
      <c r="AA34" s="115">
        <v>0</v>
      </c>
      <c r="AB34" s="459">
        <f>C34+H34+M34+R34+W34</f>
        <v>3474</v>
      </c>
    </row>
    <row r="35" spans="1:28" s="117" customFormat="1" ht="18" customHeight="1" x14ac:dyDescent="0.2">
      <c r="A35" s="461"/>
      <c r="B35" s="118" t="s">
        <v>384</v>
      </c>
      <c r="C35" s="457"/>
      <c r="D35" s="455"/>
      <c r="E35" s="115"/>
      <c r="F35" s="115"/>
      <c r="G35" s="115"/>
      <c r="H35" s="457"/>
      <c r="I35" s="455"/>
      <c r="J35" s="115"/>
      <c r="K35" s="115"/>
      <c r="L35" s="115"/>
      <c r="M35" s="457"/>
      <c r="N35" s="455"/>
      <c r="O35" s="116"/>
      <c r="P35" s="116"/>
      <c r="Q35" s="116"/>
      <c r="R35" s="457"/>
      <c r="S35" s="455"/>
      <c r="T35" s="115"/>
      <c r="U35" s="115"/>
      <c r="V35" s="115"/>
      <c r="W35" s="457"/>
      <c r="X35" s="455"/>
      <c r="Y35" s="115"/>
      <c r="Z35" s="115"/>
      <c r="AA35" s="115"/>
      <c r="AB35" s="457"/>
    </row>
    <row r="36" spans="1:28" s="117" customFormat="1" ht="21.75" customHeight="1" x14ac:dyDescent="0.2">
      <c r="A36" s="461"/>
      <c r="B36" s="119" t="s">
        <v>141</v>
      </c>
      <c r="C36" s="457"/>
      <c r="D36" s="455"/>
      <c r="E36" s="115"/>
      <c r="F36" s="115"/>
      <c r="G36" s="115"/>
      <c r="H36" s="457"/>
      <c r="I36" s="455"/>
      <c r="J36" s="115"/>
      <c r="K36" s="115"/>
      <c r="L36" s="115"/>
      <c r="M36" s="457"/>
      <c r="N36" s="455"/>
      <c r="O36" s="116"/>
      <c r="P36" s="116"/>
      <c r="Q36" s="116"/>
      <c r="R36" s="457"/>
      <c r="S36" s="455"/>
      <c r="T36" s="115"/>
      <c r="U36" s="115"/>
      <c r="V36" s="115"/>
      <c r="W36" s="457"/>
      <c r="X36" s="455"/>
      <c r="Y36" s="115"/>
      <c r="Z36" s="115"/>
      <c r="AA36" s="115"/>
      <c r="AB36" s="457"/>
    </row>
    <row r="37" spans="1:28" s="117" customFormat="1" ht="21.75" customHeight="1" x14ac:dyDescent="0.2">
      <c r="A37" s="461"/>
      <c r="B37" s="124" t="s">
        <v>308</v>
      </c>
      <c r="C37" s="457"/>
      <c r="D37" s="455"/>
      <c r="E37" s="115"/>
      <c r="F37" s="115"/>
      <c r="G37" s="115"/>
      <c r="H37" s="457"/>
      <c r="I37" s="455"/>
      <c r="J37" s="115"/>
      <c r="K37" s="115"/>
      <c r="L37" s="115"/>
      <c r="M37" s="457"/>
      <c r="N37" s="455"/>
      <c r="O37" s="116"/>
      <c r="P37" s="116"/>
      <c r="Q37" s="116"/>
      <c r="R37" s="457"/>
      <c r="S37" s="455"/>
      <c r="T37" s="115"/>
      <c r="U37" s="115"/>
      <c r="V37" s="115"/>
      <c r="W37" s="457"/>
      <c r="X37" s="455"/>
      <c r="Y37" s="115"/>
      <c r="Z37" s="115"/>
      <c r="AA37" s="115"/>
      <c r="AB37" s="457"/>
    </row>
    <row r="38" spans="1:28" s="117" customFormat="1" ht="19.5" customHeight="1" x14ac:dyDescent="0.2">
      <c r="A38" s="461"/>
      <c r="B38" s="125" t="s">
        <v>635</v>
      </c>
      <c r="C38" s="457"/>
      <c r="D38" s="455"/>
      <c r="E38" s="115"/>
      <c r="F38" s="115"/>
      <c r="G38" s="115"/>
      <c r="H38" s="457"/>
      <c r="I38" s="455"/>
      <c r="J38" s="115"/>
      <c r="K38" s="115"/>
      <c r="L38" s="115"/>
      <c r="M38" s="457"/>
      <c r="N38" s="455"/>
      <c r="O38" s="116"/>
      <c r="P38" s="116"/>
      <c r="Q38" s="116"/>
      <c r="R38" s="457"/>
      <c r="S38" s="455"/>
      <c r="T38" s="115"/>
      <c r="U38" s="115"/>
      <c r="V38" s="115"/>
      <c r="W38" s="457"/>
      <c r="X38" s="455"/>
      <c r="Y38" s="115"/>
      <c r="Z38" s="115"/>
      <c r="AA38" s="115"/>
      <c r="AB38" s="457"/>
    </row>
    <row r="39" spans="1:28" s="117" customFormat="1" ht="20.25" customHeight="1" x14ac:dyDescent="0.2">
      <c r="A39" s="461"/>
      <c r="B39" s="125" t="s">
        <v>636</v>
      </c>
      <c r="C39" s="457"/>
      <c r="D39" s="455"/>
      <c r="E39" s="115"/>
      <c r="F39" s="115"/>
      <c r="G39" s="115"/>
      <c r="H39" s="457"/>
      <c r="I39" s="455"/>
      <c r="J39" s="115"/>
      <c r="K39" s="115"/>
      <c r="L39" s="115"/>
      <c r="M39" s="457"/>
      <c r="N39" s="455"/>
      <c r="O39" s="116"/>
      <c r="P39" s="116"/>
      <c r="Q39" s="116"/>
      <c r="R39" s="457"/>
      <c r="S39" s="455"/>
      <c r="T39" s="115"/>
      <c r="U39" s="115"/>
      <c r="V39" s="115"/>
      <c r="W39" s="457"/>
      <c r="X39" s="455"/>
      <c r="Y39" s="115"/>
      <c r="Z39" s="115"/>
      <c r="AA39" s="115"/>
      <c r="AB39" s="457"/>
    </row>
    <row r="40" spans="1:28" s="117" customFormat="1" ht="19.5" customHeight="1" x14ac:dyDescent="0.2">
      <c r="A40" s="461"/>
      <c r="B40" s="124" t="s">
        <v>357</v>
      </c>
      <c r="C40" s="457"/>
      <c r="D40" s="455"/>
      <c r="E40" s="115"/>
      <c r="F40" s="115"/>
      <c r="G40" s="115"/>
      <c r="H40" s="457"/>
      <c r="I40" s="455"/>
      <c r="J40" s="115"/>
      <c r="K40" s="115"/>
      <c r="L40" s="115"/>
      <c r="M40" s="457"/>
      <c r="N40" s="455"/>
      <c r="O40" s="116"/>
      <c r="P40" s="116"/>
      <c r="Q40" s="116"/>
      <c r="R40" s="457"/>
      <c r="S40" s="455"/>
      <c r="T40" s="115"/>
      <c r="U40" s="115"/>
      <c r="V40" s="115"/>
      <c r="W40" s="457"/>
      <c r="X40" s="455"/>
      <c r="Y40" s="115"/>
      <c r="Z40" s="115"/>
      <c r="AA40" s="115"/>
      <c r="AB40" s="457"/>
    </row>
    <row r="41" spans="1:28" s="117" customFormat="1" ht="18" customHeight="1" x14ac:dyDescent="0.2">
      <c r="A41" s="461"/>
      <c r="B41" s="125" t="s">
        <v>635</v>
      </c>
      <c r="C41" s="457"/>
      <c r="D41" s="455"/>
      <c r="E41" s="115"/>
      <c r="F41" s="115"/>
      <c r="G41" s="115"/>
      <c r="H41" s="457"/>
      <c r="I41" s="455"/>
      <c r="J41" s="115"/>
      <c r="K41" s="115"/>
      <c r="L41" s="115"/>
      <c r="M41" s="457"/>
      <c r="N41" s="455"/>
      <c r="O41" s="116"/>
      <c r="P41" s="116"/>
      <c r="Q41" s="116"/>
      <c r="R41" s="457"/>
      <c r="S41" s="455"/>
      <c r="T41" s="115"/>
      <c r="U41" s="115"/>
      <c r="V41" s="115"/>
      <c r="W41" s="457"/>
      <c r="X41" s="455"/>
      <c r="Y41" s="115"/>
      <c r="Z41" s="115"/>
      <c r="AA41" s="115"/>
      <c r="AB41" s="457"/>
    </row>
    <row r="42" spans="1:28" s="117" customFormat="1" ht="20.25" customHeight="1" x14ac:dyDescent="0.2">
      <c r="A42" s="461"/>
      <c r="B42" s="125" t="s">
        <v>636</v>
      </c>
      <c r="C42" s="457"/>
      <c r="D42" s="455"/>
      <c r="E42" s="115"/>
      <c r="F42" s="115"/>
      <c r="G42" s="115"/>
      <c r="H42" s="457"/>
      <c r="I42" s="455"/>
      <c r="J42" s="115"/>
      <c r="K42" s="115"/>
      <c r="L42" s="115"/>
      <c r="M42" s="457"/>
      <c r="N42" s="455"/>
      <c r="O42" s="116"/>
      <c r="P42" s="116"/>
      <c r="Q42" s="116"/>
      <c r="R42" s="457"/>
      <c r="S42" s="455"/>
      <c r="T42" s="115"/>
      <c r="U42" s="115"/>
      <c r="V42" s="115"/>
      <c r="W42" s="457"/>
      <c r="X42" s="455"/>
      <c r="Y42" s="115"/>
      <c r="Z42" s="115"/>
      <c r="AA42" s="115"/>
      <c r="AB42" s="457"/>
    </row>
    <row r="43" spans="1:28" s="117" customFormat="1" ht="19.5" customHeight="1" x14ac:dyDescent="0.2">
      <c r="A43" s="461"/>
      <c r="B43" s="125" t="s">
        <v>605</v>
      </c>
      <c r="C43" s="457"/>
      <c r="D43" s="455"/>
      <c r="E43" s="115"/>
      <c r="F43" s="115"/>
      <c r="G43" s="115"/>
      <c r="H43" s="457"/>
      <c r="I43" s="455"/>
      <c r="J43" s="115"/>
      <c r="K43" s="115"/>
      <c r="L43" s="115"/>
      <c r="M43" s="457"/>
      <c r="N43" s="455"/>
      <c r="O43" s="116"/>
      <c r="P43" s="116"/>
      <c r="Q43" s="116"/>
      <c r="R43" s="457"/>
      <c r="S43" s="455"/>
      <c r="T43" s="115"/>
      <c r="U43" s="115"/>
      <c r="V43" s="115"/>
      <c r="W43" s="457"/>
      <c r="X43" s="455"/>
      <c r="Y43" s="115"/>
      <c r="Z43" s="115"/>
      <c r="AA43" s="115"/>
      <c r="AB43" s="457"/>
    </row>
    <row r="44" spans="1:28" s="117" customFormat="1" ht="19.5" customHeight="1" x14ac:dyDescent="0.2">
      <c r="A44" s="461"/>
      <c r="B44" s="125" t="s">
        <v>1066</v>
      </c>
      <c r="C44" s="457"/>
      <c r="D44" s="455"/>
      <c r="E44" s="115"/>
      <c r="F44" s="115"/>
      <c r="G44" s="115"/>
      <c r="H44" s="457"/>
      <c r="I44" s="455"/>
      <c r="J44" s="115"/>
      <c r="K44" s="115"/>
      <c r="L44" s="115"/>
      <c r="M44" s="457"/>
      <c r="N44" s="455"/>
      <c r="O44" s="116"/>
      <c r="P44" s="116"/>
      <c r="Q44" s="116"/>
      <c r="R44" s="457"/>
      <c r="S44" s="455"/>
      <c r="T44" s="115"/>
      <c r="U44" s="115"/>
      <c r="V44" s="115"/>
      <c r="W44" s="457"/>
      <c r="X44" s="455"/>
      <c r="Y44" s="115"/>
      <c r="Z44" s="115"/>
      <c r="AA44" s="115"/>
      <c r="AB44" s="457"/>
    </row>
    <row r="45" spans="1:28" s="117" customFormat="1" ht="19.5" customHeight="1" x14ac:dyDescent="0.2">
      <c r="A45" s="461"/>
      <c r="B45" s="125" t="s">
        <v>1387</v>
      </c>
      <c r="C45" s="457"/>
      <c r="D45" s="455"/>
      <c r="E45" s="115"/>
      <c r="F45" s="115"/>
      <c r="G45" s="115"/>
      <c r="H45" s="457"/>
      <c r="I45" s="455"/>
      <c r="J45" s="115"/>
      <c r="K45" s="115"/>
      <c r="L45" s="115"/>
      <c r="M45" s="457"/>
      <c r="N45" s="455"/>
      <c r="O45" s="116"/>
      <c r="P45" s="116"/>
      <c r="Q45" s="116"/>
      <c r="R45" s="457"/>
      <c r="S45" s="455"/>
      <c r="T45" s="115"/>
      <c r="U45" s="115"/>
      <c r="V45" s="115"/>
      <c r="W45" s="457"/>
      <c r="X45" s="455"/>
      <c r="Y45" s="115"/>
      <c r="Z45" s="115"/>
      <c r="AA45" s="115"/>
      <c r="AB45" s="457"/>
    </row>
    <row r="46" spans="1:28" s="117" customFormat="1" ht="20.25" customHeight="1" x14ac:dyDescent="0.2">
      <c r="A46" s="461"/>
      <c r="B46" s="124" t="s">
        <v>394</v>
      </c>
      <c r="C46" s="126"/>
      <c r="D46" s="127"/>
      <c r="E46" s="115"/>
      <c r="F46" s="115"/>
      <c r="G46" s="115"/>
      <c r="H46" s="126"/>
      <c r="I46" s="127"/>
      <c r="J46" s="115"/>
      <c r="K46" s="115"/>
      <c r="L46" s="115"/>
      <c r="M46" s="126"/>
      <c r="N46" s="127"/>
      <c r="O46" s="116"/>
      <c r="P46" s="116"/>
      <c r="Q46" s="116"/>
      <c r="R46" s="126"/>
      <c r="S46" s="127"/>
      <c r="T46" s="115"/>
      <c r="U46" s="115"/>
      <c r="V46" s="115"/>
      <c r="W46" s="457"/>
      <c r="X46" s="455"/>
      <c r="Y46" s="115"/>
      <c r="Z46" s="115"/>
      <c r="AA46" s="115"/>
      <c r="AB46" s="126"/>
    </row>
    <row r="47" spans="1:28" s="117" customFormat="1" ht="20.25" customHeight="1" x14ac:dyDescent="0.2">
      <c r="A47" s="461"/>
      <c r="B47" s="125" t="s">
        <v>720</v>
      </c>
      <c r="C47" s="126"/>
      <c r="D47" s="127"/>
      <c r="E47" s="115"/>
      <c r="F47" s="115"/>
      <c r="G47" s="115"/>
      <c r="H47" s="126"/>
      <c r="I47" s="127"/>
      <c r="J47" s="115"/>
      <c r="K47" s="115"/>
      <c r="L47" s="115"/>
      <c r="M47" s="126"/>
      <c r="N47" s="127"/>
      <c r="O47" s="116"/>
      <c r="P47" s="116"/>
      <c r="Q47" s="116"/>
      <c r="R47" s="126"/>
      <c r="S47" s="127"/>
      <c r="T47" s="115"/>
      <c r="U47" s="115"/>
      <c r="V47" s="115"/>
      <c r="W47" s="457"/>
      <c r="X47" s="455"/>
      <c r="Y47" s="115"/>
      <c r="Z47" s="115"/>
      <c r="AA47" s="115"/>
      <c r="AB47" s="126"/>
    </row>
    <row r="48" spans="1:28" s="117" customFormat="1" ht="19.5" customHeight="1" x14ac:dyDescent="0.2">
      <c r="A48" s="462"/>
      <c r="B48" s="128" t="s">
        <v>1388</v>
      </c>
      <c r="C48" s="129"/>
      <c r="D48" s="130"/>
      <c r="E48" s="115"/>
      <c r="F48" s="115"/>
      <c r="G48" s="115"/>
      <c r="H48" s="129"/>
      <c r="I48" s="130"/>
      <c r="J48" s="115"/>
      <c r="K48" s="115"/>
      <c r="L48" s="115"/>
      <c r="M48" s="129"/>
      <c r="N48" s="130"/>
      <c r="O48" s="116"/>
      <c r="P48" s="116"/>
      <c r="Q48" s="116"/>
      <c r="R48" s="129"/>
      <c r="S48" s="130"/>
      <c r="T48" s="115"/>
      <c r="U48" s="115"/>
      <c r="V48" s="115"/>
      <c r="W48" s="458"/>
      <c r="X48" s="456"/>
      <c r="Y48" s="115"/>
      <c r="Z48" s="115"/>
      <c r="AA48" s="115"/>
      <c r="AB48" s="129"/>
    </row>
    <row r="49" spans="1:28" ht="17.25" customHeight="1" x14ac:dyDescent="0.2">
      <c r="A49" s="489" t="s">
        <v>25</v>
      </c>
      <c r="B49" s="114" t="s">
        <v>136</v>
      </c>
      <c r="C49" s="470">
        <f>D49+E49+F49+G49</f>
        <v>1644</v>
      </c>
      <c r="D49" s="479">
        <v>1644</v>
      </c>
      <c r="E49" s="115">
        <v>0</v>
      </c>
      <c r="F49" s="115">
        <v>0</v>
      </c>
      <c r="G49" s="115">
        <v>0</v>
      </c>
      <c r="H49" s="470">
        <f>I49+J49+K49+L49</f>
        <v>1472</v>
      </c>
      <c r="I49" s="479">
        <v>1472</v>
      </c>
      <c r="J49" s="115">
        <v>0</v>
      </c>
      <c r="K49" s="115">
        <v>0</v>
      </c>
      <c r="L49" s="115">
        <v>0</v>
      </c>
      <c r="M49" s="470">
        <f>N49</f>
        <v>4212</v>
      </c>
      <c r="N49" s="454">
        <f>1368-668+1946+117-708+676+1409+418+253+200-396-403</f>
        <v>4212</v>
      </c>
      <c r="O49" s="116">
        <v>0</v>
      </c>
      <c r="P49" s="116">
        <v>0</v>
      </c>
      <c r="Q49" s="116">
        <v>0</v>
      </c>
      <c r="R49" s="470">
        <f>S49</f>
        <v>8783</v>
      </c>
      <c r="S49" s="479">
        <f>1368+3232-3797+8055+17-92</f>
        <v>8783</v>
      </c>
      <c r="T49" s="115">
        <v>0</v>
      </c>
      <c r="U49" s="115">
        <v>0</v>
      </c>
      <c r="V49" s="115">
        <v>0</v>
      </c>
      <c r="W49" s="470">
        <f>X49</f>
        <v>11361</v>
      </c>
      <c r="X49" s="479">
        <f>4463-3099+5440+2789+2105-33-125+46-14-211</f>
        <v>11361</v>
      </c>
      <c r="Y49" s="115">
        <v>0</v>
      </c>
      <c r="Z49" s="115">
        <v>0</v>
      </c>
      <c r="AA49" s="115">
        <v>0</v>
      </c>
      <c r="AB49" s="470">
        <f>C49+H49+M49+R49+W49</f>
        <v>27472</v>
      </c>
    </row>
    <row r="50" spans="1:28" ht="16.5" customHeight="1" x14ac:dyDescent="0.2">
      <c r="A50" s="489"/>
      <c r="B50" s="118" t="s">
        <v>137</v>
      </c>
      <c r="C50" s="470"/>
      <c r="D50" s="479"/>
      <c r="E50" s="115"/>
      <c r="F50" s="115"/>
      <c r="G50" s="115"/>
      <c r="H50" s="470"/>
      <c r="I50" s="479"/>
      <c r="J50" s="115"/>
      <c r="K50" s="115"/>
      <c r="L50" s="115"/>
      <c r="M50" s="470"/>
      <c r="N50" s="455"/>
      <c r="O50" s="116"/>
      <c r="P50" s="116"/>
      <c r="Q50" s="116"/>
      <c r="R50" s="470"/>
      <c r="S50" s="479"/>
      <c r="T50" s="115"/>
      <c r="U50" s="115"/>
      <c r="V50" s="115"/>
      <c r="W50" s="470"/>
      <c r="X50" s="479"/>
      <c r="Y50" s="115"/>
      <c r="Z50" s="115"/>
      <c r="AA50" s="115"/>
      <c r="AB50" s="470"/>
    </row>
    <row r="51" spans="1:28" ht="33.75" customHeight="1" x14ac:dyDescent="0.2">
      <c r="A51" s="489"/>
      <c r="B51" s="119" t="s">
        <v>637</v>
      </c>
      <c r="C51" s="470"/>
      <c r="D51" s="479"/>
      <c r="E51" s="115"/>
      <c r="F51" s="115"/>
      <c r="G51" s="115"/>
      <c r="H51" s="470"/>
      <c r="I51" s="479"/>
      <c r="J51" s="115"/>
      <c r="K51" s="115"/>
      <c r="L51" s="115"/>
      <c r="M51" s="470"/>
      <c r="N51" s="455"/>
      <c r="O51" s="116"/>
      <c r="P51" s="116"/>
      <c r="Q51" s="116"/>
      <c r="R51" s="470"/>
      <c r="S51" s="479"/>
      <c r="T51" s="115"/>
      <c r="U51" s="115"/>
      <c r="V51" s="115"/>
      <c r="W51" s="470"/>
      <c r="X51" s="479"/>
      <c r="Y51" s="115"/>
      <c r="Z51" s="115"/>
      <c r="AA51" s="115"/>
      <c r="AB51" s="470"/>
    </row>
    <row r="52" spans="1:28" ht="21.75" customHeight="1" x14ac:dyDescent="0.2">
      <c r="A52" s="489"/>
      <c r="B52" s="119" t="s">
        <v>638</v>
      </c>
      <c r="C52" s="470"/>
      <c r="D52" s="479"/>
      <c r="E52" s="115"/>
      <c r="F52" s="115"/>
      <c r="G52" s="115"/>
      <c r="H52" s="470"/>
      <c r="I52" s="479"/>
      <c r="J52" s="115"/>
      <c r="K52" s="115"/>
      <c r="L52" s="115"/>
      <c r="M52" s="470"/>
      <c r="N52" s="455"/>
      <c r="O52" s="116"/>
      <c r="P52" s="116"/>
      <c r="Q52" s="116"/>
      <c r="R52" s="470"/>
      <c r="S52" s="479"/>
      <c r="T52" s="115"/>
      <c r="U52" s="115"/>
      <c r="V52" s="115"/>
      <c r="W52" s="470"/>
      <c r="X52" s="479"/>
      <c r="Y52" s="115"/>
      <c r="Z52" s="115"/>
      <c r="AA52" s="115"/>
      <c r="AB52" s="470"/>
    </row>
    <row r="53" spans="1:28" ht="32.25" customHeight="1" x14ac:dyDescent="0.2">
      <c r="A53" s="489"/>
      <c r="B53" s="119" t="s">
        <v>639</v>
      </c>
      <c r="C53" s="470"/>
      <c r="D53" s="479"/>
      <c r="E53" s="115"/>
      <c r="F53" s="115"/>
      <c r="G53" s="115"/>
      <c r="H53" s="470"/>
      <c r="I53" s="479"/>
      <c r="J53" s="115"/>
      <c r="K53" s="115"/>
      <c r="L53" s="115"/>
      <c r="M53" s="470"/>
      <c r="N53" s="455"/>
      <c r="O53" s="116"/>
      <c r="P53" s="116"/>
      <c r="Q53" s="116"/>
      <c r="R53" s="470"/>
      <c r="S53" s="479"/>
      <c r="T53" s="115"/>
      <c r="U53" s="115"/>
      <c r="V53" s="115"/>
      <c r="W53" s="470"/>
      <c r="X53" s="479"/>
      <c r="Y53" s="115"/>
      <c r="Z53" s="115"/>
      <c r="AA53" s="115"/>
      <c r="AB53" s="470"/>
    </row>
    <row r="54" spans="1:28" ht="30.75" customHeight="1" x14ac:dyDescent="0.2">
      <c r="A54" s="489"/>
      <c r="B54" s="119" t="s">
        <v>640</v>
      </c>
      <c r="C54" s="470"/>
      <c r="D54" s="479"/>
      <c r="E54" s="115"/>
      <c r="F54" s="115"/>
      <c r="G54" s="115"/>
      <c r="H54" s="470"/>
      <c r="I54" s="479"/>
      <c r="J54" s="115"/>
      <c r="K54" s="115"/>
      <c r="L54" s="115"/>
      <c r="M54" s="470"/>
      <c r="N54" s="455"/>
      <c r="O54" s="116"/>
      <c r="P54" s="116"/>
      <c r="Q54" s="116"/>
      <c r="R54" s="470"/>
      <c r="S54" s="479"/>
      <c r="T54" s="115"/>
      <c r="U54" s="115"/>
      <c r="V54" s="115"/>
      <c r="W54" s="470"/>
      <c r="X54" s="479"/>
      <c r="Y54" s="115"/>
      <c r="Z54" s="115"/>
      <c r="AA54" s="115"/>
      <c r="AB54" s="470"/>
    </row>
    <row r="55" spans="1:28" ht="18" customHeight="1" x14ac:dyDescent="0.2">
      <c r="A55" s="489"/>
      <c r="B55" s="119" t="s">
        <v>641</v>
      </c>
      <c r="C55" s="470"/>
      <c r="D55" s="479"/>
      <c r="E55" s="115"/>
      <c r="F55" s="115"/>
      <c r="G55" s="115"/>
      <c r="H55" s="470"/>
      <c r="I55" s="479"/>
      <c r="J55" s="115"/>
      <c r="K55" s="115"/>
      <c r="L55" s="115"/>
      <c r="M55" s="470"/>
      <c r="N55" s="455"/>
      <c r="O55" s="116"/>
      <c r="P55" s="116"/>
      <c r="Q55" s="116"/>
      <c r="R55" s="470"/>
      <c r="S55" s="479"/>
      <c r="T55" s="115"/>
      <c r="U55" s="115"/>
      <c r="V55" s="115"/>
      <c r="W55" s="470"/>
      <c r="X55" s="479"/>
      <c r="Y55" s="115"/>
      <c r="Z55" s="115"/>
      <c r="AA55" s="115"/>
      <c r="AB55" s="470"/>
    </row>
    <row r="56" spans="1:28" ht="33.75" customHeight="1" x14ac:dyDescent="0.2">
      <c r="A56" s="489"/>
      <c r="B56" s="119" t="s">
        <v>642</v>
      </c>
      <c r="C56" s="470"/>
      <c r="D56" s="479"/>
      <c r="E56" s="115"/>
      <c r="F56" s="115"/>
      <c r="G56" s="115"/>
      <c r="H56" s="470"/>
      <c r="I56" s="479"/>
      <c r="J56" s="115"/>
      <c r="K56" s="115"/>
      <c r="L56" s="115"/>
      <c r="M56" s="470"/>
      <c r="N56" s="455"/>
      <c r="O56" s="116"/>
      <c r="P56" s="116"/>
      <c r="Q56" s="116"/>
      <c r="R56" s="470"/>
      <c r="S56" s="479"/>
      <c r="T56" s="115"/>
      <c r="U56" s="115"/>
      <c r="V56" s="115"/>
      <c r="W56" s="470"/>
      <c r="X56" s="479"/>
      <c r="Y56" s="115"/>
      <c r="Z56" s="115"/>
      <c r="AA56" s="115"/>
      <c r="AB56" s="470"/>
    </row>
    <row r="57" spans="1:28" ht="37.9" customHeight="1" x14ac:dyDescent="0.2">
      <c r="A57" s="460"/>
      <c r="B57" s="119" t="s">
        <v>643</v>
      </c>
      <c r="C57" s="459"/>
      <c r="D57" s="454"/>
      <c r="E57" s="115"/>
      <c r="F57" s="115"/>
      <c r="G57" s="115"/>
      <c r="H57" s="459"/>
      <c r="I57" s="454"/>
      <c r="J57" s="115"/>
      <c r="K57" s="115"/>
      <c r="L57" s="115"/>
      <c r="M57" s="459"/>
      <c r="N57" s="455"/>
      <c r="O57" s="116"/>
      <c r="P57" s="116"/>
      <c r="Q57" s="116"/>
      <c r="R57" s="459"/>
      <c r="S57" s="454"/>
      <c r="T57" s="115"/>
      <c r="U57" s="115"/>
      <c r="V57" s="115"/>
      <c r="W57" s="459"/>
      <c r="X57" s="454"/>
      <c r="Y57" s="115"/>
      <c r="Z57" s="115"/>
      <c r="AA57" s="115"/>
      <c r="AB57" s="459"/>
    </row>
    <row r="58" spans="1:28" ht="33" customHeight="1" x14ac:dyDescent="0.2">
      <c r="A58" s="480"/>
      <c r="B58" s="119" t="s">
        <v>644</v>
      </c>
      <c r="C58" s="457"/>
      <c r="D58" s="455"/>
      <c r="E58" s="115"/>
      <c r="F58" s="115"/>
      <c r="G58" s="115"/>
      <c r="H58" s="457"/>
      <c r="I58" s="455"/>
      <c r="J58" s="115"/>
      <c r="K58" s="115"/>
      <c r="L58" s="115"/>
      <c r="M58" s="457"/>
      <c r="N58" s="491"/>
      <c r="O58" s="116"/>
      <c r="P58" s="116"/>
      <c r="Q58" s="116"/>
      <c r="R58" s="469"/>
      <c r="S58" s="465"/>
      <c r="T58" s="116"/>
      <c r="U58" s="116"/>
      <c r="V58" s="116"/>
      <c r="W58" s="465"/>
      <c r="X58" s="465"/>
      <c r="Y58" s="116"/>
      <c r="Z58" s="116"/>
      <c r="AA58" s="116"/>
      <c r="AB58" s="469"/>
    </row>
    <row r="59" spans="1:28" ht="44.25" customHeight="1" x14ac:dyDescent="0.2">
      <c r="A59" s="480"/>
      <c r="B59" s="119" t="s">
        <v>645</v>
      </c>
      <c r="C59" s="457"/>
      <c r="D59" s="455"/>
      <c r="E59" s="130"/>
      <c r="F59" s="130"/>
      <c r="G59" s="130"/>
      <c r="H59" s="457"/>
      <c r="I59" s="455"/>
      <c r="J59" s="130"/>
      <c r="K59" s="130"/>
      <c r="L59" s="130"/>
      <c r="M59" s="457"/>
      <c r="N59" s="491"/>
      <c r="O59" s="131"/>
      <c r="P59" s="132"/>
      <c r="Q59" s="132"/>
      <c r="R59" s="469"/>
      <c r="S59" s="465"/>
      <c r="T59" s="132"/>
      <c r="U59" s="132"/>
      <c r="V59" s="132"/>
      <c r="W59" s="465"/>
      <c r="X59" s="465"/>
      <c r="Y59" s="132"/>
      <c r="Z59" s="132"/>
      <c r="AA59" s="132"/>
      <c r="AB59" s="469"/>
    </row>
    <row r="60" spans="1:28" ht="20.25" customHeight="1" x14ac:dyDescent="0.2">
      <c r="A60" s="480"/>
      <c r="B60" s="119" t="s">
        <v>646</v>
      </c>
      <c r="C60" s="457"/>
      <c r="D60" s="455"/>
      <c r="E60" s="115"/>
      <c r="F60" s="115"/>
      <c r="G60" s="115"/>
      <c r="H60" s="457"/>
      <c r="I60" s="455"/>
      <c r="J60" s="115"/>
      <c r="K60" s="115"/>
      <c r="L60" s="115"/>
      <c r="M60" s="457"/>
      <c r="N60" s="491"/>
      <c r="O60" s="133"/>
      <c r="P60" s="116"/>
      <c r="Q60" s="116"/>
      <c r="R60" s="469"/>
      <c r="S60" s="465"/>
      <c r="T60" s="116"/>
      <c r="U60" s="116"/>
      <c r="V60" s="116"/>
      <c r="W60" s="465"/>
      <c r="X60" s="465"/>
      <c r="Y60" s="116"/>
      <c r="Z60" s="116"/>
      <c r="AA60" s="116"/>
      <c r="AB60" s="469"/>
    </row>
    <row r="61" spans="1:28" ht="18.75" customHeight="1" x14ac:dyDescent="0.2">
      <c r="A61" s="480"/>
      <c r="B61" s="119" t="s">
        <v>647</v>
      </c>
      <c r="C61" s="457"/>
      <c r="D61" s="455"/>
      <c r="E61" s="130"/>
      <c r="F61" s="130"/>
      <c r="G61" s="130"/>
      <c r="H61" s="457"/>
      <c r="I61" s="455"/>
      <c r="J61" s="130"/>
      <c r="K61" s="130"/>
      <c r="L61" s="130"/>
      <c r="M61" s="457"/>
      <c r="N61" s="491"/>
      <c r="O61" s="131"/>
      <c r="P61" s="132"/>
      <c r="Q61" s="132"/>
      <c r="R61" s="469"/>
      <c r="S61" s="465"/>
      <c r="T61" s="132"/>
      <c r="U61" s="132"/>
      <c r="V61" s="132"/>
      <c r="W61" s="465"/>
      <c r="X61" s="465"/>
      <c r="Y61" s="132"/>
      <c r="Z61" s="132"/>
      <c r="AA61" s="132"/>
      <c r="AB61" s="469"/>
    </row>
    <row r="62" spans="1:28" ht="18" customHeight="1" x14ac:dyDescent="0.2">
      <c r="A62" s="480"/>
      <c r="B62" s="118" t="s">
        <v>138</v>
      </c>
      <c r="C62" s="457"/>
      <c r="D62" s="455"/>
      <c r="E62" s="115"/>
      <c r="F62" s="115"/>
      <c r="G62" s="115"/>
      <c r="H62" s="457"/>
      <c r="I62" s="455"/>
      <c r="J62" s="115"/>
      <c r="K62" s="115"/>
      <c r="L62" s="115"/>
      <c r="M62" s="457"/>
      <c r="N62" s="491"/>
      <c r="O62" s="133"/>
      <c r="P62" s="116"/>
      <c r="Q62" s="116"/>
      <c r="R62" s="469"/>
      <c r="S62" s="465"/>
      <c r="T62" s="116"/>
      <c r="U62" s="116"/>
      <c r="V62" s="116"/>
      <c r="W62" s="465"/>
      <c r="X62" s="465"/>
      <c r="Y62" s="116"/>
      <c r="Z62" s="116"/>
      <c r="AA62" s="116"/>
      <c r="AB62" s="469"/>
    </row>
    <row r="63" spans="1:28" ht="18" customHeight="1" x14ac:dyDescent="0.2">
      <c r="A63" s="480"/>
      <c r="B63" s="119" t="s">
        <v>648</v>
      </c>
      <c r="C63" s="457"/>
      <c r="D63" s="455"/>
      <c r="E63" s="115"/>
      <c r="F63" s="115"/>
      <c r="G63" s="115"/>
      <c r="H63" s="457"/>
      <c r="I63" s="455"/>
      <c r="J63" s="115"/>
      <c r="K63" s="115"/>
      <c r="L63" s="115"/>
      <c r="M63" s="457"/>
      <c r="N63" s="491"/>
      <c r="O63" s="133"/>
      <c r="P63" s="116"/>
      <c r="Q63" s="116"/>
      <c r="R63" s="469"/>
      <c r="S63" s="465"/>
      <c r="T63" s="116"/>
      <c r="U63" s="116"/>
      <c r="V63" s="116"/>
      <c r="W63" s="465"/>
      <c r="X63" s="465"/>
      <c r="Y63" s="116"/>
      <c r="Z63" s="116"/>
      <c r="AA63" s="116"/>
      <c r="AB63" s="469"/>
    </row>
    <row r="64" spans="1:28" ht="18" customHeight="1" x14ac:dyDescent="0.2">
      <c r="A64" s="480"/>
      <c r="B64" s="119" t="s">
        <v>649</v>
      </c>
      <c r="C64" s="457"/>
      <c r="D64" s="455"/>
      <c r="E64" s="115"/>
      <c r="F64" s="115"/>
      <c r="G64" s="115"/>
      <c r="H64" s="457"/>
      <c r="I64" s="455"/>
      <c r="J64" s="115"/>
      <c r="K64" s="115"/>
      <c r="L64" s="115"/>
      <c r="M64" s="457"/>
      <c r="N64" s="491"/>
      <c r="O64" s="133"/>
      <c r="P64" s="116"/>
      <c r="Q64" s="116"/>
      <c r="R64" s="469"/>
      <c r="S64" s="465"/>
      <c r="T64" s="116"/>
      <c r="U64" s="116"/>
      <c r="V64" s="116"/>
      <c r="W64" s="465"/>
      <c r="X64" s="465"/>
      <c r="Y64" s="116"/>
      <c r="Z64" s="116"/>
      <c r="AA64" s="116"/>
      <c r="AB64" s="469"/>
    </row>
    <row r="65" spans="1:28" ht="18" customHeight="1" x14ac:dyDescent="0.2">
      <c r="A65" s="480"/>
      <c r="B65" s="119" t="s">
        <v>650</v>
      </c>
      <c r="C65" s="457"/>
      <c r="D65" s="455"/>
      <c r="E65" s="115"/>
      <c r="F65" s="115"/>
      <c r="G65" s="115"/>
      <c r="H65" s="457"/>
      <c r="I65" s="455"/>
      <c r="J65" s="115"/>
      <c r="K65" s="115"/>
      <c r="L65" s="115"/>
      <c r="M65" s="457"/>
      <c r="N65" s="491"/>
      <c r="O65" s="133"/>
      <c r="P65" s="116"/>
      <c r="Q65" s="116"/>
      <c r="R65" s="469"/>
      <c r="S65" s="465"/>
      <c r="T65" s="116"/>
      <c r="U65" s="116"/>
      <c r="V65" s="116"/>
      <c r="W65" s="465"/>
      <c r="X65" s="465"/>
      <c r="Y65" s="116"/>
      <c r="Z65" s="116"/>
      <c r="AA65" s="116"/>
      <c r="AB65" s="469"/>
    </row>
    <row r="66" spans="1:28" ht="18" customHeight="1" x14ac:dyDescent="0.2">
      <c r="A66" s="480"/>
      <c r="B66" s="119" t="s">
        <v>651</v>
      </c>
      <c r="C66" s="457"/>
      <c r="D66" s="455"/>
      <c r="E66" s="115"/>
      <c r="F66" s="115"/>
      <c r="G66" s="115"/>
      <c r="H66" s="457"/>
      <c r="I66" s="455"/>
      <c r="J66" s="115"/>
      <c r="K66" s="115"/>
      <c r="L66" s="115"/>
      <c r="M66" s="457"/>
      <c r="N66" s="491"/>
      <c r="O66" s="133"/>
      <c r="P66" s="116"/>
      <c r="Q66" s="116"/>
      <c r="R66" s="469"/>
      <c r="S66" s="465"/>
      <c r="T66" s="116"/>
      <c r="U66" s="116"/>
      <c r="V66" s="116"/>
      <c r="W66" s="465"/>
      <c r="X66" s="465"/>
      <c r="Y66" s="116"/>
      <c r="Z66" s="116"/>
      <c r="AA66" s="116"/>
      <c r="AB66" s="469"/>
    </row>
    <row r="67" spans="1:28" ht="18" customHeight="1" x14ac:dyDescent="0.2">
      <c r="A67" s="480"/>
      <c r="B67" s="119" t="s">
        <v>652</v>
      </c>
      <c r="C67" s="457"/>
      <c r="D67" s="455"/>
      <c r="E67" s="115"/>
      <c r="F67" s="115"/>
      <c r="G67" s="115"/>
      <c r="H67" s="457"/>
      <c r="I67" s="455"/>
      <c r="J67" s="115"/>
      <c r="K67" s="115"/>
      <c r="L67" s="115"/>
      <c r="M67" s="457"/>
      <c r="N67" s="491"/>
      <c r="O67" s="133"/>
      <c r="P67" s="116"/>
      <c r="Q67" s="116"/>
      <c r="R67" s="469"/>
      <c r="S67" s="465"/>
      <c r="T67" s="116"/>
      <c r="U67" s="116"/>
      <c r="V67" s="116"/>
      <c r="W67" s="465"/>
      <c r="X67" s="465"/>
      <c r="Y67" s="116"/>
      <c r="Z67" s="116"/>
      <c r="AA67" s="116"/>
      <c r="AB67" s="469"/>
    </row>
    <row r="68" spans="1:28" ht="18" customHeight="1" x14ac:dyDescent="0.2">
      <c r="A68" s="480"/>
      <c r="B68" s="119" t="s">
        <v>653</v>
      </c>
      <c r="C68" s="457"/>
      <c r="D68" s="455"/>
      <c r="E68" s="115"/>
      <c r="F68" s="115"/>
      <c r="G68" s="115"/>
      <c r="H68" s="457"/>
      <c r="I68" s="455"/>
      <c r="J68" s="115"/>
      <c r="K68" s="115"/>
      <c r="L68" s="115"/>
      <c r="M68" s="457"/>
      <c r="N68" s="491"/>
      <c r="O68" s="133"/>
      <c r="P68" s="116"/>
      <c r="Q68" s="116"/>
      <c r="R68" s="469"/>
      <c r="S68" s="465"/>
      <c r="T68" s="116"/>
      <c r="U68" s="116"/>
      <c r="V68" s="116"/>
      <c r="W68" s="465"/>
      <c r="X68" s="465"/>
      <c r="Y68" s="116"/>
      <c r="Z68" s="116"/>
      <c r="AA68" s="116"/>
      <c r="AB68" s="469"/>
    </row>
    <row r="69" spans="1:28" ht="18" customHeight="1" x14ac:dyDescent="0.2">
      <c r="A69" s="480"/>
      <c r="B69" s="119" t="s">
        <v>654</v>
      </c>
      <c r="C69" s="457"/>
      <c r="D69" s="455"/>
      <c r="E69" s="115"/>
      <c r="F69" s="115"/>
      <c r="G69" s="115"/>
      <c r="H69" s="457"/>
      <c r="I69" s="455"/>
      <c r="J69" s="115"/>
      <c r="K69" s="115"/>
      <c r="L69" s="115"/>
      <c r="M69" s="457"/>
      <c r="N69" s="491"/>
      <c r="O69" s="133"/>
      <c r="P69" s="116"/>
      <c r="Q69" s="116"/>
      <c r="R69" s="469"/>
      <c r="S69" s="465"/>
      <c r="T69" s="116"/>
      <c r="U69" s="116"/>
      <c r="V69" s="116"/>
      <c r="W69" s="465"/>
      <c r="X69" s="465"/>
      <c r="Y69" s="116"/>
      <c r="Z69" s="116"/>
      <c r="AA69" s="116"/>
      <c r="AB69" s="469"/>
    </row>
    <row r="70" spans="1:28" ht="18" customHeight="1" x14ac:dyDescent="0.2">
      <c r="A70" s="480"/>
      <c r="B70" s="119" t="s">
        <v>655</v>
      </c>
      <c r="C70" s="457"/>
      <c r="D70" s="455"/>
      <c r="E70" s="115"/>
      <c r="F70" s="115"/>
      <c r="G70" s="115"/>
      <c r="H70" s="457"/>
      <c r="I70" s="455"/>
      <c r="J70" s="115"/>
      <c r="K70" s="115"/>
      <c r="L70" s="115"/>
      <c r="M70" s="457"/>
      <c r="N70" s="491"/>
      <c r="O70" s="133"/>
      <c r="P70" s="116"/>
      <c r="Q70" s="116"/>
      <c r="R70" s="469"/>
      <c r="S70" s="465"/>
      <c r="T70" s="116"/>
      <c r="U70" s="116"/>
      <c r="V70" s="116"/>
      <c r="W70" s="465"/>
      <c r="X70" s="465"/>
      <c r="Y70" s="116"/>
      <c r="Z70" s="116"/>
      <c r="AA70" s="116"/>
      <c r="AB70" s="469"/>
    </row>
    <row r="71" spans="1:28" ht="18" customHeight="1" x14ac:dyDescent="0.2">
      <c r="A71" s="480"/>
      <c r="B71" s="119" t="s">
        <v>656</v>
      </c>
      <c r="C71" s="457"/>
      <c r="D71" s="455"/>
      <c r="E71" s="115"/>
      <c r="F71" s="115"/>
      <c r="G71" s="115"/>
      <c r="H71" s="457"/>
      <c r="I71" s="455"/>
      <c r="J71" s="115"/>
      <c r="K71" s="115"/>
      <c r="L71" s="115"/>
      <c r="M71" s="457"/>
      <c r="N71" s="491"/>
      <c r="O71" s="133"/>
      <c r="P71" s="116"/>
      <c r="Q71" s="116"/>
      <c r="R71" s="469"/>
      <c r="S71" s="465"/>
      <c r="T71" s="116"/>
      <c r="U71" s="116"/>
      <c r="V71" s="116"/>
      <c r="W71" s="465"/>
      <c r="X71" s="465"/>
      <c r="Y71" s="116"/>
      <c r="Z71" s="116"/>
      <c r="AA71" s="116"/>
      <c r="AB71" s="469"/>
    </row>
    <row r="72" spans="1:28" ht="18" customHeight="1" x14ac:dyDescent="0.2">
      <c r="A72" s="480"/>
      <c r="B72" s="119" t="s">
        <v>657</v>
      </c>
      <c r="C72" s="457"/>
      <c r="D72" s="455"/>
      <c r="E72" s="115"/>
      <c r="F72" s="115"/>
      <c r="G72" s="115"/>
      <c r="H72" s="457"/>
      <c r="I72" s="455"/>
      <c r="J72" s="115"/>
      <c r="K72" s="115"/>
      <c r="L72" s="115"/>
      <c r="M72" s="457"/>
      <c r="N72" s="491"/>
      <c r="O72" s="133"/>
      <c r="P72" s="116"/>
      <c r="Q72" s="116"/>
      <c r="R72" s="469"/>
      <c r="S72" s="465"/>
      <c r="T72" s="116"/>
      <c r="U72" s="116"/>
      <c r="V72" s="116"/>
      <c r="W72" s="465"/>
      <c r="X72" s="465"/>
      <c r="Y72" s="116"/>
      <c r="Z72" s="116"/>
      <c r="AA72" s="116"/>
      <c r="AB72" s="469"/>
    </row>
    <row r="73" spans="1:28" ht="18" customHeight="1" x14ac:dyDescent="0.2">
      <c r="A73" s="480"/>
      <c r="B73" s="119" t="s">
        <v>658</v>
      </c>
      <c r="C73" s="457"/>
      <c r="D73" s="455"/>
      <c r="E73" s="115"/>
      <c r="F73" s="115"/>
      <c r="G73" s="115"/>
      <c r="H73" s="457"/>
      <c r="I73" s="455"/>
      <c r="J73" s="115"/>
      <c r="K73" s="115"/>
      <c r="L73" s="115"/>
      <c r="M73" s="457"/>
      <c r="N73" s="491"/>
      <c r="O73" s="133"/>
      <c r="P73" s="116"/>
      <c r="Q73" s="116"/>
      <c r="R73" s="469"/>
      <c r="S73" s="465"/>
      <c r="T73" s="116"/>
      <c r="U73" s="116"/>
      <c r="V73" s="116"/>
      <c r="W73" s="465"/>
      <c r="X73" s="465"/>
      <c r="Y73" s="116"/>
      <c r="Z73" s="116"/>
      <c r="AA73" s="116"/>
      <c r="AB73" s="469"/>
    </row>
    <row r="74" spans="1:28" ht="18" customHeight="1" x14ac:dyDescent="0.2">
      <c r="A74" s="480"/>
      <c r="B74" s="118" t="s">
        <v>308</v>
      </c>
      <c r="C74" s="457"/>
      <c r="D74" s="455"/>
      <c r="E74" s="115"/>
      <c r="F74" s="115"/>
      <c r="G74" s="115"/>
      <c r="H74" s="457"/>
      <c r="I74" s="455"/>
      <c r="J74" s="115"/>
      <c r="K74" s="115"/>
      <c r="L74" s="115"/>
      <c r="M74" s="457"/>
      <c r="N74" s="491"/>
      <c r="O74" s="133"/>
      <c r="P74" s="116"/>
      <c r="Q74" s="116"/>
      <c r="R74" s="469"/>
      <c r="S74" s="465"/>
      <c r="T74" s="116"/>
      <c r="U74" s="116"/>
      <c r="V74" s="116"/>
      <c r="W74" s="465"/>
      <c r="X74" s="465"/>
      <c r="Y74" s="116"/>
      <c r="Z74" s="116"/>
      <c r="AA74" s="116"/>
      <c r="AB74" s="469"/>
    </row>
    <row r="75" spans="1:28" ht="18" customHeight="1" x14ac:dyDescent="0.2">
      <c r="A75" s="480"/>
      <c r="B75" s="120" t="s">
        <v>659</v>
      </c>
      <c r="C75" s="457"/>
      <c r="D75" s="455"/>
      <c r="E75" s="115"/>
      <c r="F75" s="115"/>
      <c r="G75" s="115"/>
      <c r="H75" s="457"/>
      <c r="I75" s="455"/>
      <c r="J75" s="115"/>
      <c r="K75" s="115"/>
      <c r="L75" s="115"/>
      <c r="M75" s="457"/>
      <c r="N75" s="491"/>
      <c r="O75" s="133"/>
      <c r="P75" s="116"/>
      <c r="Q75" s="116"/>
      <c r="R75" s="469"/>
      <c r="S75" s="465"/>
      <c r="T75" s="116"/>
      <c r="U75" s="116"/>
      <c r="V75" s="116"/>
      <c r="W75" s="465"/>
      <c r="X75" s="465"/>
      <c r="Y75" s="116"/>
      <c r="Z75" s="116"/>
      <c r="AA75" s="116"/>
      <c r="AB75" s="469"/>
    </row>
    <row r="76" spans="1:28" ht="18" customHeight="1" x14ac:dyDescent="0.2">
      <c r="A76" s="480"/>
      <c r="B76" s="120" t="s">
        <v>660</v>
      </c>
      <c r="C76" s="457"/>
      <c r="D76" s="455"/>
      <c r="E76" s="115"/>
      <c r="F76" s="115"/>
      <c r="G76" s="115"/>
      <c r="H76" s="457"/>
      <c r="I76" s="455"/>
      <c r="J76" s="115"/>
      <c r="K76" s="115"/>
      <c r="L76" s="115"/>
      <c r="M76" s="457"/>
      <c r="N76" s="491"/>
      <c r="O76" s="133"/>
      <c r="P76" s="116"/>
      <c r="Q76" s="116"/>
      <c r="R76" s="469"/>
      <c r="S76" s="465"/>
      <c r="T76" s="116"/>
      <c r="U76" s="116"/>
      <c r="V76" s="116"/>
      <c r="W76" s="465"/>
      <c r="X76" s="465"/>
      <c r="Y76" s="116"/>
      <c r="Z76" s="116"/>
      <c r="AA76" s="116"/>
      <c r="AB76" s="469"/>
    </row>
    <row r="77" spans="1:28" ht="18" customHeight="1" x14ac:dyDescent="0.2">
      <c r="A77" s="480"/>
      <c r="B77" s="120" t="s">
        <v>661</v>
      </c>
      <c r="C77" s="457"/>
      <c r="D77" s="455"/>
      <c r="E77" s="115"/>
      <c r="F77" s="115"/>
      <c r="G77" s="115"/>
      <c r="H77" s="457"/>
      <c r="I77" s="455"/>
      <c r="J77" s="115"/>
      <c r="K77" s="115"/>
      <c r="L77" s="115"/>
      <c r="M77" s="457"/>
      <c r="N77" s="491"/>
      <c r="O77" s="133"/>
      <c r="P77" s="116"/>
      <c r="Q77" s="116"/>
      <c r="R77" s="469"/>
      <c r="S77" s="465"/>
      <c r="T77" s="116"/>
      <c r="U77" s="116"/>
      <c r="V77" s="116"/>
      <c r="W77" s="465"/>
      <c r="X77" s="465"/>
      <c r="Y77" s="116"/>
      <c r="Z77" s="116"/>
      <c r="AA77" s="116"/>
      <c r="AB77" s="469"/>
    </row>
    <row r="78" spans="1:28" ht="31.5" customHeight="1" x14ac:dyDescent="0.2">
      <c r="A78" s="480"/>
      <c r="B78" s="120" t="s">
        <v>662</v>
      </c>
      <c r="C78" s="457"/>
      <c r="D78" s="455"/>
      <c r="E78" s="115"/>
      <c r="F78" s="115"/>
      <c r="G78" s="115"/>
      <c r="H78" s="457"/>
      <c r="I78" s="455"/>
      <c r="J78" s="115"/>
      <c r="K78" s="115"/>
      <c r="L78" s="115"/>
      <c r="M78" s="457"/>
      <c r="N78" s="491"/>
      <c r="O78" s="133"/>
      <c r="P78" s="116"/>
      <c r="Q78" s="116"/>
      <c r="R78" s="469"/>
      <c r="S78" s="465"/>
      <c r="T78" s="116"/>
      <c r="U78" s="116"/>
      <c r="V78" s="116"/>
      <c r="W78" s="465"/>
      <c r="X78" s="465"/>
      <c r="Y78" s="116"/>
      <c r="Z78" s="116"/>
      <c r="AA78" s="116"/>
      <c r="AB78" s="469"/>
    </row>
    <row r="79" spans="1:28" ht="18" customHeight="1" x14ac:dyDescent="0.2">
      <c r="A79" s="480"/>
      <c r="B79" s="120" t="s">
        <v>663</v>
      </c>
      <c r="C79" s="457"/>
      <c r="D79" s="455"/>
      <c r="E79" s="115"/>
      <c r="F79" s="115"/>
      <c r="G79" s="115"/>
      <c r="H79" s="457"/>
      <c r="I79" s="455"/>
      <c r="J79" s="115"/>
      <c r="K79" s="115"/>
      <c r="L79" s="115"/>
      <c r="M79" s="457"/>
      <c r="N79" s="491"/>
      <c r="O79" s="133"/>
      <c r="P79" s="116"/>
      <c r="Q79" s="116"/>
      <c r="R79" s="469"/>
      <c r="S79" s="465"/>
      <c r="T79" s="116"/>
      <c r="U79" s="116"/>
      <c r="V79" s="116"/>
      <c r="W79" s="465"/>
      <c r="X79" s="465"/>
      <c r="Y79" s="116"/>
      <c r="Z79" s="116"/>
      <c r="AA79" s="116"/>
      <c r="AB79" s="469"/>
    </row>
    <row r="80" spans="1:28" ht="32.25" customHeight="1" x14ac:dyDescent="0.2">
      <c r="A80" s="480"/>
      <c r="B80" s="120" t="s">
        <v>664</v>
      </c>
      <c r="C80" s="457"/>
      <c r="D80" s="455"/>
      <c r="E80" s="115"/>
      <c r="F80" s="115"/>
      <c r="G80" s="115"/>
      <c r="H80" s="457"/>
      <c r="I80" s="455"/>
      <c r="J80" s="115"/>
      <c r="K80" s="115"/>
      <c r="L80" s="115"/>
      <c r="M80" s="457"/>
      <c r="N80" s="491"/>
      <c r="O80" s="133"/>
      <c r="P80" s="116"/>
      <c r="Q80" s="116"/>
      <c r="R80" s="469"/>
      <c r="S80" s="465"/>
      <c r="T80" s="116"/>
      <c r="U80" s="116"/>
      <c r="V80" s="116"/>
      <c r="W80" s="465"/>
      <c r="X80" s="465"/>
      <c r="Y80" s="116"/>
      <c r="Z80" s="116"/>
      <c r="AA80" s="116"/>
      <c r="AB80" s="469"/>
    </row>
    <row r="81" spans="1:28" ht="18" customHeight="1" x14ac:dyDescent="0.2">
      <c r="A81" s="480"/>
      <c r="B81" s="120" t="s">
        <v>1662</v>
      </c>
      <c r="C81" s="457"/>
      <c r="D81" s="455"/>
      <c r="E81" s="115"/>
      <c r="F81" s="115"/>
      <c r="G81" s="115"/>
      <c r="H81" s="457"/>
      <c r="I81" s="455"/>
      <c r="J81" s="115"/>
      <c r="K81" s="115"/>
      <c r="L81" s="115"/>
      <c r="M81" s="457"/>
      <c r="N81" s="491"/>
      <c r="O81" s="133"/>
      <c r="P81" s="116"/>
      <c r="Q81" s="116"/>
      <c r="R81" s="469"/>
      <c r="S81" s="465"/>
      <c r="T81" s="116"/>
      <c r="U81" s="116"/>
      <c r="V81" s="116"/>
      <c r="W81" s="465"/>
      <c r="X81" s="465"/>
      <c r="Y81" s="116"/>
      <c r="Z81" s="116"/>
      <c r="AA81" s="116"/>
      <c r="AB81" s="469"/>
    </row>
    <row r="82" spans="1:28" ht="18" customHeight="1" x14ac:dyDescent="0.2">
      <c r="A82" s="480"/>
      <c r="B82" s="120" t="s">
        <v>665</v>
      </c>
      <c r="C82" s="457"/>
      <c r="D82" s="455"/>
      <c r="E82" s="115"/>
      <c r="F82" s="115"/>
      <c r="G82" s="115"/>
      <c r="H82" s="457"/>
      <c r="I82" s="455"/>
      <c r="J82" s="115"/>
      <c r="K82" s="115"/>
      <c r="L82" s="115"/>
      <c r="M82" s="457"/>
      <c r="N82" s="491"/>
      <c r="O82" s="133"/>
      <c r="P82" s="116"/>
      <c r="Q82" s="116"/>
      <c r="R82" s="469"/>
      <c r="S82" s="465"/>
      <c r="T82" s="116"/>
      <c r="U82" s="116"/>
      <c r="V82" s="116"/>
      <c r="W82" s="465"/>
      <c r="X82" s="465"/>
      <c r="Y82" s="116"/>
      <c r="Z82" s="116"/>
      <c r="AA82" s="116"/>
      <c r="AB82" s="469"/>
    </row>
    <row r="83" spans="1:28" ht="18" customHeight="1" x14ac:dyDescent="0.2">
      <c r="A83" s="480"/>
      <c r="B83" s="120" t="s">
        <v>666</v>
      </c>
      <c r="C83" s="457"/>
      <c r="D83" s="455"/>
      <c r="E83" s="115"/>
      <c r="F83" s="115"/>
      <c r="G83" s="115"/>
      <c r="H83" s="457"/>
      <c r="I83" s="455"/>
      <c r="J83" s="115"/>
      <c r="K83" s="115"/>
      <c r="L83" s="115"/>
      <c r="M83" s="457"/>
      <c r="N83" s="491"/>
      <c r="O83" s="133"/>
      <c r="P83" s="116"/>
      <c r="Q83" s="116"/>
      <c r="R83" s="469"/>
      <c r="S83" s="465"/>
      <c r="T83" s="116"/>
      <c r="U83" s="116"/>
      <c r="V83" s="116"/>
      <c r="W83" s="465"/>
      <c r="X83" s="465"/>
      <c r="Y83" s="116"/>
      <c r="Z83" s="116"/>
      <c r="AA83" s="116"/>
      <c r="AB83" s="469"/>
    </row>
    <row r="84" spans="1:28" ht="18" customHeight="1" x14ac:dyDescent="0.2">
      <c r="A84" s="480"/>
      <c r="B84" s="120" t="s">
        <v>667</v>
      </c>
      <c r="C84" s="457"/>
      <c r="D84" s="455"/>
      <c r="E84" s="115"/>
      <c r="F84" s="115"/>
      <c r="G84" s="115"/>
      <c r="H84" s="457"/>
      <c r="I84" s="455"/>
      <c r="J84" s="115"/>
      <c r="K84" s="115"/>
      <c r="L84" s="115"/>
      <c r="M84" s="457"/>
      <c r="N84" s="491"/>
      <c r="O84" s="133"/>
      <c r="P84" s="116"/>
      <c r="Q84" s="116"/>
      <c r="R84" s="469"/>
      <c r="S84" s="465"/>
      <c r="T84" s="116"/>
      <c r="U84" s="116"/>
      <c r="V84" s="116"/>
      <c r="W84" s="465"/>
      <c r="X84" s="465"/>
      <c r="Y84" s="116"/>
      <c r="Z84" s="116"/>
      <c r="AA84" s="116"/>
      <c r="AB84" s="469"/>
    </row>
    <row r="85" spans="1:28" ht="18" customHeight="1" x14ac:dyDescent="0.2">
      <c r="A85" s="480"/>
      <c r="B85" s="120" t="s">
        <v>668</v>
      </c>
      <c r="C85" s="457"/>
      <c r="D85" s="455"/>
      <c r="E85" s="115"/>
      <c r="F85" s="115"/>
      <c r="G85" s="115"/>
      <c r="H85" s="457"/>
      <c r="I85" s="455"/>
      <c r="J85" s="115"/>
      <c r="K85" s="115"/>
      <c r="L85" s="115"/>
      <c r="M85" s="457"/>
      <c r="N85" s="491"/>
      <c r="O85" s="133"/>
      <c r="P85" s="116"/>
      <c r="Q85" s="116"/>
      <c r="R85" s="469"/>
      <c r="S85" s="465"/>
      <c r="T85" s="116"/>
      <c r="U85" s="116"/>
      <c r="V85" s="116"/>
      <c r="W85" s="465"/>
      <c r="X85" s="465"/>
      <c r="Y85" s="116"/>
      <c r="Z85" s="116"/>
      <c r="AA85" s="116"/>
      <c r="AB85" s="469"/>
    </row>
    <row r="86" spans="1:28" ht="18" customHeight="1" x14ac:dyDescent="0.2">
      <c r="A86" s="480"/>
      <c r="B86" s="120" t="s">
        <v>669</v>
      </c>
      <c r="C86" s="457"/>
      <c r="D86" s="455"/>
      <c r="E86" s="115"/>
      <c r="F86" s="115"/>
      <c r="G86" s="115"/>
      <c r="H86" s="457"/>
      <c r="I86" s="455"/>
      <c r="J86" s="115"/>
      <c r="K86" s="115"/>
      <c r="L86" s="115"/>
      <c r="M86" s="457"/>
      <c r="N86" s="491"/>
      <c r="O86" s="133"/>
      <c r="P86" s="116"/>
      <c r="Q86" s="116"/>
      <c r="R86" s="469"/>
      <c r="S86" s="465"/>
      <c r="T86" s="116"/>
      <c r="U86" s="116"/>
      <c r="V86" s="116"/>
      <c r="W86" s="465"/>
      <c r="X86" s="465"/>
      <c r="Y86" s="116"/>
      <c r="Z86" s="116"/>
      <c r="AA86" s="116"/>
      <c r="AB86" s="469"/>
    </row>
    <row r="87" spans="1:28" ht="18" customHeight="1" x14ac:dyDescent="0.2">
      <c r="A87" s="480"/>
      <c r="B87" s="120" t="s">
        <v>670</v>
      </c>
      <c r="C87" s="457"/>
      <c r="D87" s="455"/>
      <c r="E87" s="115"/>
      <c r="F87" s="115"/>
      <c r="G87" s="115"/>
      <c r="H87" s="457"/>
      <c r="I87" s="455"/>
      <c r="J87" s="115"/>
      <c r="K87" s="115"/>
      <c r="L87" s="115"/>
      <c r="M87" s="457"/>
      <c r="N87" s="491"/>
      <c r="O87" s="133"/>
      <c r="P87" s="116"/>
      <c r="Q87" s="116"/>
      <c r="R87" s="469"/>
      <c r="S87" s="465"/>
      <c r="T87" s="116"/>
      <c r="U87" s="116"/>
      <c r="V87" s="116"/>
      <c r="W87" s="465"/>
      <c r="X87" s="465"/>
      <c r="Y87" s="116"/>
      <c r="Z87" s="116"/>
      <c r="AA87" s="116"/>
      <c r="AB87" s="469"/>
    </row>
    <row r="88" spans="1:28" ht="20.25" customHeight="1" x14ac:dyDescent="0.2">
      <c r="A88" s="480"/>
      <c r="B88" s="120" t="s">
        <v>671</v>
      </c>
      <c r="C88" s="457"/>
      <c r="D88" s="455"/>
      <c r="E88" s="115"/>
      <c r="F88" s="115"/>
      <c r="G88" s="115"/>
      <c r="H88" s="457"/>
      <c r="I88" s="455"/>
      <c r="J88" s="115"/>
      <c r="K88" s="115"/>
      <c r="L88" s="115"/>
      <c r="M88" s="457"/>
      <c r="N88" s="491"/>
      <c r="O88" s="133"/>
      <c r="P88" s="116"/>
      <c r="Q88" s="116"/>
      <c r="R88" s="469"/>
      <c r="S88" s="465"/>
      <c r="T88" s="116"/>
      <c r="U88" s="116"/>
      <c r="V88" s="116"/>
      <c r="W88" s="465"/>
      <c r="X88" s="465"/>
      <c r="Y88" s="116"/>
      <c r="Z88" s="116"/>
      <c r="AA88" s="116"/>
      <c r="AB88" s="469"/>
    </row>
    <row r="89" spans="1:28" ht="18" customHeight="1" x14ac:dyDescent="0.25">
      <c r="A89" s="480"/>
      <c r="B89" s="134" t="s">
        <v>672</v>
      </c>
      <c r="C89" s="457"/>
      <c r="D89" s="455"/>
      <c r="E89" s="115"/>
      <c r="F89" s="115"/>
      <c r="G89" s="115"/>
      <c r="H89" s="457"/>
      <c r="I89" s="455"/>
      <c r="J89" s="115"/>
      <c r="K89" s="115"/>
      <c r="L89" s="115"/>
      <c r="M89" s="457"/>
      <c r="N89" s="491"/>
      <c r="O89" s="133"/>
      <c r="P89" s="116"/>
      <c r="Q89" s="116"/>
      <c r="R89" s="469"/>
      <c r="S89" s="465"/>
      <c r="T89" s="116"/>
      <c r="U89" s="116"/>
      <c r="V89" s="116"/>
      <c r="W89" s="465"/>
      <c r="X89" s="465"/>
      <c r="Y89" s="116"/>
      <c r="Z89" s="116"/>
      <c r="AA89" s="116"/>
      <c r="AB89" s="469"/>
    </row>
    <row r="90" spans="1:28" ht="18" customHeight="1" x14ac:dyDescent="0.2">
      <c r="A90" s="480"/>
      <c r="B90" s="120" t="s">
        <v>673</v>
      </c>
      <c r="C90" s="457"/>
      <c r="D90" s="455"/>
      <c r="E90" s="115"/>
      <c r="F90" s="115"/>
      <c r="G90" s="115"/>
      <c r="H90" s="457"/>
      <c r="I90" s="455"/>
      <c r="J90" s="115"/>
      <c r="K90" s="115"/>
      <c r="L90" s="115"/>
      <c r="M90" s="457"/>
      <c r="N90" s="491"/>
      <c r="O90" s="133"/>
      <c r="P90" s="116"/>
      <c r="Q90" s="116"/>
      <c r="R90" s="469"/>
      <c r="S90" s="465"/>
      <c r="T90" s="116"/>
      <c r="U90" s="116"/>
      <c r="V90" s="116"/>
      <c r="W90" s="465"/>
      <c r="X90" s="465"/>
      <c r="Y90" s="116"/>
      <c r="Z90" s="116"/>
      <c r="AA90" s="116"/>
      <c r="AB90" s="469"/>
    </row>
    <row r="91" spans="1:28" ht="20.25" customHeight="1" x14ac:dyDescent="0.2">
      <c r="A91" s="480"/>
      <c r="B91" s="120" t="s">
        <v>674</v>
      </c>
      <c r="C91" s="457"/>
      <c r="D91" s="455"/>
      <c r="E91" s="115"/>
      <c r="F91" s="115"/>
      <c r="G91" s="115"/>
      <c r="H91" s="457"/>
      <c r="I91" s="455"/>
      <c r="J91" s="115"/>
      <c r="K91" s="115"/>
      <c r="L91" s="115"/>
      <c r="M91" s="457"/>
      <c r="N91" s="491"/>
      <c r="O91" s="133"/>
      <c r="P91" s="116"/>
      <c r="Q91" s="116"/>
      <c r="R91" s="469"/>
      <c r="S91" s="465"/>
      <c r="T91" s="116"/>
      <c r="U91" s="116"/>
      <c r="V91" s="116"/>
      <c r="W91" s="465"/>
      <c r="X91" s="465"/>
      <c r="Y91" s="116"/>
      <c r="Z91" s="116"/>
      <c r="AA91" s="116"/>
      <c r="AB91" s="469"/>
    </row>
    <row r="92" spans="1:28" ht="18" customHeight="1" x14ac:dyDescent="0.2">
      <c r="A92" s="480"/>
      <c r="B92" s="118" t="s">
        <v>357</v>
      </c>
      <c r="C92" s="457"/>
      <c r="D92" s="455"/>
      <c r="E92" s="115"/>
      <c r="F92" s="115"/>
      <c r="G92" s="115"/>
      <c r="H92" s="457"/>
      <c r="I92" s="455"/>
      <c r="J92" s="115"/>
      <c r="K92" s="115"/>
      <c r="L92" s="115"/>
      <c r="M92" s="457"/>
      <c r="N92" s="491"/>
      <c r="O92" s="133"/>
      <c r="P92" s="116"/>
      <c r="Q92" s="116"/>
      <c r="R92" s="469"/>
      <c r="S92" s="465"/>
      <c r="T92" s="116"/>
      <c r="U92" s="116"/>
      <c r="V92" s="116"/>
      <c r="W92" s="465"/>
      <c r="X92" s="465"/>
      <c r="Y92" s="116"/>
      <c r="Z92" s="116"/>
      <c r="AA92" s="116"/>
      <c r="AB92" s="469"/>
    </row>
    <row r="93" spans="1:28" ht="25.5" customHeight="1" x14ac:dyDescent="0.2">
      <c r="A93" s="480"/>
      <c r="B93" s="119" t="s">
        <v>675</v>
      </c>
      <c r="C93" s="457"/>
      <c r="D93" s="455"/>
      <c r="E93" s="115"/>
      <c r="F93" s="115"/>
      <c r="G93" s="115"/>
      <c r="H93" s="457"/>
      <c r="I93" s="455"/>
      <c r="J93" s="115"/>
      <c r="K93" s="115"/>
      <c r="L93" s="115"/>
      <c r="M93" s="457"/>
      <c r="N93" s="491"/>
      <c r="O93" s="133"/>
      <c r="P93" s="116"/>
      <c r="Q93" s="116"/>
      <c r="R93" s="469"/>
      <c r="S93" s="465"/>
      <c r="T93" s="116"/>
      <c r="U93" s="116"/>
      <c r="V93" s="116"/>
      <c r="W93" s="465"/>
      <c r="X93" s="465"/>
      <c r="Y93" s="116"/>
      <c r="Z93" s="116"/>
      <c r="AA93" s="116"/>
      <c r="AB93" s="469"/>
    </row>
    <row r="94" spans="1:28" ht="18" customHeight="1" x14ac:dyDescent="0.2">
      <c r="A94" s="480"/>
      <c r="B94" s="119" t="s">
        <v>676</v>
      </c>
      <c r="C94" s="457"/>
      <c r="D94" s="455"/>
      <c r="E94" s="115"/>
      <c r="F94" s="115"/>
      <c r="G94" s="115"/>
      <c r="H94" s="457"/>
      <c r="I94" s="455"/>
      <c r="J94" s="115"/>
      <c r="K94" s="115"/>
      <c r="L94" s="115"/>
      <c r="M94" s="457"/>
      <c r="N94" s="491"/>
      <c r="O94" s="133"/>
      <c r="P94" s="116"/>
      <c r="Q94" s="116"/>
      <c r="R94" s="469"/>
      <c r="S94" s="465"/>
      <c r="T94" s="116"/>
      <c r="U94" s="116"/>
      <c r="V94" s="116"/>
      <c r="W94" s="465"/>
      <c r="X94" s="465"/>
      <c r="Y94" s="116"/>
      <c r="Z94" s="116"/>
      <c r="AA94" s="116"/>
      <c r="AB94" s="469"/>
    </row>
    <row r="95" spans="1:28" ht="33.75" customHeight="1" x14ac:dyDescent="0.2">
      <c r="A95" s="480"/>
      <c r="B95" s="119" t="s">
        <v>677</v>
      </c>
      <c r="C95" s="457"/>
      <c r="D95" s="455"/>
      <c r="E95" s="115"/>
      <c r="F95" s="115"/>
      <c r="G95" s="115"/>
      <c r="H95" s="457"/>
      <c r="I95" s="455"/>
      <c r="J95" s="115"/>
      <c r="K95" s="115"/>
      <c r="L95" s="115"/>
      <c r="M95" s="457"/>
      <c r="N95" s="491"/>
      <c r="O95" s="133"/>
      <c r="P95" s="116"/>
      <c r="Q95" s="116"/>
      <c r="R95" s="469"/>
      <c r="S95" s="465"/>
      <c r="T95" s="116"/>
      <c r="U95" s="116"/>
      <c r="V95" s="116"/>
      <c r="W95" s="465"/>
      <c r="X95" s="465"/>
      <c r="Y95" s="116"/>
      <c r="Z95" s="116"/>
      <c r="AA95" s="116"/>
      <c r="AB95" s="469"/>
    </row>
    <row r="96" spans="1:28" ht="19.5" customHeight="1" x14ac:dyDescent="0.2">
      <c r="A96" s="480"/>
      <c r="B96" s="119" t="s">
        <v>1506</v>
      </c>
      <c r="C96" s="457"/>
      <c r="D96" s="455"/>
      <c r="E96" s="115"/>
      <c r="F96" s="115"/>
      <c r="G96" s="115"/>
      <c r="H96" s="457"/>
      <c r="I96" s="455"/>
      <c r="J96" s="115"/>
      <c r="K96" s="115"/>
      <c r="L96" s="115"/>
      <c r="M96" s="457"/>
      <c r="N96" s="491"/>
      <c r="O96" s="133"/>
      <c r="P96" s="116"/>
      <c r="Q96" s="116"/>
      <c r="R96" s="469"/>
      <c r="S96" s="465"/>
      <c r="T96" s="116"/>
      <c r="U96" s="116"/>
      <c r="V96" s="116"/>
      <c r="W96" s="465"/>
      <c r="X96" s="465"/>
      <c r="Y96" s="116"/>
      <c r="Z96" s="116"/>
      <c r="AA96" s="116"/>
      <c r="AB96" s="469"/>
    </row>
    <row r="97" spans="1:28" ht="19.5" customHeight="1" x14ac:dyDescent="0.2">
      <c r="A97" s="480"/>
      <c r="B97" s="119" t="s">
        <v>678</v>
      </c>
      <c r="C97" s="457"/>
      <c r="D97" s="455"/>
      <c r="E97" s="115"/>
      <c r="F97" s="115"/>
      <c r="G97" s="115"/>
      <c r="H97" s="457"/>
      <c r="I97" s="455"/>
      <c r="J97" s="115"/>
      <c r="K97" s="115"/>
      <c r="L97" s="115"/>
      <c r="M97" s="457"/>
      <c r="N97" s="491"/>
      <c r="O97" s="133"/>
      <c r="P97" s="116"/>
      <c r="Q97" s="116"/>
      <c r="R97" s="469"/>
      <c r="S97" s="465"/>
      <c r="T97" s="116"/>
      <c r="U97" s="116"/>
      <c r="V97" s="116"/>
      <c r="W97" s="465"/>
      <c r="X97" s="465"/>
      <c r="Y97" s="116"/>
      <c r="Z97" s="116"/>
      <c r="AA97" s="116"/>
      <c r="AB97" s="469"/>
    </row>
    <row r="98" spans="1:28" ht="20.25" customHeight="1" x14ac:dyDescent="0.2">
      <c r="A98" s="480"/>
      <c r="B98" s="119" t="s">
        <v>728</v>
      </c>
      <c r="C98" s="457"/>
      <c r="D98" s="455"/>
      <c r="E98" s="115"/>
      <c r="F98" s="115"/>
      <c r="G98" s="115"/>
      <c r="H98" s="457"/>
      <c r="I98" s="455"/>
      <c r="J98" s="115"/>
      <c r="K98" s="115"/>
      <c r="L98" s="115"/>
      <c r="M98" s="457"/>
      <c r="N98" s="491"/>
      <c r="O98" s="133"/>
      <c r="P98" s="116"/>
      <c r="Q98" s="116"/>
      <c r="R98" s="469"/>
      <c r="S98" s="465"/>
      <c r="T98" s="116"/>
      <c r="U98" s="116"/>
      <c r="V98" s="116"/>
      <c r="W98" s="465"/>
      <c r="X98" s="465"/>
      <c r="Y98" s="116"/>
      <c r="Z98" s="116"/>
      <c r="AA98" s="116"/>
      <c r="AB98" s="469"/>
    </row>
    <row r="99" spans="1:28" ht="19.5" customHeight="1" x14ac:dyDescent="0.2">
      <c r="A99" s="480"/>
      <c r="B99" s="120" t="s">
        <v>679</v>
      </c>
      <c r="C99" s="457"/>
      <c r="D99" s="455"/>
      <c r="E99" s="115"/>
      <c r="F99" s="115"/>
      <c r="G99" s="115"/>
      <c r="H99" s="457"/>
      <c r="I99" s="455"/>
      <c r="J99" s="115"/>
      <c r="K99" s="115"/>
      <c r="L99" s="115"/>
      <c r="M99" s="457"/>
      <c r="N99" s="491"/>
      <c r="O99" s="133"/>
      <c r="P99" s="116"/>
      <c r="Q99" s="116"/>
      <c r="R99" s="469"/>
      <c r="S99" s="465"/>
      <c r="T99" s="116"/>
      <c r="U99" s="116"/>
      <c r="V99" s="116"/>
      <c r="W99" s="465"/>
      <c r="X99" s="465"/>
      <c r="Y99" s="116"/>
      <c r="Z99" s="116"/>
      <c r="AA99" s="116"/>
      <c r="AB99" s="469"/>
    </row>
    <row r="100" spans="1:28" ht="19.5" customHeight="1" x14ac:dyDescent="0.2">
      <c r="A100" s="480"/>
      <c r="B100" s="120" t="s">
        <v>680</v>
      </c>
      <c r="C100" s="457"/>
      <c r="D100" s="455"/>
      <c r="E100" s="115"/>
      <c r="F100" s="115"/>
      <c r="G100" s="115"/>
      <c r="H100" s="457"/>
      <c r="I100" s="455"/>
      <c r="J100" s="115"/>
      <c r="K100" s="115"/>
      <c r="L100" s="115"/>
      <c r="M100" s="457"/>
      <c r="N100" s="491"/>
      <c r="O100" s="133"/>
      <c r="P100" s="116"/>
      <c r="Q100" s="116"/>
      <c r="R100" s="469"/>
      <c r="S100" s="465"/>
      <c r="T100" s="116"/>
      <c r="U100" s="116"/>
      <c r="V100" s="116"/>
      <c r="W100" s="465"/>
      <c r="X100" s="465"/>
      <c r="Y100" s="116"/>
      <c r="Z100" s="116"/>
      <c r="AA100" s="116"/>
      <c r="AB100" s="469"/>
    </row>
    <row r="101" spans="1:28" ht="19.5" customHeight="1" x14ac:dyDescent="0.2">
      <c r="A101" s="480"/>
      <c r="B101" s="120" t="s">
        <v>681</v>
      </c>
      <c r="C101" s="457"/>
      <c r="D101" s="455"/>
      <c r="E101" s="115"/>
      <c r="F101" s="115"/>
      <c r="G101" s="115"/>
      <c r="H101" s="457"/>
      <c r="I101" s="455"/>
      <c r="J101" s="115"/>
      <c r="K101" s="115"/>
      <c r="L101" s="115"/>
      <c r="M101" s="457"/>
      <c r="N101" s="491"/>
      <c r="O101" s="133"/>
      <c r="P101" s="116"/>
      <c r="Q101" s="116"/>
      <c r="R101" s="469"/>
      <c r="S101" s="465"/>
      <c r="T101" s="116"/>
      <c r="U101" s="116"/>
      <c r="V101" s="116"/>
      <c r="W101" s="465"/>
      <c r="X101" s="465"/>
      <c r="Y101" s="116"/>
      <c r="Z101" s="116"/>
      <c r="AA101" s="116"/>
      <c r="AB101" s="469"/>
    </row>
    <row r="102" spans="1:28" ht="15" customHeight="1" x14ac:dyDescent="0.2">
      <c r="A102" s="480"/>
      <c r="B102" s="120" t="s">
        <v>682</v>
      </c>
      <c r="C102" s="457"/>
      <c r="D102" s="455"/>
      <c r="E102" s="115"/>
      <c r="F102" s="115"/>
      <c r="G102" s="115"/>
      <c r="H102" s="457"/>
      <c r="I102" s="455"/>
      <c r="J102" s="115"/>
      <c r="K102" s="115"/>
      <c r="L102" s="115"/>
      <c r="M102" s="457"/>
      <c r="N102" s="491"/>
      <c r="O102" s="133"/>
      <c r="P102" s="116"/>
      <c r="Q102" s="116"/>
      <c r="R102" s="469"/>
      <c r="S102" s="465"/>
      <c r="T102" s="116"/>
      <c r="U102" s="116"/>
      <c r="V102" s="116"/>
      <c r="W102" s="465"/>
      <c r="X102" s="465"/>
      <c r="Y102" s="116"/>
      <c r="Z102" s="116"/>
      <c r="AA102" s="116"/>
      <c r="AB102" s="469"/>
    </row>
    <row r="103" spans="1:28" ht="15.75" customHeight="1" x14ac:dyDescent="0.2">
      <c r="A103" s="480"/>
      <c r="B103" s="120" t="s">
        <v>683</v>
      </c>
      <c r="C103" s="457"/>
      <c r="D103" s="455"/>
      <c r="E103" s="115"/>
      <c r="F103" s="115"/>
      <c r="G103" s="115"/>
      <c r="H103" s="457"/>
      <c r="I103" s="455"/>
      <c r="J103" s="115"/>
      <c r="K103" s="115"/>
      <c r="L103" s="115"/>
      <c r="M103" s="457"/>
      <c r="N103" s="491"/>
      <c r="O103" s="133"/>
      <c r="P103" s="116"/>
      <c r="Q103" s="116"/>
      <c r="R103" s="469"/>
      <c r="S103" s="465"/>
      <c r="T103" s="116"/>
      <c r="U103" s="116"/>
      <c r="V103" s="116"/>
      <c r="W103" s="465"/>
      <c r="X103" s="465"/>
      <c r="Y103" s="116"/>
      <c r="Z103" s="116"/>
      <c r="AA103" s="116"/>
      <c r="AB103" s="469"/>
    </row>
    <row r="104" spans="1:28" ht="15.75" customHeight="1" x14ac:dyDescent="0.2">
      <c r="A104" s="480"/>
      <c r="B104" s="120" t="s">
        <v>729</v>
      </c>
      <c r="C104" s="457"/>
      <c r="D104" s="455"/>
      <c r="E104" s="115"/>
      <c r="F104" s="115"/>
      <c r="G104" s="115"/>
      <c r="H104" s="457"/>
      <c r="I104" s="455"/>
      <c r="J104" s="115"/>
      <c r="K104" s="115"/>
      <c r="L104" s="115"/>
      <c r="M104" s="457"/>
      <c r="N104" s="491"/>
      <c r="O104" s="133"/>
      <c r="P104" s="116"/>
      <c r="Q104" s="116"/>
      <c r="R104" s="469"/>
      <c r="S104" s="465"/>
      <c r="T104" s="116"/>
      <c r="U104" s="116"/>
      <c r="V104" s="116"/>
      <c r="W104" s="465"/>
      <c r="X104" s="465"/>
      <c r="Y104" s="116"/>
      <c r="Z104" s="116"/>
      <c r="AA104" s="116"/>
      <c r="AB104" s="469"/>
    </row>
    <row r="105" spans="1:28" ht="19.5" customHeight="1" x14ac:dyDescent="0.2">
      <c r="A105" s="480"/>
      <c r="B105" s="120" t="s">
        <v>730</v>
      </c>
      <c r="C105" s="457"/>
      <c r="D105" s="455"/>
      <c r="E105" s="115"/>
      <c r="F105" s="115"/>
      <c r="G105" s="115"/>
      <c r="H105" s="457"/>
      <c r="I105" s="455"/>
      <c r="J105" s="115"/>
      <c r="K105" s="115"/>
      <c r="L105" s="115"/>
      <c r="M105" s="457"/>
      <c r="N105" s="491"/>
      <c r="O105" s="133"/>
      <c r="P105" s="116"/>
      <c r="Q105" s="116"/>
      <c r="R105" s="469"/>
      <c r="S105" s="465"/>
      <c r="T105" s="116"/>
      <c r="U105" s="116"/>
      <c r="V105" s="116"/>
      <c r="W105" s="465"/>
      <c r="X105" s="465"/>
      <c r="Y105" s="116"/>
      <c r="Z105" s="116"/>
      <c r="AA105" s="116"/>
      <c r="AB105" s="469"/>
    </row>
    <row r="106" spans="1:28" ht="19.5" customHeight="1" x14ac:dyDescent="0.2">
      <c r="A106" s="480"/>
      <c r="B106" s="120" t="s">
        <v>684</v>
      </c>
      <c r="C106" s="457"/>
      <c r="D106" s="455"/>
      <c r="E106" s="115"/>
      <c r="F106" s="115"/>
      <c r="G106" s="115"/>
      <c r="H106" s="457"/>
      <c r="I106" s="455"/>
      <c r="J106" s="115"/>
      <c r="K106" s="115"/>
      <c r="L106" s="115"/>
      <c r="M106" s="457"/>
      <c r="N106" s="491"/>
      <c r="O106" s="133"/>
      <c r="P106" s="116"/>
      <c r="Q106" s="116"/>
      <c r="R106" s="469"/>
      <c r="S106" s="465"/>
      <c r="T106" s="116"/>
      <c r="U106" s="116"/>
      <c r="V106" s="116"/>
      <c r="W106" s="465"/>
      <c r="X106" s="465"/>
      <c r="Y106" s="116"/>
      <c r="Z106" s="116"/>
      <c r="AA106" s="116"/>
      <c r="AB106" s="469"/>
    </row>
    <row r="107" spans="1:28" ht="21.75" customHeight="1" x14ac:dyDescent="0.2">
      <c r="A107" s="480"/>
      <c r="B107" s="120" t="s">
        <v>685</v>
      </c>
      <c r="C107" s="457"/>
      <c r="D107" s="455"/>
      <c r="E107" s="115"/>
      <c r="F107" s="115"/>
      <c r="G107" s="115"/>
      <c r="H107" s="457"/>
      <c r="I107" s="455"/>
      <c r="J107" s="115"/>
      <c r="K107" s="115"/>
      <c r="L107" s="115"/>
      <c r="M107" s="457"/>
      <c r="N107" s="491"/>
      <c r="O107" s="133"/>
      <c r="P107" s="116"/>
      <c r="Q107" s="116"/>
      <c r="R107" s="469"/>
      <c r="S107" s="465"/>
      <c r="T107" s="116"/>
      <c r="U107" s="116"/>
      <c r="V107" s="116"/>
      <c r="W107" s="465"/>
      <c r="X107" s="465"/>
      <c r="Y107" s="116"/>
      <c r="Z107" s="116"/>
      <c r="AA107" s="116"/>
      <c r="AB107" s="469"/>
    </row>
    <row r="108" spans="1:28" ht="21.75" customHeight="1" x14ac:dyDescent="0.2">
      <c r="A108" s="480"/>
      <c r="B108" s="120" t="s">
        <v>686</v>
      </c>
      <c r="C108" s="457"/>
      <c r="D108" s="455"/>
      <c r="E108" s="115"/>
      <c r="F108" s="115"/>
      <c r="G108" s="115"/>
      <c r="H108" s="457"/>
      <c r="I108" s="455"/>
      <c r="J108" s="115"/>
      <c r="K108" s="115"/>
      <c r="L108" s="115"/>
      <c r="M108" s="457"/>
      <c r="N108" s="491"/>
      <c r="O108" s="133"/>
      <c r="P108" s="116"/>
      <c r="Q108" s="116"/>
      <c r="R108" s="469"/>
      <c r="S108" s="465"/>
      <c r="T108" s="116"/>
      <c r="U108" s="116"/>
      <c r="V108" s="116"/>
      <c r="W108" s="465"/>
      <c r="X108" s="465"/>
      <c r="Y108" s="116"/>
      <c r="Z108" s="116"/>
      <c r="AA108" s="116"/>
      <c r="AB108" s="469"/>
    </row>
    <row r="109" spans="1:28" ht="21.75" customHeight="1" x14ac:dyDescent="0.2">
      <c r="A109" s="480"/>
      <c r="B109" s="120" t="s">
        <v>687</v>
      </c>
      <c r="C109" s="457"/>
      <c r="D109" s="455"/>
      <c r="E109" s="115"/>
      <c r="F109" s="115"/>
      <c r="G109" s="115"/>
      <c r="H109" s="457"/>
      <c r="I109" s="455"/>
      <c r="J109" s="115"/>
      <c r="K109" s="115"/>
      <c r="L109" s="115"/>
      <c r="M109" s="457"/>
      <c r="N109" s="491"/>
      <c r="O109" s="133"/>
      <c r="P109" s="116"/>
      <c r="Q109" s="116"/>
      <c r="R109" s="469"/>
      <c r="S109" s="465"/>
      <c r="T109" s="116"/>
      <c r="U109" s="116"/>
      <c r="V109" s="116"/>
      <c r="W109" s="465"/>
      <c r="X109" s="465"/>
      <c r="Y109" s="116"/>
      <c r="Z109" s="116"/>
      <c r="AA109" s="116"/>
      <c r="AB109" s="469"/>
    </row>
    <row r="110" spans="1:28" ht="17.25" customHeight="1" x14ac:dyDescent="0.2">
      <c r="A110" s="480"/>
      <c r="B110" s="120" t="s">
        <v>688</v>
      </c>
      <c r="C110" s="457"/>
      <c r="D110" s="455"/>
      <c r="E110" s="115"/>
      <c r="F110" s="115"/>
      <c r="G110" s="115"/>
      <c r="H110" s="457"/>
      <c r="I110" s="455"/>
      <c r="J110" s="115"/>
      <c r="K110" s="115"/>
      <c r="L110" s="115"/>
      <c r="M110" s="457"/>
      <c r="N110" s="491"/>
      <c r="O110" s="133"/>
      <c r="P110" s="116"/>
      <c r="Q110" s="116"/>
      <c r="R110" s="469"/>
      <c r="S110" s="465"/>
      <c r="T110" s="116"/>
      <c r="U110" s="116"/>
      <c r="V110" s="116"/>
      <c r="W110" s="465"/>
      <c r="X110" s="465"/>
      <c r="Y110" s="116"/>
      <c r="Z110" s="116"/>
      <c r="AA110" s="116"/>
      <c r="AB110" s="469"/>
    </row>
    <row r="111" spans="1:28" ht="18" customHeight="1" x14ac:dyDescent="0.2">
      <c r="A111" s="480"/>
      <c r="B111" s="120" t="s">
        <v>689</v>
      </c>
      <c r="C111" s="457"/>
      <c r="D111" s="455"/>
      <c r="E111" s="115"/>
      <c r="F111" s="115"/>
      <c r="G111" s="115"/>
      <c r="H111" s="457"/>
      <c r="I111" s="455"/>
      <c r="J111" s="115"/>
      <c r="K111" s="115"/>
      <c r="L111" s="115"/>
      <c r="M111" s="457"/>
      <c r="N111" s="491"/>
      <c r="O111" s="133"/>
      <c r="P111" s="116"/>
      <c r="Q111" s="116"/>
      <c r="R111" s="469"/>
      <c r="S111" s="465"/>
      <c r="T111" s="116"/>
      <c r="U111" s="116"/>
      <c r="V111" s="116"/>
      <c r="W111" s="465"/>
      <c r="X111" s="465"/>
      <c r="Y111" s="116"/>
      <c r="Z111" s="116"/>
      <c r="AA111" s="116"/>
      <c r="AB111" s="469"/>
    </row>
    <row r="112" spans="1:28" ht="18" customHeight="1" x14ac:dyDescent="0.2">
      <c r="A112" s="480"/>
      <c r="B112" s="120" t="s">
        <v>690</v>
      </c>
      <c r="C112" s="457"/>
      <c r="D112" s="455"/>
      <c r="E112" s="115"/>
      <c r="F112" s="115"/>
      <c r="G112" s="115"/>
      <c r="H112" s="457"/>
      <c r="I112" s="455"/>
      <c r="J112" s="115"/>
      <c r="K112" s="115"/>
      <c r="L112" s="115"/>
      <c r="M112" s="457"/>
      <c r="N112" s="491"/>
      <c r="O112" s="133"/>
      <c r="P112" s="116"/>
      <c r="Q112" s="116"/>
      <c r="R112" s="469"/>
      <c r="S112" s="465"/>
      <c r="T112" s="116"/>
      <c r="U112" s="116"/>
      <c r="V112" s="116"/>
      <c r="W112" s="465"/>
      <c r="X112" s="465"/>
      <c r="Y112" s="116"/>
      <c r="Z112" s="116"/>
      <c r="AA112" s="116"/>
      <c r="AB112" s="469"/>
    </row>
    <row r="113" spans="1:28" ht="16.5" customHeight="1" x14ac:dyDescent="0.2">
      <c r="A113" s="480"/>
      <c r="B113" s="120" t="s">
        <v>691</v>
      </c>
      <c r="C113" s="457"/>
      <c r="D113" s="455"/>
      <c r="E113" s="115"/>
      <c r="F113" s="115"/>
      <c r="G113" s="115"/>
      <c r="H113" s="457"/>
      <c r="I113" s="455"/>
      <c r="J113" s="115"/>
      <c r="K113" s="115"/>
      <c r="L113" s="115"/>
      <c r="M113" s="457"/>
      <c r="N113" s="491"/>
      <c r="O113" s="133"/>
      <c r="P113" s="116"/>
      <c r="Q113" s="116"/>
      <c r="R113" s="469"/>
      <c r="S113" s="465"/>
      <c r="T113" s="116"/>
      <c r="U113" s="116"/>
      <c r="V113" s="116"/>
      <c r="W113" s="465"/>
      <c r="X113" s="465"/>
      <c r="Y113" s="116"/>
      <c r="Z113" s="116"/>
      <c r="AA113" s="116"/>
      <c r="AB113" s="469"/>
    </row>
    <row r="114" spans="1:28" ht="16.5" customHeight="1" x14ac:dyDescent="0.2">
      <c r="A114" s="480"/>
      <c r="B114" s="120" t="s">
        <v>692</v>
      </c>
      <c r="C114" s="457"/>
      <c r="D114" s="455"/>
      <c r="E114" s="115"/>
      <c r="F114" s="115"/>
      <c r="G114" s="115"/>
      <c r="H114" s="457"/>
      <c r="I114" s="455"/>
      <c r="J114" s="115"/>
      <c r="K114" s="115"/>
      <c r="L114" s="115"/>
      <c r="M114" s="457"/>
      <c r="N114" s="491"/>
      <c r="O114" s="133"/>
      <c r="P114" s="116"/>
      <c r="Q114" s="116"/>
      <c r="R114" s="469"/>
      <c r="S114" s="465"/>
      <c r="T114" s="116"/>
      <c r="U114" s="116"/>
      <c r="V114" s="116"/>
      <c r="W114" s="465"/>
      <c r="X114" s="465"/>
      <c r="Y114" s="116"/>
      <c r="Z114" s="116"/>
      <c r="AA114" s="116"/>
      <c r="AB114" s="469"/>
    </row>
    <row r="115" spans="1:28" ht="18.75" customHeight="1" x14ac:dyDescent="0.2">
      <c r="A115" s="480"/>
      <c r="B115" s="120" t="s">
        <v>693</v>
      </c>
      <c r="C115" s="457"/>
      <c r="D115" s="455"/>
      <c r="E115" s="115"/>
      <c r="F115" s="115"/>
      <c r="G115" s="115"/>
      <c r="H115" s="457"/>
      <c r="I115" s="455"/>
      <c r="J115" s="115"/>
      <c r="K115" s="115"/>
      <c r="L115" s="115"/>
      <c r="M115" s="457"/>
      <c r="N115" s="491"/>
      <c r="O115" s="133"/>
      <c r="P115" s="116"/>
      <c r="Q115" s="116"/>
      <c r="R115" s="469"/>
      <c r="S115" s="465"/>
      <c r="T115" s="116"/>
      <c r="U115" s="116"/>
      <c r="V115" s="116"/>
      <c r="W115" s="465"/>
      <c r="X115" s="465"/>
      <c r="Y115" s="116"/>
      <c r="Z115" s="116"/>
      <c r="AA115" s="116"/>
      <c r="AB115" s="469"/>
    </row>
    <row r="116" spans="1:28" ht="18.75" customHeight="1" x14ac:dyDescent="0.2">
      <c r="A116" s="480"/>
      <c r="B116" s="120" t="s">
        <v>694</v>
      </c>
      <c r="C116" s="457"/>
      <c r="D116" s="455"/>
      <c r="E116" s="115"/>
      <c r="F116" s="115"/>
      <c r="G116" s="115"/>
      <c r="H116" s="457"/>
      <c r="I116" s="455"/>
      <c r="J116" s="115"/>
      <c r="K116" s="115"/>
      <c r="L116" s="115"/>
      <c r="M116" s="457"/>
      <c r="N116" s="491"/>
      <c r="O116" s="133"/>
      <c r="P116" s="116"/>
      <c r="Q116" s="116"/>
      <c r="R116" s="469"/>
      <c r="S116" s="465"/>
      <c r="T116" s="116"/>
      <c r="U116" s="116"/>
      <c r="V116" s="116"/>
      <c r="W116" s="465"/>
      <c r="X116" s="465"/>
      <c r="Y116" s="116"/>
      <c r="Z116" s="116"/>
      <c r="AA116" s="116"/>
      <c r="AB116" s="469"/>
    </row>
    <row r="117" spans="1:28" ht="20.25" customHeight="1" x14ac:dyDescent="0.2">
      <c r="A117" s="480"/>
      <c r="B117" s="120" t="s">
        <v>695</v>
      </c>
      <c r="C117" s="457"/>
      <c r="D117" s="455"/>
      <c r="E117" s="115"/>
      <c r="F117" s="115"/>
      <c r="G117" s="115"/>
      <c r="H117" s="457"/>
      <c r="I117" s="455"/>
      <c r="J117" s="115"/>
      <c r="K117" s="115"/>
      <c r="L117" s="115"/>
      <c r="M117" s="457"/>
      <c r="N117" s="491"/>
      <c r="O117" s="133"/>
      <c r="P117" s="116"/>
      <c r="Q117" s="116"/>
      <c r="R117" s="469"/>
      <c r="S117" s="465"/>
      <c r="T117" s="116"/>
      <c r="U117" s="116"/>
      <c r="V117" s="116"/>
      <c r="W117" s="465"/>
      <c r="X117" s="465"/>
      <c r="Y117" s="116"/>
      <c r="Z117" s="116"/>
      <c r="AA117" s="116"/>
      <c r="AB117" s="469"/>
    </row>
    <row r="118" spans="1:28" ht="18" customHeight="1" x14ac:dyDescent="0.2">
      <c r="A118" s="480"/>
      <c r="B118" s="118" t="s">
        <v>394</v>
      </c>
      <c r="C118" s="457"/>
      <c r="D118" s="455"/>
      <c r="E118" s="115"/>
      <c r="F118" s="115"/>
      <c r="G118" s="115"/>
      <c r="H118" s="457"/>
      <c r="I118" s="455"/>
      <c r="J118" s="115"/>
      <c r="K118" s="115"/>
      <c r="L118" s="115"/>
      <c r="M118" s="457"/>
      <c r="N118" s="455"/>
      <c r="O118" s="133"/>
      <c r="P118" s="116"/>
      <c r="Q118" s="116"/>
      <c r="R118" s="469"/>
      <c r="S118" s="465"/>
      <c r="T118" s="116"/>
      <c r="U118" s="116"/>
      <c r="V118" s="116"/>
      <c r="W118" s="465"/>
      <c r="X118" s="465"/>
      <c r="Y118" s="116"/>
      <c r="Z118" s="116"/>
      <c r="AA118" s="116"/>
      <c r="AB118" s="469"/>
    </row>
    <row r="119" spans="1:28" ht="18" customHeight="1" x14ac:dyDescent="0.2">
      <c r="A119" s="480"/>
      <c r="B119" s="119" t="s">
        <v>1571</v>
      </c>
      <c r="C119" s="457"/>
      <c r="D119" s="455"/>
      <c r="E119" s="115"/>
      <c r="F119" s="115"/>
      <c r="G119" s="115"/>
      <c r="H119" s="457"/>
      <c r="I119" s="455"/>
      <c r="J119" s="115"/>
      <c r="K119" s="115"/>
      <c r="L119" s="115"/>
      <c r="M119" s="457"/>
      <c r="N119" s="455"/>
      <c r="O119" s="133"/>
      <c r="P119" s="116"/>
      <c r="Q119" s="116"/>
      <c r="R119" s="469"/>
      <c r="S119" s="465"/>
      <c r="T119" s="116"/>
      <c r="U119" s="116"/>
      <c r="V119" s="116"/>
      <c r="W119" s="465"/>
      <c r="X119" s="465"/>
      <c r="Y119" s="116"/>
      <c r="Z119" s="116"/>
      <c r="AA119" s="116"/>
      <c r="AB119" s="469"/>
    </row>
    <row r="120" spans="1:28" ht="18" customHeight="1" x14ac:dyDescent="0.2">
      <c r="A120" s="480"/>
      <c r="B120" s="119" t="s">
        <v>1572</v>
      </c>
      <c r="C120" s="457"/>
      <c r="D120" s="455"/>
      <c r="E120" s="115"/>
      <c r="F120" s="115"/>
      <c r="G120" s="115"/>
      <c r="H120" s="457"/>
      <c r="I120" s="455"/>
      <c r="J120" s="115"/>
      <c r="K120" s="115"/>
      <c r="L120" s="115"/>
      <c r="M120" s="457"/>
      <c r="N120" s="455"/>
      <c r="O120" s="133"/>
      <c r="P120" s="116"/>
      <c r="Q120" s="116"/>
      <c r="R120" s="469"/>
      <c r="S120" s="465"/>
      <c r="T120" s="116"/>
      <c r="U120" s="116"/>
      <c r="V120" s="116"/>
      <c r="W120" s="465"/>
      <c r="X120" s="465"/>
      <c r="Y120" s="116"/>
      <c r="Z120" s="116"/>
      <c r="AA120" s="116"/>
      <c r="AB120" s="469"/>
    </row>
    <row r="121" spans="1:28" ht="18" customHeight="1" x14ac:dyDescent="0.2">
      <c r="A121" s="480"/>
      <c r="B121" s="119" t="s">
        <v>1573</v>
      </c>
      <c r="C121" s="457"/>
      <c r="D121" s="455"/>
      <c r="E121" s="115"/>
      <c r="F121" s="115"/>
      <c r="G121" s="115"/>
      <c r="H121" s="457"/>
      <c r="I121" s="455"/>
      <c r="J121" s="115"/>
      <c r="K121" s="115"/>
      <c r="L121" s="115"/>
      <c r="M121" s="457"/>
      <c r="N121" s="455"/>
      <c r="O121" s="133"/>
      <c r="P121" s="116"/>
      <c r="Q121" s="116"/>
      <c r="R121" s="469"/>
      <c r="S121" s="465"/>
      <c r="T121" s="116"/>
      <c r="U121" s="116"/>
      <c r="V121" s="116"/>
      <c r="W121" s="465"/>
      <c r="X121" s="465"/>
      <c r="Y121" s="116"/>
      <c r="Z121" s="116"/>
      <c r="AA121" s="116"/>
      <c r="AB121" s="469"/>
    </row>
    <row r="122" spans="1:28" ht="18" customHeight="1" x14ac:dyDescent="0.2">
      <c r="A122" s="480"/>
      <c r="B122" s="119" t="s">
        <v>1574</v>
      </c>
      <c r="C122" s="457"/>
      <c r="D122" s="455"/>
      <c r="E122" s="115"/>
      <c r="F122" s="115"/>
      <c r="G122" s="115"/>
      <c r="H122" s="457"/>
      <c r="I122" s="455"/>
      <c r="J122" s="115"/>
      <c r="K122" s="115"/>
      <c r="L122" s="115"/>
      <c r="M122" s="457"/>
      <c r="N122" s="455"/>
      <c r="O122" s="133"/>
      <c r="P122" s="116"/>
      <c r="Q122" s="116"/>
      <c r="R122" s="469"/>
      <c r="S122" s="465"/>
      <c r="T122" s="116"/>
      <c r="U122" s="116"/>
      <c r="V122" s="116"/>
      <c r="W122" s="465"/>
      <c r="X122" s="465"/>
      <c r="Y122" s="116"/>
      <c r="Z122" s="116"/>
      <c r="AA122" s="116"/>
      <c r="AB122" s="469"/>
    </row>
    <row r="123" spans="1:28" ht="18" customHeight="1" x14ac:dyDescent="0.2">
      <c r="A123" s="480"/>
      <c r="B123" s="119" t="s">
        <v>1575</v>
      </c>
      <c r="C123" s="457"/>
      <c r="D123" s="455"/>
      <c r="E123" s="115"/>
      <c r="F123" s="115"/>
      <c r="G123" s="115"/>
      <c r="H123" s="457"/>
      <c r="I123" s="455"/>
      <c r="J123" s="115"/>
      <c r="K123" s="115"/>
      <c r="L123" s="115"/>
      <c r="M123" s="457"/>
      <c r="N123" s="455"/>
      <c r="O123" s="133"/>
      <c r="P123" s="116"/>
      <c r="Q123" s="116"/>
      <c r="R123" s="469"/>
      <c r="S123" s="465"/>
      <c r="T123" s="116"/>
      <c r="U123" s="116"/>
      <c r="V123" s="116"/>
      <c r="W123" s="465"/>
      <c r="X123" s="465"/>
      <c r="Y123" s="116"/>
      <c r="Z123" s="116"/>
      <c r="AA123" s="116"/>
      <c r="AB123" s="469"/>
    </row>
    <row r="124" spans="1:28" ht="18" customHeight="1" x14ac:dyDescent="0.2">
      <c r="A124" s="480"/>
      <c r="B124" s="119" t="s">
        <v>1576</v>
      </c>
      <c r="C124" s="457"/>
      <c r="D124" s="455"/>
      <c r="E124" s="115"/>
      <c r="F124" s="115"/>
      <c r="G124" s="115"/>
      <c r="H124" s="457"/>
      <c r="I124" s="455"/>
      <c r="J124" s="115"/>
      <c r="K124" s="115"/>
      <c r="L124" s="115"/>
      <c r="M124" s="457"/>
      <c r="N124" s="455"/>
      <c r="O124" s="133"/>
      <c r="P124" s="116"/>
      <c r="Q124" s="116"/>
      <c r="R124" s="469"/>
      <c r="S124" s="465"/>
      <c r="T124" s="116"/>
      <c r="U124" s="116"/>
      <c r="V124" s="116"/>
      <c r="W124" s="465"/>
      <c r="X124" s="465"/>
      <c r="Y124" s="116"/>
      <c r="Z124" s="116"/>
      <c r="AA124" s="116"/>
      <c r="AB124" s="469"/>
    </row>
    <row r="125" spans="1:28" ht="18" customHeight="1" x14ac:dyDescent="0.2">
      <c r="A125" s="480"/>
      <c r="B125" s="119" t="s">
        <v>1577</v>
      </c>
      <c r="C125" s="457"/>
      <c r="D125" s="455"/>
      <c r="E125" s="115"/>
      <c r="F125" s="115"/>
      <c r="G125" s="115"/>
      <c r="H125" s="457"/>
      <c r="I125" s="455"/>
      <c r="J125" s="115"/>
      <c r="K125" s="115"/>
      <c r="L125" s="115"/>
      <c r="M125" s="457"/>
      <c r="N125" s="455"/>
      <c r="O125" s="133"/>
      <c r="P125" s="116"/>
      <c r="Q125" s="116"/>
      <c r="R125" s="469"/>
      <c r="S125" s="465"/>
      <c r="T125" s="116"/>
      <c r="U125" s="116"/>
      <c r="V125" s="116"/>
      <c r="W125" s="465"/>
      <c r="X125" s="465"/>
      <c r="Y125" s="116"/>
      <c r="Z125" s="116"/>
      <c r="AA125" s="116"/>
      <c r="AB125" s="469"/>
    </row>
    <row r="126" spans="1:28" ht="18" customHeight="1" x14ac:dyDescent="0.2">
      <c r="A126" s="480"/>
      <c r="B126" s="119" t="s">
        <v>1578</v>
      </c>
      <c r="C126" s="457"/>
      <c r="D126" s="455"/>
      <c r="E126" s="115"/>
      <c r="F126" s="115"/>
      <c r="G126" s="115"/>
      <c r="H126" s="457"/>
      <c r="I126" s="455"/>
      <c r="J126" s="115"/>
      <c r="K126" s="115"/>
      <c r="L126" s="115"/>
      <c r="M126" s="457"/>
      <c r="N126" s="455"/>
      <c r="O126" s="133"/>
      <c r="P126" s="116"/>
      <c r="Q126" s="116"/>
      <c r="R126" s="469"/>
      <c r="S126" s="465"/>
      <c r="T126" s="116"/>
      <c r="U126" s="116"/>
      <c r="V126" s="116"/>
      <c r="W126" s="465"/>
      <c r="X126" s="465"/>
      <c r="Y126" s="116"/>
      <c r="Z126" s="116"/>
      <c r="AA126" s="116"/>
      <c r="AB126" s="469"/>
    </row>
    <row r="127" spans="1:28" ht="18" customHeight="1" x14ac:dyDescent="0.2">
      <c r="A127" s="480"/>
      <c r="B127" s="119" t="s">
        <v>1663</v>
      </c>
      <c r="C127" s="457"/>
      <c r="D127" s="455"/>
      <c r="E127" s="115"/>
      <c r="F127" s="115"/>
      <c r="G127" s="115"/>
      <c r="H127" s="457"/>
      <c r="I127" s="455"/>
      <c r="J127" s="115"/>
      <c r="K127" s="115"/>
      <c r="L127" s="115"/>
      <c r="M127" s="457"/>
      <c r="N127" s="455"/>
      <c r="O127" s="133"/>
      <c r="P127" s="116"/>
      <c r="Q127" s="116"/>
      <c r="R127" s="469"/>
      <c r="S127" s="465"/>
      <c r="T127" s="116"/>
      <c r="U127" s="116"/>
      <c r="V127" s="116"/>
      <c r="W127" s="465"/>
      <c r="X127" s="465"/>
      <c r="Y127" s="116"/>
      <c r="Z127" s="116"/>
      <c r="AA127" s="116"/>
      <c r="AB127" s="469"/>
    </row>
    <row r="128" spans="1:28" ht="18" customHeight="1" x14ac:dyDescent="0.2">
      <c r="A128" s="480"/>
      <c r="B128" s="119" t="s">
        <v>1579</v>
      </c>
      <c r="C128" s="457"/>
      <c r="D128" s="455"/>
      <c r="E128" s="115"/>
      <c r="F128" s="115"/>
      <c r="G128" s="115"/>
      <c r="H128" s="457"/>
      <c r="I128" s="455"/>
      <c r="J128" s="115"/>
      <c r="K128" s="115"/>
      <c r="L128" s="115"/>
      <c r="M128" s="457"/>
      <c r="N128" s="455"/>
      <c r="O128" s="133"/>
      <c r="P128" s="116"/>
      <c r="Q128" s="116"/>
      <c r="R128" s="469"/>
      <c r="S128" s="465"/>
      <c r="T128" s="116"/>
      <c r="U128" s="116"/>
      <c r="V128" s="116"/>
      <c r="W128" s="465"/>
      <c r="X128" s="465"/>
      <c r="Y128" s="116"/>
      <c r="Z128" s="116"/>
      <c r="AA128" s="116"/>
      <c r="AB128" s="469"/>
    </row>
    <row r="129" spans="1:28" ht="18" customHeight="1" x14ac:dyDescent="0.2">
      <c r="A129" s="480"/>
      <c r="B129" s="119" t="s">
        <v>1580</v>
      </c>
      <c r="C129" s="457"/>
      <c r="D129" s="455"/>
      <c r="E129" s="115"/>
      <c r="F129" s="115"/>
      <c r="G129" s="115"/>
      <c r="H129" s="457"/>
      <c r="I129" s="455"/>
      <c r="J129" s="115"/>
      <c r="K129" s="115"/>
      <c r="L129" s="115"/>
      <c r="M129" s="457"/>
      <c r="N129" s="455"/>
      <c r="O129" s="133"/>
      <c r="P129" s="116"/>
      <c r="Q129" s="116"/>
      <c r="R129" s="469"/>
      <c r="S129" s="465"/>
      <c r="T129" s="116"/>
      <c r="U129" s="116"/>
      <c r="V129" s="116"/>
      <c r="W129" s="465"/>
      <c r="X129" s="465"/>
      <c r="Y129" s="116"/>
      <c r="Z129" s="116"/>
      <c r="AA129" s="116"/>
      <c r="AB129" s="469"/>
    </row>
    <row r="130" spans="1:28" ht="18" customHeight="1" x14ac:dyDescent="0.2">
      <c r="A130" s="480"/>
      <c r="B130" s="119" t="s">
        <v>1581</v>
      </c>
      <c r="C130" s="457"/>
      <c r="D130" s="455"/>
      <c r="E130" s="115"/>
      <c r="F130" s="115"/>
      <c r="G130" s="115"/>
      <c r="H130" s="457"/>
      <c r="I130" s="455"/>
      <c r="J130" s="115"/>
      <c r="K130" s="115"/>
      <c r="L130" s="115"/>
      <c r="M130" s="457"/>
      <c r="N130" s="455"/>
      <c r="O130" s="133"/>
      <c r="P130" s="116"/>
      <c r="Q130" s="116"/>
      <c r="R130" s="469"/>
      <c r="S130" s="465"/>
      <c r="T130" s="116"/>
      <c r="U130" s="116"/>
      <c r="V130" s="116"/>
      <c r="W130" s="465"/>
      <c r="X130" s="465"/>
      <c r="Y130" s="116"/>
      <c r="Z130" s="116"/>
      <c r="AA130" s="116"/>
      <c r="AB130" s="469"/>
    </row>
    <row r="131" spans="1:28" ht="18" customHeight="1" x14ac:dyDescent="0.2">
      <c r="A131" s="480"/>
      <c r="B131" s="119" t="s">
        <v>1582</v>
      </c>
      <c r="C131" s="457"/>
      <c r="D131" s="455"/>
      <c r="E131" s="115"/>
      <c r="F131" s="115"/>
      <c r="G131" s="115"/>
      <c r="H131" s="457"/>
      <c r="I131" s="455"/>
      <c r="J131" s="115"/>
      <c r="K131" s="115"/>
      <c r="L131" s="115"/>
      <c r="M131" s="457"/>
      <c r="N131" s="455"/>
      <c r="O131" s="133"/>
      <c r="P131" s="116"/>
      <c r="Q131" s="116"/>
      <c r="R131" s="469"/>
      <c r="S131" s="465"/>
      <c r="T131" s="116"/>
      <c r="U131" s="116"/>
      <c r="V131" s="116"/>
      <c r="W131" s="465"/>
      <c r="X131" s="465"/>
      <c r="Y131" s="116"/>
      <c r="Z131" s="116"/>
      <c r="AA131" s="116"/>
      <c r="AB131" s="469"/>
    </row>
    <row r="132" spans="1:28" ht="18" customHeight="1" x14ac:dyDescent="0.2">
      <c r="A132" s="480"/>
      <c r="B132" s="119" t="s">
        <v>1583</v>
      </c>
      <c r="C132" s="457"/>
      <c r="D132" s="455"/>
      <c r="E132" s="115"/>
      <c r="F132" s="115"/>
      <c r="G132" s="115"/>
      <c r="H132" s="457"/>
      <c r="I132" s="455"/>
      <c r="J132" s="115"/>
      <c r="K132" s="115"/>
      <c r="L132" s="115"/>
      <c r="M132" s="457"/>
      <c r="N132" s="455"/>
      <c r="O132" s="133"/>
      <c r="P132" s="116"/>
      <c r="Q132" s="116"/>
      <c r="R132" s="469"/>
      <c r="S132" s="465"/>
      <c r="T132" s="116"/>
      <c r="U132" s="116"/>
      <c r="V132" s="116"/>
      <c r="W132" s="465"/>
      <c r="X132" s="465"/>
      <c r="Y132" s="116"/>
      <c r="Z132" s="116"/>
      <c r="AA132" s="116"/>
      <c r="AB132" s="469"/>
    </row>
    <row r="133" spans="1:28" ht="18" customHeight="1" x14ac:dyDescent="0.2">
      <c r="A133" s="480"/>
      <c r="B133" s="119" t="s">
        <v>1584</v>
      </c>
      <c r="C133" s="457"/>
      <c r="D133" s="455"/>
      <c r="E133" s="115"/>
      <c r="F133" s="115"/>
      <c r="G133" s="115"/>
      <c r="H133" s="457"/>
      <c r="I133" s="455"/>
      <c r="J133" s="115"/>
      <c r="K133" s="115"/>
      <c r="L133" s="115"/>
      <c r="M133" s="457"/>
      <c r="N133" s="455"/>
      <c r="O133" s="133"/>
      <c r="P133" s="116"/>
      <c r="Q133" s="116"/>
      <c r="R133" s="469"/>
      <c r="S133" s="465"/>
      <c r="T133" s="116"/>
      <c r="U133" s="116"/>
      <c r="V133" s="116"/>
      <c r="W133" s="465"/>
      <c r="X133" s="465"/>
      <c r="Y133" s="116"/>
      <c r="Z133" s="116"/>
      <c r="AA133" s="116"/>
      <c r="AB133" s="469"/>
    </row>
    <row r="134" spans="1:28" ht="18" customHeight="1" x14ac:dyDescent="0.2">
      <c r="A134" s="480"/>
      <c r="B134" s="119" t="s">
        <v>1585</v>
      </c>
      <c r="C134" s="457"/>
      <c r="D134" s="455"/>
      <c r="E134" s="115"/>
      <c r="F134" s="115"/>
      <c r="G134" s="115"/>
      <c r="H134" s="457"/>
      <c r="I134" s="455"/>
      <c r="J134" s="115"/>
      <c r="K134" s="115"/>
      <c r="L134" s="115"/>
      <c r="M134" s="457"/>
      <c r="N134" s="455"/>
      <c r="O134" s="133"/>
      <c r="P134" s="116"/>
      <c r="Q134" s="116"/>
      <c r="R134" s="469"/>
      <c r="S134" s="465"/>
      <c r="T134" s="116"/>
      <c r="U134" s="116"/>
      <c r="V134" s="116"/>
      <c r="W134" s="465"/>
      <c r="X134" s="465"/>
      <c r="Y134" s="116"/>
      <c r="Z134" s="116"/>
      <c r="AA134" s="116"/>
      <c r="AB134" s="469"/>
    </row>
    <row r="135" spans="1:28" ht="18" customHeight="1" x14ac:dyDescent="0.2">
      <c r="A135" s="480"/>
      <c r="B135" s="119" t="s">
        <v>1586</v>
      </c>
      <c r="C135" s="457"/>
      <c r="D135" s="455"/>
      <c r="E135" s="115"/>
      <c r="F135" s="115"/>
      <c r="G135" s="115"/>
      <c r="H135" s="457"/>
      <c r="I135" s="455"/>
      <c r="J135" s="115"/>
      <c r="K135" s="115"/>
      <c r="L135" s="115"/>
      <c r="M135" s="457"/>
      <c r="N135" s="455"/>
      <c r="O135" s="133"/>
      <c r="P135" s="116"/>
      <c r="Q135" s="116"/>
      <c r="R135" s="469"/>
      <c r="S135" s="465"/>
      <c r="T135" s="116"/>
      <c r="U135" s="116"/>
      <c r="V135" s="116"/>
      <c r="W135" s="465"/>
      <c r="X135" s="465"/>
      <c r="Y135" s="116"/>
      <c r="Z135" s="116"/>
      <c r="AA135" s="116"/>
      <c r="AB135" s="469"/>
    </row>
    <row r="136" spans="1:28" ht="18" customHeight="1" x14ac:dyDescent="0.2">
      <c r="A136" s="480"/>
      <c r="B136" s="119" t="s">
        <v>1587</v>
      </c>
      <c r="C136" s="457"/>
      <c r="D136" s="455"/>
      <c r="E136" s="115"/>
      <c r="F136" s="115"/>
      <c r="G136" s="115"/>
      <c r="H136" s="457"/>
      <c r="I136" s="455"/>
      <c r="J136" s="115"/>
      <c r="K136" s="115"/>
      <c r="L136" s="115"/>
      <c r="M136" s="457"/>
      <c r="N136" s="455"/>
      <c r="O136" s="133"/>
      <c r="P136" s="116"/>
      <c r="Q136" s="116"/>
      <c r="R136" s="469"/>
      <c r="S136" s="465"/>
      <c r="T136" s="116"/>
      <c r="U136" s="116"/>
      <c r="V136" s="116"/>
      <c r="W136" s="465"/>
      <c r="X136" s="465"/>
      <c r="Y136" s="116"/>
      <c r="Z136" s="116"/>
      <c r="AA136" s="116"/>
      <c r="AB136" s="469"/>
    </row>
    <row r="137" spans="1:28" ht="18" customHeight="1" x14ac:dyDescent="0.2">
      <c r="A137" s="480"/>
      <c r="B137" s="119" t="s">
        <v>1588</v>
      </c>
      <c r="C137" s="457"/>
      <c r="D137" s="455"/>
      <c r="E137" s="115"/>
      <c r="F137" s="115"/>
      <c r="G137" s="115"/>
      <c r="H137" s="457"/>
      <c r="I137" s="455"/>
      <c r="J137" s="115"/>
      <c r="K137" s="115"/>
      <c r="L137" s="115"/>
      <c r="M137" s="457"/>
      <c r="N137" s="455"/>
      <c r="O137" s="133"/>
      <c r="P137" s="116"/>
      <c r="Q137" s="116"/>
      <c r="R137" s="469"/>
      <c r="S137" s="465"/>
      <c r="T137" s="116"/>
      <c r="U137" s="116"/>
      <c r="V137" s="116"/>
      <c r="W137" s="465"/>
      <c r="X137" s="465"/>
      <c r="Y137" s="116"/>
      <c r="Z137" s="116"/>
      <c r="AA137" s="116"/>
      <c r="AB137" s="469"/>
    </row>
    <row r="138" spans="1:28" ht="18" customHeight="1" x14ac:dyDescent="0.25">
      <c r="A138" s="135"/>
      <c r="B138" s="136" t="s">
        <v>1589</v>
      </c>
      <c r="C138" s="126"/>
      <c r="D138" s="127"/>
      <c r="E138" s="115"/>
      <c r="F138" s="115"/>
      <c r="G138" s="115"/>
      <c r="H138" s="126"/>
      <c r="I138" s="127"/>
      <c r="J138" s="115"/>
      <c r="K138" s="115"/>
      <c r="L138" s="115"/>
      <c r="M138" s="126"/>
      <c r="N138" s="127"/>
      <c r="O138" s="133"/>
      <c r="P138" s="116"/>
      <c r="Q138" s="116"/>
      <c r="R138" s="137"/>
      <c r="S138" s="138"/>
      <c r="T138" s="116"/>
      <c r="U138" s="116"/>
      <c r="V138" s="116"/>
      <c r="W138" s="138"/>
      <c r="X138" s="138"/>
      <c r="Y138" s="116"/>
      <c r="Z138" s="116"/>
      <c r="AA138" s="116"/>
      <c r="AB138" s="137"/>
    </row>
    <row r="139" spans="1:28" ht="18" customHeight="1" x14ac:dyDescent="0.25">
      <c r="A139" s="135"/>
      <c r="B139" s="136" t="s">
        <v>1590</v>
      </c>
      <c r="C139" s="126"/>
      <c r="D139" s="127"/>
      <c r="E139" s="115"/>
      <c r="F139" s="115"/>
      <c r="G139" s="115"/>
      <c r="H139" s="126"/>
      <c r="I139" s="127"/>
      <c r="J139" s="115"/>
      <c r="K139" s="115"/>
      <c r="L139" s="115"/>
      <c r="M139" s="126"/>
      <c r="N139" s="127"/>
      <c r="O139" s="133"/>
      <c r="P139" s="116"/>
      <c r="Q139" s="116"/>
      <c r="R139" s="137"/>
      <c r="S139" s="138"/>
      <c r="T139" s="116"/>
      <c r="U139" s="116"/>
      <c r="V139" s="116"/>
      <c r="W139" s="138"/>
      <c r="X139" s="138"/>
      <c r="Y139" s="116"/>
      <c r="Z139" s="116"/>
      <c r="AA139" s="116"/>
      <c r="AB139" s="137"/>
    </row>
    <row r="140" spans="1:28" ht="18" customHeight="1" x14ac:dyDescent="0.2">
      <c r="A140" s="135"/>
      <c r="B140" s="119" t="s">
        <v>1591</v>
      </c>
      <c r="C140" s="126"/>
      <c r="D140" s="127"/>
      <c r="E140" s="115"/>
      <c r="F140" s="115"/>
      <c r="G140" s="115"/>
      <c r="H140" s="126"/>
      <c r="I140" s="127"/>
      <c r="J140" s="115"/>
      <c r="K140" s="115"/>
      <c r="L140" s="115"/>
      <c r="M140" s="126"/>
      <c r="N140" s="127"/>
      <c r="O140" s="133"/>
      <c r="P140" s="116"/>
      <c r="Q140" s="116"/>
      <c r="R140" s="137"/>
      <c r="S140" s="138"/>
      <c r="T140" s="116"/>
      <c r="U140" s="116"/>
      <c r="V140" s="116"/>
      <c r="W140" s="138"/>
      <c r="X140" s="138"/>
      <c r="Y140" s="116"/>
      <c r="Z140" s="116"/>
      <c r="AA140" s="116"/>
      <c r="AB140" s="137"/>
    </row>
    <row r="141" spans="1:28" ht="18" customHeight="1" x14ac:dyDescent="0.2">
      <c r="A141" s="135"/>
      <c r="B141" s="119" t="s">
        <v>1592</v>
      </c>
      <c r="C141" s="126"/>
      <c r="D141" s="127"/>
      <c r="E141" s="115"/>
      <c r="F141" s="115"/>
      <c r="G141" s="115"/>
      <c r="H141" s="126"/>
      <c r="I141" s="127"/>
      <c r="J141" s="115"/>
      <c r="K141" s="115"/>
      <c r="L141" s="115"/>
      <c r="M141" s="126"/>
      <c r="N141" s="127"/>
      <c r="O141" s="133"/>
      <c r="P141" s="116"/>
      <c r="Q141" s="116"/>
      <c r="R141" s="137"/>
      <c r="S141" s="138"/>
      <c r="T141" s="116"/>
      <c r="U141" s="116"/>
      <c r="V141" s="116"/>
      <c r="W141" s="138"/>
      <c r="X141" s="138"/>
      <c r="Y141" s="116"/>
      <c r="Z141" s="116"/>
      <c r="AA141" s="116"/>
      <c r="AB141" s="137"/>
    </row>
    <row r="142" spans="1:28" ht="18" customHeight="1" x14ac:dyDescent="0.25">
      <c r="A142" s="135"/>
      <c r="B142" s="134" t="s">
        <v>1593</v>
      </c>
      <c r="C142" s="126"/>
      <c r="D142" s="127"/>
      <c r="E142" s="115"/>
      <c r="F142" s="115"/>
      <c r="G142" s="115"/>
      <c r="H142" s="126"/>
      <c r="I142" s="127"/>
      <c r="J142" s="115"/>
      <c r="K142" s="115"/>
      <c r="L142" s="115"/>
      <c r="M142" s="126"/>
      <c r="N142" s="127"/>
      <c r="O142" s="133"/>
      <c r="P142" s="116"/>
      <c r="Q142" s="116"/>
      <c r="R142" s="137"/>
      <c r="S142" s="138"/>
      <c r="T142" s="116"/>
      <c r="U142" s="116"/>
      <c r="V142" s="116"/>
      <c r="W142" s="138"/>
      <c r="X142" s="138"/>
      <c r="Y142" s="116"/>
      <c r="Z142" s="116"/>
      <c r="AA142" s="116"/>
      <c r="AB142" s="137"/>
    </row>
    <row r="143" spans="1:28" ht="18" customHeight="1" x14ac:dyDescent="0.2">
      <c r="A143" s="135"/>
      <c r="B143" s="119" t="s">
        <v>1594</v>
      </c>
      <c r="C143" s="126"/>
      <c r="D143" s="127"/>
      <c r="E143" s="115"/>
      <c r="F143" s="115"/>
      <c r="G143" s="115"/>
      <c r="H143" s="126"/>
      <c r="I143" s="127"/>
      <c r="J143" s="115"/>
      <c r="K143" s="115"/>
      <c r="L143" s="115"/>
      <c r="M143" s="126"/>
      <c r="N143" s="127"/>
      <c r="O143" s="133"/>
      <c r="P143" s="116"/>
      <c r="Q143" s="116"/>
      <c r="R143" s="137"/>
      <c r="S143" s="138"/>
      <c r="T143" s="116"/>
      <c r="U143" s="116"/>
      <c r="V143" s="116"/>
      <c r="W143" s="138"/>
      <c r="X143" s="138"/>
      <c r="Y143" s="116"/>
      <c r="Z143" s="116"/>
      <c r="AA143" s="116"/>
      <c r="AB143" s="137"/>
    </row>
    <row r="144" spans="1:28" ht="18" customHeight="1" x14ac:dyDescent="0.2">
      <c r="A144" s="135"/>
      <c r="B144" s="119" t="s">
        <v>1595</v>
      </c>
      <c r="C144" s="126"/>
      <c r="D144" s="127"/>
      <c r="E144" s="115"/>
      <c r="F144" s="115"/>
      <c r="G144" s="115"/>
      <c r="H144" s="126"/>
      <c r="I144" s="127"/>
      <c r="J144" s="115"/>
      <c r="K144" s="115"/>
      <c r="L144" s="115"/>
      <c r="M144" s="126"/>
      <c r="N144" s="127"/>
      <c r="O144" s="133"/>
      <c r="P144" s="116"/>
      <c r="Q144" s="116"/>
      <c r="R144" s="137"/>
      <c r="S144" s="138"/>
      <c r="T144" s="116"/>
      <c r="U144" s="116"/>
      <c r="V144" s="116"/>
      <c r="W144" s="138"/>
      <c r="X144" s="138"/>
      <c r="Y144" s="116"/>
      <c r="Z144" s="116"/>
      <c r="AA144" s="116"/>
      <c r="AB144" s="137"/>
    </row>
    <row r="145" spans="1:28" ht="18" customHeight="1" x14ac:dyDescent="0.2">
      <c r="A145" s="135"/>
      <c r="B145" s="119" t="s">
        <v>1596</v>
      </c>
      <c r="C145" s="126"/>
      <c r="D145" s="127"/>
      <c r="E145" s="115"/>
      <c r="F145" s="115"/>
      <c r="G145" s="115"/>
      <c r="H145" s="126"/>
      <c r="I145" s="127"/>
      <c r="J145" s="115"/>
      <c r="K145" s="115"/>
      <c r="L145" s="115"/>
      <c r="M145" s="126"/>
      <c r="N145" s="127"/>
      <c r="O145" s="133"/>
      <c r="P145" s="116"/>
      <c r="Q145" s="116"/>
      <c r="R145" s="137"/>
      <c r="S145" s="138"/>
      <c r="T145" s="116"/>
      <c r="U145" s="116"/>
      <c r="V145" s="116"/>
      <c r="W145" s="138"/>
      <c r="X145" s="138"/>
      <c r="Y145" s="116"/>
      <c r="Z145" s="116"/>
      <c r="AA145" s="116"/>
      <c r="AB145" s="137"/>
    </row>
    <row r="146" spans="1:28" ht="18" customHeight="1" x14ac:dyDescent="0.2">
      <c r="A146" s="135"/>
      <c r="B146" s="119" t="s">
        <v>1490</v>
      </c>
      <c r="C146" s="126"/>
      <c r="D146" s="127"/>
      <c r="E146" s="115"/>
      <c r="F146" s="115"/>
      <c r="G146" s="115"/>
      <c r="H146" s="126"/>
      <c r="I146" s="127"/>
      <c r="J146" s="115"/>
      <c r="K146" s="115"/>
      <c r="L146" s="115"/>
      <c r="M146" s="126"/>
      <c r="N146" s="127"/>
      <c r="O146" s="133"/>
      <c r="P146" s="116"/>
      <c r="Q146" s="116"/>
      <c r="R146" s="137"/>
      <c r="S146" s="138"/>
      <c r="T146" s="116"/>
      <c r="U146" s="116"/>
      <c r="V146" s="116"/>
      <c r="W146" s="138"/>
      <c r="X146" s="138"/>
      <c r="Y146" s="116"/>
      <c r="Z146" s="116"/>
      <c r="AA146" s="116"/>
      <c r="AB146" s="137"/>
    </row>
    <row r="147" spans="1:28" ht="18" customHeight="1" x14ac:dyDescent="0.2">
      <c r="A147" s="135"/>
      <c r="B147" s="119" t="s">
        <v>1597</v>
      </c>
      <c r="C147" s="126"/>
      <c r="D147" s="127"/>
      <c r="E147" s="115"/>
      <c r="F147" s="115"/>
      <c r="G147" s="115"/>
      <c r="H147" s="126"/>
      <c r="I147" s="127"/>
      <c r="J147" s="115"/>
      <c r="K147" s="115"/>
      <c r="L147" s="115"/>
      <c r="M147" s="126"/>
      <c r="N147" s="127"/>
      <c r="O147" s="133"/>
      <c r="P147" s="116"/>
      <c r="Q147" s="116"/>
      <c r="R147" s="137"/>
      <c r="S147" s="138"/>
      <c r="T147" s="116"/>
      <c r="U147" s="116"/>
      <c r="V147" s="116"/>
      <c r="W147" s="138"/>
      <c r="X147" s="138"/>
      <c r="Y147" s="116"/>
      <c r="Z147" s="116"/>
      <c r="AA147" s="116"/>
      <c r="AB147" s="137"/>
    </row>
    <row r="148" spans="1:28" ht="18" customHeight="1" x14ac:dyDescent="0.2">
      <c r="A148" s="135"/>
      <c r="B148" s="119" t="s">
        <v>1598</v>
      </c>
      <c r="C148" s="126"/>
      <c r="D148" s="127"/>
      <c r="E148" s="115"/>
      <c r="F148" s="115"/>
      <c r="G148" s="115"/>
      <c r="H148" s="126"/>
      <c r="I148" s="127"/>
      <c r="J148" s="115"/>
      <c r="K148" s="115"/>
      <c r="L148" s="115"/>
      <c r="M148" s="126"/>
      <c r="N148" s="127"/>
      <c r="O148" s="133"/>
      <c r="P148" s="116"/>
      <c r="Q148" s="116"/>
      <c r="R148" s="137"/>
      <c r="S148" s="138"/>
      <c r="T148" s="116"/>
      <c r="U148" s="116"/>
      <c r="V148" s="116"/>
      <c r="W148" s="138"/>
      <c r="X148" s="138"/>
      <c r="Y148" s="116"/>
      <c r="Z148" s="116"/>
      <c r="AA148" s="116"/>
      <c r="AB148" s="137"/>
    </row>
    <row r="149" spans="1:28" ht="18" customHeight="1" x14ac:dyDescent="0.2">
      <c r="A149" s="135"/>
      <c r="B149" s="119" t="s">
        <v>1599</v>
      </c>
      <c r="C149" s="126"/>
      <c r="D149" s="127"/>
      <c r="E149" s="115"/>
      <c r="F149" s="115"/>
      <c r="G149" s="115"/>
      <c r="H149" s="126"/>
      <c r="I149" s="127"/>
      <c r="J149" s="115"/>
      <c r="K149" s="115"/>
      <c r="L149" s="115"/>
      <c r="M149" s="126"/>
      <c r="N149" s="127"/>
      <c r="O149" s="133"/>
      <c r="P149" s="116"/>
      <c r="Q149" s="116"/>
      <c r="R149" s="137"/>
      <c r="S149" s="138"/>
      <c r="T149" s="116"/>
      <c r="U149" s="116"/>
      <c r="V149" s="116"/>
      <c r="W149" s="138"/>
      <c r="X149" s="138"/>
      <c r="Y149" s="116"/>
      <c r="Z149" s="116"/>
      <c r="AA149" s="116"/>
      <c r="AB149" s="137"/>
    </row>
    <row r="150" spans="1:28" ht="18" customHeight="1" x14ac:dyDescent="0.2">
      <c r="A150" s="135"/>
      <c r="B150" s="119" t="s">
        <v>1600</v>
      </c>
      <c r="C150" s="126"/>
      <c r="D150" s="127"/>
      <c r="E150" s="115"/>
      <c r="F150" s="115"/>
      <c r="G150" s="115"/>
      <c r="H150" s="126"/>
      <c r="I150" s="127"/>
      <c r="J150" s="115"/>
      <c r="K150" s="115"/>
      <c r="L150" s="115"/>
      <c r="M150" s="126"/>
      <c r="N150" s="127"/>
      <c r="O150" s="133"/>
      <c r="P150" s="116"/>
      <c r="Q150" s="116"/>
      <c r="R150" s="137"/>
      <c r="S150" s="138"/>
      <c r="T150" s="116"/>
      <c r="U150" s="116"/>
      <c r="V150" s="116"/>
      <c r="W150" s="138"/>
      <c r="X150" s="138"/>
      <c r="Y150" s="116"/>
      <c r="Z150" s="116"/>
      <c r="AA150" s="116"/>
      <c r="AB150" s="137"/>
    </row>
    <row r="151" spans="1:28" ht="18" customHeight="1" x14ac:dyDescent="0.2">
      <c r="A151" s="135"/>
      <c r="B151" s="119" t="s">
        <v>1601</v>
      </c>
      <c r="C151" s="126"/>
      <c r="D151" s="127"/>
      <c r="E151" s="115"/>
      <c r="F151" s="115"/>
      <c r="G151" s="115"/>
      <c r="H151" s="126"/>
      <c r="I151" s="127"/>
      <c r="J151" s="115"/>
      <c r="K151" s="115"/>
      <c r="L151" s="115"/>
      <c r="M151" s="126"/>
      <c r="N151" s="127"/>
      <c r="O151" s="133"/>
      <c r="P151" s="116"/>
      <c r="Q151" s="116"/>
      <c r="R151" s="137"/>
      <c r="S151" s="138"/>
      <c r="T151" s="116"/>
      <c r="U151" s="116"/>
      <c r="V151" s="116"/>
      <c r="W151" s="138"/>
      <c r="X151" s="138"/>
      <c r="Y151" s="116"/>
      <c r="Z151" s="116"/>
      <c r="AA151" s="116"/>
      <c r="AB151" s="137"/>
    </row>
    <row r="152" spans="1:28" ht="18" customHeight="1" x14ac:dyDescent="0.2">
      <c r="A152" s="135"/>
      <c r="B152" s="119" t="s">
        <v>1491</v>
      </c>
      <c r="C152" s="126"/>
      <c r="D152" s="127"/>
      <c r="E152" s="115"/>
      <c r="F152" s="115"/>
      <c r="G152" s="115"/>
      <c r="H152" s="126"/>
      <c r="I152" s="127"/>
      <c r="J152" s="115"/>
      <c r="K152" s="115"/>
      <c r="L152" s="115"/>
      <c r="M152" s="126"/>
      <c r="N152" s="127"/>
      <c r="O152" s="133"/>
      <c r="P152" s="116"/>
      <c r="Q152" s="116"/>
      <c r="R152" s="137"/>
      <c r="S152" s="138"/>
      <c r="T152" s="116"/>
      <c r="U152" s="116"/>
      <c r="V152" s="116"/>
      <c r="W152" s="138"/>
      <c r="X152" s="138"/>
      <c r="Y152" s="116"/>
      <c r="Z152" s="116"/>
      <c r="AA152" s="116"/>
      <c r="AB152" s="137"/>
    </row>
    <row r="153" spans="1:28" ht="15" customHeight="1" x14ac:dyDescent="0.2">
      <c r="A153" s="460" t="s">
        <v>434</v>
      </c>
      <c r="B153" s="114" t="s">
        <v>389</v>
      </c>
      <c r="C153" s="459">
        <f>D153+E153+F153+G153</f>
        <v>1020</v>
      </c>
      <c r="D153" s="454">
        <v>1020</v>
      </c>
      <c r="E153" s="115">
        <v>0</v>
      </c>
      <c r="F153" s="115">
        <v>0</v>
      </c>
      <c r="G153" s="115">
        <v>0</v>
      </c>
      <c r="H153" s="459">
        <f>I153</f>
        <v>1570</v>
      </c>
      <c r="I153" s="454">
        <f>1286+283+1</f>
        <v>1570</v>
      </c>
      <c r="J153" s="115">
        <v>0</v>
      </c>
      <c r="K153" s="115">
        <v>0</v>
      </c>
      <c r="L153" s="115">
        <v>0</v>
      </c>
      <c r="M153" s="459">
        <f>N153</f>
        <v>838</v>
      </c>
      <c r="N153" s="454">
        <f>94+838-94</f>
        <v>838</v>
      </c>
      <c r="O153" s="116">
        <v>0</v>
      </c>
      <c r="P153" s="116">
        <v>0</v>
      </c>
      <c r="Q153" s="116">
        <v>0</v>
      </c>
      <c r="R153" s="459">
        <f>S153</f>
        <v>6082</v>
      </c>
      <c r="S153" s="454">
        <f>14338+ 5164-14339+283+1848-289-180-606-137</f>
        <v>6082</v>
      </c>
      <c r="T153" s="115">
        <v>0</v>
      </c>
      <c r="U153" s="115">
        <v>0</v>
      </c>
      <c r="V153" s="115">
        <v>0</v>
      </c>
      <c r="W153" s="459">
        <f>X153</f>
        <v>4464</v>
      </c>
      <c r="X153" s="454">
        <f>632+230+3086+1169-332+283-1309+705</f>
        <v>4464</v>
      </c>
      <c r="Y153" s="115">
        <v>0</v>
      </c>
      <c r="Z153" s="115">
        <v>0</v>
      </c>
      <c r="AA153" s="115">
        <v>0</v>
      </c>
      <c r="AB153" s="459">
        <f>C153+H153+M153+R153+W153</f>
        <v>13974</v>
      </c>
    </row>
    <row r="154" spans="1:28" ht="21" customHeight="1" x14ac:dyDescent="0.2">
      <c r="A154" s="461"/>
      <c r="B154" s="121" t="s">
        <v>384</v>
      </c>
      <c r="C154" s="457"/>
      <c r="D154" s="455"/>
      <c r="E154" s="115"/>
      <c r="F154" s="115"/>
      <c r="G154" s="115"/>
      <c r="H154" s="457"/>
      <c r="I154" s="455"/>
      <c r="J154" s="115"/>
      <c r="K154" s="115"/>
      <c r="L154" s="115"/>
      <c r="M154" s="457"/>
      <c r="N154" s="455"/>
      <c r="O154" s="116"/>
      <c r="P154" s="116"/>
      <c r="Q154" s="116"/>
      <c r="R154" s="457"/>
      <c r="S154" s="455"/>
      <c r="T154" s="115"/>
      <c r="U154" s="115"/>
      <c r="V154" s="115"/>
      <c r="W154" s="457"/>
      <c r="X154" s="455"/>
      <c r="Y154" s="115"/>
      <c r="Z154" s="115"/>
      <c r="AA154" s="115"/>
      <c r="AB154" s="457"/>
    </row>
    <row r="155" spans="1:28" ht="16.5" customHeight="1" x14ac:dyDescent="0.2">
      <c r="A155" s="461"/>
      <c r="B155" s="120" t="s">
        <v>696</v>
      </c>
      <c r="C155" s="457"/>
      <c r="D155" s="455"/>
      <c r="E155" s="115"/>
      <c r="F155" s="115"/>
      <c r="G155" s="115"/>
      <c r="H155" s="457"/>
      <c r="I155" s="455"/>
      <c r="J155" s="115"/>
      <c r="K155" s="115"/>
      <c r="L155" s="115"/>
      <c r="M155" s="457"/>
      <c r="N155" s="455"/>
      <c r="O155" s="116"/>
      <c r="P155" s="116"/>
      <c r="Q155" s="116"/>
      <c r="R155" s="457"/>
      <c r="S155" s="455"/>
      <c r="T155" s="115"/>
      <c r="U155" s="115"/>
      <c r="V155" s="115"/>
      <c r="W155" s="457"/>
      <c r="X155" s="455"/>
      <c r="Y155" s="115"/>
      <c r="Z155" s="115"/>
      <c r="AA155" s="115"/>
      <c r="AB155" s="457"/>
    </row>
    <row r="156" spans="1:28" ht="16.5" customHeight="1" x14ac:dyDescent="0.2">
      <c r="A156" s="461"/>
      <c r="B156" s="119" t="s">
        <v>697</v>
      </c>
      <c r="C156" s="457"/>
      <c r="D156" s="455"/>
      <c r="E156" s="115"/>
      <c r="F156" s="115"/>
      <c r="G156" s="115"/>
      <c r="H156" s="457"/>
      <c r="I156" s="455"/>
      <c r="J156" s="115"/>
      <c r="K156" s="115"/>
      <c r="L156" s="115"/>
      <c r="M156" s="457"/>
      <c r="N156" s="455"/>
      <c r="O156" s="116"/>
      <c r="P156" s="116"/>
      <c r="Q156" s="116"/>
      <c r="R156" s="457"/>
      <c r="S156" s="455"/>
      <c r="T156" s="115"/>
      <c r="U156" s="115"/>
      <c r="V156" s="115"/>
      <c r="W156" s="457"/>
      <c r="X156" s="455"/>
      <c r="Y156" s="115"/>
      <c r="Z156" s="115"/>
      <c r="AA156" s="115"/>
      <c r="AB156" s="457"/>
    </row>
    <row r="157" spans="1:28" ht="18" customHeight="1" x14ac:dyDescent="0.2">
      <c r="A157" s="461"/>
      <c r="B157" s="120" t="s">
        <v>636</v>
      </c>
      <c r="C157" s="457"/>
      <c r="D157" s="455"/>
      <c r="E157" s="130"/>
      <c r="F157" s="130"/>
      <c r="G157" s="130"/>
      <c r="H157" s="457"/>
      <c r="I157" s="455"/>
      <c r="J157" s="130"/>
      <c r="K157" s="130"/>
      <c r="L157" s="130"/>
      <c r="M157" s="457"/>
      <c r="N157" s="455"/>
      <c r="O157" s="132"/>
      <c r="P157" s="132"/>
      <c r="Q157" s="132"/>
      <c r="R157" s="457"/>
      <c r="S157" s="455"/>
      <c r="T157" s="130"/>
      <c r="U157" s="130"/>
      <c r="V157" s="130"/>
      <c r="W157" s="457"/>
      <c r="X157" s="455"/>
      <c r="Y157" s="130"/>
      <c r="Z157" s="130"/>
      <c r="AA157" s="130"/>
      <c r="AB157" s="457"/>
    </row>
    <row r="158" spans="1:28" ht="18" customHeight="1" x14ac:dyDescent="0.2">
      <c r="A158" s="461"/>
      <c r="B158" s="121" t="s">
        <v>308</v>
      </c>
      <c r="C158" s="457"/>
      <c r="D158" s="455"/>
      <c r="E158" s="115"/>
      <c r="F158" s="115"/>
      <c r="G158" s="115"/>
      <c r="H158" s="457"/>
      <c r="I158" s="455"/>
      <c r="J158" s="115"/>
      <c r="K158" s="115"/>
      <c r="L158" s="115"/>
      <c r="M158" s="457"/>
      <c r="N158" s="455"/>
      <c r="O158" s="116"/>
      <c r="P158" s="116"/>
      <c r="Q158" s="116"/>
      <c r="R158" s="457"/>
      <c r="S158" s="455"/>
      <c r="T158" s="115"/>
      <c r="U158" s="115"/>
      <c r="V158" s="115"/>
      <c r="W158" s="457"/>
      <c r="X158" s="455"/>
      <c r="Y158" s="115"/>
      <c r="Z158" s="115"/>
      <c r="AA158" s="115"/>
      <c r="AB158" s="457"/>
    </row>
    <row r="159" spans="1:28" ht="18" customHeight="1" x14ac:dyDescent="0.2">
      <c r="A159" s="461"/>
      <c r="B159" s="120" t="s">
        <v>697</v>
      </c>
      <c r="C159" s="457"/>
      <c r="D159" s="455"/>
      <c r="E159" s="115"/>
      <c r="F159" s="115"/>
      <c r="G159" s="115"/>
      <c r="H159" s="457"/>
      <c r="I159" s="455"/>
      <c r="J159" s="115"/>
      <c r="K159" s="115"/>
      <c r="L159" s="115"/>
      <c r="M159" s="457"/>
      <c r="N159" s="455"/>
      <c r="O159" s="116"/>
      <c r="P159" s="116"/>
      <c r="Q159" s="116"/>
      <c r="R159" s="457"/>
      <c r="S159" s="455"/>
      <c r="T159" s="115"/>
      <c r="U159" s="115"/>
      <c r="V159" s="115"/>
      <c r="W159" s="457"/>
      <c r="X159" s="455"/>
      <c r="Y159" s="115"/>
      <c r="Z159" s="115"/>
      <c r="AA159" s="115"/>
      <c r="AB159" s="457"/>
    </row>
    <row r="160" spans="1:28" ht="18" customHeight="1" x14ac:dyDescent="0.2">
      <c r="A160" s="461"/>
      <c r="B160" s="120" t="s">
        <v>636</v>
      </c>
      <c r="C160" s="457"/>
      <c r="D160" s="455"/>
      <c r="E160" s="115"/>
      <c r="F160" s="115"/>
      <c r="G160" s="115"/>
      <c r="H160" s="457"/>
      <c r="I160" s="455"/>
      <c r="J160" s="115"/>
      <c r="K160" s="115"/>
      <c r="L160" s="115"/>
      <c r="M160" s="457"/>
      <c r="N160" s="455"/>
      <c r="O160" s="116"/>
      <c r="P160" s="116"/>
      <c r="Q160" s="116"/>
      <c r="R160" s="457"/>
      <c r="S160" s="455"/>
      <c r="T160" s="115"/>
      <c r="U160" s="115"/>
      <c r="V160" s="115"/>
      <c r="W160" s="457"/>
      <c r="X160" s="455"/>
      <c r="Y160" s="115"/>
      <c r="Z160" s="115"/>
      <c r="AA160" s="115"/>
      <c r="AB160" s="457"/>
    </row>
    <row r="161" spans="1:28" ht="18" customHeight="1" x14ac:dyDescent="0.2">
      <c r="A161" s="461"/>
      <c r="B161" s="121" t="s">
        <v>357</v>
      </c>
      <c r="C161" s="457"/>
      <c r="D161" s="455"/>
      <c r="E161" s="115"/>
      <c r="F161" s="115"/>
      <c r="G161" s="115"/>
      <c r="H161" s="457"/>
      <c r="I161" s="455"/>
      <c r="J161" s="115"/>
      <c r="K161" s="115"/>
      <c r="L161" s="115"/>
      <c r="M161" s="457"/>
      <c r="N161" s="455"/>
      <c r="O161" s="116"/>
      <c r="P161" s="116"/>
      <c r="Q161" s="116"/>
      <c r="R161" s="457"/>
      <c r="S161" s="455"/>
      <c r="T161" s="115"/>
      <c r="U161" s="115"/>
      <c r="V161" s="115"/>
      <c r="W161" s="457"/>
      <c r="X161" s="455"/>
      <c r="Y161" s="115"/>
      <c r="Z161" s="115"/>
      <c r="AA161" s="115"/>
      <c r="AB161" s="457"/>
    </row>
    <row r="162" spans="1:28" ht="18" customHeight="1" x14ac:dyDescent="0.2">
      <c r="A162" s="490"/>
      <c r="B162" s="139" t="s">
        <v>697</v>
      </c>
      <c r="C162" s="493"/>
      <c r="D162" s="455"/>
      <c r="E162" s="115"/>
      <c r="F162" s="115"/>
      <c r="G162" s="115"/>
      <c r="H162" s="457"/>
      <c r="I162" s="455"/>
      <c r="J162" s="115"/>
      <c r="K162" s="115"/>
      <c r="L162" s="115"/>
      <c r="M162" s="457"/>
      <c r="N162" s="455"/>
      <c r="O162" s="116"/>
      <c r="P162" s="116"/>
      <c r="Q162" s="116"/>
      <c r="R162" s="457"/>
      <c r="S162" s="455"/>
      <c r="T162" s="115"/>
      <c r="U162" s="115"/>
      <c r="V162" s="115"/>
      <c r="W162" s="457"/>
      <c r="X162" s="455"/>
      <c r="Y162" s="115"/>
      <c r="Z162" s="115"/>
      <c r="AA162" s="115"/>
      <c r="AB162" s="457"/>
    </row>
    <row r="163" spans="1:28" ht="18" customHeight="1" x14ac:dyDescent="0.2">
      <c r="A163" s="490"/>
      <c r="B163" s="119" t="s">
        <v>698</v>
      </c>
      <c r="C163" s="493"/>
      <c r="D163" s="455"/>
      <c r="E163" s="115"/>
      <c r="F163" s="115"/>
      <c r="G163" s="115"/>
      <c r="H163" s="457"/>
      <c r="I163" s="455"/>
      <c r="J163" s="115"/>
      <c r="K163" s="115"/>
      <c r="L163" s="115"/>
      <c r="M163" s="457"/>
      <c r="N163" s="455"/>
      <c r="O163" s="116"/>
      <c r="P163" s="116"/>
      <c r="Q163" s="116"/>
      <c r="R163" s="457"/>
      <c r="S163" s="455"/>
      <c r="T163" s="115"/>
      <c r="U163" s="115"/>
      <c r="V163" s="115"/>
      <c r="W163" s="457"/>
      <c r="X163" s="455"/>
      <c r="Y163" s="115"/>
      <c r="Z163" s="115"/>
      <c r="AA163" s="115"/>
      <c r="AB163" s="457"/>
    </row>
    <row r="164" spans="1:28" ht="18" customHeight="1" x14ac:dyDescent="0.2">
      <c r="A164" s="490"/>
      <c r="B164" s="119" t="s">
        <v>699</v>
      </c>
      <c r="C164" s="457"/>
      <c r="D164" s="455"/>
      <c r="E164" s="115"/>
      <c r="F164" s="115"/>
      <c r="G164" s="115"/>
      <c r="H164" s="457"/>
      <c r="I164" s="455"/>
      <c r="J164" s="115"/>
      <c r="K164" s="115"/>
      <c r="L164" s="115"/>
      <c r="M164" s="457"/>
      <c r="N164" s="455"/>
      <c r="O164" s="116"/>
      <c r="P164" s="116"/>
      <c r="Q164" s="116"/>
      <c r="R164" s="457"/>
      <c r="S164" s="455"/>
      <c r="T164" s="115"/>
      <c r="U164" s="115"/>
      <c r="V164" s="115"/>
      <c r="W164" s="457"/>
      <c r="X164" s="455"/>
      <c r="Y164" s="115"/>
      <c r="Z164" s="115"/>
      <c r="AA164" s="115"/>
      <c r="AB164" s="457"/>
    </row>
    <row r="165" spans="1:28" ht="18" customHeight="1" x14ac:dyDescent="0.2">
      <c r="A165" s="461"/>
      <c r="B165" s="121" t="s">
        <v>394</v>
      </c>
      <c r="C165" s="457"/>
      <c r="D165" s="455"/>
      <c r="E165" s="115"/>
      <c r="F165" s="115"/>
      <c r="G165" s="115"/>
      <c r="H165" s="457"/>
      <c r="I165" s="455"/>
      <c r="J165" s="115"/>
      <c r="K165" s="115"/>
      <c r="L165" s="115"/>
      <c r="M165" s="457"/>
      <c r="N165" s="455"/>
      <c r="O165" s="116"/>
      <c r="P165" s="116"/>
      <c r="Q165" s="116"/>
      <c r="R165" s="457"/>
      <c r="S165" s="455"/>
      <c r="T165" s="115"/>
      <c r="U165" s="115"/>
      <c r="V165" s="115"/>
      <c r="W165" s="457"/>
      <c r="X165" s="455"/>
      <c r="Y165" s="115"/>
      <c r="Z165" s="115"/>
      <c r="AA165" s="115"/>
      <c r="AB165" s="457"/>
    </row>
    <row r="166" spans="1:28" ht="18" customHeight="1" x14ac:dyDescent="0.2">
      <c r="A166" s="461"/>
      <c r="B166" s="120" t="s">
        <v>700</v>
      </c>
      <c r="C166" s="457"/>
      <c r="D166" s="455"/>
      <c r="E166" s="115"/>
      <c r="F166" s="115"/>
      <c r="G166" s="115"/>
      <c r="H166" s="457"/>
      <c r="I166" s="455"/>
      <c r="J166" s="115"/>
      <c r="K166" s="115"/>
      <c r="L166" s="115"/>
      <c r="M166" s="457"/>
      <c r="N166" s="455"/>
      <c r="O166" s="116"/>
      <c r="P166" s="116"/>
      <c r="Q166" s="116"/>
      <c r="R166" s="457"/>
      <c r="S166" s="455"/>
      <c r="T166" s="115"/>
      <c r="U166" s="115"/>
      <c r="V166" s="115"/>
      <c r="W166" s="457"/>
      <c r="X166" s="455"/>
      <c r="Y166" s="115"/>
      <c r="Z166" s="115"/>
      <c r="AA166" s="115"/>
      <c r="AB166" s="457"/>
    </row>
    <row r="167" spans="1:28" ht="18" customHeight="1" x14ac:dyDescent="0.2">
      <c r="A167" s="461"/>
      <c r="B167" s="120" t="s">
        <v>1449</v>
      </c>
      <c r="C167" s="457"/>
      <c r="D167" s="455"/>
      <c r="E167" s="115"/>
      <c r="F167" s="115"/>
      <c r="G167" s="115"/>
      <c r="H167" s="457"/>
      <c r="I167" s="455"/>
      <c r="J167" s="115"/>
      <c r="K167" s="115"/>
      <c r="L167" s="115"/>
      <c r="M167" s="457"/>
      <c r="N167" s="455"/>
      <c r="O167" s="116"/>
      <c r="P167" s="116"/>
      <c r="Q167" s="116"/>
      <c r="R167" s="457"/>
      <c r="S167" s="455"/>
      <c r="T167" s="115"/>
      <c r="U167" s="115"/>
      <c r="V167" s="115"/>
      <c r="W167" s="457"/>
      <c r="X167" s="455"/>
      <c r="Y167" s="115"/>
      <c r="Z167" s="115"/>
      <c r="AA167" s="115"/>
      <c r="AB167" s="457"/>
    </row>
    <row r="168" spans="1:28" ht="18" customHeight="1" x14ac:dyDescent="0.2">
      <c r="A168" s="461"/>
      <c r="B168" s="139" t="s">
        <v>697</v>
      </c>
      <c r="C168" s="457"/>
      <c r="D168" s="455"/>
      <c r="E168" s="115"/>
      <c r="F168" s="115"/>
      <c r="G168" s="115"/>
      <c r="H168" s="457"/>
      <c r="I168" s="455"/>
      <c r="J168" s="115"/>
      <c r="K168" s="115"/>
      <c r="L168" s="115"/>
      <c r="M168" s="457"/>
      <c r="N168" s="455"/>
      <c r="O168" s="116"/>
      <c r="P168" s="116"/>
      <c r="Q168" s="116"/>
      <c r="R168" s="457"/>
      <c r="S168" s="455"/>
      <c r="T168" s="115"/>
      <c r="U168" s="115"/>
      <c r="V168" s="115"/>
      <c r="W168" s="457"/>
      <c r="X168" s="455"/>
      <c r="Y168" s="115"/>
      <c r="Z168" s="115"/>
      <c r="AA168" s="115"/>
      <c r="AB168" s="457"/>
    </row>
    <row r="169" spans="1:28" ht="18" customHeight="1" x14ac:dyDescent="0.2">
      <c r="A169" s="461"/>
      <c r="B169" s="119" t="s">
        <v>1604</v>
      </c>
      <c r="C169" s="457"/>
      <c r="D169" s="455"/>
      <c r="E169" s="115"/>
      <c r="F169" s="115"/>
      <c r="G169" s="115"/>
      <c r="H169" s="457"/>
      <c r="I169" s="455"/>
      <c r="J169" s="115"/>
      <c r="K169" s="115"/>
      <c r="L169" s="115"/>
      <c r="M169" s="457"/>
      <c r="N169" s="455"/>
      <c r="O169" s="116"/>
      <c r="P169" s="116"/>
      <c r="Q169" s="116"/>
      <c r="R169" s="457"/>
      <c r="S169" s="455"/>
      <c r="T169" s="115"/>
      <c r="U169" s="115"/>
      <c r="V169" s="115"/>
      <c r="W169" s="457"/>
      <c r="X169" s="455"/>
      <c r="Y169" s="115"/>
      <c r="Z169" s="115"/>
      <c r="AA169" s="115"/>
      <c r="AB169" s="457"/>
    </row>
    <row r="170" spans="1:28" ht="15" customHeight="1" x14ac:dyDescent="0.2">
      <c r="A170" s="460" t="s">
        <v>435</v>
      </c>
      <c r="B170" s="114" t="s">
        <v>143</v>
      </c>
      <c r="C170" s="459">
        <f>D170+E170+F170+G170</f>
        <v>8411</v>
      </c>
      <c r="D170" s="454">
        <v>8411</v>
      </c>
      <c r="E170" s="115">
        <v>0</v>
      </c>
      <c r="F170" s="115">
        <v>0</v>
      </c>
      <c r="G170" s="115">
        <v>0</v>
      </c>
      <c r="H170" s="459">
        <f>I170+J170+K170+L170</f>
        <v>3081</v>
      </c>
      <c r="I170" s="454">
        <f>7310-5219+841+153-4</f>
        <v>3081</v>
      </c>
      <c r="J170" s="115">
        <v>0</v>
      </c>
      <c r="K170" s="115">
        <v>0</v>
      </c>
      <c r="L170" s="115">
        <v>0</v>
      </c>
      <c r="M170" s="459">
        <f>N170</f>
        <v>4934</v>
      </c>
      <c r="N170" s="454">
        <f>8219-6307+105+772-157-71+3259-1234+348</f>
        <v>4934</v>
      </c>
      <c r="O170" s="116">
        <v>0</v>
      </c>
      <c r="P170" s="116">
        <v>0</v>
      </c>
      <c r="Q170" s="116">
        <v>0</v>
      </c>
      <c r="R170" s="459">
        <f>S170</f>
        <v>10726</v>
      </c>
      <c r="S170" s="454">
        <f>4085+4159+70+1617+1168-373</f>
        <v>10726</v>
      </c>
      <c r="T170" s="115">
        <v>0</v>
      </c>
      <c r="U170" s="115">
        <v>0</v>
      </c>
      <c r="V170" s="115">
        <v>0</v>
      </c>
      <c r="W170" s="454">
        <f>X170</f>
        <v>14323</v>
      </c>
      <c r="X170" s="454">
        <f>9782+15692-1169-17210-11+9432+1313-1192-1425-583-634+329+269-270</f>
        <v>14323</v>
      </c>
      <c r="Y170" s="115">
        <v>0</v>
      </c>
      <c r="Z170" s="115">
        <v>0</v>
      </c>
      <c r="AA170" s="115">
        <v>0</v>
      </c>
      <c r="AB170" s="459">
        <f>C170+H170+M170+R170+W170</f>
        <v>41475</v>
      </c>
    </row>
    <row r="171" spans="1:28" ht="15" customHeight="1" x14ac:dyDescent="0.2">
      <c r="A171" s="461"/>
      <c r="B171" s="140" t="s">
        <v>137</v>
      </c>
      <c r="C171" s="457"/>
      <c r="D171" s="455"/>
      <c r="E171" s="115"/>
      <c r="F171" s="115"/>
      <c r="G171" s="115"/>
      <c r="H171" s="457"/>
      <c r="I171" s="455"/>
      <c r="J171" s="115"/>
      <c r="K171" s="115"/>
      <c r="L171" s="115"/>
      <c r="M171" s="457"/>
      <c r="N171" s="455"/>
      <c r="O171" s="116"/>
      <c r="P171" s="116"/>
      <c r="Q171" s="116"/>
      <c r="R171" s="457"/>
      <c r="S171" s="455"/>
      <c r="T171" s="115"/>
      <c r="U171" s="115"/>
      <c r="V171" s="115"/>
      <c r="W171" s="455"/>
      <c r="X171" s="455"/>
      <c r="Y171" s="115"/>
      <c r="Z171" s="115"/>
      <c r="AA171" s="115"/>
      <c r="AB171" s="457"/>
    </row>
    <row r="172" spans="1:28" ht="15" customHeight="1" x14ac:dyDescent="0.2">
      <c r="A172" s="461"/>
      <c r="B172" s="139" t="s">
        <v>701</v>
      </c>
      <c r="C172" s="457"/>
      <c r="D172" s="455"/>
      <c r="E172" s="115"/>
      <c r="F172" s="115"/>
      <c r="G172" s="115"/>
      <c r="H172" s="457"/>
      <c r="I172" s="455"/>
      <c r="J172" s="115"/>
      <c r="K172" s="115"/>
      <c r="L172" s="115"/>
      <c r="M172" s="457"/>
      <c r="N172" s="455"/>
      <c r="O172" s="116"/>
      <c r="P172" s="116"/>
      <c r="Q172" s="116"/>
      <c r="R172" s="457"/>
      <c r="S172" s="455"/>
      <c r="T172" s="115"/>
      <c r="U172" s="115"/>
      <c r="V172" s="115"/>
      <c r="W172" s="455"/>
      <c r="X172" s="455"/>
      <c r="Y172" s="115"/>
      <c r="Z172" s="115"/>
      <c r="AA172" s="115"/>
      <c r="AB172" s="457"/>
    </row>
    <row r="173" spans="1:28" ht="15" customHeight="1" x14ac:dyDescent="0.2">
      <c r="A173" s="461"/>
      <c r="B173" s="139" t="s">
        <v>150</v>
      </c>
      <c r="C173" s="457"/>
      <c r="D173" s="455"/>
      <c r="E173" s="115"/>
      <c r="F173" s="115"/>
      <c r="G173" s="115"/>
      <c r="H173" s="457"/>
      <c r="I173" s="455"/>
      <c r="J173" s="115"/>
      <c r="K173" s="115"/>
      <c r="L173" s="115"/>
      <c r="M173" s="457"/>
      <c r="N173" s="455"/>
      <c r="O173" s="116"/>
      <c r="P173" s="116"/>
      <c r="Q173" s="116"/>
      <c r="R173" s="457"/>
      <c r="S173" s="455"/>
      <c r="T173" s="115"/>
      <c r="U173" s="115"/>
      <c r="V173" s="115"/>
      <c r="W173" s="455"/>
      <c r="X173" s="455"/>
      <c r="Y173" s="115"/>
      <c r="Z173" s="115"/>
      <c r="AA173" s="115"/>
      <c r="AB173" s="457"/>
    </row>
    <row r="174" spans="1:28" ht="15" customHeight="1" x14ac:dyDescent="0.2">
      <c r="A174" s="461"/>
      <c r="B174" s="139" t="s">
        <v>702</v>
      </c>
      <c r="C174" s="457"/>
      <c r="D174" s="455"/>
      <c r="E174" s="115"/>
      <c r="F174" s="115"/>
      <c r="G174" s="115"/>
      <c r="H174" s="457"/>
      <c r="I174" s="455"/>
      <c r="J174" s="115"/>
      <c r="K174" s="115"/>
      <c r="L174" s="115"/>
      <c r="M174" s="457"/>
      <c r="N174" s="455"/>
      <c r="O174" s="116"/>
      <c r="P174" s="116"/>
      <c r="Q174" s="116"/>
      <c r="R174" s="457"/>
      <c r="S174" s="455"/>
      <c r="T174" s="115"/>
      <c r="U174" s="115"/>
      <c r="V174" s="115"/>
      <c r="W174" s="455"/>
      <c r="X174" s="455"/>
      <c r="Y174" s="115"/>
      <c r="Z174" s="115"/>
      <c r="AA174" s="115"/>
      <c r="AB174" s="457"/>
    </row>
    <row r="175" spans="1:28" ht="15" customHeight="1" x14ac:dyDescent="0.2">
      <c r="A175" s="461"/>
      <c r="B175" s="139" t="s">
        <v>703</v>
      </c>
      <c r="C175" s="457"/>
      <c r="D175" s="455"/>
      <c r="E175" s="115"/>
      <c r="F175" s="115"/>
      <c r="G175" s="115"/>
      <c r="H175" s="457"/>
      <c r="I175" s="455"/>
      <c r="J175" s="115"/>
      <c r="K175" s="115"/>
      <c r="L175" s="115"/>
      <c r="M175" s="457"/>
      <c r="N175" s="455"/>
      <c r="O175" s="116"/>
      <c r="P175" s="116"/>
      <c r="Q175" s="116"/>
      <c r="R175" s="457"/>
      <c r="S175" s="455"/>
      <c r="T175" s="115"/>
      <c r="U175" s="115"/>
      <c r="V175" s="115"/>
      <c r="W175" s="455"/>
      <c r="X175" s="455"/>
      <c r="Y175" s="115"/>
      <c r="Z175" s="115"/>
      <c r="AA175" s="115"/>
      <c r="AB175" s="457"/>
    </row>
    <row r="176" spans="1:28" ht="15" customHeight="1" x14ac:dyDescent="0.2">
      <c r="A176" s="461"/>
      <c r="B176" s="139" t="s">
        <v>152</v>
      </c>
      <c r="C176" s="457"/>
      <c r="D176" s="455"/>
      <c r="E176" s="115"/>
      <c r="F176" s="115"/>
      <c r="G176" s="115"/>
      <c r="H176" s="457"/>
      <c r="I176" s="455"/>
      <c r="J176" s="115"/>
      <c r="K176" s="115"/>
      <c r="L176" s="115"/>
      <c r="M176" s="457"/>
      <c r="N176" s="455"/>
      <c r="O176" s="116"/>
      <c r="P176" s="116"/>
      <c r="Q176" s="116"/>
      <c r="R176" s="457"/>
      <c r="S176" s="455"/>
      <c r="T176" s="115"/>
      <c r="U176" s="115"/>
      <c r="V176" s="115"/>
      <c r="W176" s="455"/>
      <c r="X176" s="455"/>
      <c r="Y176" s="115"/>
      <c r="Z176" s="115"/>
      <c r="AA176" s="115"/>
      <c r="AB176" s="457"/>
    </row>
    <row r="177" spans="1:28" ht="15" customHeight="1" x14ac:dyDescent="0.2">
      <c r="A177" s="461"/>
      <c r="B177" s="139" t="s">
        <v>151</v>
      </c>
      <c r="C177" s="457"/>
      <c r="D177" s="455"/>
      <c r="E177" s="115"/>
      <c r="F177" s="115"/>
      <c r="G177" s="115"/>
      <c r="H177" s="457"/>
      <c r="I177" s="455"/>
      <c r="J177" s="115"/>
      <c r="K177" s="115"/>
      <c r="L177" s="115"/>
      <c r="M177" s="457"/>
      <c r="N177" s="455"/>
      <c r="O177" s="116"/>
      <c r="P177" s="116"/>
      <c r="Q177" s="116"/>
      <c r="R177" s="457"/>
      <c r="S177" s="455"/>
      <c r="T177" s="115"/>
      <c r="U177" s="115"/>
      <c r="V177" s="115"/>
      <c r="W177" s="455"/>
      <c r="X177" s="455"/>
      <c r="Y177" s="115"/>
      <c r="Z177" s="115"/>
      <c r="AA177" s="115"/>
      <c r="AB177" s="457"/>
    </row>
    <row r="178" spans="1:28" ht="15" customHeight="1" x14ac:dyDescent="0.2">
      <c r="A178" s="461"/>
      <c r="B178" s="139" t="s">
        <v>153</v>
      </c>
      <c r="C178" s="457"/>
      <c r="D178" s="455"/>
      <c r="E178" s="115"/>
      <c r="F178" s="115"/>
      <c r="G178" s="115"/>
      <c r="H178" s="457"/>
      <c r="I178" s="455"/>
      <c r="J178" s="115"/>
      <c r="K178" s="115"/>
      <c r="L178" s="115"/>
      <c r="M178" s="457"/>
      <c r="N178" s="455"/>
      <c r="O178" s="116"/>
      <c r="P178" s="116"/>
      <c r="Q178" s="116"/>
      <c r="R178" s="457"/>
      <c r="S178" s="455"/>
      <c r="T178" s="122"/>
      <c r="U178" s="122"/>
      <c r="V178" s="122"/>
      <c r="W178" s="455"/>
      <c r="X178" s="455"/>
      <c r="Y178" s="122"/>
      <c r="Z178" s="122"/>
      <c r="AA178" s="122"/>
      <c r="AB178" s="457"/>
    </row>
    <row r="179" spans="1:28" ht="15" customHeight="1" x14ac:dyDescent="0.2">
      <c r="A179" s="480"/>
      <c r="B179" s="139" t="s">
        <v>144</v>
      </c>
      <c r="C179" s="457"/>
      <c r="D179" s="455"/>
      <c r="E179" s="115"/>
      <c r="F179" s="115"/>
      <c r="G179" s="115"/>
      <c r="H179" s="457"/>
      <c r="I179" s="455"/>
      <c r="J179" s="115"/>
      <c r="K179" s="115"/>
      <c r="L179" s="115"/>
      <c r="M179" s="457"/>
      <c r="N179" s="455"/>
      <c r="O179" s="116"/>
      <c r="P179" s="116"/>
      <c r="Q179" s="116"/>
      <c r="R179" s="469"/>
      <c r="S179" s="465"/>
      <c r="T179" s="123"/>
      <c r="U179" s="123"/>
      <c r="V179" s="123"/>
      <c r="W179" s="465"/>
      <c r="X179" s="465"/>
      <c r="Y179" s="138"/>
      <c r="Z179" s="138"/>
      <c r="AA179" s="138"/>
      <c r="AB179" s="469"/>
    </row>
    <row r="180" spans="1:28" ht="15" customHeight="1" x14ac:dyDescent="0.2">
      <c r="A180" s="480"/>
      <c r="B180" s="139" t="s">
        <v>704</v>
      </c>
      <c r="C180" s="457"/>
      <c r="D180" s="455"/>
      <c r="E180" s="115"/>
      <c r="F180" s="115"/>
      <c r="G180" s="115"/>
      <c r="H180" s="457"/>
      <c r="I180" s="455"/>
      <c r="J180" s="115"/>
      <c r="K180" s="115"/>
      <c r="L180" s="115"/>
      <c r="M180" s="457"/>
      <c r="N180" s="455"/>
      <c r="O180" s="116"/>
      <c r="P180" s="116"/>
      <c r="Q180" s="116"/>
      <c r="R180" s="469"/>
      <c r="S180" s="465"/>
      <c r="T180" s="138"/>
      <c r="U180" s="138"/>
      <c r="V180" s="138"/>
      <c r="W180" s="465"/>
      <c r="X180" s="465"/>
      <c r="Y180" s="138"/>
      <c r="Z180" s="138"/>
      <c r="AA180" s="138"/>
      <c r="AB180" s="469"/>
    </row>
    <row r="181" spans="1:28" ht="15" customHeight="1" x14ac:dyDescent="0.2">
      <c r="A181" s="480"/>
      <c r="B181" s="139" t="s">
        <v>705</v>
      </c>
      <c r="C181" s="457"/>
      <c r="D181" s="455"/>
      <c r="E181" s="115"/>
      <c r="F181" s="115"/>
      <c r="G181" s="115"/>
      <c r="H181" s="457"/>
      <c r="I181" s="455"/>
      <c r="J181" s="115"/>
      <c r="K181" s="115"/>
      <c r="L181" s="115"/>
      <c r="M181" s="457"/>
      <c r="N181" s="455"/>
      <c r="O181" s="116"/>
      <c r="P181" s="116"/>
      <c r="Q181" s="116"/>
      <c r="R181" s="469"/>
      <c r="S181" s="465"/>
      <c r="T181" s="138"/>
      <c r="U181" s="138"/>
      <c r="V181" s="138"/>
      <c r="W181" s="465"/>
      <c r="X181" s="465"/>
      <c r="Y181" s="138"/>
      <c r="Z181" s="138"/>
      <c r="AA181" s="138"/>
      <c r="AB181" s="469"/>
    </row>
    <row r="182" spans="1:28" ht="15" customHeight="1" x14ac:dyDescent="0.2">
      <c r="A182" s="480"/>
      <c r="B182" s="139" t="s">
        <v>706</v>
      </c>
      <c r="C182" s="457"/>
      <c r="D182" s="455"/>
      <c r="E182" s="115"/>
      <c r="F182" s="115"/>
      <c r="G182" s="115"/>
      <c r="H182" s="457"/>
      <c r="I182" s="455"/>
      <c r="J182" s="115"/>
      <c r="K182" s="115"/>
      <c r="L182" s="115"/>
      <c r="M182" s="457"/>
      <c r="N182" s="455"/>
      <c r="O182" s="116"/>
      <c r="P182" s="116"/>
      <c r="Q182" s="116"/>
      <c r="R182" s="469"/>
      <c r="S182" s="465"/>
      <c r="T182" s="138"/>
      <c r="U182" s="138"/>
      <c r="V182" s="138"/>
      <c r="W182" s="465"/>
      <c r="X182" s="465"/>
      <c r="Y182" s="138"/>
      <c r="Z182" s="138"/>
      <c r="AA182" s="138"/>
      <c r="AB182" s="469"/>
    </row>
    <row r="183" spans="1:28" ht="31.5" x14ac:dyDescent="0.2">
      <c r="A183" s="480"/>
      <c r="B183" s="139" t="s">
        <v>707</v>
      </c>
      <c r="C183" s="457"/>
      <c r="D183" s="455"/>
      <c r="E183" s="115"/>
      <c r="F183" s="115"/>
      <c r="G183" s="115"/>
      <c r="H183" s="457"/>
      <c r="I183" s="455"/>
      <c r="J183" s="115"/>
      <c r="K183" s="115"/>
      <c r="L183" s="115"/>
      <c r="M183" s="457"/>
      <c r="N183" s="455"/>
      <c r="O183" s="116"/>
      <c r="P183" s="116"/>
      <c r="Q183" s="116"/>
      <c r="R183" s="469"/>
      <c r="S183" s="465"/>
      <c r="T183" s="138"/>
      <c r="U183" s="138"/>
      <c r="V183" s="138"/>
      <c r="W183" s="465"/>
      <c r="X183" s="465"/>
      <c r="Y183" s="138"/>
      <c r="Z183" s="138"/>
      <c r="AA183" s="138"/>
      <c r="AB183" s="469"/>
    </row>
    <row r="184" spans="1:28" ht="15" customHeight="1" x14ac:dyDescent="0.2">
      <c r="A184" s="480"/>
      <c r="B184" s="140" t="s">
        <v>138</v>
      </c>
      <c r="C184" s="457"/>
      <c r="D184" s="455"/>
      <c r="E184" s="115"/>
      <c r="F184" s="115"/>
      <c r="G184" s="115"/>
      <c r="H184" s="457"/>
      <c r="I184" s="455"/>
      <c r="J184" s="115"/>
      <c r="K184" s="115"/>
      <c r="L184" s="115"/>
      <c r="M184" s="457"/>
      <c r="N184" s="455"/>
      <c r="O184" s="116"/>
      <c r="P184" s="116"/>
      <c r="Q184" s="116"/>
      <c r="R184" s="469"/>
      <c r="S184" s="465"/>
      <c r="T184" s="138"/>
      <c r="U184" s="138"/>
      <c r="V184" s="138"/>
      <c r="W184" s="465"/>
      <c r="X184" s="465"/>
      <c r="Y184" s="138"/>
      <c r="Z184" s="138"/>
      <c r="AA184" s="138"/>
      <c r="AB184" s="469"/>
    </row>
    <row r="185" spans="1:28" ht="15" customHeight="1" x14ac:dyDescent="0.2">
      <c r="A185" s="480"/>
      <c r="B185" s="139" t="s">
        <v>708</v>
      </c>
      <c r="C185" s="457"/>
      <c r="D185" s="455"/>
      <c r="E185" s="115"/>
      <c r="F185" s="115"/>
      <c r="G185" s="115"/>
      <c r="H185" s="457"/>
      <c r="I185" s="455"/>
      <c r="J185" s="115"/>
      <c r="K185" s="115"/>
      <c r="L185" s="115"/>
      <c r="M185" s="457"/>
      <c r="N185" s="455"/>
      <c r="O185" s="116"/>
      <c r="P185" s="116"/>
      <c r="Q185" s="116"/>
      <c r="R185" s="469"/>
      <c r="S185" s="465"/>
      <c r="T185" s="138"/>
      <c r="U185" s="138"/>
      <c r="V185" s="138"/>
      <c r="W185" s="465"/>
      <c r="X185" s="465"/>
      <c r="Y185" s="138"/>
      <c r="Z185" s="138"/>
      <c r="AA185" s="138"/>
      <c r="AB185" s="469"/>
    </row>
    <row r="186" spans="1:28" ht="15" customHeight="1" x14ac:dyDescent="0.2">
      <c r="A186" s="480"/>
      <c r="B186" s="139" t="s">
        <v>709</v>
      </c>
      <c r="C186" s="457"/>
      <c r="D186" s="455"/>
      <c r="E186" s="115"/>
      <c r="F186" s="115"/>
      <c r="G186" s="115"/>
      <c r="H186" s="457"/>
      <c r="I186" s="455"/>
      <c r="J186" s="115"/>
      <c r="K186" s="115"/>
      <c r="L186" s="115"/>
      <c r="M186" s="457"/>
      <c r="N186" s="455"/>
      <c r="O186" s="116"/>
      <c r="P186" s="116"/>
      <c r="Q186" s="116"/>
      <c r="R186" s="469"/>
      <c r="S186" s="465"/>
      <c r="T186" s="138"/>
      <c r="U186" s="138"/>
      <c r="V186" s="138"/>
      <c r="W186" s="465"/>
      <c r="X186" s="465"/>
      <c r="Y186" s="138"/>
      <c r="Z186" s="138"/>
      <c r="AA186" s="138"/>
      <c r="AB186" s="469"/>
    </row>
    <row r="187" spans="1:28" ht="18" customHeight="1" x14ac:dyDescent="0.2">
      <c r="A187" s="480"/>
      <c r="B187" s="140" t="s">
        <v>308</v>
      </c>
      <c r="C187" s="457"/>
      <c r="D187" s="455"/>
      <c r="E187" s="115"/>
      <c r="F187" s="115"/>
      <c r="G187" s="115"/>
      <c r="H187" s="457"/>
      <c r="I187" s="455"/>
      <c r="J187" s="115"/>
      <c r="K187" s="115"/>
      <c r="L187" s="115"/>
      <c r="M187" s="457"/>
      <c r="N187" s="455"/>
      <c r="O187" s="116"/>
      <c r="P187" s="116"/>
      <c r="Q187" s="116"/>
      <c r="R187" s="469"/>
      <c r="S187" s="465"/>
      <c r="T187" s="138"/>
      <c r="U187" s="138"/>
      <c r="V187" s="138"/>
      <c r="W187" s="465"/>
      <c r="X187" s="465"/>
      <c r="Y187" s="138"/>
      <c r="Z187" s="138"/>
      <c r="AA187" s="138"/>
      <c r="AB187" s="469"/>
    </row>
    <row r="188" spans="1:28" ht="18" customHeight="1" x14ac:dyDescent="0.2">
      <c r="A188" s="480"/>
      <c r="B188" s="139" t="s">
        <v>696</v>
      </c>
      <c r="C188" s="457"/>
      <c r="D188" s="455"/>
      <c r="E188" s="115"/>
      <c r="F188" s="115"/>
      <c r="G188" s="115"/>
      <c r="H188" s="457"/>
      <c r="I188" s="455"/>
      <c r="J188" s="115"/>
      <c r="K188" s="115"/>
      <c r="L188" s="115"/>
      <c r="M188" s="457"/>
      <c r="N188" s="455"/>
      <c r="O188" s="116"/>
      <c r="P188" s="116"/>
      <c r="Q188" s="116"/>
      <c r="R188" s="469"/>
      <c r="S188" s="465"/>
      <c r="T188" s="138"/>
      <c r="U188" s="138"/>
      <c r="V188" s="138"/>
      <c r="W188" s="465"/>
      <c r="X188" s="465"/>
      <c r="Y188" s="138"/>
      <c r="Z188" s="138"/>
      <c r="AA188" s="138"/>
      <c r="AB188" s="469"/>
    </row>
    <row r="189" spans="1:28" ht="18" customHeight="1" x14ac:dyDescent="0.2">
      <c r="A189" s="480"/>
      <c r="B189" s="139" t="s">
        <v>710</v>
      </c>
      <c r="C189" s="457"/>
      <c r="D189" s="455"/>
      <c r="E189" s="122"/>
      <c r="F189" s="122"/>
      <c r="G189" s="122"/>
      <c r="H189" s="457"/>
      <c r="I189" s="455"/>
      <c r="J189" s="122"/>
      <c r="K189" s="122"/>
      <c r="L189" s="122"/>
      <c r="M189" s="457"/>
      <c r="N189" s="455"/>
      <c r="O189" s="123"/>
      <c r="P189" s="123"/>
      <c r="Q189" s="123"/>
      <c r="R189" s="469"/>
      <c r="S189" s="465"/>
      <c r="T189" s="138"/>
      <c r="U189" s="138"/>
      <c r="V189" s="138"/>
      <c r="W189" s="465"/>
      <c r="X189" s="465"/>
      <c r="Y189" s="138"/>
      <c r="Z189" s="138"/>
      <c r="AA189" s="138"/>
      <c r="AB189" s="469"/>
    </row>
    <row r="190" spans="1:28" ht="20.25" customHeight="1" x14ac:dyDescent="0.2">
      <c r="A190" s="480"/>
      <c r="B190" s="139" t="s">
        <v>711</v>
      </c>
      <c r="C190" s="457"/>
      <c r="D190" s="455"/>
      <c r="E190" s="122"/>
      <c r="F190" s="122"/>
      <c r="G190" s="122"/>
      <c r="H190" s="457"/>
      <c r="I190" s="455"/>
      <c r="J190" s="122"/>
      <c r="K190" s="122"/>
      <c r="L190" s="122"/>
      <c r="M190" s="457"/>
      <c r="N190" s="455"/>
      <c r="O190" s="123"/>
      <c r="P190" s="123"/>
      <c r="Q190" s="123"/>
      <c r="R190" s="469"/>
      <c r="S190" s="465"/>
      <c r="T190" s="138"/>
      <c r="U190" s="138"/>
      <c r="V190" s="138"/>
      <c r="W190" s="465"/>
      <c r="X190" s="465"/>
      <c r="Y190" s="138"/>
      <c r="Z190" s="138"/>
      <c r="AA190" s="138"/>
      <c r="AB190" s="469"/>
    </row>
    <row r="191" spans="1:28" ht="33.75" customHeight="1" x14ac:dyDescent="0.2">
      <c r="A191" s="480"/>
      <c r="B191" s="139" t="s">
        <v>712</v>
      </c>
      <c r="C191" s="457"/>
      <c r="D191" s="455"/>
      <c r="E191" s="122"/>
      <c r="F191" s="122"/>
      <c r="G191" s="122"/>
      <c r="H191" s="457"/>
      <c r="I191" s="455"/>
      <c r="J191" s="122"/>
      <c r="K191" s="122"/>
      <c r="L191" s="122"/>
      <c r="M191" s="457"/>
      <c r="N191" s="455"/>
      <c r="O191" s="123"/>
      <c r="P191" s="123"/>
      <c r="Q191" s="123"/>
      <c r="R191" s="469"/>
      <c r="S191" s="465"/>
      <c r="T191" s="138"/>
      <c r="U191" s="138"/>
      <c r="V191" s="138"/>
      <c r="W191" s="465"/>
      <c r="X191" s="465"/>
      <c r="Y191" s="138"/>
      <c r="Z191" s="138"/>
      <c r="AA191" s="138"/>
      <c r="AB191" s="469"/>
    </row>
    <row r="192" spans="1:28" ht="33" customHeight="1" x14ac:dyDescent="0.2">
      <c r="A192" s="480"/>
      <c r="B192" s="139" t="s">
        <v>713</v>
      </c>
      <c r="C192" s="457"/>
      <c r="D192" s="455"/>
      <c r="E192" s="122"/>
      <c r="F192" s="122"/>
      <c r="G192" s="122"/>
      <c r="H192" s="457"/>
      <c r="I192" s="455"/>
      <c r="J192" s="122"/>
      <c r="K192" s="122"/>
      <c r="L192" s="122"/>
      <c r="M192" s="457"/>
      <c r="N192" s="455"/>
      <c r="O192" s="123"/>
      <c r="P192" s="123"/>
      <c r="Q192" s="123"/>
      <c r="R192" s="469"/>
      <c r="S192" s="465"/>
      <c r="T192" s="138"/>
      <c r="U192" s="138"/>
      <c r="V192" s="138"/>
      <c r="W192" s="465"/>
      <c r="X192" s="465"/>
      <c r="Y192" s="138"/>
      <c r="Z192" s="138"/>
      <c r="AA192" s="138"/>
      <c r="AB192" s="469"/>
    </row>
    <row r="193" spans="1:28" ht="18.75" customHeight="1" x14ac:dyDescent="0.2">
      <c r="A193" s="480"/>
      <c r="B193" s="139" t="s">
        <v>714</v>
      </c>
      <c r="C193" s="457"/>
      <c r="D193" s="455"/>
      <c r="E193" s="122"/>
      <c r="F193" s="122"/>
      <c r="G193" s="122"/>
      <c r="H193" s="457"/>
      <c r="I193" s="455"/>
      <c r="J193" s="122"/>
      <c r="K193" s="122"/>
      <c r="L193" s="122"/>
      <c r="M193" s="457"/>
      <c r="N193" s="455"/>
      <c r="O193" s="123"/>
      <c r="P193" s="123"/>
      <c r="Q193" s="123"/>
      <c r="R193" s="469"/>
      <c r="S193" s="465"/>
      <c r="T193" s="138"/>
      <c r="U193" s="138"/>
      <c r="V193" s="138"/>
      <c r="W193" s="465"/>
      <c r="X193" s="465"/>
      <c r="Y193" s="138"/>
      <c r="Z193" s="138"/>
      <c r="AA193" s="138"/>
      <c r="AB193" s="469"/>
    </row>
    <row r="194" spans="1:28" ht="18.75" customHeight="1" x14ac:dyDescent="0.2">
      <c r="A194" s="141"/>
      <c r="B194" s="140" t="s">
        <v>357</v>
      </c>
      <c r="C194" s="126"/>
      <c r="D194" s="127"/>
      <c r="E194" s="127"/>
      <c r="F194" s="127"/>
      <c r="G194" s="127"/>
      <c r="H194" s="126"/>
      <c r="I194" s="127"/>
      <c r="J194" s="127"/>
      <c r="K194" s="127"/>
      <c r="L194" s="127"/>
      <c r="M194" s="126"/>
      <c r="N194" s="127"/>
      <c r="O194" s="123"/>
      <c r="P194" s="123"/>
      <c r="Q194" s="123"/>
      <c r="R194" s="137"/>
      <c r="S194" s="138"/>
      <c r="T194" s="138"/>
      <c r="U194" s="138"/>
      <c r="V194" s="138"/>
      <c r="W194" s="138"/>
      <c r="X194" s="138"/>
      <c r="Y194" s="138"/>
      <c r="Z194" s="138"/>
      <c r="AA194" s="138"/>
      <c r="AB194" s="137"/>
    </row>
    <row r="195" spans="1:28" ht="18.75" customHeight="1" x14ac:dyDescent="0.2">
      <c r="A195" s="135"/>
      <c r="B195" s="139" t="s">
        <v>715</v>
      </c>
      <c r="C195" s="126"/>
      <c r="D195" s="127"/>
      <c r="E195" s="122"/>
      <c r="F195" s="122"/>
      <c r="G195" s="122"/>
      <c r="H195" s="126"/>
      <c r="I195" s="127"/>
      <c r="J195" s="122"/>
      <c r="K195" s="122"/>
      <c r="L195" s="122"/>
      <c r="M195" s="126"/>
      <c r="N195" s="127"/>
      <c r="O195" s="123"/>
      <c r="P195" s="123"/>
      <c r="Q195" s="123"/>
      <c r="R195" s="137"/>
      <c r="S195" s="138"/>
      <c r="T195" s="123"/>
      <c r="U195" s="123"/>
      <c r="V195" s="123"/>
      <c r="W195" s="138"/>
      <c r="X195" s="138"/>
      <c r="Y195" s="123"/>
      <c r="Z195" s="123"/>
      <c r="AA195" s="123"/>
      <c r="AB195" s="137"/>
    </row>
    <row r="196" spans="1:28" ht="18.75" customHeight="1" x14ac:dyDescent="0.2">
      <c r="A196" s="135"/>
      <c r="B196" s="139" t="s">
        <v>716</v>
      </c>
      <c r="C196" s="126"/>
      <c r="D196" s="127"/>
      <c r="E196" s="122"/>
      <c r="F196" s="122"/>
      <c r="G196" s="122"/>
      <c r="H196" s="126"/>
      <c r="I196" s="127"/>
      <c r="J196" s="122"/>
      <c r="K196" s="122"/>
      <c r="L196" s="122"/>
      <c r="M196" s="126"/>
      <c r="N196" s="127"/>
      <c r="O196" s="123"/>
      <c r="P196" s="123"/>
      <c r="Q196" s="123"/>
      <c r="R196" s="137"/>
      <c r="S196" s="138"/>
      <c r="T196" s="123"/>
      <c r="U196" s="123"/>
      <c r="V196" s="123"/>
      <c r="W196" s="138"/>
      <c r="X196" s="138"/>
      <c r="Y196" s="123"/>
      <c r="Z196" s="123"/>
      <c r="AA196" s="123"/>
      <c r="AB196" s="137"/>
    </row>
    <row r="197" spans="1:28" ht="18.75" customHeight="1" x14ac:dyDescent="0.2">
      <c r="A197" s="135"/>
      <c r="B197" s="119" t="s">
        <v>678</v>
      </c>
      <c r="C197" s="126"/>
      <c r="D197" s="127"/>
      <c r="E197" s="122"/>
      <c r="F197" s="122"/>
      <c r="G197" s="122"/>
      <c r="H197" s="126"/>
      <c r="I197" s="127"/>
      <c r="J197" s="122"/>
      <c r="K197" s="122"/>
      <c r="L197" s="122"/>
      <c r="M197" s="126"/>
      <c r="N197" s="127"/>
      <c r="O197" s="123"/>
      <c r="P197" s="123"/>
      <c r="Q197" s="123"/>
      <c r="R197" s="137"/>
      <c r="S197" s="138"/>
      <c r="T197" s="123"/>
      <c r="U197" s="123"/>
      <c r="V197" s="123"/>
      <c r="W197" s="138"/>
      <c r="X197" s="138"/>
      <c r="Y197" s="123"/>
      <c r="Z197" s="123"/>
      <c r="AA197" s="123"/>
      <c r="AB197" s="137"/>
    </row>
    <row r="198" spans="1:28" ht="18.75" customHeight="1" x14ac:dyDescent="0.2">
      <c r="A198" s="135"/>
      <c r="B198" s="119" t="s">
        <v>728</v>
      </c>
      <c r="C198" s="126"/>
      <c r="D198" s="127"/>
      <c r="E198" s="122"/>
      <c r="F198" s="122"/>
      <c r="G198" s="122"/>
      <c r="H198" s="126"/>
      <c r="I198" s="127"/>
      <c r="J198" s="122"/>
      <c r="K198" s="122"/>
      <c r="L198" s="122"/>
      <c r="M198" s="126"/>
      <c r="N198" s="127"/>
      <c r="O198" s="123"/>
      <c r="P198" s="123"/>
      <c r="Q198" s="123"/>
      <c r="R198" s="137"/>
      <c r="S198" s="138"/>
      <c r="T198" s="123"/>
      <c r="U198" s="123"/>
      <c r="V198" s="123"/>
      <c r="W198" s="138"/>
      <c r="X198" s="138"/>
      <c r="Y198" s="123"/>
      <c r="Z198" s="123"/>
      <c r="AA198" s="123"/>
      <c r="AB198" s="137"/>
    </row>
    <row r="199" spans="1:28" ht="18.75" customHeight="1" x14ac:dyDescent="0.2">
      <c r="A199" s="135"/>
      <c r="B199" s="120" t="s">
        <v>717</v>
      </c>
      <c r="C199" s="126"/>
      <c r="D199" s="127"/>
      <c r="E199" s="122"/>
      <c r="F199" s="122"/>
      <c r="G199" s="122"/>
      <c r="H199" s="126"/>
      <c r="I199" s="127"/>
      <c r="J199" s="122"/>
      <c r="K199" s="122"/>
      <c r="L199" s="122"/>
      <c r="M199" s="126"/>
      <c r="N199" s="127"/>
      <c r="O199" s="123"/>
      <c r="P199" s="123"/>
      <c r="Q199" s="123"/>
      <c r="R199" s="137"/>
      <c r="S199" s="138"/>
      <c r="T199" s="123"/>
      <c r="U199" s="123"/>
      <c r="V199" s="123"/>
      <c r="W199" s="138"/>
      <c r="X199" s="138"/>
      <c r="Y199" s="123"/>
      <c r="Z199" s="123"/>
      <c r="AA199" s="123"/>
      <c r="AB199" s="137"/>
    </row>
    <row r="200" spans="1:28" ht="18.75" customHeight="1" x14ac:dyDescent="0.2">
      <c r="A200" s="135"/>
      <c r="B200" s="120" t="s">
        <v>718</v>
      </c>
      <c r="C200" s="126"/>
      <c r="D200" s="127"/>
      <c r="E200" s="122"/>
      <c r="F200" s="122"/>
      <c r="G200" s="122"/>
      <c r="H200" s="126"/>
      <c r="I200" s="127"/>
      <c r="J200" s="122"/>
      <c r="K200" s="122"/>
      <c r="L200" s="122"/>
      <c r="M200" s="126"/>
      <c r="N200" s="127"/>
      <c r="O200" s="123"/>
      <c r="P200" s="123"/>
      <c r="Q200" s="123"/>
      <c r="R200" s="137"/>
      <c r="S200" s="138"/>
      <c r="T200" s="123"/>
      <c r="U200" s="123"/>
      <c r="V200" s="123"/>
      <c r="W200" s="138"/>
      <c r="X200" s="138"/>
      <c r="Y200" s="123"/>
      <c r="Z200" s="123"/>
      <c r="AA200" s="123"/>
      <c r="AB200" s="137"/>
    </row>
    <row r="201" spans="1:28" ht="18.75" customHeight="1" x14ac:dyDescent="0.2">
      <c r="A201" s="135"/>
      <c r="B201" s="120" t="s">
        <v>719</v>
      </c>
      <c r="C201" s="126"/>
      <c r="D201" s="127"/>
      <c r="E201" s="122"/>
      <c r="F201" s="122"/>
      <c r="G201" s="122"/>
      <c r="H201" s="126"/>
      <c r="I201" s="127"/>
      <c r="J201" s="122"/>
      <c r="K201" s="122"/>
      <c r="L201" s="122"/>
      <c r="M201" s="126"/>
      <c r="N201" s="127"/>
      <c r="O201" s="123"/>
      <c r="P201" s="123"/>
      <c r="Q201" s="123"/>
      <c r="R201" s="137"/>
      <c r="S201" s="138"/>
      <c r="T201" s="123"/>
      <c r="U201" s="123"/>
      <c r="V201" s="123"/>
      <c r="W201" s="138"/>
      <c r="X201" s="138"/>
      <c r="Y201" s="123"/>
      <c r="Z201" s="123"/>
      <c r="AA201" s="123"/>
      <c r="AB201" s="137"/>
    </row>
    <row r="202" spans="1:28" ht="18.75" customHeight="1" x14ac:dyDescent="0.2">
      <c r="A202" s="135"/>
      <c r="B202" s="120" t="s">
        <v>1300</v>
      </c>
      <c r="C202" s="126"/>
      <c r="D202" s="127"/>
      <c r="E202" s="122"/>
      <c r="F202" s="122"/>
      <c r="G202" s="122"/>
      <c r="H202" s="126"/>
      <c r="I202" s="127"/>
      <c r="J202" s="122"/>
      <c r="K202" s="122"/>
      <c r="L202" s="122"/>
      <c r="M202" s="126"/>
      <c r="N202" s="127"/>
      <c r="O202" s="123"/>
      <c r="P202" s="123"/>
      <c r="Q202" s="123"/>
      <c r="R202" s="137"/>
      <c r="S202" s="138"/>
      <c r="T202" s="123"/>
      <c r="U202" s="123"/>
      <c r="V202" s="123"/>
      <c r="W202" s="138"/>
      <c r="X202" s="138"/>
      <c r="Y202" s="123"/>
      <c r="Z202" s="123"/>
      <c r="AA202" s="123"/>
      <c r="AB202" s="137"/>
    </row>
    <row r="203" spans="1:28" ht="18.75" customHeight="1" x14ac:dyDescent="0.2">
      <c r="A203" s="135"/>
      <c r="B203" s="120" t="s">
        <v>1301</v>
      </c>
      <c r="C203" s="126"/>
      <c r="D203" s="127"/>
      <c r="E203" s="122"/>
      <c r="F203" s="122"/>
      <c r="G203" s="122"/>
      <c r="H203" s="126"/>
      <c r="I203" s="127"/>
      <c r="J203" s="122"/>
      <c r="K203" s="122"/>
      <c r="L203" s="122"/>
      <c r="M203" s="126"/>
      <c r="N203" s="127"/>
      <c r="O203" s="123"/>
      <c r="P203" s="123"/>
      <c r="Q203" s="123"/>
      <c r="R203" s="137"/>
      <c r="S203" s="138"/>
      <c r="T203" s="123"/>
      <c r="U203" s="123"/>
      <c r="V203" s="123"/>
      <c r="W203" s="138"/>
      <c r="X203" s="138"/>
      <c r="Y203" s="123"/>
      <c r="Z203" s="123"/>
      <c r="AA203" s="123"/>
      <c r="AB203" s="137"/>
    </row>
    <row r="204" spans="1:28" ht="18.75" customHeight="1" x14ac:dyDescent="0.2">
      <c r="A204" s="135"/>
      <c r="B204" s="120" t="s">
        <v>1664</v>
      </c>
      <c r="C204" s="126"/>
      <c r="D204" s="127"/>
      <c r="E204" s="122"/>
      <c r="F204" s="122"/>
      <c r="G204" s="122"/>
      <c r="H204" s="126"/>
      <c r="I204" s="127"/>
      <c r="J204" s="122"/>
      <c r="K204" s="122"/>
      <c r="L204" s="122"/>
      <c r="M204" s="126"/>
      <c r="N204" s="127"/>
      <c r="O204" s="123"/>
      <c r="P204" s="123"/>
      <c r="Q204" s="123"/>
      <c r="R204" s="137"/>
      <c r="S204" s="138"/>
      <c r="T204" s="123"/>
      <c r="U204" s="123"/>
      <c r="V204" s="123"/>
      <c r="W204" s="138"/>
      <c r="X204" s="138"/>
      <c r="Y204" s="123"/>
      <c r="Z204" s="123"/>
      <c r="AA204" s="123"/>
      <c r="AB204" s="137"/>
    </row>
    <row r="205" spans="1:28" ht="18.75" customHeight="1" x14ac:dyDescent="0.2">
      <c r="A205" s="135"/>
      <c r="B205" s="142" t="s">
        <v>1302</v>
      </c>
      <c r="C205" s="126"/>
      <c r="D205" s="127"/>
      <c r="E205" s="122"/>
      <c r="F205" s="122"/>
      <c r="G205" s="122"/>
      <c r="H205" s="126"/>
      <c r="I205" s="127"/>
      <c r="J205" s="122"/>
      <c r="K205" s="122"/>
      <c r="L205" s="122"/>
      <c r="M205" s="126"/>
      <c r="N205" s="127"/>
      <c r="O205" s="123"/>
      <c r="P205" s="123"/>
      <c r="Q205" s="123"/>
      <c r="R205" s="137"/>
      <c r="S205" s="138"/>
      <c r="T205" s="123"/>
      <c r="U205" s="123"/>
      <c r="V205" s="123"/>
      <c r="W205" s="138"/>
      <c r="X205" s="138"/>
      <c r="Y205" s="123"/>
      <c r="Z205" s="123"/>
      <c r="AA205" s="123"/>
      <c r="AB205" s="137"/>
    </row>
    <row r="206" spans="1:28" ht="18.75" customHeight="1" x14ac:dyDescent="0.2">
      <c r="A206" s="135"/>
      <c r="B206" s="140" t="s">
        <v>394</v>
      </c>
      <c r="C206" s="126"/>
      <c r="D206" s="127"/>
      <c r="E206" s="122"/>
      <c r="F206" s="122"/>
      <c r="G206" s="122"/>
      <c r="H206" s="126"/>
      <c r="I206" s="127"/>
      <c r="J206" s="122"/>
      <c r="K206" s="122"/>
      <c r="L206" s="122"/>
      <c r="M206" s="126"/>
      <c r="N206" s="127"/>
      <c r="O206" s="123"/>
      <c r="P206" s="123"/>
      <c r="Q206" s="123"/>
      <c r="R206" s="137"/>
      <c r="S206" s="138"/>
      <c r="T206" s="123"/>
      <c r="U206" s="123"/>
      <c r="V206" s="123"/>
      <c r="W206" s="138"/>
      <c r="X206" s="138"/>
      <c r="Y206" s="123"/>
      <c r="Z206" s="123"/>
      <c r="AA206" s="123"/>
      <c r="AB206" s="137"/>
    </row>
    <row r="207" spans="1:28" ht="18.75" customHeight="1" x14ac:dyDescent="0.2">
      <c r="A207" s="135"/>
      <c r="B207" s="139" t="s">
        <v>1492</v>
      </c>
      <c r="C207" s="126"/>
      <c r="D207" s="127"/>
      <c r="E207" s="122"/>
      <c r="F207" s="122"/>
      <c r="G207" s="122"/>
      <c r="H207" s="126"/>
      <c r="I207" s="127"/>
      <c r="J207" s="122"/>
      <c r="K207" s="122"/>
      <c r="L207" s="122"/>
      <c r="M207" s="126"/>
      <c r="N207" s="127"/>
      <c r="O207" s="123"/>
      <c r="P207" s="123"/>
      <c r="Q207" s="123"/>
      <c r="R207" s="137"/>
      <c r="S207" s="138"/>
      <c r="T207" s="123"/>
      <c r="U207" s="123"/>
      <c r="V207" s="123"/>
      <c r="W207" s="138"/>
      <c r="X207" s="138"/>
      <c r="Y207" s="123"/>
      <c r="Z207" s="123"/>
      <c r="AA207" s="123"/>
      <c r="AB207" s="137"/>
    </row>
    <row r="208" spans="1:28" ht="18.75" customHeight="1" x14ac:dyDescent="0.2">
      <c r="A208" s="135"/>
      <c r="B208" s="139" t="s">
        <v>1493</v>
      </c>
      <c r="C208" s="126"/>
      <c r="D208" s="127"/>
      <c r="E208" s="122"/>
      <c r="F208" s="122"/>
      <c r="G208" s="122"/>
      <c r="H208" s="126"/>
      <c r="I208" s="127"/>
      <c r="J208" s="122"/>
      <c r="K208" s="122"/>
      <c r="L208" s="122"/>
      <c r="M208" s="126"/>
      <c r="N208" s="127"/>
      <c r="O208" s="123"/>
      <c r="P208" s="123"/>
      <c r="Q208" s="123"/>
      <c r="R208" s="137"/>
      <c r="S208" s="138"/>
      <c r="T208" s="123"/>
      <c r="U208" s="123"/>
      <c r="V208" s="123"/>
      <c r="W208" s="138"/>
      <c r="X208" s="138"/>
      <c r="Y208" s="123"/>
      <c r="Z208" s="123"/>
      <c r="AA208" s="123"/>
      <c r="AB208" s="137"/>
    </row>
    <row r="209" spans="1:28" ht="39" customHeight="1" x14ac:dyDescent="0.2">
      <c r="A209" s="135"/>
      <c r="B209" s="139" t="s">
        <v>1494</v>
      </c>
      <c r="C209" s="126"/>
      <c r="D209" s="127"/>
      <c r="E209" s="122"/>
      <c r="F209" s="122"/>
      <c r="G209" s="122"/>
      <c r="H209" s="126"/>
      <c r="I209" s="127"/>
      <c r="J209" s="122"/>
      <c r="K209" s="122"/>
      <c r="L209" s="122"/>
      <c r="M209" s="126"/>
      <c r="N209" s="127"/>
      <c r="O209" s="123"/>
      <c r="P209" s="123"/>
      <c r="Q209" s="123"/>
      <c r="R209" s="137"/>
      <c r="S209" s="138"/>
      <c r="T209" s="123"/>
      <c r="U209" s="123"/>
      <c r="V209" s="123"/>
      <c r="W209" s="138"/>
      <c r="X209" s="138"/>
      <c r="Y209" s="123"/>
      <c r="Z209" s="123"/>
      <c r="AA209" s="123"/>
      <c r="AB209" s="137"/>
    </row>
    <row r="210" spans="1:28" ht="36" customHeight="1" x14ac:dyDescent="0.2">
      <c r="A210" s="135"/>
      <c r="B210" s="139" t="s">
        <v>1495</v>
      </c>
      <c r="C210" s="126"/>
      <c r="D210" s="127"/>
      <c r="E210" s="122"/>
      <c r="F210" s="122"/>
      <c r="G210" s="122"/>
      <c r="H210" s="126"/>
      <c r="I210" s="127"/>
      <c r="J210" s="122"/>
      <c r="K210" s="122"/>
      <c r="L210" s="122"/>
      <c r="M210" s="126"/>
      <c r="N210" s="127"/>
      <c r="O210" s="123"/>
      <c r="P210" s="123"/>
      <c r="Q210" s="123"/>
      <c r="R210" s="137"/>
      <c r="S210" s="138"/>
      <c r="T210" s="123"/>
      <c r="U210" s="123"/>
      <c r="V210" s="123"/>
      <c r="W210" s="138"/>
      <c r="X210" s="138"/>
      <c r="Y210" s="123"/>
      <c r="Z210" s="123"/>
      <c r="AA210" s="123"/>
      <c r="AB210" s="137"/>
    </row>
    <row r="211" spans="1:28" ht="18.75" customHeight="1" x14ac:dyDescent="0.25">
      <c r="A211" s="135"/>
      <c r="B211" s="143" t="s">
        <v>1496</v>
      </c>
      <c r="C211" s="126"/>
      <c r="D211" s="127"/>
      <c r="E211" s="122"/>
      <c r="F211" s="122"/>
      <c r="G211" s="122"/>
      <c r="H211" s="126"/>
      <c r="I211" s="127"/>
      <c r="J211" s="122"/>
      <c r="K211" s="122"/>
      <c r="L211" s="122"/>
      <c r="M211" s="126"/>
      <c r="N211" s="127"/>
      <c r="O211" s="123"/>
      <c r="P211" s="123"/>
      <c r="Q211" s="123"/>
      <c r="R211" s="137"/>
      <c r="S211" s="138"/>
      <c r="T211" s="123"/>
      <c r="U211" s="123"/>
      <c r="V211" s="123"/>
      <c r="W211" s="138"/>
      <c r="X211" s="138"/>
      <c r="Y211" s="123"/>
      <c r="Z211" s="123"/>
      <c r="AA211" s="123"/>
      <c r="AB211" s="137"/>
    </row>
    <row r="212" spans="1:28" ht="18.75" customHeight="1" x14ac:dyDescent="0.2">
      <c r="A212" s="135"/>
      <c r="B212" s="139" t="s">
        <v>1497</v>
      </c>
      <c r="C212" s="126"/>
      <c r="D212" s="127"/>
      <c r="E212" s="122"/>
      <c r="F212" s="122"/>
      <c r="G212" s="122"/>
      <c r="H212" s="126"/>
      <c r="I212" s="127"/>
      <c r="J212" s="122"/>
      <c r="K212" s="122"/>
      <c r="L212" s="122"/>
      <c r="M212" s="126"/>
      <c r="N212" s="127"/>
      <c r="O212" s="123"/>
      <c r="P212" s="123"/>
      <c r="Q212" s="123"/>
      <c r="R212" s="137"/>
      <c r="S212" s="138"/>
      <c r="T212" s="123"/>
      <c r="U212" s="123"/>
      <c r="V212" s="123"/>
      <c r="W212" s="138"/>
      <c r="X212" s="138"/>
      <c r="Y212" s="123"/>
      <c r="Z212" s="123"/>
      <c r="AA212" s="123"/>
      <c r="AB212" s="137"/>
    </row>
    <row r="213" spans="1:28" ht="18.75" customHeight="1" x14ac:dyDescent="0.2">
      <c r="A213" s="135"/>
      <c r="B213" s="139" t="s">
        <v>1498</v>
      </c>
      <c r="C213" s="126"/>
      <c r="D213" s="127"/>
      <c r="E213" s="122"/>
      <c r="F213" s="122"/>
      <c r="G213" s="122"/>
      <c r="H213" s="126"/>
      <c r="I213" s="127"/>
      <c r="J213" s="122"/>
      <c r="K213" s="122"/>
      <c r="L213" s="122"/>
      <c r="M213" s="126"/>
      <c r="N213" s="127"/>
      <c r="O213" s="123"/>
      <c r="P213" s="123"/>
      <c r="Q213" s="123"/>
      <c r="R213" s="137"/>
      <c r="S213" s="138"/>
      <c r="T213" s="123"/>
      <c r="U213" s="123"/>
      <c r="V213" s="123"/>
      <c r="W213" s="138"/>
      <c r="X213" s="138"/>
      <c r="Y213" s="123"/>
      <c r="Z213" s="123"/>
      <c r="AA213" s="123"/>
      <c r="AB213" s="137"/>
    </row>
    <row r="214" spans="1:28" ht="18.75" customHeight="1" x14ac:dyDescent="0.2">
      <c r="A214" s="135"/>
      <c r="B214" s="139" t="s">
        <v>1627</v>
      </c>
      <c r="C214" s="126"/>
      <c r="D214" s="127"/>
      <c r="E214" s="122"/>
      <c r="F214" s="122"/>
      <c r="G214" s="122"/>
      <c r="H214" s="126"/>
      <c r="I214" s="127"/>
      <c r="J214" s="122"/>
      <c r="K214" s="122"/>
      <c r="L214" s="122"/>
      <c r="M214" s="126"/>
      <c r="N214" s="127"/>
      <c r="O214" s="123"/>
      <c r="P214" s="123"/>
      <c r="Q214" s="123"/>
      <c r="R214" s="137"/>
      <c r="S214" s="138"/>
      <c r="T214" s="123"/>
      <c r="U214" s="123"/>
      <c r="V214" s="123"/>
      <c r="W214" s="138"/>
      <c r="X214" s="138"/>
      <c r="Y214" s="123"/>
      <c r="Z214" s="123"/>
      <c r="AA214" s="123"/>
      <c r="AB214" s="137"/>
    </row>
    <row r="215" spans="1:28" ht="18.75" customHeight="1" x14ac:dyDescent="0.2">
      <c r="A215" s="144"/>
      <c r="B215" s="145" t="s">
        <v>546</v>
      </c>
      <c r="C215" s="146" t="s">
        <v>97</v>
      </c>
      <c r="D215" s="116" t="s">
        <v>97</v>
      </c>
      <c r="E215" s="116"/>
      <c r="F215" s="116"/>
      <c r="G215" s="116"/>
      <c r="H215" s="146" t="s">
        <v>97</v>
      </c>
      <c r="I215" s="116" t="s">
        <v>97</v>
      </c>
      <c r="J215" s="116"/>
      <c r="K215" s="116"/>
      <c r="L215" s="116"/>
      <c r="M215" s="146">
        <f>N215</f>
        <v>3417</v>
      </c>
      <c r="N215" s="116">
        <v>3417</v>
      </c>
      <c r="O215" s="116"/>
      <c r="P215" s="116"/>
      <c r="Q215" s="116"/>
      <c r="R215" s="146">
        <v>0</v>
      </c>
      <c r="S215" s="116">
        <v>0</v>
      </c>
      <c r="T215" s="116"/>
      <c r="U215" s="116"/>
      <c r="V215" s="116"/>
      <c r="W215" s="146">
        <v>0</v>
      </c>
      <c r="X215" s="116">
        <v>0</v>
      </c>
      <c r="Y215" s="116"/>
      <c r="Z215" s="116"/>
      <c r="AA215" s="116"/>
      <c r="AB215" s="146">
        <v>3417</v>
      </c>
    </row>
    <row r="216" spans="1:28" ht="20.25" customHeight="1" x14ac:dyDescent="0.2">
      <c r="A216" s="460" t="s">
        <v>436</v>
      </c>
      <c r="B216" s="114" t="s">
        <v>388</v>
      </c>
      <c r="C216" s="459">
        <f>D216</f>
        <v>817</v>
      </c>
      <c r="D216" s="454">
        <v>817</v>
      </c>
      <c r="E216" s="147"/>
      <c r="F216" s="147"/>
      <c r="G216" s="147"/>
      <c r="H216" s="459">
        <f>I216</f>
        <v>2512</v>
      </c>
      <c r="I216" s="454">
        <f>1695+817</f>
        <v>2512</v>
      </c>
      <c r="J216" s="147"/>
      <c r="K216" s="147"/>
      <c r="L216" s="147"/>
      <c r="M216" s="459">
        <f>N216</f>
        <v>4617</v>
      </c>
      <c r="N216" s="454">
        <f>615+578+1853+2512-486-423-32</f>
        <v>4617</v>
      </c>
      <c r="O216" s="148"/>
      <c r="P216" s="148"/>
      <c r="Q216" s="148"/>
      <c r="R216" s="459">
        <f>S216</f>
        <v>8504</v>
      </c>
      <c r="S216" s="454">
        <f>3573+4915+817-119-71-20-355-79-104-53</f>
        <v>8504</v>
      </c>
      <c r="T216" s="147"/>
      <c r="U216" s="147"/>
      <c r="V216" s="147"/>
      <c r="W216" s="459">
        <f>X216</f>
        <v>10963</v>
      </c>
      <c r="X216" s="454">
        <f>10355+5568+695-5655</f>
        <v>10963</v>
      </c>
      <c r="Y216" s="147"/>
      <c r="Z216" s="147"/>
      <c r="AA216" s="147"/>
      <c r="AB216" s="459">
        <f>C216+H216+M216+R216+W216</f>
        <v>27413</v>
      </c>
    </row>
    <row r="217" spans="1:28" ht="15" customHeight="1" x14ac:dyDescent="0.2">
      <c r="A217" s="461"/>
      <c r="B217" s="118" t="s">
        <v>384</v>
      </c>
      <c r="C217" s="457"/>
      <c r="D217" s="455"/>
      <c r="E217" s="149"/>
      <c r="F217" s="149"/>
      <c r="G217" s="149"/>
      <c r="H217" s="457"/>
      <c r="I217" s="455"/>
      <c r="J217" s="149"/>
      <c r="K217" s="149"/>
      <c r="L217" s="149"/>
      <c r="M217" s="457"/>
      <c r="N217" s="455"/>
      <c r="O217" s="150"/>
      <c r="P217" s="150"/>
      <c r="Q217" s="150"/>
      <c r="R217" s="457"/>
      <c r="S217" s="455"/>
      <c r="T217" s="149"/>
      <c r="U217" s="149"/>
      <c r="V217" s="149"/>
      <c r="W217" s="457"/>
      <c r="X217" s="455"/>
      <c r="Y217" s="149"/>
      <c r="Z217" s="149"/>
      <c r="AA217" s="149"/>
      <c r="AB217" s="457"/>
    </row>
    <row r="218" spans="1:28" ht="15" customHeight="1" x14ac:dyDescent="0.2">
      <c r="A218" s="461"/>
      <c r="B218" s="119" t="s">
        <v>720</v>
      </c>
      <c r="C218" s="457"/>
      <c r="D218" s="455"/>
      <c r="E218" s="151"/>
      <c r="F218" s="151"/>
      <c r="G218" s="151"/>
      <c r="H218" s="457"/>
      <c r="I218" s="455"/>
      <c r="J218" s="151"/>
      <c r="K218" s="151"/>
      <c r="L218" s="151"/>
      <c r="M218" s="457"/>
      <c r="N218" s="455"/>
      <c r="O218" s="152"/>
      <c r="P218" s="152"/>
      <c r="Q218" s="152"/>
      <c r="R218" s="457"/>
      <c r="S218" s="455"/>
      <c r="T218" s="151"/>
      <c r="U218" s="151"/>
      <c r="V218" s="151"/>
      <c r="W218" s="457"/>
      <c r="X218" s="455"/>
      <c r="Y218" s="151"/>
      <c r="Z218" s="151"/>
      <c r="AA218" s="151"/>
      <c r="AB218" s="457"/>
    </row>
    <row r="219" spans="1:28" ht="15" customHeight="1" x14ac:dyDescent="0.2">
      <c r="A219" s="461"/>
      <c r="B219" s="119" t="s">
        <v>636</v>
      </c>
      <c r="C219" s="457"/>
      <c r="D219" s="455"/>
      <c r="E219" s="153"/>
      <c r="F219" s="153"/>
      <c r="G219" s="153"/>
      <c r="H219" s="457"/>
      <c r="I219" s="455"/>
      <c r="J219" s="153"/>
      <c r="K219" s="153"/>
      <c r="L219" s="153"/>
      <c r="M219" s="457"/>
      <c r="N219" s="455"/>
      <c r="O219" s="154"/>
      <c r="P219" s="154"/>
      <c r="Q219" s="154"/>
      <c r="R219" s="457"/>
      <c r="S219" s="455"/>
      <c r="T219" s="153"/>
      <c r="U219" s="153"/>
      <c r="V219" s="153"/>
      <c r="W219" s="457"/>
      <c r="X219" s="455"/>
      <c r="Y219" s="153"/>
      <c r="Z219" s="153"/>
      <c r="AA219" s="153"/>
      <c r="AB219" s="457"/>
    </row>
    <row r="220" spans="1:28" ht="18.75" customHeight="1" x14ac:dyDescent="0.2">
      <c r="A220" s="461"/>
      <c r="B220" s="118" t="s">
        <v>308</v>
      </c>
      <c r="C220" s="457"/>
      <c r="D220" s="455"/>
      <c r="E220" s="153"/>
      <c r="F220" s="153"/>
      <c r="G220" s="153"/>
      <c r="H220" s="457"/>
      <c r="I220" s="455"/>
      <c r="J220" s="153"/>
      <c r="K220" s="153"/>
      <c r="L220" s="153"/>
      <c r="M220" s="457"/>
      <c r="N220" s="455"/>
      <c r="O220" s="154"/>
      <c r="P220" s="154"/>
      <c r="Q220" s="154"/>
      <c r="R220" s="457"/>
      <c r="S220" s="455"/>
      <c r="T220" s="153"/>
      <c r="U220" s="153"/>
      <c r="V220" s="153"/>
      <c r="W220" s="457"/>
      <c r="X220" s="455"/>
      <c r="Y220" s="153"/>
      <c r="Z220" s="153"/>
      <c r="AA220" s="153"/>
      <c r="AB220" s="457"/>
    </row>
    <row r="221" spans="1:28" ht="18.75" customHeight="1" x14ac:dyDescent="0.2">
      <c r="A221" s="461"/>
      <c r="B221" s="119" t="s">
        <v>721</v>
      </c>
      <c r="C221" s="457"/>
      <c r="D221" s="455"/>
      <c r="E221" s="153"/>
      <c r="F221" s="153"/>
      <c r="G221" s="153"/>
      <c r="H221" s="457"/>
      <c r="I221" s="455"/>
      <c r="J221" s="153"/>
      <c r="K221" s="153"/>
      <c r="L221" s="153"/>
      <c r="M221" s="457"/>
      <c r="N221" s="455"/>
      <c r="O221" s="154"/>
      <c r="P221" s="154"/>
      <c r="Q221" s="154"/>
      <c r="R221" s="457"/>
      <c r="S221" s="455"/>
      <c r="T221" s="153"/>
      <c r="U221" s="153"/>
      <c r="V221" s="153"/>
      <c r="W221" s="457"/>
      <c r="X221" s="455"/>
      <c r="Y221" s="153"/>
      <c r="Z221" s="153"/>
      <c r="AA221" s="153"/>
      <c r="AB221" s="457"/>
    </row>
    <row r="222" spans="1:28" ht="18.75" customHeight="1" x14ac:dyDescent="0.2">
      <c r="A222" s="461"/>
      <c r="B222" s="119" t="s">
        <v>722</v>
      </c>
      <c r="C222" s="457"/>
      <c r="D222" s="455"/>
      <c r="E222" s="153"/>
      <c r="F222" s="153"/>
      <c r="G222" s="153"/>
      <c r="H222" s="457"/>
      <c r="I222" s="455"/>
      <c r="J222" s="153"/>
      <c r="K222" s="153"/>
      <c r="L222" s="153"/>
      <c r="M222" s="457"/>
      <c r="N222" s="455"/>
      <c r="O222" s="154"/>
      <c r="P222" s="154"/>
      <c r="Q222" s="154"/>
      <c r="R222" s="457"/>
      <c r="S222" s="455"/>
      <c r="T222" s="153"/>
      <c r="U222" s="153"/>
      <c r="V222" s="153"/>
      <c r="W222" s="457"/>
      <c r="X222" s="455"/>
      <c r="Y222" s="153"/>
      <c r="Z222" s="153"/>
      <c r="AA222" s="153"/>
      <c r="AB222" s="457"/>
    </row>
    <row r="223" spans="1:28" ht="17.25" customHeight="1" x14ac:dyDescent="0.2">
      <c r="A223" s="461"/>
      <c r="B223" s="119" t="s">
        <v>723</v>
      </c>
      <c r="C223" s="457"/>
      <c r="D223" s="455"/>
      <c r="E223" s="153"/>
      <c r="F223" s="153"/>
      <c r="G223" s="153"/>
      <c r="H223" s="457"/>
      <c r="I223" s="455"/>
      <c r="J223" s="153"/>
      <c r="K223" s="153"/>
      <c r="L223" s="153"/>
      <c r="M223" s="457"/>
      <c r="N223" s="455"/>
      <c r="O223" s="154"/>
      <c r="P223" s="154"/>
      <c r="Q223" s="154"/>
      <c r="R223" s="457"/>
      <c r="S223" s="455"/>
      <c r="T223" s="153"/>
      <c r="U223" s="153"/>
      <c r="V223" s="153"/>
      <c r="W223" s="457"/>
      <c r="X223" s="455"/>
      <c r="Y223" s="153"/>
      <c r="Z223" s="153"/>
      <c r="AA223" s="153"/>
      <c r="AB223" s="457"/>
    </row>
    <row r="224" spans="1:28" ht="18.75" customHeight="1" x14ac:dyDescent="0.2">
      <c r="A224" s="461"/>
      <c r="B224" s="119" t="s">
        <v>724</v>
      </c>
      <c r="C224" s="457"/>
      <c r="D224" s="455"/>
      <c r="E224" s="153"/>
      <c r="F224" s="153"/>
      <c r="G224" s="153"/>
      <c r="H224" s="457"/>
      <c r="I224" s="455"/>
      <c r="J224" s="153"/>
      <c r="K224" s="153"/>
      <c r="L224" s="153"/>
      <c r="M224" s="457"/>
      <c r="N224" s="455"/>
      <c r="O224" s="154"/>
      <c r="P224" s="154"/>
      <c r="Q224" s="154"/>
      <c r="R224" s="457"/>
      <c r="S224" s="455"/>
      <c r="T224" s="153"/>
      <c r="U224" s="153"/>
      <c r="V224" s="153"/>
      <c r="W224" s="457"/>
      <c r="X224" s="455"/>
      <c r="Y224" s="153"/>
      <c r="Z224" s="153"/>
      <c r="AA224" s="153"/>
      <c r="AB224" s="457"/>
    </row>
    <row r="225" spans="1:28" ht="18.75" customHeight="1" x14ac:dyDescent="0.2">
      <c r="A225" s="461"/>
      <c r="B225" s="119" t="s">
        <v>720</v>
      </c>
      <c r="C225" s="457"/>
      <c r="D225" s="455"/>
      <c r="E225" s="153"/>
      <c r="F225" s="153"/>
      <c r="G225" s="153"/>
      <c r="H225" s="457"/>
      <c r="I225" s="455"/>
      <c r="J225" s="153"/>
      <c r="K225" s="153"/>
      <c r="L225" s="153"/>
      <c r="M225" s="457"/>
      <c r="N225" s="455"/>
      <c r="O225" s="154"/>
      <c r="P225" s="154"/>
      <c r="Q225" s="154"/>
      <c r="R225" s="457"/>
      <c r="S225" s="455"/>
      <c r="T225" s="153"/>
      <c r="U225" s="153"/>
      <c r="V225" s="153"/>
      <c r="W225" s="457"/>
      <c r="X225" s="455"/>
      <c r="Y225" s="153"/>
      <c r="Z225" s="153"/>
      <c r="AA225" s="153"/>
      <c r="AB225" s="457"/>
    </row>
    <row r="226" spans="1:28" ht="18.75" customHeight="1" x14ac:dyDescent="0.2">
      <c r="A226" s="461"/>
      <c r="B226" s="119" t="s">
        <v>636</v>
      </c>
      <c r="C226" s="457"/>
      <c r="D226" s="455"/>
      <c r="E226" s="153"/>
      <c r="F226" s="153"/>
      <c r="G226" s="153"/>
      <c r="H226" s="457"/>
      <c r="I226" s="455"/>
      <c r="J226" s="153"/>
      <c r="K226" s="153"/>
      <c r="L226" s="153"/>
      <c r="M226" s="457"/>
      <c r="N226" s="455"/>
      <c r="O226" s="154"/>
      <c r="P226" s="154"/>
      <c r="Q226" s="154"/>
      <c r="R226" s="457"/>
      <c r="S226" s="455"/>
      <c r="T226" s="153"/>
      <c r="U226" s="153"/>
      <c r="V226" s="153"/>
      <c r="W226" s="457"/>
      <c r="X226" s="455"/>
      <c r="Y226" s="153"/>
      <c r="Z226" s="153"/>
      <c r="AA226" s="153"/>
      <c r="AB226" s="457"/>
    </row>
    <row r="227" spans="1:28" ht="15.75" x14ac:dyDescent="0.2">
      <c r="A227" s="461"/>
      <c r="B227" s="118" t="s">
        <v>357</v>
      </c>
      <c r="C227" s="457"/>
      <c r="D227" s="455"/>
      <c r="E227" s="153"/>
      <c r="F227" s="153"/>
      <c r="G227" s="153"/>
      <c r="H227" s="457"/>
      <c r="I227" s="455"/>
      <c r="J227" s="153"/>
      <c r="K227" s="153"/>
      <c r="L227" s="153"/>
      <c r="M227" s="457"/>
      <c r="N227" s="455"/>
      <c r="O227" s="154"/>
      <c r="P227" s="154"/>
      <c r="Q227" s="154"/>
      <c r="R227" s="457"/>
      <c r="S227" s="455"/>
      <c r="T227" s="153"/>
      <c r="U227" s="153"/>
      <c r="V227" s="153"/>
      <c r="W227" s="457"/>
      <c r="X227" s="455"/>
      <c r="Y227" s="153"/>
      <c r="Z227" s="153"/>
      <c r="AA227" s="153"/>
      <c r="AB227" s="457"/>
    </row>
    <row r="228" spans="1:28" ht="15.75" x14ac:dyDescent="0.2">
      <c r="A228" s="461"/>
      <c r="B228" s="119" t="s">
        <v>720</v>
      </c>
      <c r="C228" s="457"/>
      <c r="D228" s="455"/>
      <c r="E228" s="153"/>
      <c r="F228" s="153"/>
      <c r="G228" s="153"/>
      <c r="H228" s="457"/>
      <c r="I228" s="455"/>
      <c r="J228" s="153"/>
      <c r="K228" s="153"/>
      <c r="L228" s="153"/>
      <c r="M228" s="457"/>
      <c r="N228" s="455"/>
      <c r="O228" s="154"/>
      <c r="P228" s="154"/>
      <c r="Q228" s="154"/>
      <c r="R228" s="457"/>
      <c r="S228" s="455"/>
      <c r="T228" s="153"/>
      <c r="U228" s="153"/>
      <c r="V228" s="153"/>
      <c r="W228" s="457"/>
      <c r="X228" s="455"/>
      <c r="Y228" s="153"/>
      <c r="Z228" s="153"/>
      <c r="AA228" s="153"/>
      <c r="AB228" s="457"/>
    </row>
    <row r="229" spans="1:28" ht="15.75" x14ac:dyDescent="0.2">
      <c r="A229" s="461"/>
      <c r="B229" s="119" t="s">
        <v>725</v>
      </c>
      <c r="C229" s="457"/>
      <c r="D229" s="455"/>
      <c r="E229" s="153"/>
      <c r="F229" s="153"/>
      <c r="G229" s="153"/>
      <c r="H229" s="457"/>
      <c r="I229" s="455"/>
      <c r="J229" s="153"/>
      <c r="K229" s="153"/>
      <c r="L229" s="153"/>
      <c r="M229" s="457"/>
      <c r="N229" s="455"/>
      <c r="O229" s="154"/>
      <c r="P229" s="154"/>
      <c r="Q229" s="154"/>
      <c r="R229" s="457"/>
      <c r="S229" s="455"/>
      <c r="T229" s="153"/>
      <c r="U229" s="153"/>
      <c r="V229" s="153"/>
      <c r="W229" s="457"/>
      <c r="X229" s="455"/>
      <c r="Y229" s="153"/>
      <c r="Z229" s="153"/>
      <c r="AA229" s="153"/>
      <c r="AB229" s="457"/>
    </row>
    <row r="230" spans="1:28" ht="15.75" x14ac:dyDescent="0.2">
      <c r="A230" s="461"/>
      <c r="B230" s="119" t="s">
        <v>726</v>
      </c>
      <c r="C230" s="457"/>
      <c r="D230" s="455"/>
      <c r="E230" s="153"/>
      <c r="F230" s="153"/>
      <c r="G230" s="153"/>
      <c r="H230" s="457"/>
      <c r="I230" s="455"/>
      <c r="J230" s="153"/>
      <c r="K230" s="153"/>
      <c r="L230" s="153"/>
      <c r="M230" s="457"/>
      <c r="N230" s="455"/>
      <c r="O230" s="154"/>
      <c r="P230" s="154"/>
      <c r="Q230" s="154"/>
      <c r="R230" s="457"/>
      <c r="S230" s="455"/>
      <c r="T230" s="153"/>
      <c r="U230" s="153"/>
      <c r="V230" s="153"/>
      <c r="W230" s="457"/>
      <c r="X230" s="455"/>
      <c r="Y230" s="153"/>
      <c r="Z230" s="153"/>
      <c r="AA230" s="153"/>
      <c r="AB230" s="457"/>
    </row>
    <row r="231" spans="1:28" ht="31.5" x14ac:dyDescent="0.2">
      <c r="A231" s="461"/>
      <c r="B231" s="120" t="s">
        <v>727</v>
      </c>
      <c r="C231" s="457"/>
      <c r="D231" s="455"/>
      <c r="E231" s="153"/>
      <c r="F231" s="153"/>
      <c r="G231" s="153"/>
      <c r="H231" s="457"/>
      <c r="I231" s="455"/>
      <c r="J231" s="153"/>
      <c r="K231" s="153"/>
      <c r="L231" s="153"/>
      <c r="M231" s="457"/>
      <c r="N231" s="455"/>
      <c r="O231" s="154"/>
      <c r="P231" s="154"/>
      <c r="Q231" s="154"/>
      <c r="R231" s="457"/>
      <c r="S231" s="455"/>
      <c r="T231" s="153"/>
      <c r="U231" s="153"/>
      <c r="V231" s="153"/>
      <c r="W231" s="457"/>
      <c r="X231" s="455"/>
      <c r="Y231" s="153"/>
      <c r="Z231" s="153"/>
      <c r="AA231" s="153"/>
      <c r="AB231" s="457"/>
    </row>
    <row r="232" spans="1:28" ht="15.75" x14ac:dyDescent="0.2">
      <c r="A232" s="461"/>
      <c r="B232" s="120" t="s">
        <v>1296</v>
      </c>
      <c r="C232" s="457"/>
      <c r="D232" s="455"/>
      <c r="E232" s="153"/>
      <c r="F232" s="153"/>
      <c r="G232" s="153"/>
      <c r="H232" s="457"/>
      <c r="I232" s="455"/>
      <c r="J232" s="153"/>
      <c r="K232" s="153"/>
      <c r="L232" s="153"/>
      <c r="M232" s="457"/>
      <c r="N232" s="455"/>
      <c r="O232" s="154"/>
      <c r="P232" s="154"/>
      <c r="Q232" s="154"/>
      <c r="R232" s="457"/>
      <c r="S232" s="455"/>
      <c r="T232" s="153"/>
      <c r="U232" s="153"/>
      <c r="V232" s="153"/>
      <c r="W232" s="457"/>
      <c r="X232" s="455"/>
      <c r="Y232" s="153"/>
      <c r="Z232" s="153"/>
      <c r="AA232" s="153"/>
      <c r="AB232" s="457"/>
    </row>
    <row r="233" spans="1:28" ht="15.75" x14ac:dyDescent="0.2">
      <c r="A233" s="461"/>
      <c r="B233" s="142" t="s">
        <v>559</v>
      </c>
      <c r="C233" s="457"/>
      <c r="D233" s="455"/>
      <c r="E233" s="153"/>
      <c r="F233" s="153"/>
      <c r="G233" s="153"/>
      <c r="H233" s="457"/>
      <c r="I233" s="455"/>
      <c r="J233" s="153"/>
      <c r="K233" s="153"/>
      <c r="L233" s="153"/>
      <c r="M233" s="457"/>
      <c r="N233" s="455"/>
      <c r="O233" s="154"/>
      <c r="P233" s="154"/>
      <c r="Q233" s="154"/>
      <c r="R233" s="457"/>
      <c r="S233" s="455"/>
      <c r="T233" s="153"/>
      <c r="U233" s="153"/>
      <c r="V233" s="153"/>
      <c r="W233" s="457"/>
      <c r="X233" s="455"/>
      <c r="Y233" s="153"/>
      <c r="Z233" s="153"/>
      <c r="AA233" s="153"/>
      <c r="AB233" s="457"/>
    </row>
    <row r="234" spans="1:28" ht="15.75" x14ac:dyDescent="0.2">
      <c r="A234" s="155"/>
      <c r="B234" s="118" t="s">
        <v>394</v>
      </c>
      <c r="C234" s="126"/>
      <c r="D234" s="127"/>
      <c r="E234" s="153"/>
      <c r="F234" s="153"/>
      <c r="G234" s="153"/>
      <c r="H234" s="126"/>
      <c r="I234" s="127"/>
      <c r="J234" s="153"/>
      <c r="K234" s="153"/>
      <c r="L234" s="153"/>
      <c r="M234" s="126"/>
      <c r="N234" s="127"/>
      <c r="O234" s="154"/>
      <c r="P234" s="154"/>
      <c r="Q234" s="154"/>
      <c r="R234" s="126"/>
      <c r="S234" s="127"/>
      <c r="T234" s="153"/>
      <c r="U234" s="153"/>
      <c r="V234" s="153"/>
      <c r="W234" s="126"/>
      <c r="X234" s="127"/>
      <c r="Y234" s="153"/>
      <c r="Z234" s="153"/>
      <c r="AA234" s="153"/>
      <c r="AB234" s="126"/>
    </row>
    <row r="235" spans="1:28" ht="15.75" x14ac:dyDescent="0.2">
      <c r="A235" s="155"/>
      <c r="B235" s="142" t="s">
        <v>1373</v>
      </c>
      <c r="C235" s="126"/>
      <c r="D235" s="127"/>
      <c r="E235" s="153"/>
      <c r="F235" s="153"/>
      <c r="G235" s="153"/>
      <c r="H235" s="126"/>
      <c r="I235" s="127"/>
      <c r="J235" s="153"/>
      <c r="K235" s="153"/>
      <c r="L235" s="153"/>
      <c r="M235" s="126"/>
      <c r="N235" s="127"/>
      <c r="O235" s="154"/>
      <c r="P235" s="154"/>
      <c r="Q235" s="154"/>
      <c r="R235" s="126"/>
      <c r="S235" s="127"/>
      <c r="T235" s="153"/>
      <c r="U235" s="153"/>
      <c r="V235" s="153"/>
      <c r="W235" s="126"/>
      <c r="X235" s="127"/>
      <c r="Y235" s="153"/>
      <c r="Z235" s="153"/>
      <c r="AA235" s="153"/>
      <c r="AB235" s="126"/>
    </row>
    <row r="236" spans="1:28" ht="31.5" x14ac:dyDescent="0.2">
      <c r="A236" s="155"/>
      <c r="B236" s="120" t="s">
        <v>1372</v>
      </c>
      <c r="C236" s="126"/>
      <c r="D236" s="127"/>
      <c r="E236" s="153"/>
      <c r="F236" s="153"/>
      <c r="G236" s="153"/>
      <c r="H236" s="126"/>
      <c r="I236" s="127"/>
      <c r="J236" s="153"/>
      <c r="K236" s="153"/>
      <c r="L236" s="153"/>
      <c r="M236" s="126"/>
      <c r="N236" s="127"/>
      <c r="O236" s="154"/>
      <c r="P236" s="154"/>
      <c r="Q236" s="154"/>
      <c r="R236" s="126"/>
      <c r="S236" s="127"/>
      <c r="T236" s="153"/>
      <c r="U236" s="153"/>
      <c r="V236" s="153"/>
      <c r="W236" s="126"/>
      <c r="X236" s="127"/>
      <c r="Y236" s="153"/>
      <c r="Z236" s="153"/>
      <c r="AA236" s="153"/>
      <c r="AB236" s="126"/>
    </row>
    <row r="237" spans="1:28" ht="15.75" x14ac:dyDescent="0.2">
      <c r="A237" s="155"/>
      <c r="B237" s="142" t="s">
        <v>1374</v>
      </c>
      <c r="C237" s="126"/>
      <c r="D237" s="127"/>
      <c r="E237" s="153"/>
      <c r="F237" s="153"/>
      <c r="G237" s="153"/>
      <c r="H237" s="126"/>
      <c r="I237" s="127"/>
      <c r="J237" s="153"/>
      <c r="K237" s="153"/>
      <c r="L237" s="153"/>
      <c r="M237" s="126"/>
      <c r="N237" s="127"/>
      <c r="O237" s="154"/>
      <c r="P237" s="154"/>
      <c r="Q237" s="154"/>
      <c r="R237" s="126"/>
      <c r="S237" s="127"/>
      <c r="T237" s="153"/>
      <c r="U237" s="153"/>
      <c r="V237" s="153"/>
      <c r="W237" s="126"/>
      <c r="X237" s="127"/>
      <c r="Y237" s="153"/>
      <c r="Z237" s="153"/>
      <c r="AA237" s="153"/>
      <c r="AB237" s="126"/>
    </row>
    <row r="238" spans="1:28" ht="31.5" x14ac:dyDescent="0.2">
      <c r="A238" s="155"/>
      <c r="B238" s="120" t="s">
        <v>1665</v>
      </c>
      <c r="C238" s="126"/>
      <c r="D238" s="127"/>
      <c r="E238" s="153"/>
      <c r="F238" s="153"/>
      <c r="G238" s="153"/>
      <c r="H238" s="126"/>
      <c r="I238" s="127"/>
      <c r="J238" s="153"/>
      <c r="K238" s="153"/>
      <c r="L238" s="153"/>
      <c r="M238" s="126"/>
      <c r="N238" s="127"/>
      <c r="O238" s="154"/>
      <c r="P238" s="154"/>
      <c r="Q238" s="154"/>
      <c r="R238" s="126"/>
      <c r="S238" s="127"/>
      <c r="T238" s="153"/>
      <c r="U238" s="153"/>
      <c r="V238" s="153"/>
      <c r="W238" s="126"/>
      <c r="X238" s="127"/>
      <c r="Y238" s="153"/>
      <c r="Z238" s="153"/>
      <c r="AA238" s="153"/>
      <c r="AB238" s="126"/>
    </row>
    <row r="239" spans="1:28" ht="15.75" x14ac:dyDescent="0.2">
      <c r="A239" s="155"/>
      <c r="B239" s="120" t="s">
        <v>1452</v>
      </c>
      <c r="C239" s="126"/>
      <c r="D239" s="127"/>
      <c r="E239" s="153"/>
      <c r="F239" s="153"/>
      <c r="G239" s="153"/>
      <c r="H239" s="126"/>
      <c r="I239" s="127"/>
      <c r="J239" s="153"/>
      <c r="K239" s="153"/>
      <c r="L239" s="153"/>
      <c r="M239" s="126"/>
      <c r="N239" s="127"/>
      <c r="O239" s="154"/>
      <c r="P239" s="154"/>
      <c r="Q239" s="154"/>
      <c r="R239" s="126"/>
      <c r="S239" s="127"/>
      <c r="T239" s="153"/>
      <c r="U239" s="153"/>
      <c r="V239" s="153"/>
      <c r="W239" s="126"/>
      <c r="X239" s="127"/>
      <c r="Y239" s="153"/>
      <c r="Z239" s="153"/>
      <c r="AA239" s="153"/>
      <c r="AB239" s="126"/>
    </row>
    <row r="240" spans="1:28" ht="15.75" x14ac:dyDescent="0.2">
      <c r="A240" s="155"/>
      <c r="B240" s="142" t="s">
        <v>1451</v>
      </c>
      <c r="C240" s="126"/>
      <c r="D240" s="127"/>
      <c r="E240" s="153"/>
      <c r="F240" s="153"/>
      <c r="G240" s="153"/>
      <c r="H240" s="126"/>
      <c r="I240" s="127"/>
      <c r="J240" s="153"/>
      <c r="K240" s="153"/>
      <c r="L240" s="153"/>
      <c r="M240" s="126"/>
      <c r="N240" s="127"/>
      <c r="O240" s="154"/>
      <c r="P240" s="154"/>
      <c r="Q240" s="154"/>
      <c r="R240" s="126"/>
      <c r="S240" s="127"/>
      <c r="T240" s="153"/>
      <c r="U240" s="153"/>
      <c r="V240" s="153"/>
      <c r="W240" s="126"/>
      <c r="X240" s="127"/>
      <c r="Y240" s="153"/>
      <c r="Z240" s="153"/>
      <c r="AA240" s="153"/>
      <c r="AB240" s="126"/>
    </row>
    <row r="241" spans="1:28" ht="15.75" x14ac:dyDescent="0.2">
      <c r="A241" s="155"/>
      <c r="B241" s="120" t="s">
        <v>1450</v>
      </c>
      <c r="C241" s="126"/>
      <c r="D241" s="127"/>
      <c r="E241" s="153"/>
      <c r="F241" s="153"/>
      <c r="G241" s="153"/>
      <c r="H241" s="126"/>
      <c r="I241" s="127"/>
      <c r="J241" s="153"/>
      <c r="K241" s="153"/>
      <c r="L241" s="153"/>
      <c r="M241" s="126"/>
      <c r="N241" s="127"/>
      <c r="O241" s="154"/>
      <c r="P241" s="154"/>
      <c r="Q241" s="154"/>
      <c r="R241" s="126"/>
      <c r="S241" s="127"/>
      <c r="T241" s="153"/>
      <c r="U241" s="153"/>
      <c r="V241" s="153"/>
      <c r="W241" s="126"/>
      <c r="X241" s="127"/>
      <c r="Y241" s="153"/>
      <c r="Z241" s="153"/>
      <c r="AA241" s="153"/>
      <c r="AB241" s="126"/>
    </row>
    <row r="242" spans="1:28" ht="15.75" x14ac:dyDescent="0.2">
      <c r="A242" s="155"/>
      <c r="B242" s="139" t="s">
        <v>1605</v>
      </c>
      <c r="C242" s="126"/>
      <c r="D242" s="127"/>
      <c r="E242" s="153"/>
      <c r="F242" s="153"/>
      <c r="G242" s="153"/>
      <c r="H242" s="126"/>
      <c r="I242" s="127"/>
      <c r="J242" s="153"/>
      <c r="K242" s="153"/>
      <c r="L242" s="153"/>
      <c r="M242" s="126"/>
      <c r="N242" s="127"/>
      <c r="O242" s="154"/>
      <c r="P242" s="154"/>
      <c r="Q242" s="154"/>
      <c r="R242" s="126"/>
      <c r="S242" s="127"/>
      <c r="T242" s="153"/>
      <c r="U242" s="153"/>
      <c r="V242" s="153"/>
      <c r="W242" s="126"/>
      <c r="X242" s="127"/>
      <c r="Y242" s="153"/>
      <c r="Z242" s="153"/>
      <c r="AA242" s="153"/>
      <c r="AB242" s="126"/>
    </row>
    <row r="243" spans="1:28" ht="15.75" x14ac:dyDescent="0.2">
      <c r="A243" s="155"/>
      <c r="B243" s="119" t="s">
        <v>1604</v>
      </c>
      <c r="C243" s="126"/>
      <c r="D243" s="127"/>
      <c r="E243" s="153"/>
      <c r="F243" s="153"/>
      <c r="G243" s="153"/>
      <c r="H243" s="126"/>
      <c r="I243" s="127"/>
      <c r="J243" s="153"/>
      <c r="K243" s="153"/>
      <c r="L243" s="153"/>
      <c r="M243" s="126"/>
      <c r="N243" s="127"/>
      <c r="O243" s="154"/>
      <c r="P243" s="154"/>
      <c r="Q243" s="154"/>
      <c r="R243" s="126"/>
      <c r="S243" s="127"/>
      <c r="T243" s="153"/>
      <c r="U243" s="153"/>
      <c r="V243" s="153"/>
      <c r="W243" s="126"/>
      <c r="X243" s="127"/>
      <c r="Y243" s="153"/>
      <c r="Z243" s="153"/>
      <c r="AA243" s="153"/>
      <c r="AB243" s="126"/>
    </row>
    <row r="244" spans="1:28" ht="18" customHeight="1" x14ac:dyDescent="0.2">
      <c r="A244" s="156" t="s">
        <v>437</v>
      </c>
      <c r="B244" s="145" t="s">
        <v>350</v>
      </c>
      <c r="C244" s="157">
        <f>D244</f>
        <v>0</v>
      </c>
      <c r="D244" s="123">
        <v>0</v>
      </c>
      <c r="E244" s="158"/>
      <c r="F244" s="158"/>
      <c r="G244" s="158"/>
      <c r="H244" s="157">
        <f>I244</f>
        <v>0</v>
      </c>
      <c r="I244" s="123">
        <v>0</v>
      </c>
      <c r="J244" s="158"/>
      <c r="K244" s="158"/>
      <c r="L244" s="158"/>
      <c r="M244" s="157">
        <f>N244</f>
        <v>10733</v>
      </c>
      <c r="N244" s="123">
        <v>10733</v>
      </c>
      <c r="O244" s="158"/>
      <c r="P244" s="158"/>
      <c r="Q244" s="158"/>
      <c r="R244" s="157">
        <f>S244</f>
        <v>0</v>
      </c>
      <c r="S244" s="123">
        <v>0</v>
      </c>
      <c r="T244" s="158"/>
      <c r="U244" s="158"/>
      <c r="V244" s="158"/>
      <c r="W244" s="157">
        <f>X244</f>
        <v>0</v>
      </c>
      <c r="X244" s="123">
        <v>0</v>
      </c>
      <c r="Y244" s="158"/>
      <c r="Z244" s="158"/>
      <c r="AA244" s="158"/>
      <c r="AB244" s="157">
        <f>C244+H244+M244+R244+W244</f>
        <v>10733</v>
      </c>
    </row>
    <row r="245" spans="1:28" ht="15.75" x14ac:dyDescent="0.2">
      <c r="A245" s="492" t="s">
        <v>525</v>
      </c>
      <c r="B245" s="120" t="s">
        <v>531</v>
      </c>
      <c r="C245" s="464">
        <f>D245</f>
        <v>0</v>
      </c>
      <c r="D245" s="463">
        <v>0</v>
      </c>
      <c r="E245" s="159"/>
      <c r="F245" s="159"/>
      <c r="G245" s="159"/>
      <c r="H245" s="464">
        <f>I245</f>
        <v>0</v>
      </c>
      <c r="I245" s="463">
        <v>0</v>
      </c>
      <c r="J245" s="159"/>
      <c r="K245" s="159"/>
      <c r="L245" s="159"/>
      <c r="M245" s="464">
        <f>N245</f>
        <v>296</v>
      </c>
      <c r="N245" s="463">
        <f>486-190</f>
        <v>296</v>
      </c>
      <c r="O245" s="159"/>
      <c r="P245" s="159"/>
      <c r="Q245" s="159"/>
      <c r="R245" s="464">
        <f>S245</f>
        <v>0</v>
      </c>
      <c r="S245" s="463">
        <v>0</v>
      </c>
      <c r="T245" s="159"/>
      <c r="U245" s="159"/>
      <c r="V245" s="159"/>
      <c r="W245" s="464">
        <f>X245</f>
        <v>0</v>
      </c>
      <c r="X245" s="463">
        <v>0</v>
      </c>
      <c r="Y245" s="159"/>
      <c r="Z245" s="159"/>
      <c r="AA245" s="159"/>
      <c r="AB245" s="464">
        <f>C245+H245+M245+R245+W245</f>
        <v>296</v>
      </c>
    </row>
    <row r="246" spans="1:28" ht="15.75" x14ac:dyDescent="0.2">
      <c r="A246" s="492"/>
      <c r="B246" s="121" t="s">
        <v>308</v>
      </c>
      <c r="C246" s="464"/>
      <c r="D246" s="463"/>
      <c r="E246" s="159"/>
      <c r="F246" s="159"/>
      <c r="G246" s="159"/>
      <c r="H246" s="464"/>
      <c r="I246" s="463"/>
      <c r="J246" s="159"/>
      <c r="K246" s="159"/>
      <c r="L246" s="159"/>
      <c r="M246" s="464"/>
      <c r="N246" s="463"/>
      <c r="O246" s="159"/>
      <c r="P246" s="159"/>
      <c r="Q246" s="159"/>
      <c r="R246" s="464"/>
      <c r="S246" s="463"/>
      <c r="T246" s="159"/>
      <c r="U246" s="159"/>
      <c r="V246" s="159"/>
      <c r="W246" s="464"/>
      <c r="X246" s="463"/>
      <c r="Y246" s="159"/>
      <c r="Z246" s="159"/>
      <c r="AA246" s="159"/>
      <c r="AB246" s="464"/>
    </row>
    <row r="247" spans="1:28" ht="15.75" x14ac:dyDescent="0.2">
      <c r="A247" s="492"/>
      <c r="B247" s="160" t="s">
        <v>1379</v>
      </c>
      <c r="C247" s="464"/>
      <c r="D247" s="463"/>
      <c r="E247" s="159"/>
      <c r="F247" s="159"/>
      <c r="G247" s="159"/>
      <c r="H247" s="464"/>
      <c r="I247" s="463"/>
      <c r="J247" s="159"/>
      <c r="K247" s="159"/>
      <c r="L247" s="159"/>
      <c r="M247" s="464"/>
      <c r="N247" s="463"/>
      <c r="O247" s="159"/>
      <c r="P247" s="159"/>
      <c r="Q247" s="159"/>
      <c r="R247" s="464"/>
      <c r="S247" s="463"/>
      <c r="T247" s="159"/>
      <c r="U247" s="159"/>
      <c r="V247" s="159"/>
      <c r="W247" s="464"/>
      <c r="X247" s="463"/>
      <c r="Y247" s="159"/>
      <c r="Z247" s="159"/>
      <c r="AA247" s="159"/>
      <c r="AB247" s="464"/>
    </row>
    <row r="248" spans="1:28" ht="25.5" customHeight="1" x14ac:dyDescent="0.2">
      <c r="A248" s="144" t="s">
        <v>560</v>
      </c>
      <c r="B248" s="145" t="s">
        <v>579</v>
      </c>
      <c r="C248" s="146">
        <v>0</v>
      </c>
      <c r="D248" s="116">
        <v>0</v>
      </c>
      <c r="E248" s="159"/>
      <c r="F248" s="159"/>
      <c r="G248" s="159"/>
      <c r="H248" s="146">
        <v>0</v>
      </c>
      <c r="I248" s="116">
        <v>0</v>
      </c>
      <c r="J248" s="159"/>
      <c r="K248" s="159"/>
      <c r="L248" s="159"/>
      <c r="M248" s="146">
        <v>0</v>
      </c>
      <c r="N248" s="116">
        <v>0</v>
      </c>
      <c r="O248" s="159"/>
      <c r="P248" s="159"/>
      <c r="Q248" s="159"/>
      <c r="R248" s="146">
        <f>S248</f>
        <v>993</v>
      </c>
      <c r="S248" s="116">
        <v>993</v>
      </c>
      <c r="T248" s="159"/>
      <c r="U248" s="159"/>
      <c r="V248" s="159"/>
      <c r="W248" s="146">
        <f>X248</f>
        <v>195</v>
      </c>
      <c r="X248" s="116">
        <f>1000-805</f>
        <v>195</v>
      </c>
      <c r="Y248" s="159"/>
      <c r="Z248" s="159"/>
      <c r="AA248" s="159"/>
      <c r="AB248" s="146">
        <f>R248+W248</f>
        <v>1188</v>
      </c>
    </row>
    <row r="249" spans="1:28" ht="23.25" customHeight="1" x14ac:dyDescent="0.2">
      <c r="A249" s="156" t="s">
        <v>1292</v>
      </c>
      <c r="B249" s="114" t="s">
        <v>1340</v>
      </c>
      <c r="C249" s="502">
        <v>0</v>
      </c>
      <c r="D249" s="500">
        <v>0</v>
      </c>
      <c r="E249" s="159"/>
      <c r="F249" s="159"/>
      <c r="G249" s="159"/>
      <c r="H249" s="502">
        <v>0</v>
      </c>
      <c r="I249" s="500">
        <v>0</v>
      </c>
      <c r="J249" s="159"/>
      <c r="K249" s="159"/>
      <c r="L249" s="159"/>
      <c r="M249" s="502">
        <v>0</v>
      </c>
      <c r="N249" s="500">
        <v>0</v>
      </c>
      <c r="O249" s="159"/>
      <c r="P249" s="159"/>
      <c r="Q249" s="159"/>
      <c r="R249" s="502">
        <f>S249</f>
        <v>5751</v>
      </c>
      <c r="S249" s="500">
        <f>626+5125</f>
        <v>5751</v>
      </c>
      <c r="T249" s="159"/>
      <c r="U249" s="159"/>
      <c r="V249" s="159"/>
      <c r="W249" s="502">
        <f>X249</f>
        <v>3474</v>
      </c>
      <c r="X249" s="500">
        <f>2575+1426-633-269+375</f>
        <v>3474</v>
      </c>
      <c r="Y249" s="159"/>
      <c r="Z249" s="159"/>
      <c r="AA249" s="159"/>
      <c r="AB249" s="502">
        <f>R249+W249</f>
        <v>9225</v>
      </c>
    </row>
    <row r="250" spans="1:28" ht="18.75" customHeight="1" x14ac:dyDescent="0.2">
      <c r="A250" s="135"/>
      <c r="B250" s="121" t="s">
        <v>357</v>
      </c>
      <c r="C250" s="469"/>
      <c r="D250" s="465"/>
      <c r="E250" s="159"/>
      <c r="F250" s="159"/>
      <c r="G250" s="159"/>
      <c r="H250" s="469"/>
      <c r="I250" s="465"/>
      <c r="J250" s="159"/>
      <c r="K250" s="159"/>
      <c r="L250" s="159"/>
      <c r="M250" s="469"/>
      <c r="N250" s="465"/>
      <c r="O250" s="159"/>
      <c r="P250" s="159"/>
      <c r="Q250" s="159"/>
      <c r="R250" s="469"/>
      <c r="S250" s="465"/>
      <c r="T250" s="159"/>
      <c r="U250" s="159"/>
      <c r="V250" s="159"/>
      <c r="W250" s="469"/>
      <c r="X250" s="465"/>
      <c r="Y250" s="159"/>
      <c r="Z250" s="159"/>
      <c r="AA250" s="159"/>
      <c r="AB250" s="469"/>
    </row>
    <row r="251" spans="1:28" ht="19.5" customHeight="1" x14ac:dyDescent="0.2">
      <c r="A251" s="135"/>
      <c r="B251" s="120" t="s">
        <v>1344</v>
      </c>
      <c r="C251" s="469"/>
      <c r="D251" s="465"/>
      <c r="E251" s="159"/>
      <c r="F251" s="159"/>
      <c r="G251" s="159"/>
      <c r="H251" s="469"/>
      <c r="I251" s="465"/>
      <c r="J251" s="159"/>
      <c r="K251" s="159"/>
      <c r="L251" s="159"/>
      <c r="M251" s="469"/>
      <c r="N251" s="465"/>
      <c r="O251" s="159"/>
      <c r="P251" s="159"/>
      <c r="Q251" s="159"/>
      <c r="R251" s="469"/>
      <c r="S251" s="465"/>
      <c r="T251" s="159"/>
      <c r="U251" s="159"/>
      <c r="V251" s="159"/>
      <c r="W251" s="469"/>
      <c r="X251" s="465"/>
      <c r="Y251" s="159"/>
      <c r="Z251" s="159"/>
      <c r="AA251" s="159"/>
      <c r="AB251" s="469"/>
    </row>
    <row r="252" spans="1:28" ht="18.75" customHeight="1" x14ac:dyDescent="0.2">
      <c r="A252" s="135"/>
      <c r="B252" s="120" t="s">
        <v>1341</v>
      </c>
      <c r="C252" s="469"/>
      <c r="D252" s="465"/>
      <c r="E252" s="159"/>
      <c r="F252" s="159"/>
      <c r="G252" s="159"/>
      <c r="H252" s="469"/>
      <c r="I252" s="465"/>
      <c r="J252" s="159"/>
      <c r="K252" s="159"/>
      <c r="L252" s="159"/>
      <c r="M252" s="469"/>
      <c r="N252" s="465"/>
      <c r="O252" s="159"/>
      <c r="P252" s="159"/>
      <c r="Q252" s="159"/>
      <c r="R252" s="469"/>
      <c r="S252" s="465"/>
      <c r="T252" s="159"/>
      <c r="U252" s="159"/>
      <c r="V252" s="159"/>
      <c r="W252" s="469"/>
      <c r="X252" s="465"/>
      <c r="Y252" s="159"/>
      <c r="Z252" s="159"/>
      <c r="AA252" s="159"/>
      <c r="AB252" s="469"/>
    </row>
    <row r="253" spans="1:28" ht="18.75" customHeight="1" x14ac:dyDescent="0.2">
      <c r="A253" s="135"/>
      <c r="B253" s="120" t="s">
        <v>1342</v>
      </c>
      <c r="C253" s="469"/>
      <c r="D253" s="465"/>
      <c r="E253" s="159"/>
      <c r="F253" s="159"/>
      <c r="G253" s="159"/>
      <c r="H253" s="469"/>
      <c r="I253" s="465"/>
      <c r="J253" s="159"/>
      <c r="K253" s="159"/>
      <c r="L253" s="159"/>
      <c r="M253" s="469"/>
      <c r="N253" s="465"/>
      <c r="O253" s="159"/>
      <c r="P253" s="159"/>
      <c r="Q253" s="159"/>
      <c r="R253" s="469"/>
      <c r="S253" s="465"/>
      <c r="T253" s="159"/>
      <c r="U253" s="159"/>
      <c r="V253" s="159"/>
      <c r="W253" s="469"/>
      <c r="X253" s="465"/>
      <c r="Y253" s="159"/>
      <c r="Z253" s="159"/>
      <c r="AA253" s="159"/>
      <c r="AB253" s="469"/>
    </row>
    <row r="254" spans="1:28" ht="18.75" customHeight="1" x14ac:dyDescent="0.2">
      <c r="A254" s="135"/>
      <c r="B254" s="120" t="s">
        <v>1343</v>
      </c>
      <c r="C254" s="469"/>
      <c r="D254" s="465"/>
      <c r="E254" s="159"/>
      <c r="F254" s="159"/>
      <c r="G254" s="159"/>
      <c r="H254" s="469"/>
      <c r="I254" s="465"/>
      <c r="J254" s="159"/>
      <c r="K254" s="159"/>
      <c r="L254" s="159"/>
      <c r="M254" s="469"/>
      <c r="N254" s="465"/>
      <c r="O254" s="159"/>
      <c r="P254" s="159"/>
      <c r="Q254" s="159"/>
      <c r="R254" s="469"/>
      <c r="S254" s="465"/>
      <c r="T254" s="159"/>
      <c r="U254" s="159"/>
      <c r="V254" s="159"/>
      <c r="W254" s="469"/>
      <c r="X254" s="465"/>
      <c r="Y254" s="159"/>
      <c r="Z254" s="159"/>
      <c r="AA254" s="159"/>
      <c r="AB254" s="469"/>
    </row>
    <row r="255" spans="1:28" ht="18.75" customHeight="1" x14ac:dyDescent="0.2">
      <c r="A255" s="135"/>
      <c r="B255" s="120" t="s">
        <v>1376</v>
      </c>
      <c r="C255" s="469"/>
      <c r="D255" s="465"/>
      <c r="E255" s="159"/>
      <c r="F255" s="159"/>
      <c r="G255" s="159"/>
      <c r="H255" s="469"/>
      <c r="I255" s="465"/>
      <c r="J255" s="159"/>
      <c r="K255" s="159"/>
      <c r="L255" s="159"/>
      <c r="M255" s="469"/>
      <c r="N255" s="465"/>
      <c r="O255" s="159"/>
      <c r="P255" s="159"/>
      <c r="Q255" s="159"/>
      <c r="R255" s="469"/>
      <c r="S255" s="465"/>
      <c r="T255" s="159"/>
      <c r="U255" s="159"/>
      <c r="V255" s="159"/>
      <c r="W255" s="469"/>
      <c r="X255" s="465"/>
      <c r="Y255" s="159"/>
      <c r="Z255" s="159"/>
      <c r="AA255" s="159"/>
      <c r="AB255" s="469"/>
    </row>
    <row r="256" spans="1:28" ht="18.75" customHeight="1" x14ac:dyDescent="0.2">
      <c r="A256" s="135"/>
      <c r="B256" s="120" t="s">
        <v>1628</v>
      </c>
      <c r="C256" s="469"/>
      <c r="D256" s="465"/>
      <c r="E256" s="159"/>
      <c r="F256" s="159"/>
      <c r="G256" s="159"/>
      <c r="H256" s="469"/>
      <c r="I256" s="465"/>
      <c r="J256" s="159"/>
      <c r="K256" s="159"/>
      <c r="L256" s="159"/>
      <c r="M256" s="469"/>
      <c r="N256" s="465"/>
      <c r="O256" s="159"/>
      <c r="P256" s="159"/>
      <c r="Q256" s="159"/>
      <c r="R256" s="469"/>
      <c r="S256" s="465"/>
      <c r="T256" s="159"/>
      <c r="U256" s="159"/>
      <c r="V256" s="159"/>
      <c r="W256" s="469"/>
      <c r="X256" s="465"/>
      <c r="Y256" s="159"/>
      <c r="Z256" s="159"/>
      <c r="AA256" s="159"/>
      <c r="AB256" s="469"/>
    </row>
    <row r="257" spans="1:28" ht="18.75" customHeight="1" x14ac:dyDescent="0.2">
      <c r="A257" s="135"/>
      <c r="B257" s="119" t="s">
        <v>1629</v>
      </c>
      <c r="C257" s="469"/>
      <c r="D257" s="465"/>
      <c r="E257" s="159"/>
      <c r="F257" s="159"/>
      <c r="G257" s="159"/>
      <c r="H257" s="469"/>
      <c r="I257" s="465"/>
      <c r="J257" s="159"/>
      <c r="K257" s="159"/>
      <c r="L257" s="159"/>
      <c r="M257" s="469"/>
      <c r="N257" s="465"/>
      <c r="O257" s="159"/>
      <c r="P257" s="159"/>
      <c r="Q257" s="159"/>
      <c r="R257" s="469"/>
      <c r="S257" s="465"/>
      <c r="T257" s="159"/>
      <c r="U257" s="159"/>
      <c r="V257" s="159"/>
      <c r="W257" s="469"/>
      <c r="X257" s="465"/>
      <c r="Y257" s="159"/>
      <c r="Z257" s="159"/>
      <c r="AA257" s="159"/>
      <c r="AB257" s="469"/>
    </row>
    <row r="258" spans="1:28" ht="18.75" customHeight="1" x14ac:dyDescent="0.2">
      <c r="A258" s="161"/>
      <c r="B258" s="121" t="s">
        <v>394</v>
      </c>
      <c r="C258" s="504"/>
      <c r="D258" s="465"/>
      <c r="E258" s="159"/>
      <c r="F258" s="159"/>
      <c r="G258" s="159"/>
      <c r="H258" s="469"/>
      <c r="I258" s="465"/>
      <c r="J258" s="159"/>
      <c r="K258" s="159"/>
      <c r="L258" s="159"/>
      <c r="M258" s="469"/>
      <c r="N258" s="465"/>
      <c r="O258" s="159"/>
      <c r="P258" s="159"/>
      <c r="Q258" s="159"/>
      <c r="R258" s="469"/>
      <c r="S258" s="465"/>
      <c r="T258" s="159"/>
      <c r="U258" s="159"/>
      <c r="V258" s="159"/>
      <c r="W258" s="469"/>
      <c r="X258" s="465"/>
      <c r="Y258" s="159"/>
      <c r="Z258" s="159"/>
      <c r="AA258" s="159"/>
      <c r="AB258" s="469"/>
    </row>
    <row r="259" spans="1:28" ht="34.5" customHeight="1" x14ac:dyDescent="0.2">
      <c r="A259" s="135"/>
      <c r="B259" s="139" t="s">
        <v>1625</v>
      </c>
      <c r="C259" s="469"/>
      <c r="D259" s="465"/>
      <c r="E259" s="159"/>
      <c r="F259" s="159"/>
      <c r="G259" s="159"/>
      <c r="H259" s="469"/>
      <c r="I259" s="465"/>
      <c r="J259" s="159"/>
      <c r="K259" s="159"/>
      <c r="L259" s="159"/>
      <c r="M259" s="469"/>
      <c r="N259" s="465"/>
      <c r="O259" s="159"/>
      <c r="P259" s="159"/>
      <c r="Q259" s="159"/>
      <c r="R259" s="469"/>
      <c r="S259" s="465"/>
      <c r="T259" s="159"/>
      <c r="U259" s="159"/>
      <c r="V259" s="159"/>
      <c r="W259" s="469"/>
      <c r="X259" s="465"/>
      <c r="Y259" s="159"/>
      <c r="Z259" s="159"/>
      <c r="AA259" s="159"/>
      <c r="AB259" s="469"/>
    </row>
    <row r="260" spans="1:28" ht="21.75" customHeight="1" x14ac:dyDescent="0.2">
      <c r="A260" s="135"/>
      <c r="B260" s="139" t="s">
        <v>1448</v>
      </c>
      <c r="C260" s="469"/>
      <c r="D260" s="465"/>
      <c r="E260" s="159"/>
      <c r="F260" s="159"/>
      <c r="G260" s="159"/>
      <c r="H260" s="469"/>
      <c r="I260" s="465"/>
      <c r="J260" s="159"/>
      <c r="K260" s="159"/>
      <c r="L260" s="159"/>
      <c r="M260" s="469"/>
      <c r="N260" s="465"/>
      <c r="O260" s="159"/>
      <c r="P260" s="159"/>
      <c r="Q260" s="159"/>
      <c r="R260" s="469"/>
      <c r="S260" s="465"/>
      <c r="T260" s="159"/>
      <c r="U260" s="159"/>
      <c r="V260" s="159"/>
      <c r="W260" s="469"/>
      <c r="X260" s="465"/>
      <c r="Y260" s="159"/>
      <c r="Z260" s="159"/>
      <c r="AA260" s="159"/>
      <c r="AB260" s="469"/>
    </row>
    <row r="261" spans="1:28" ht="24" customHeight="1" x14ac:dyDescent="0.2">
      <c r="A261" s="162"/>
      <c r="B261" s="160" t="s">
        <v>1626</v>
      </c>
      <c r="C261" s="503"/>
      <c r="D261" s="501"/>
      <c r="E261" s="159"/>
      <c r="F261" s="159"/>
      <c r="G261" s="159"/>
      <c r="H261" s="503"/>
      <c r="I261" s="501"/>
      <c r="J261" s="159"/>
      <c r="K261" s="159"/>
      <c r="L261" s="159"/>
      <c r="M261" s="503"/>
      <c r="N261" s="501"/>
      <c r="O261" s="159"/>
      <c r="P261" s="159"/>
      <c r="Q261" s="159"/>
      <c r="R261" s="503"/>
      <c r="S261" s="501"/>
      <c r="T261" s="159"/>
      <c r="U261" s="159"/>
      <c r="V261" s="159"/>
      <c r="W261" s="503"/>
      <c r="X261" s="501"/>
      <c r="Y261" s="159"/>
      <c r="Z261" s="159"/>
      <c r="AA261" s="159"/>
      <c r="AB261" s="503"/>
    </row>
    <row r="262" spans="1:28" ht="42" customHeight="1" x14ac:dyDescent="0.2">
      <c r="A262" s="163" t="s">
        <v>9</v>
      </c>
      <c r="B262" s="466" t="s">
        <v>438</v>
      </c>
      <c r="C262" s="467"/>
      <c r="D262" s="467"/>
      <c r="E262" s="467"/>
      <c r="F262" s="467"/>
      <c r="G262" s="467"/>
      <c r="H262" s="467"/>
      <c r="I262" s="467"/>
      <c r="J262" s="467"/>
      <c r="K262" s="467"/>
      <c r="L262" s="467"/>
      <c r="M262" s="467"/>
      <c r="N262" s="467"/>
      <c r="O262" s="467"/>
      <c r="P262" s="467"/>
      <c r="Q262" s="467"/>
      <c r="R262" s="467"/>
      <c r="S262" s="467"/>
      <c r="T262" s="467"/>
      <c r="U262" s="467"/>
      <c r="V262" s="467"/>
      <c r="W262" s="467"/>
      <c r="X262" s="467"/>
      <c r="Y262" s="467"/>
      <c r="Z262" s="467"/>
      <c r="AA262" s="467"/>
      <c r="AB262" s="468"/>
    </row>
    <row r="263" spans="1:28" ht="15" customHeight="1" x14ac:dyDescent="0.2">
      <c r="A263" s="505" t="s">
        <v>10</v>
      </c>
      <c r="B263" s="114" t="s">
        <v>213</v>
      </c>
      <c r="C263" s="459">
        <f>D263</f>
        <v>51269</v>
      </c>
      <c r="D263" s="454">
        <v>51269</v>
      </c>
      <c r="E263" s="164"/>
      <c r="F263" s="164"/>
      <c r="G263" s="164"/>
      <c r="H263" s="459">
        <f>I263</f>
        <v>13924</v>
      </c>
      <c r="I263" s="454">
        <f>13924</f>
        <v>13924</v>
      </c>
      <c r="J263" s="164"/>
      <c r="K263" s="164"/>
      <c r="L263" s="164"/>
      <c r="M263" s="459">
        <f>N263</f>
        <v>35262</v>
      </c>
      <c r="N263" s="454">
        <f>11888+2036+1353+2370+4401+11012+1873+329</f>
        <v>35262</v>
      </c>
      <c r="O263" s="165"/>
      <c r="P263" s="165"/>
      <c r="Q263" s="165"/>
      <c r="R263" s="459">
        <f>S263</f>
        <v>45752</v>
      </c>
      <c r="S263" s="454">
        <f>13924-11424+9529+1838+109+31404-2310+2310-477-227+743+596-390+127</f>
        <v>45752</v>
      </c>
      <c r="T263" s="164"/>
      <c r="U263" s="164"/>
      <c r="V263" s="164"/>
      <c r="W263" s="459">
        <f>X263</f>
        <v>52486</v>
      </c>
      <c r="X263" s="454">
        <f>29000+781-27281-2+8271+164+2206+41272-955-16-955-194-167+361+1</f>
        <v>52486</v>
      </c>
      <c r="Y263" s="164"/>
      <c r="Z263" s="164"/>
      <c r="AA263" s="164"/>
      <c r="AB263" s="459">
        <f>C263+H263+M263+R263+W263</f>
        <v>198693</v>
      </c>
    </row>
    <row r="264" spans="1:28" ht="15" customHeight="1" x14ac:dyDescent="0.2">
      <c r="A264" s="506"/>
      <c r="B264" s="118" t="s">
        <v>146</v>
      </c>
      <c r="C264" s="457"/>
      <c r="D264" s="455"/>
      <c r="E264" s="164"/>
      <c r="F264" s="164"/>
      <c r="G264" s="164"/>
      <c r="H264" s="457"/>
      <c r="I264" s="455"/>
      <c r="J264" s="164"/>
      <c r="K264" s="164"/>
      <c r="L264" s="164"/>
      <c r="M264" s="457"/>
      <c r="N264" s="455"/>
      <c r="O264" s="165"/>
      <c r="P264" s="165"/>
      <c r="Q264" s="165"/>
      <c r="R264" s="457"/>
      <c r="S264" s="455"/>
      <c r="T264" s="164"/>
      <c r="U264" s="164"/>
      <c r="V264" s="164"/>
      <c r="W264" s="457"/>
      <c r="X264" s="455"/>
      <c r="Y264" s="164"/>
      <c r="Z264" s="164"/>
      <c r="AA264" s="164"/>
      <c r="AB264" s="457"/>
    </row>
    <row r="265" spans="1:28" ht="15" customHeight="1" x14ac:dyDescent="0.2">
      <c r="A265" s="506"/>
      <c r="B265" s="119" t="s">
        <v>731</v>
      </c>
      <c r="C265" s="457"/>
      <c r="D265" s="455"/>
      <c r="E265" s="164"/>
      <c r="F265" s="164"/>
      <c r="G265" s="164"/>
      <c r="H265" s="457"/>
      <c r="I265" s="455"/>
      <c r="J265" s="164"/>
      <c r="K265" s="164"/>
      <c r="L265" s="164"/>
      <c r="M265" s="457"/>
      <c r="N265" s="455"/>
      <c r="O265" s="165"/>
      <c r="P265" s="165"/>
      <c r="Q265" s="165"/>
      <c r="R265" s="457"/>
      <c r="S265" s="455"/>
      <c r="T265" s="164"/>
      <c r="U265" s="164"/>
      <c r="V265" s="164"/>
      <c r="W265" s="457"/>
      <c r="X265" s="455"/>
      <c r="Y265" s="164"/>
      <c r="Z265" s="164"/>
      <c r="AA265" s="164"/>
      <c r="AB265" s="457"/>
    </row>
    <row r="266" spans="1:28" ht="18" customHeight="1" x14ac:dyDescent="0.2">
      <c r="A266" s="506"/>
      <c r="B266" s="119" t="s">
        <v>732</v>
      </c>
      <c r="C266" s="457"/>
      <c r="D266" s="455"/>
      <c r="E266" s="164"/>
      <c r="F266" s="164"/>
      <c r="G266" s="164"/>
      <c r="H266" s="457"/>
      <c r="I266" s="455"/>
      <c r="J266" s="164"/>
      <c r="K266" s="164"/>
      <c r="L266" s="164"/>
      <c r="M266" s="457"/>
      <c r="N266" s="455"/>
      <c r="O266" s="165"/>
      <c r="P266" s="165"/>
      <c r="Q266" s="165"/>
      <c r="R266" s="457"/>
      <c r="S266" s="455"/>
      <c r="T266" s="164"/>
      <c r="U266" s="164"/>
      <c r="V266" s="164"/>
      <c r="W266" s="457"/>
      <c r="X266" s="455"/>
      <c r="Y266" s="164"/>
      <c r="Z266" s="164"/>
      <c r="AA266" s="164"/>
      <c r="AB266" s="457"/>
    </row>
    <row r="267" spans="1:28" ht="18" customHeight="1" x14ac:dyDescent="0.2">
      <c r="A267" s="506"/>
      <c r="B267" s="119" t="s">
        <v>733</v>
      </c>
      <c r="C267" s="457"/>
      <c r="D267" s="455"/>
      <c r="E267" s="164"/>
      <c r="F267" s="164"/>
      <c r="G267" s="164"/>
      <c r="H267" s="457"/>
      <c r="I267" s="455"/>
      <c r="J267" s="164"/>
      <c r="K267" s="164"/>
      <c r="L267" s="164"/>
      <c r="M267" s="457"/>
      <c r="N267" s="455"/>
      <c r="O267" s="165"/>
      <c r="P267" s="165"/>
      <c r="Q267" s="165"/>
      <c r="R267" s="457"/>
      <c r="S267" s="455"/>
      <c r="T267" s="164"/>
      <c r="U267" s="164"/>
      <c r="V267" s="164"/>
      <c r="W267" s="457"/>
      <c r="X267" s="455"/>
      <c r="Y267" s="164"/>
      <c r="Z267" s="164"/>
      <c r="AA267" s="164"/>
      <c r="AB267" s="457"/>
    </row>
    <row r="268" spans="1:28" ht="18" customHeight="1" x14ac:dyDescent="0.2">
      <c r="A268" s="506"/>
      <c r="B268" s="119" t="s">
        <v>734</v>
      </c>
      <c r="C268" s="457"/>
      <c r="D268" s="455"/>
      <c r="E268" s="164"/>
      <c r="F268" s="164"/>
      <c r="G268" s="164"/>
      <c r="H268" s="457"/>
      <c r="I268" s="455"/>
      <c r="J268" s="164"/>
      <c r="K268" s="164"/>
      <c r="L268" s="164"/>
      <c r="M268" s="457"/>
      <c r="N268" s="455"/>
      <c r="O268" s="165"/>
      <c r="P268" s="165"/>
      <c r="Q268" s="165"/>
      <c r="R268" s="457"/>
      <c r="S268" s="455"/>
      <c r="T268" s="164"/>
      <c r="U268" s="164"/>
      <c r="V268" s="164"/>
      <c r="W268" s="457"/>
      <c r="X268" s="455"/>
      <c r="Y268" s="164"/>
      <c r="Z268" s="164"/>
      <c r="AA268" s="164"/>
      <c r="AB268" s="457"/>
    </row>
    <row r="269" spans="1:28" ht="18" customHeight="1" x14ac:dyDescent="0.2">
      <c r="A269" s="480"/>
      <c r="B269" s="119" t="s">
        <v>735</v>
      </c>
      <c r="C269" s="457"/>
      <c r="D269" s="455"/>
      <c r="E269" s="164"/>
      <c r="F269" s="164"/>
      <c r="G269" s="164"/>
      <c r="H269" s="457"/>
      <c r="I269" s="455"/>
      <c r="J269" s="164"/>
      <c r="K269" s="164"/>
      <c r="L269" s="164"/>
      <c r="M269" s="457"/>
      <c r="N269" s="455"/>
      <c r="O269" s="165"/>
      <c r="P269" s="165"/>
      <c r="Q269" s="165"/>
      <c r="R269" s="469"/>
      <c r="S269" s="465"/>
      <c r="T269" s="165"/>
      <c r="U269" s="165"/>
      <c r="V269" s="165"/>
      <c r="W269" s="469"/>
      <c r="X269" s="465"/>
      <c r="Y269" s="165"/>
      <c r="Z269" s="165"/>
      <c r="AA269" s="165"/>
      <c r="AB269" s="469"/>
    </row>
    <row r="270" spans="1:28" ht="15" customHeight="1" x14ac:dyDescent="0.2">
      <c r="A270" s="480"/>
      <c r="B270" s="119" t="s">
        <v>736</v>
      </c>
      <c r="C270" s="457"/>
      <c r="D270" s="455"/>
      <c r="E270" s="164"/>
      <c r="F270" s="164"/>
      <c r="G270" s="164"/>
      <c r="H270" s="457"/>
      <c r="I270" s="455"/>
      <c r="J270" s="164"/>
      <c r="K270" s="164"/>
      <c r="L270" s="164"/>
      <c r="M270" s="457"/>
      <c r="N270" s="455"/>
      <c r="O270" s="165"/>
      <c r="P270" s="165"/>
      <c r="Q270" s="165"/>
      <c r="R270" s="469"/>
      <c r="S270" s="465"/>
      <c r="T270" s="165"/>
      <c r="U270" s="165"/>
      <c r="V270" s="165"/>
      <c r="W270" s="469"/>
      <c r="X270" s="465"/>
      <c r="Y270" s="165"/>
      <c r="Z270" s="165"/>
      <c r="AA270" s="165"/>
      <c r="AB270" s="469"/>
    </row>
    <row r="271" spans="1:28" ht="18" customHeight="1" x14ac:dyDescent="0.2">
      <c r="A271" s="480"/>
      <c r="B271" s="119" t="s">
        <v>737</v>
      </c>
      <c r="C271" s="457"/>
      <c r="D271" s="455"/>
      <c r="E271" s="164"/>
      <c r="F271" s="164"/>
      <c r="G271" s="164"/>
      <c r="H271" s="457"/>
      <c r="I271" s="455"/>
      <c r="J271" s="164"/>
      <c r="K271" s="164"/>
      <c r="L271" s="164"/>
      <c r="M271" s="457"/>
      <c r="N271" s="455"/>
      <c r="O271" s="165"/>
      <c r="P271" s="165"/>
      <c r="Q271" s="165"/>
      <c r="R271" s="469"/>
      <c r="S271" s="465"/>
      <c r="T271" s="165"/>
      <c r="U271" s="165"/>
      <c r="V271" s="165"/>
      <c r="W271" s="469"/>
      <c r="X271" s="465"/>
      <c r="Y271" s="165"/>
      <c r="Z271" s="165"/>
      <c r="AA271" s="165"/>
      <c r="AB271" s="469"/>
    </row>
    <row r="272" spans="1:28" ht="18.75" customHeight="1" x14ac:dyDescent="0.2">
      <c r="A272" s="480"/>
      <c r="B272" s="119" t="s">
        <v>738</v>
      </c>
      <c r="C272" s="457"/>
      <c r="D272" s="455"/>
      <c r="E272" s="164"/>
      <c r="F272" s="164"/>
      <c r="G272" s="164"/>
      <c r="H272" s="457"/>
      <c r="I272" s="455"/>
      <c r="J272" s="164"/>
      <c r="K272" s="164"/>
      <c r="L272" s="164"/>
      <c r="M272" s="457"/>
      <c r="N272" s="455"/>
      <c r="O272" s="165"/>
      <c r="P272" s="165"/>
      <c r="Q272" s="165"/>
      <c r="R272" s="469"/>
      <c r="S272" s="465"/>
      <c r="T272" s="165"/>
      <c r="U272" s="165"/>
      <c r="V272" s="165"/>
      <c r="W272" s="469"/>
      <c r="X272" s="465"/>
      <c r="Y272" s="165"/>
      <c r="Z272" s="165"/>
      <c r="AA272" s="165"/>
      <c r="AB272" s="469"/>
    </row>
    <row r="273" spans="1:28" ht="15.75" customHeight="1" x14ac:dyDescent="0.2">
      <c r="A273" s="480"/>
      <c r="B273" s="119" t="s">
        <v>739</v>
      </c>
      <c r="C273" s="457"/>
      <c r="D273" s="455"/>
      <c r="E273" s="164"/>
      <c r="F273" s="164"/>
      <c r="G273" s="164"/>
      <c r="H273" s="457"/>
      <c r="I273" s="455"/>
      <c r="J273" s="164"/>
      <c r="K273" s="164"/>
      <c r="L273" s="164"/>
      <c r="M273" s="457"/>
      <c r="N273" s="455"/>
      <c r="O273" s="165"/>
      <c r="P273" s="165"/>
      <c r="Q273" s="165"/>
      <c r="R273" s="469"/>
      <c r="S273" s="465"/>
      <c r="T273" s="165"/>
      <c r="U273" s="165"/>
      <c r="V273" s="165"/>
      <c r="W273" s="469"/>
      <c r="X273" s="465"/>
      <c r="Y273" s="165"/>
      <c r="Z273" s="165"/>
      <c r="AA273" s="165"/>
      <c r="AB273" s="469"/>
    </row>
    <row r="274" spans="1:28" ht="21" customHeight="1" x14ac:dyDescent="0.2">
      <c r="A274" s="480"/>
      <c r="B274" s="119" t="s">
        <v>740</v>
      </c>
      <c r="C274" s="457"/>
      <c r="D274" s="455"/>
      <c r="E274" s="164"/>
      <c r="F274" s="164"/>
      <c r="G274" s="164"/>
      <c r="H274" s="457"/>
      <c r="I274" s="455"/>
      <c r="J274" s="164"/>
      <c r="K274" s="164"/>
      <c r="L274" s="164"/>
      <c r="M274" s="457"/>
      <c r="N274" s="455"/>
      <c r="O274" s="165"/>
      <c r="P274" s="165"/>
      <c r="Q274" s="165"/>
      <c r="R274" s="469"/>
      <c r="S274" s="465"/>
      <c r="T274" s="165"/>
      <c r="U274" s="165"/>
      <c r="V274" s="165"/>
      <c r="W274" s="469"/>
      <c r="X274" s="465"/>
      <c r="Y274" s="165"/>
      <c r="Z274" s="165"/>
      <c r="AA274" s="165"/>
      <c r="AB274" s="469"/>
    </row>
    <row r="275" spans="1:28" ht="14.25" customHeight="1" x14ac:dyDescent="0.2">
      <c r="A275" s="480"/>
      <c r="B275" s="119" t="s">
        <v>741</v>
      </c>
      <c r="C275" s="457"/>
      <c r="D275" s="455"/>
      <c r="E275" s="164"/>
      <c r="F275" s="164"/>
      <c r="G275" s="164"/>
      <c r="H275" s="457"/>
      <c r="I275" s="455"/>
      <c r="J275" s="164"/>
      <c r="K275" s="164"/>
      <c r="L275" s="164"/>
      <c r="M275" s="457"/>
      <c r="N275" s="455"/>
      <c r="O275" s="165"/>
      <c r="P275" s="165"/>
      <c r="Q275" s="165"/>
      <c r="R275" s="469"/>
      <c r="S275" s="465"/>
      <c r="T275" s="165"/>
      <c r="U275" s="165"/>
      <c r="V275" s="165"/>
      <c r="W275" s="469"/>
      <c r="X275" s="465"/>
      <c r="Y275" s="165"/>
      <c r="Z275" s="165"/>
      <c r="AA275" s="165"/>
      <c r="AB275" s="469"/>
    </row>
    <row r="276" spans="1:28" ht="18" customHeight="1" x14ac:dyDescent="0.2">
      <c r="A276" s="480"/>
      <c r="B276" s="119" t="s">
        <v>742</v>
      </c>
      <c r="C276" s="457"/>
      <c r="D276" s="455"/>
      <c r="E276" s="164"/>
      <c r="F276" s="164"/>
      <c r="G276" s="164"/>
      <c r="H276" s="457"/>
      <c r="I276" s="455"/>
      <c r="J276" s="164"/>
      <c r="K276" s="164"/>
      <c r="L276" s="164"/>
      <c r="M276" s="457"/>
      <c r="N276" s="455"/>
      <c r="O276" s="165"/>
      <c r="P276" s="165"/>
      <c r="Q276" s="165"/>
      <c r="R276" s="469"/>
      <c r="S276" s="465"/>
      <c r="T276" s="165"/>
      <c r="U276" s="165"/>
      <c r="V276" s="165"/>
      <c r="W276" s="469"/>
      <c r="X276" s="465"/>
      <c r="Y276" s="165"/>
      <c r="Z276" s="165"/>
      <c r="AA276" s="165"/>
      <c r="AB276" s="469"/>
    </row>
    <row r="277" spans="1:28" ht="18" customHeight="1" x14ac:dyDescent="0.2">
      <c r="A277" s="480"/>
      <c r="B277" s="119" t="s">
        <v>743</v>
      </c>
      <c r="C277" s="457"/>
      <c r="D277" s="455"/>
      <c r="E277" s="164"/>
      <c r="F277" s="164"/>
      <c r="G277" s="164"/>
      <c r="H277" s="457"/>
      <c r="I277" s="455"/>
      <c r="J277" s="164"/>
      <c r="K277" s="164"/>
      <c r="L277" s="164"/>
      <c r="M277" s="457"/>
      <c r="N277" s="455"/>
      <c r="O277" s="165"/>
      <c r="P277" s="165"/>
      <c r="Q277" s="165"/>
      <c r="R277" s="469"/>
      <c r="S277" s="465"/>
      <c r="T277" s="165"/>
      <c r="U277" s="165"/>
      <c r="V277" s="165"/>
      <c r="W277" s="469"/>
      <c r="X277" s="465"/>
      <c r="Y277" s="165"/>
      <c r="Z277" s="165"/>
      <c r="AA277" s="165"/>
      <c r="AB277" s="469"/>
    </row>
    <row r="278" spans="1:28" ht="18" customHeight="1" x14ac:dyDescent="0.2">
      <c r="A278" s="480"/>
      <c r="B278" s="119" t="s">
        <v>744</v>
      </c>
      <c r="C278" s="457"/>
      <c r="D278" s="455"/>
      <c r="E278" s="164"/>
      <c r="F278" s="164"/>
      <c r="G278" s="164"/>
      <c r="H278" s="457"/>
      <c r="I278" s="455"/>
      <c r="J278" s="164"/>
      <c r="K278" s="164"/>
      <c r="L278" s="164"/>
      <c r="M278" s="457"/>
      <c r="N278" s="455"/>
      <c r="O278" s="165"/>
      <c r="P278" s="165"/>
      <c r="Q278" s="165"/>
      <c r="R278" s="469"/>
      <c r="S278" s="465"/>
      <c r="T278" s="165"/>
      <c r="U278" s="165"/>
      <c r="V278" s="165"/>
      <c r="W278" s="469"/>
      <c r="X278" s="465"/>
      <c r="Y278" s="165"/>
      <c r="Z278" s="165"/>
      <c r="AA278" s="165"/>
      <c r="AB278" s="469"/>
    </row>
    <row r="279" spans="1:28" ht="18" customHeight="1" x14ac:dyDescent="0.2">
      <c r="A279" s="480"/>
      <c r="B279" s="119" t="s">
        <v>745</v>
      </c>
      <c r="C279" s="457"/>
      <c r="D279" s="455"/>
      <c r="E279" s="164"/>
      <c r="F279" s="164"/>
      <c r="G279" s="164"/>
      <c r="H279" s="457"/>
      <c r="I279" s="455"/>
      <c r="J279" s="164"/>
      <c r="K279" s="164"/>
      <c r="L279" s="164"/>
      <c r="M279" s="457"/>
      <c r="N279" s="455"/>
      <c r="O279" s="165"/>
      <c r="P279" s="165"/>
      <c r="Q279" s="165"/>
      <c r="R279" s="469"/>
      <c r="S279" s="465"/>
      <c r="T279" s="165"/>
      <c r="U279" s="165"/>
      <c r="V279" s="165"/>
      <c r="W279" s="469"/>
      <c r="X279" s="465"/>
      <c r="Y279" s="165"/>
      <c r="Z279" s="165"/>
      <c r="AA279" s="165"/>
      <c r="AB279" s="469"/>
    </row>
    <row r="280" spans="1:28" ht="18" customHeight="1" x14ac:dyDescent="0.2">
      <c r="A280" s="480"/>
      <c r="B280" s="120" t="s">
        <v>746</v>
      </c>
      <c r="C280" s="457"/>
      <c r="D280" s="455"/>
      <c r="E280" s="164"/>
      <c r="F280" s="164"/>
      <c r="G280" s="164"/>
      <c r="H280" s="457"/>
      <c r="I280" s="455"/>
      <c r="J280" s="164"/>
      <c r="K280" s="164"/>
      <c r="L280" s="164"/>
      <c r="M280" s="457"/>
      <c r="N280" s="455"/>
      <c r="O280" s="165"/>
      <c r="P280" s="165"/>
      <c r="Q280" s="165"/>
      <c r="R280" s="469"/>
      <c r="S280" s="465"/>
      <c r="T280" s="165"/>
      <c r="U280" s="165"/>
      <c r="V280" s="165"/>
      <c r="W280" s="469"/>
      <c r="X280" s="465"/>
      <c r="Y280" s="165"/>
      <c r="Z280" s="165"/>
      <c r="AA280" s="165"/>
      <c r="AB280" s="469"/>
    </row>
    <row r="281" spans="1:28" ht="18" customHeight="1" x14ac:dyDescent="0.2">
      <c r="A281" s="480"/>
      <c r="B281" s="119" t="s">
        <v>747</v>
      </c>
      <c r="C281" s="457"/>
      <c r="D281" s="455"/>
      <c r="E281" s="164"/>
      <c r="F281" s="164"/>
      <c r="G281" s="164"/>
      <c r="H281" s="457"/>
      <c r="I281" s="455"/>
      <c r="J281" s="164"/>
      <c r="K281" s="164"/>
      <c r="L281" s="164"/>
      <c r="M281" s="457"/>
      <c r="N281" s="455"/>
      <c r="O281" s="165"/>
      <c r="P281" s="165"/>
      <c r="Q281" s="165"/>
      <c r="R281" s="469"/>
      <c r="S281" s="465"/>
      <c r="T281" s="165"/>
      <c r="U281" s="165"/>
      <c r="V281" s="165"/>
      <c r="W281" s="469"/>
      <c r="X281" s="465"/>
      <c r="Y281" s="165"/>
      <c r="Z281" s="165"/>
      <c r="AA281" s="165"/>
      <c r="AB281" s="469"/>
    </row>
    <row r="282" spans="1:28" ht="18" customHeight="1" x14ac:dyDescent="0.2">
      <c r="A282" s="480"/>
      <c r="B282" s="119" t="s">
        <v>748</v>
      </c>
      <c r="C282" s="457"/>
      <c r="D282" s="455"/>
      <c r="E282" s="164"/>
      <c r="F282" s="164"/>
      <c r="G282" s="164"/>
      <c r="H282" s="457"/>
      <c r="I282" s="455"/>
      <c r="J282" s="164"/>
      <c r="K282" s="164"/>
      <c r="L282" s="164"/>
      <c r="M282" s="457"/>
      <c r="N282" s="455"/>
      <c r="O282" s="165"/>
      <c r="P282" s="165"/>
      <c r="Q282" s="165"/>
      <c r="R282" s="469"/>
      <c r="S282" s="465"/>
      <c r="T282" s="165"/>
      <c r="U282" s="165"/>
      <c r="V282" s="165"/>
      <c r="W282" s="469"/>
      <c r="X282" s="465"/>
      <c r="Y282" s="165"/>
      <c r="Z282" s="165"/>
      <c r="AA282" s="165"/>
      <c r="AB282" s="469"/>
    </row>
    <row r="283" spans="1:28" ht="18" customHeight="1" x14ac:dyDescent="0.2">
      <c r="A283" s="480"/>
      <c r="B283" s="119" t="s">
        <v>749</v>
      </c>
      <c r="C283" s="457"/>
      <c r="D283" s="455"/>
      <c r="E283" s="164"/>
      <c r="F283" s="164"/>
      <c r="G283" s="164"/>
      <c r="H283" s="457"/>
      <c r="I283" s="455"/>
      <c r="J283" s="164"/>
      <c r="K283" s="164"/>
      <c r="L283" s="164"/>
      <c r="M283" s="457"/>
      <c r="N283" s="455"/>
      <c r="O283" s="165"/>
      <c r="P283" s="165"/>
      <c r="Q283" s="165"/>
      <c r="R283" s="469"/>
      <c r="S283" s="465"/>
      <c r="T283" s="165"/>
      <c r="U283" s="165"/>
      <c r="V283" s="165"/>
      <c r="W283" s="469"/>
      <c r="X283" s="465"/>
      <c r="Y283" s="165"/>
      <c r="Z283" s="165"/>
      <c r="AA283" s="165"/>
      <c r="AB283" s="469"/>
    </row>
    <row r="284" spans="1:28" ht="18" customHeight="1" x14ac:dyDescent="0.2">
      <c r="A284" s="480"/>
      <c r="B284" s="119" t="s">
        <v>1666</v>
      </c>
      <c r="C284" s="457"/>
      <c r="D284" s="455"/>
      <c r="E284" s="164"/>
      <c r="F284" s="164"/>
      <c r="G284" s="164"/>
      <c r="H284" s="457"/>
      <c r="I284" s="455"/>
      <c r="J284" s="164"/>
      <c r="K284" s="164"/>
      <c r="L284" s="164"/>
      <c r="M284" s="457"/>
      <c r="N284" s="455"/>
      <c r="O284" s="165"/>
      <c r="P284" s="165"/>
      <c r="Q284" s="165"/>
      <c r="R284" s="469"/>
      <c r="S284" s="465"/>
      <c r="T284" s="165"/>
      <c r="U284" s="165"/>
      <c r="V284" s="165"/>
      <c r="W284" s="469"/>
      <c r="X284" s="465"/>
      <c r="Y284" s="165"/>
      <c r="Z284" s="165"/>
      <c r="AA284" s="165"/>
      <c r="AB284" s="469"/>
    </row>
    <row r="285" spans="1:28" ht="18" customHeight="1" x14ac:dyDescent="0.2">
      <c r="A285" s="480"/>
      <c r="B285" s="119" t="s">
        <v>756</v>
      </c>
      <c r="C285" s="457"/>
      <c r="D285" s="455"/>
      <c r="E285" s="164"/>
      <c r="F285" s="164"/>
      <c r="G285" s="164"/>
      <c r="H285" s="457"/>
      <c r="I285" s="455"/>
      <c r="J285" s="164"/>
      <c r="K285" s="164"/>
      <c r="L285" s="164"/>
      <c r="M285" s="457"/>
      <c r="N285" s="455"/>
      <c r="O285" s="165"/>
      <c r="P285" s="165"/>
      <c r="Q285" s="165"/>
      <c r="R285" s="469"/>
      <c r="S285" s="465"/>
      <c r="T285" s="165"/>
      <c r="U285" s="165"/>
      <c r="V285" s="165"/>
      <c r="W285" s="469"/>
      <c r="X285" s="465"/>
      <c r="Y285" s="165"/>
      <c r="Z285" s="165"/>
      <c r="AA285" s="165"/>
      <c r="AB285" s="469"/>
    </row>
    <row r="286" spans="1:28" ht="18" customHeight="1" x14ac:dyDescent="0.2">
      <c r="A286" s="480"/>
      <c r="B286" s="119" t="s">
        <v>750</v>
      </c>
      <c r="C286" s="457"/>
      <c r="D286" s="455"/>
      <c r="E286" s="164"/>
      <c r="F286" s="164"/>
      <c r="G286" s="164"/>
      <c r="H286" s="457"/>
      <c r="I286" s="455"/>
      <c r="J286" s="164"/>
      <c r="K286" s="164"/>
      <c r="L286" s="164"/>
      <c r="M286" s="457"/>
      <c r="N286" s="455"/>
      <c r="O286" s="165"/>
      <c r="P286" s="165"/>
      <c r="Q286" s="165"/>
      <c r="R286" s="469"/>
      <c r="S286" s="465"/>
      <c r="T286" s="165"/>
      <c r="U286" s="165"/>
      <c r="V286" s="165"/>
      <c r="W286" s="469"/>
      <c r="X286" s="465"/>
      <c r="Y286" s="165"/>
      <c r="Z286" s="165"/>
      <c r="AA286" s="165"/>
      <c r="AB286" s="469"/>
    </row>
    <row r="287" spans="1:28" ht="20.25" customHeight="1" x14ac:dyDescent="0.2">
      <c r="A287" s="480"/>
      <c r="B287" s="119" t="s">
        <v>751</v>
      </c>
      <c r="C287" s="457"/>
      <c r="D287" s="455"/>
      <c r="E287" s="164"/>
      <c r="F287" s="164"/>
      <c r="G287" s="164"/>
      <c r="H287" s="457"/>
      <c r="I287" s="455"/>
      <c r="J287" s="164"/>
      <c r="K287" s="164"/>
      <c r="L287" s="164"/>
      <c r="M287" s="457"/>
      <c r="N287" s="455"/>
      <c r="O287" s="165"/>
      <c r="P287" s="165"/>
      <c r="Q287" s="165"/>
      <c r="R287" s="469"/>
      <c r="S287" s="465"/>
      <c r="T287" s="165"/>
      <c r="U287" s="165"/>
      <c r="V287" s="165"/>
      <c r="W287" s="469"/>
      <c r="X287" s="465"/>
      <c r="Y287" s="165"/>
      <c r="Z287" s="165"/>
      <c r="AA287" s="165"/>
      <c r="AB287" s="469"/>
    </row>
    <row r="288" spans="1:28" ht="18" customHeight="1" x14ac:dyDescent="0.2">
      <c r="A288" s="480"/>
      <c r="B288" s="119" t="s">
        <v>752</v>
      </c>
      <c r="C288" s="457"/>
      <c r="D288" s="455"/>
      <c r="E288" s="164"/>
      <c r="F288" s="164"/>
      <c r="G288" s="164"/>
      <c r="H288" s="457"/>
      <c r="I288" s="455"/>
      <c r="J288" s="164"/>
      <c r="K288" s="164"/>
      <c r="L288" s="164"/>
      <c r="M288" s="457"/>
      <c r="N288" s="455"/>
      <c r="O288" s="165"/>
      <c r="P288" s="165"/>
      <c r="Q288" s="165"/>
      <c r="R288" s="469"/>
      <c r="S288" s="465"/>
      <c r="T288" s="165"/>
      <c r="U288" s="165"/>
      <c r="V288" s="165"/>
      <c r="W288" s="469"/>
      <c r="X288" s="465"/>
      <c r="Y288" s="165"/>
      <c r="Z288" s="165"/>
      <c r="AA288" s="165"/>
      <c r="AB288" s="469"/>
    </row>
    <row r="289" spans="1:28" ht="18" customHeight="1" x14ac:dyDescent="0.2">
      <c r="A289" s="480"/>
      <c r="B289" s="119" t="s">
        <v>753</v>
      </c>
      <c r="C289" s="457"/>
      <c r="D289" s="455"/>
      <c r="E289" s="164"/>
      <c r="F289" s="164"/>
      <c r="G289" s="164"/>
      <c r="H289" s="457"/>
      <c r="I289" s="455"/>
      <c r="J289" s="164"/>
      <c r="K289" s="164"/>
      <c r="L289" s="164"/>
      <c r="M289" s="457"/>
      <c r="N289" s="455"/>
      <c r="O289" s="165"/>
      <c r="P289" s="165"/>
      <c r="Q289" s="165"/>
      <c r="R289" s="469"/>
      <c r="S289" s="465"/>
      <c r="T289" s="165"/>
      <c r="U289" s="165"/>
      <c r="V289" s="165"/>
      <c r="W289" s="469"/>
      <c r="X289" s="465"/>
      <c r="Y289" s="165"/>
      <c r="Z289" s="165"/>
      <c r="AA289" s="165"/>
      <c r="AB289" s="469"/>
    </row>
    <row r="290" spans="1:28" ht="18" customHeight="1" x14ac:dyDescent="0.2">
      <c r="A290" s="480"/>
      <c r="B290" s="119" t="s">
        <v>754</v>
      </c>
      <c r="C290" s="457"/>
      <c r="D290" s="455"/>
      <c r="E290" s="164"/>
      <c r="F290" s="164"/>
      <c r="G290" s="164"/>
      <c r="H290" s="457"/>
      <c r="I290" s="455"/>
      <c r="J290" s="164"/>
      <c r="K290" s="164"/>
      <c r="L290" s="164"/>
      <c r="M290" s="457"/>
      <c r="N290" s="455"/>
      <c r="O290" s="165"/>
      <c r="P290" s="165"/>
      <c r="Q290" s="165"/>
      <c r="R290" s="469"/>
      <c r="S290" s="465"/>
      <c r="T290" s="165"/>
      <c r="U290" s="165"/>
      <c r="V290" s="165"/>
      <c r="W290" s="469"/>
      <c r="X290" s="465"/>
      <c r="Y290" s="165"/>
      <c r="Z290" s="165"/>
      <c r="AA290" s="165"/>
      <c r="AB290" s="469"/>
    </row>
    <row r="291" spans="1:28" ht="18" customHeight="1" x14ac:dyDescent="0.2">
      <c r="A291" s="480"/>
      <c r="B291" s="119" t="s">
        <v>755</v>
      </c>
      <c r="C291" s="457"/>
      <c r="D291" s="455"/>
      <c r="E291" s="164"/>
      <c r="F291" s="164"/>
      <c r="G291" s="164"/>
      <c r="H291" s="457"/>
      <c r="I291" s="455"/>
      <c r="J291" s="164"/>
      <c r="K291" s="164"/>
      <c r="L291" s="164"/>
      <c r="M291" s="457"/>
      <c r="N291" s="455"/>
      <c r="O291" s="165"/>
      <c r="P291" s="165"/>
      <c r="Q291" s="165"/>
      <c r="R291" s="469"/>
      <c r="S291" s="465"/>
      <c r="T291" s="165"/>
      <c r="U291" s="165"/>
      <c r="V291" s="165"/>
      <c r="W291" s="469"/>
      <c r="X291" s="465"/>
      <c r="Y291" s="165"/>
      <c r="Z291" s="165"/>
      <c r="AA291" s="165"/>
      <c r="AB291" s="469"/>
    </row>
    <row r="292" spans="1:28" ht="18" customHeight="1" x14ac:dyDescent="0.2">
      <c r="A292" s="480"/>
      <c r="B292" s="119" t="s">
        <v>757</v>
      </c>
      <c r="C292" s="457"/>
      <c r="D292" s="455"/>
      <c r="E292" s="164"/>
      <c r="F292" s="164"/>
      <c r="G292" s="164"/>
      <c r="H292" s="457"/>
      <c r="I292" s="455"/>
      <c r="J292" s="164"/>
      <c r="K292" s="164"/>
      <c r="L292" s="164"/>
      <c r="M292" s="457"/>
      <c r="N292" s="455"/>
      <c r="O292" s="165"/>
      <c r="P292" s="165"/>
      <c r="Q292" s="165"/>
      <c r="R292" s="469"/>
      <c r="S292" s="465"/>
      <c r="T292" s="165"/>
      <c r="U292" s="165"/>
      <c r="V292" s="165"/>
      <c r="W292" s="469"/>
      <c r="X292" s="465"/>
      <c r="Y292" s="165"/>
      <c r="Z292" s="165"/>
      <c r="AA292" s="165"/>
      <c r="AB292" s="469"/>
    </row>
    <row r="293" spans="1:28" ht="18" customHeight="1" x14ac:dyDescent="0.2">
      <c r="A293" s="480"/>
      <c r="B293" s="119" t="s">
        <v>758</v>
      </c>
      <c r="C293" s="457"/>
      <c r="D293" s="455"/>
      <c r="E293" s="164"/>
      <c r="F293" s="164"/>
      <c r="G293" s="164"/>
      <c r="H293" s="457"/>
      <c r="I293" s="455"/>
      <c r="J293" s="164"/>
      <c r="K293" s="164"/>
      <c r="L293" s="164"/>
      <c r="M293" s="457"/>
      <c r="N293" s="455"/>
      <c r="O293" s="165"/>
      <c r="P293" s="165"/>
      <c r="Q293" s="165"/>
      <c r="R293" s="469"/>
      <c r="S293" s="465"/>
      <c r="T293" s="165"/>
      <c r="U293" s="165"/>
      <c r="V293" s="165"/>
      <c r="W293" s="469"/>
      <c r="X293" s="465"/>
      <c r="Y293" s="165"/>
      <c r="Z293" s="165"/>
      <c r="AA293" s="165"/>
      <c r="AB293" s="469"/>
    </row>
    <row r="294" spans="1:28" ht="18" customHeight="1" x14ac:dyDescent="0.2">
      <c r="A294" s="480"/>
      <c r="B294" s="119" t="s">
        <v>759</v>
      </c>
      <c r="C294" s="457"/>
      <c r="D294" s="455"/>
      <c r="E294" s="164"/>
      <c r="F294" s="164"/>
      <c r="G294" s="164"/>
      <c r="H294" s="457"/>
      <c r="I294" s="455"/>
      <c r="J294" s="164"/>
      <c r="K294" s="164"/>
      <c r="L294" s="164"/>
      <c r="M294" s="457"/>
      <c r="N294" s="455"/>
      <c r="O294" s="165"/>
      <c r="P294" s="165"/>
      <c r="Q294" s="165"/>
      <c r="R294" s="469"/>
      <c r="S294" s="465"/>
      <c r="T294" s="165"/>
      <c r="U294" s="165"/>
      <c r="V294" s="165"/>
      <c r="W294" s="469"/>
      <c r="X294" s="465"/>
      <c r="Y294" s="165"/>
      <c r="Z294" s="165"/>
      <c r="AA294" s="165"/>
      <c r="AB294" s="469"/>
    </row>
    <row r="295" spans="1:28" ht="18" customHeight="1" x14ac:dyDescent="0.2">
      <c r="A295" s="480"/>
      <c r="B295" s="119" t="s">
        <v>760</v>
      </c>
      <c r="C295" s="457"/>
      <c r="D295" s="455"/>
      <c r="E295" s="164"/>
      <c r="F295" s="164"/>
      <c r="G295" s="164"/>
      <c r="H295" s="457"/>
      <c r="I295" s="455"/>
      <c r="J295" s="164"/>
      <c r="K295" s="164"/>
      <c r="L295" s="164"/>
      <c r="M295" s="457"/>
      <c r="N295" s="455"/>
      <c r="O295" s="165"/>
      <c r="P295" s="165"/>
      <c r="Q295" s="165"/>
      <c r="R295" s="469"/>
      <c r="S295" s="465"/>
      <c r="T295" s="165"/>
      <c r="U295" s="165"/>
      <c r="V295" s="165"/>
      <c r="W295" s="469"/>
      <c r="X295" s="465"/>
      <c r="Y295" s="165"/>
      <c r="Z295" s="165"/>
      <c r="AA295" s="165"/>
      <c r="AB295" s="469"/>
    </row>
    <row r="296" spans="1:28" ht="18" customHeight="1" x14ac:dyDescent="0.2">
      <c r="A296" s="480"/>
      <c r="B296" s="119" t="s">
        <v>761</v>
      </c>
      <c r="C296" s="457"/>
      <c r="D296" s="455"/>
      <c r="E296" s="164"/>
      <c r="F296" s="164"/>
      <c r="G296" s="164"/>
      <c r="H296" s="457"/>
      <c r="I296" s="455"/>
      <c r="J296" s="164"/>
      <c r="K296" s="164"/>
      <c r="L296" s="164"/>
      <c r="M296" s="457"/>
      <c r="N296" s="455"/>
      <c r="O296" s="165"/>
      <c r="P296" s="165"/>
      <c r="Q296" s="165"/>
      <c r="R296" s="469"/>
      <c r="S296" s="465"/>
      <c r="T296" s="165"/>
      <c r="U296" s="165"/>
      <c r="V296" s="165"/>
      <c r="W296" s="469"/>
      <c r="X296" s="465"/>
      <c r="Y296" s="165"/>
      <c r="Z296" s="165"/>
      <c r="AA296" s="165"/>
      <c r="AB296" s="469"/>
    </row>
    <row r="297" spans="1:28" ht="18" customHeight="1" x14ac:dyDescent="0.2">
      <c r="A297" s="480"/>
      <c r="B297" s="119" t="s">
        <v>762</v>
      </c>
      <c r="C297" s="457"/>
      <c r="D297" s="455"/>
      <c r="E297" s="164"/>
      <c r="F297" s="164"/>
      <c r="G297" s="164"/>
      <c r="H297" s="457"/>
      <c r="I297" s="455"/>
      <c r="J297" s="164"/>
      <c r="K297" s="164"/>
      <c r="L297" s="164"/>
      <c r="M297" s="457"/>
      <c r="N297" s="455"/>
      <c r="O297" s="165"/>
      <c r="P297" s="165"/>
      <c r="Q297" s="165"/>
      <c r="R297" s="469"/>
      <c r="S297" s="465"/>
      <c r="T297" s="165"/>
      <c r="U297" s="165"/>
      <c r="V297" s="165"/>
      <c r="W297" s="469"/>
      <c r="X297" s="465"/>
      <c r="Y297" s="165"/>
      <c r="Z297" s="165"/>
      <c r="AA297" s="165"/>
      <c r="AB297" s="469"/>
    </row>
    <row r="298" spans="1:28" ht="18" customHeight="1" x14ac:dyDescent="0.2">
      <c r="A298" s="480"/>
      <c r="B298" s="119" t="s">
        <v>763</v>
      </c>
      <c r="C298" s="457"/>
      <c r="D298" s="455"/>
      <c r="E298" s="164"/>
      <c r="F298" s="164"/>
      <c r="G298" s="164"/>
      <c r="H298" s="457"/>
      <c r="I298" s="455"/>
      <c r="J298" s="164"/>
      <c r="K298" s="164"/>
      <c r="L298" s="164"/>
      <c r="M298" s="457"/>
      <c r="N298" s="455"/>
      <c r="O298" s="165"/>
      <c r="P298" s="165"/>
      <c r="Q298" s="165"/>
      <c r="R298" s="469"/>
      <c r="S298" s="465"/>
      <c r="T298" s="165"/>
      <c r="U298" s="165"/>
      <c r="V298" s="165"/>
      <c r="W298" s="469"/>
      <c r="X298" s="465"/>
      <c r="Y298" s="165"/>
      <c r="Z298" s="165"/>
      <c r="AA298" s="165"/>
      <c r="AB298" s="469"/>
    </row>
    <row r="299" spans="1:28" ht="18" customHeight="1" x14ac:dyDescent="0.2">
      <c r="A299" s="480"/>
      <c r="B299" s="119" t="s">
        <v>764</v>
      </c>
      <c r="C299" s="457"/>
      <c r="D299" s="455"/>
      <c r="E299" s="164"/>
      <c r="F299" s="164"/>
      <c r="G299" s="164"/>
      <c r="H299" s="457"/>
      <c r="I299" s="455"/>
      <c r="J299" s="164"/>
      <c r="K299" s="164"/>
      <c r="L299" s="164"/>
      <c r="M299" s="457"/>
      <c r="N299" s="455"/>
      <c r="O299" s="165"/>
      <c r="P299" s="165"/>
      <c r="Q299" s="165"/>
      <c r="R299" s="469"/>
      <c r="S299" s="465"/>
      <c r="T299" s="165"/>
      <c r="U299" s="165"/>
      <c r="V299" s="165"/>
      <c r="W299" s="469"/>
      <c r="X299" s="465"/>
      <c r="Y299" s="165"/>
      <c r="Z299" s="165"/>
      <c r="AA299" s="165"/>
      <c r="AB299" s="469"/>
    </row>
    <row r="300" spans="1:28" ht="18" customHeight="1" x14ac:dyDescent="0.2">
      <c r="A300" s="480"/>
      <c r="B300" s="119" t="s">
        <v>765</v>
      </c>
      <c r="C300" s="457"/>
      <c r="D300" s="455"/>
      <c r="E300" s="164"/>
      <c r="F300" s="164"/>
      <c r="G300" s="164"/>
      <c r="H300" s="457"/>
      <c r="I300" s="455"/>
      <c r="J300" s="164"/>
      <c r="K300" s="164"/>
      <c r="L300" s="164"/>
      <c r="M300" s="457"/>
      <c r="N300" s="455"/>
      <c r="O300" s="165"/>
      <c r="P300" s="165"/>
      <c r="Q300" s="165"/>
      <c r="R300" s="469"/>
      <c r="S300" s="465"/>
      <c r="T300" s="165"/>
      <c r="U300" s="165"/>
      <c r="V300" s="165"/>
      <c r="W300" s="469"/>
      <c r="X300" s="465"/>
      <c r="Y300" s="165"/>
      <c r="Z300" s="165"/>
      <c r="AA300" s="165"/>
      <c r="AB300" s="469"/>
    </row>
    <row r="301" spans="1:28" ht="18" customHeight="1" x14ac:dyDescent="0.2">
      <c r="A301" s="480"/>
      <c r="B301" s="119" t="s">
        <v>766</v>
      </c>
      <c r="C301" s="457"/>
      <c r="D301" s="455"/>
      <c r="E301" s="164"/>
      <c r="F301" s="164"/>
      <c r="G301" s="164"/>
      <c r="H301" s="457"/>
      <c r="I301" s="455"/>
      <c r="J301" s="164"/>
      <c r="K301" s="164"/>
      <c r="L301" s="164"/>
      <c r="M301" s="457"/>
      <c r="N301" s="455"/>
      <c r="O301" s="165"/>
      <c r="P301" s="165"/>
      <c r="Q301" s="165"/>
      <c r="R301" s="469"/>
      <c r="S301" s="465"/>
      <c r="T301" s="165"/>
      <c r="U301" s="165"/>
      <c r="V301" s="165"/>
      <c r="W301" s="469"/>
      <c r="X301" s="465"/>
      <c r="Y301" s="165"/>
      <c r="Z301" s="165"/>
      <c r="AA301" s="165"/>
      <c r="AB301" s="469"/>
    </row>
    <row r="302" spans="1:28" ht="18" customHeight="1" x14ac:dyDescent="0.2">
      <c r="A302" s="480"/>
      <c r="B302" s="119" t="s">
        <v>767</v>
      </c>
      <c r="C302" s="457"/>
      <c r="D302" s="455"/>
      <c r="E302" s="164"/>
      <c r="F302" s="164"/>
      <c r="G302" s="164"/>
      <c r="H302" s="457"/>
      <c r="I302" s="455"/>
      <c r="J302" s="164"/>
      <c r="K302" s="164"/>
      <c r="L302" s="164"/>
      <c r="M302" s="457"/>
      <c r="N302" s="455"/>
      <c r="O302" s="165"/>
      <c r="P302" s="165"/>
      <c r="Q302" s="165"/>
      <c r="R302" s="469"/>
      <c r="S302" s="465"/>
      <c r="T302" s="165"/>
      <c r="U302" s="165"/>
      <c r="V302" s="165"/>
      <c r="W302" s="469"/>
      <c r="X302" s="465"/>
      <c r="Y302" s="165"/>
      <c r="Z302" s="165"/>
      <c r="AA302" s="165"/>
      <c r="AB302" s="469"/>
    </row>
    <row r="303" spans="1:28" ht="18" customHeight="1" x14ac:dyDescent="0.2">
      <c r="A303" s="480"/>
      <c r="B303" s="119" t="s">
        <v>768</v>
      </c>
      <c r="C303" s="457"/>
      <c r="D303" s="455"/>
      <c r="E303" s="164"/>
      <c r="F303" s="164"/>
      <c r="G303" s="164"/>
      <c r="H303" s="457"/>
      <c r="I303" s="455"/>
      <c r="J303" s="164"/>
      <c r="K303" s="164"/>
      <c r="L303" s="164"/>
      <c r="M303" s="457"/>
      <c r="N303" s="455"/>
      <c r="O303" s="165"/>
      <c r="P303" s="165"/>
      <c r="Q303" s="165"/>
      <c r="R303" s="469"/>
      <c r="S303" s="465"/>
      <c r="T303" s="165"/>
      <c r="U303" s="165"/>
      <c r="V303" s="165"/>
      <c r="W303" s="469"/>
      <c r="X303" s="465"/>
      <c r="Y303" s="165"/>
      <c r="Z303" s="165"/>
      <c r="AA303" s="165"/>
      <c r="AB303" s="469"/>
    </row>
    <row r="304" spans="1:28" ht="18" customHeight="1" x14ac:dyDescent="0.2">
      <c r="A304" s="480"/>
      <c r="B304" s="119" t="s">
        <v>769</v>
      </c>
      <c r="C304" s="457"/>
      <c r="D304" s="455"/>
      <c r="E304" s="164"/>
      <c r="F304" s="164"/>
      <c r="G304" s="164"/>
      <c r="H304" s="457"/>
      <c r="I304" s="455"/>
      <c r="J304" s="164"/>
      <c r="K304" s="164"/>
      <c r="L304" s="164"/>
      <c r="M304" s="457"/>
      <c r="N304" s="455"/>
      <c r="O304" s="165"/>
      <c r="P304" s="165"/>
      <c r="Q304" s="165"/>
      <c r="R304" s="469"/>
      <c r="S304" s="465"/>
      <c r="T304" s="165"/>
      <c r="U304" s="165"/>
      <c r="V304" s="165"/>
      <c r="W304" s="469"/>
      <c r="X304" s="465"/>
      <c r="Y304" s="165"/>
      <c r="Z304" s="165"/>
      <c r="AA304" s="165"/>
      <c r="AB304" s="469"/>
    </row>
    <row r="305" spans="1:28" ht="18" customHeight="1" x14ac:dyDescent="0.2">
      <c r="A305" s="480"/>
      <c r="B305" s="119" t="s">
        <v>770</v>
      </c>
      <c r="C305" s="457"/>
      <c r="D305" s="455"/>
      <c r="E305" s="164"/>
      <c r="F305" s="164"/>
      <c r="G305" s="164"/>
      <c r="H305" s="457"/>
      <c r="I305" s="455"/>
      <c r="J305" s="164"/>
      <c r="K305" s="164"/>
      <c r="L305" s="164"/>
      <c r="M305" s="457"/>
      <c r="N305" s="455"/>
      <c r="O305" s="165"/>
      <c r="P305" s="165"/>
      <c r="Q305" s="165"/>
      <c r="R305" s="469"/>
      <c r="S305" s="465"/>
      <c r="T305" s="165"/>
      <c r="U305" s="165"/>
      <c r="V305" s="165"/>
      <c r="W305" s="469"/>
      <c r="X305" s="465"/>
      <c r="Y305" s="165"/>
      <c r="Z305" s="165"/>
      <c r="AA305" s="165"/>
      <c r="AB305" s="469"/>
    </row>
    <row r="306" spans="1:28" ht="18" customHeight="1" x14ac:dyDescent="0.2">
      <c r="A306" s="480"/>
      <c r="B306" s="119" t="s">
        <v>771</v>
      </c>
      <c r="C306" s="457"/>
      <c r="D306" s="455"/>
      <c r="E306" s="164"/>
      <c r="F306" s="164"/>
      <c r="G306" s="164"/>
      <c r="H306" s="457"/>
      <c r="I306" s="455"/>
      <c r="J306" s="164"/>
      <c r="K306" s="164"/>
      <c r="L306" s="164"/>
      <c r="M306" s="457"/>
      <c r="N306" s="455"/>
      <c r="O306" s="165"/>
      <c r="P306" s="165"/>
      <c r="Q306" s="165"/>
      <c r="R306" s="469"/>
      <c r="S306" s="465"/>
      <c r="T306" s="165"/>
      <c r="U306" s="165"/>
      <c r="V306" s="165"/>
      <c r="W306" s="469"/>
      <c r="X306" s="465"/>
      <c r="Y306" s="165"/>
      <c r="Z306" s="165"/>
      <c r="AA306" s="165"/>
      <c r="AB306" s="469"/>
    </row>
    <row r="307" spans="1:28" ht="18" customHeight="1" x14ac:dyDescent="0.2">
      <c r="A307" s="480"/>
      <c r="B307" s="119" t="s">
        <v>772</v>
      </c>
      <c r="C307" s="457"/>
      <c r="D307" s="455"/>
      <c r="E307" s="164"/>
      <c r="F307" s="164"/>
      <c r="G307" s="164"/>
      <c r="H307" s="457"/>
      <c r="I307" s="455"/>
      <c r="J307" s="164"/>
      <c r="K307" s="164"/>
      <c r="L307" s="164"/>
      <c r="M307" s="457"/>
      <c r="N307" s="455"/>
      <c r="O307" s="165"/>
      <c r="P307" s="165"/>
      <c r="Q307" s="165"/>
      <c r="R307" s="469"/>
      <c r="S307" s="465"/>
      <c r="T307" s="165"/>
      <c r="U307" s="165"/>
      <c r="V307" s="165"/>
      <c r="W307" s="469"/>
      <c r="X307" s="465"/>
      <c r="Y307" s="165"/>
      <c r="Z307" s="165"/>
      <c r="AA307" s="165"/>
      <c r="AB307" s="469"/>
    </row>
    <row r="308" spans="1:28" ht="18" customHeight="1" x14ac:dyDescent="0.2">
      <c r="A308" s="480"/>
      <c r="B308" s="119" t="s">
        <v>773</v>
      </c>
      <c r="C308" s="457"/>
      <c r="D308" s="455"/>
      <c r="E308" s="164"/>
      <c r="F308" s="164"/>
      <c r="G308" s="164"/>
      <c r="H308" s="457"/>
      <c r="I308" s="455"/>
      <c r="J308" s="164"/>
      <c r="K308" s="164"/>
      <c r="L308" s="164"/>
      <c r="M308" s="457"/>
      <c r="N308" s="455"/>
      <c r="O308" s="165"/>
      <c r="P308" s="165"/>
      <c r="Q308" s="165"/>
      <c r="R308" s="469"/>
      <c r="S308" s="465"/>
      <c r="T308" s="165"/>
      <c r="U308" s="165"/>
      <c r="V308" s="165"/>
      <c r="W308" s="469"/>
      <c r="X308" s="465"/>
      <c r="Y308" s="165"/>
      <c r="Z308" s="165"/>
      <c r="AA308" s="165"/>
      <c r="AB308" s="469"/>
    </row>
    <row r="309" spans="1:28" ht="18" customHeight="1" x14ac:dyDescent="0.2">
      <c r="A309" s="480"/>
      <c r="B309" s="119" t="s">
        <v>774</v>
      </c>
      <c r="C309" s="457"/>
      <c r="D309" s="455"/>
      <c r="E309" s="164"/>
      <c r="F309" s="164"/>
      <c r="G309" s="164"/>
      <c r="H309" s="457"/>
      <c r="I309" s="455"/>
      <c r="J309" s="164"/>
      <c r="K309" s="164"/>
      <c r="L309" s="164"/>
      <c r="M309" s="457"/>
      <c r="N309" s="455"/>
      <c r="O309" s="165"/>
      <c r="P309" s="165"/>
      <c r="Q309" s="165"/>
      <c r="R309" s="469"/>
      <c r="S309" s="465"/>
      <c r="T309" s="165"/>
      <c r="U309" s="165"/>
      <c r="V309" s="165"/>
      <c r="W309" s="469"/>
      <c r="X309" s="465"/>
      <c r="Y309" s="165"/>
      <c r="Z309" s="165"/>
      <c r="AA309" s="165"/>
      <c r="AB309" s="469"/>
    </row>
    <row r="310" spans="1:28" ht="18" customHeight="1" x14ac:dyDescent="0.2">
      <c r="A310" s="480"/>
      <c r="B310" s="119" t="s">
        <v>775</v>
      </c>
      <c r="C310" s="457"/>
      <c r="D310" s="455"/>
      <c r="E310" s="164"/>
      <c r="F310" s="164"/>
      <c r="G310" s="164"/>
      <c r="H310" s="457"/>
      <c r="I310" s="455"/>
      <c r="J310" s="164"/>
      <c r="K310" s="164"/>
      <c r="L310" s="164"/>
      <c r="M310" s="457"/>
      <c r="N310" s="455"/>
      <c r="O310" s="165"/>
      <c r="P310" s="165"/>
      <c r="Q310" s="165"/>
      <c r="R310" s="469"/>
      <c r="S310" s="465"/>
      <c r="T310" s="165"/>
      <c r="U310" s="165"/>
      <c r="V310" s="165"/>
      <c r="W310" s="469"/>
      <c r="X310" s="465"/>
      <c r="Y310" s="165"/>
      <c r="Z310" s="165"/>
      <c r="AA310" s="165"/>
      <c r="AB310" s="469"/>
    </row>
    <row r="311" spans="1:28" ht="21" customHeight="1" x14ac:dyDescent="0.2">
      <c r="A311" s="480"/>
      <c r="B311" s="119" t="s">
        <v>776</v>
      </c>
      <c r="C311" s="457"/>
      <c r="D311" s="455"/>
      <c r="E311" s="164"/>
      <c r="F311" s="164"/>
      <c r="G311" s="164"/>
      <c r="H311" s="457"/>
      <c r="I311" s="455"/>
      <c r="J311" s="164"/>
      <c r="K311" s="164"/>
      <c r="L311" s="164"/>
      <c r="M311" s="457"/>
      <c r="N311" s="455"/>
      <c r="O311" s="165"/>
      <c r="P311" s="165"/>
      <c r="Q311" s="165"/>
      <c r="R311" s="469"/>
      <c r="S311" s="465"/>
      <c r="T311" s="165"/>
      <c r="U311" s="165"/>
      <c r="V311" s="165"/>
      <c r="W311" s="469"/>
      <c r="X311" s="465"/>
      <c r="Y311" s="165"/>
      <c r="Z311" s="165"/>
      <c r="AA311" s="165"/>
      <c r="AB311" s="469"/>
    </row>
    <row r="312" spans="1:28" ht="20.25" customHeight="1" x14ac:dyDescent="0.2">
      <c r="A312" s="480"/>
      <c r="B312" s="119" t="s">
        <v>777</v>
      </c>
      <c r="C312" s="457"/>
      <c r="D312" s="455"/>
      <c r="E312" s="166"/>
      <c r="F312" s="166"/>
      <c r="G312" s="166"/>
      <c r="H312" s="457"/>
      <c r="I312" s="455"/>
      <c r="J312" s="166"/>
      <c r="K312" s="166"/>
      <c r="L312" s="166"/>
      <c r="M312" s="457"/>
      <c r="N312" s="455"/>
      <c r="O312" s="167"/>
      <c r="P312" s="167"/>
      <c r="Q312" s="167"/>
      <c r="R312" s="469"/>
      <c r="S312" s="465"/>
      <c r="T312" s="167"/>
      <c r="U312" s="167"/>
      <c r="V312" s="167"/>
      <c r="W312" s="469"/>
      <c r="X312" s="465"/>
      <c r="Y312" s="167"/>
      <c r="Z312" s="167"/>
      <c r="AA312" s="167"/>
      <c r="AB312" s="469"/>
    </row>
    <row r="313" spans="1:28" ht="15" customHeight="1" x14ac:dyDescent="0.2">
      <c r="A313" s="480"/>
      <c r="B313" s="119" t="s">
        <v>810</v>
      </c>
      <c r="C313" s="457"/>
      <c r="D313" s="455"/>
      <c r="E313" s="166"/>
      <c r="F313" s="166"/>
      <c r="G313" s="166"/>
      <c r="H313" s="457"/>
      <c r="I313" s="455"/>
      <c r="J313" s="166"/>
      <c r="K313" s="166"/>
      <c r="L313" s="166"/>
      <c r="M313" s="457"/>
      <c r="N313" s="455"/>
      <c r="O313" s="167"/>
      <c r="P313" s="167"/>
      <c r="Q313" s="167"/>
      <c r="R313" s="469"/>
      <c r="S313" s="465"/>
      <c r="T313" s="167"/>
      <c r="U313" s="167"/>
      <c r="V313" s="167"/>
      <c r="W313" s="469"/>
      <c r="X313" s="465"/>
      <c r="Y313" s="167"/>
      <c r="Z313" s="167"/>
      <c r="AA313" s="167"/>
      <c r="AB313" s="469"/>
    </row>
    <row r="314" spans="1:28" ht="20.25" customHeight="1" x14ac:dyDescent="0.2">
      <c r="A314" s="480"/>
      <c r="B314" s="119" t="s">
        <v>778</v>
      </c>
      <c r="C314" s="457"/>
      <c r="D314" s="455"/>
      <c r="E314" s="166"/>
      <c r="F314" s="166"/>
      <c r="G314" s="166"/>
      <c r="H314" s="457"/>
      <c r="I314" s="455"/>
      <c r="J314" s="166"/>
      <c r="K314" s="166"/>
      <c r="L314" s="166"/>
      <c r="M314" s="457"/>
      <c r="N314" s="455"/>
      <c r="O314" s="167"/>
      <c r="P314" s="167"/>
      <c r="Q314" s="167"/>
      <c r="R314" s="469"/>
      <c r="S314" s="465"/>
      <c r="T314" s="167"/>
      <c r="U314" s="167"/>
      <c r="V314" s="167"/>
      <c r="W314" s="469"/>
      <c r="X314" s="465"/>
      <c r="Y314" s="167"/>
      <c r="Z314" s="167"/>
      <c r="AA314" s="167"/>
      <c r="AB314" s="469"/>
    </row>
    <row r="315" spans="1:28" ht="17.25" customHeight="1" x14ac:dyDescent="0.2">
      <c r="A315" s="480"/>
      <c r="B315" s="119" t="s">
        <v>779</v>
      </c>
      <c r="C315" s="457"/>
      <c r="D315" s="455"/>
      <c r="E315" s="166"/>
      <c r="F315" s="166"/>
      <c r="G315" s="166"/>
      <c r="H315" s="457"/>
      <c r="I315" s="455"/>
      <c r="J315" s="166"/>
      <c r="K315" s="166"/>
      <c r="L315" s="166"/>
      <c r="M315" s="457"/>
      <c r="N315" s="455"/>
      <c r="O315" s="167"/>
      <c r="P315" s="167"/>
      <c r="Q315" s="167"/>
      <c r="R315" s="469"/>
      <c r="S315" s="465"/>
      <c r="T315" s="167"/>
      <c r="U315" s="167"/>
      <c r="V315" s="167"/>
      <c r="W315" s="469"/>
      <c r="X315" s="465"/>
      <c r="Y315" s="167"/>
      <c r="Z315" s="167"/>
      <c r="AA315" s="167"/>
      <c r="AB315" s="469"/>
    </row>
    <row r="316" spans="1:28" ht="18" customHeight="1" x14ac:dyDescent="0.2">
      <c r="A316" s="480"/>
      <c r="B316" s="119" t="s">
        <v>780</v>
      </c>
      <c r="C316" s="457"/>
      <c r="D316" s="455"/>
      <c r="E316" s="166"/>
      <c r="F316" s="166"/>
      <c r="G316" s="166"/>
      <c r="H316" s="457"/>
      <c r="I316" s="455"/>
      <c r="J316" s="166"/>
      <c r="K316" s="166"/>
      <c r="L316" s="166"/>
      <c r="M316" s="457"/>
      <c r="N316" s="455"/>
      <c r="O316" s="167"/>
      <c r="P316" s="167"/>
      <c r="Q316" s="167"/>
      <c r="R316" s="469"/>
      <c r="S316" s="465"/>
      <c r="T316" s="167"/>
      <c r="U316" s="167"/>
      <c r="V316" s="167"/>
      <c r="W316" s="469"/>
      <c r="X316" s="465"/>
      <c r="Y316" s="167"/>
      <c r="Z316" s="167"/>
      <c r="AA316" s="167"/>
      <c r="AB316" s="469"/>
    </row>
    <row r="317" spans="1:28" ht="18" customHeight="1" x14ac:dyDescent="0.2">
      <c r="A317" s="480"/>
      <c r="B317" s="119" t="s">
        <v>781</v>
      </c>
      <c r="C317" s="457"/>
      <c r="D317" s="455"/>
      <c r="E317" s="166"/>
      <c r="F317" s="166"/>
      <c r="G317" s="166"/>
      <c r="H317" s="457"/>
      <c r="I317" s="455"/>
      <c r="J317" s="166"/>
      <c r="K317" s="166"/>
      <c r="L317" s="166"/>
      <c r="M317" s="457"/>
      <c r="N317" s="455"/>
      <c r="O317" s="167"/>
      <c r="P317" s="167"/>
      <c r="Q317" s="167"/>
      <c r="R317" s="469"/>
      <c r="S317" s="465"/>
      <c r="T317" s="167"/>
      <c r="U317" s="167"/>
      <c r="V317" s="167"/>
      <c r="W317" s="469"/>
      <c r="X317" s="465"/>
      <c r="Y317" s="167"/>
      <c r="Z317" s="167"/>
      <c r="AA317" s="167"/>
      <c r="AB317" s="469"/>
    </row>
    <row r="318" spans="1:28" ht="18" customHeight="1" x14ac:dyDescent="0.2">
      <c r="A318" s="480"/>
      <c r="B318" s="119" t="s">
        <v>782</v>
      </c>
      <c r="C318" s="457"/>
      <c r="D318" s="455"/>
      <c r="E318" s="166"/>
      <c r="F318" s="166"/>
      <c r="G318" s="166"/>
      <c r="H318" s="457"/>
      <c r="I318" s="455"/>
      <c r="J318" s="166"/>
      <c r="K318" s="166"/>
      <c r="L318" s="166"/>
      <c r="M318" s="457"/>
      <c r="N318" s="455"/>
      <c r="O318" s="167"/>
      <c r="P318" s="167"/>
      <c r="Q318" s="167"/>
      <c r="R318" s="469"/>
      <c r="S318" s="465"/>
      <c r="T318" s="167"/>
      <c r="U318" s="167"/>
      <c r="V318" s="167"/>
      <c r="W318" s="469"/>
      <c r="X318" s="465"/>
      <c r="Y318" s="167"/>
      <c r="Z318" s="167"/>
      <c r="AA318" s="167"/>
      <c r="AB318" s="469"/>
    </row>
    <row r="319" spans="1:28" ht="18" customHeight="1" x14ac:dyDescent="0.2">
      <c r="A319" s="480"/>
      <c r="B319" s="119" t="s">
        <v>749</v>
      </c>
      <c r="C319" s="457"/>
      <c r="D319" s="455"/>
      <c r="E319" s="166"/>
      <c r="F319" s="166"/>
      <c r="G319" s="166"/>
      <c r="H319" s="457"/>
      <c r="I319" s="455"/>
      <c r="J319" s="166"/>
      <c r="K319" s="166"/>
      <c r="L319" s="166"/>
      <c r="M319" s="457"/>
      <c r="N319" s="455"/>
      <c r="O319" s="167"/>
      <c r="P319" s="167"/>
      <c r="Q319" s="167"/>
      <c r="R319" s="469"/>
      <c r="S319" s="465"/>
      <c r="T319" s="167"/>
      <c r="U319" s="167"/>
      <c r="V319" s="167"/>
      <c r="W319" s="469"/>
      <c r="X319" s="465"/>
      <c r="Y319" s="167"/>
      <c r="Z319" s="167"/>
      <c r="AA319" s="167"/>
      <c r="AB319" s="469"/>
    </row>
    <row r="320" spans="1:28" ht="18" customHeight="1" x14ac:dyDescent="0.2">
      <c r="A320" s="480"/>
      <c r="B320" s="119" t="s">
        <v>783</v>
      </c>
      <c r="C320" s="457"/>
      <c r="D320" s="455"/>
      <c r="E320" s="166"/>
      <c r="F320" s="166"/>
      <c r="G320" s="166"/>
      <c r="H320" s="457"/>
      <c r="I320" s="455"/>
      <c r="J320" s="166"/>
      <c r="K320" s="166"/>
      <c r="L320" s="166"/>
      <c r="M320" s="457"/>
      <c r="N320" s="455"/>
      <c r="O320" s="167"/>
      <c r="P320" s="167"/>
      <c r="Q320" s="167"/>
      <c r="R320" s="469"/>
      <c r="S320" s="465"/>
      <c r="T320" s="167"/>
      <c r="U320" s="167"/>
      <c r="V320" s="167"/>
      <c r="W320" s="469"/>
      <c r="X320" s="465"/>
      <c r="Y320" s="167"/>
      <c r="Z320" s="167"/>
      <c r="AA320" s="167"/>
      <c r="AB320" s="469"/>
    </row>
    <row r="321" spans="1:28" ht="18" customHeight="1" x14ac:dyDescent="0.2">
      <c r="A321" s="480"/>
      <c r="B321" s="119" t="s">
        <v>784</v>
      </c>
      <c r="C321" s="457"/>
      <c r="D321" s="455"/>
      <c r="E321" s="166"/>
      <c r="F321" s="166"/>
      <c r="G321" s="166"/>
      <c r="H321" s="457"/>
      <c r="I321" s="455"/>
      <c r="J321" s="166"/>
      <c r="K321" s="166"/>
      <c r="L321" s="166"/>
      <c r="M321" s="457"/>
      <c r="N321" s="455"/>
      <c r="O321" s="167"/>
      <c r="P321" s="167"/>
      <c r="Q321" s="167"/>
      <c r="R321" s="469"/>
      <c r="S321" s="465"/>
      <c r="T321" s="167"/>
      <c r="U321" s="167"/>
      <c r="V321" s="167"/>
      <c r="W321" s="469"/>
      <c r="X321" s="465"/>
      <c r="Y321" s="167"/>
      <c r="Z321" s="167"/>
      <c r="AA321" s="167"/>
      <c r="AB321" s="469"/>
    </row>
    <row r="322" spans="1:28" ht="18" customHeight="1" x14ac:dyDescent="0.2">
      <c r="A322" s="480"/>
      <c r="B322" s="119" t="s">
        <v>818</v>
      </c>
      <c r="C322" s="457"/>
      <c r="D322" s="455"/>
      <c r="E322" s="166"/>
      <c r="F322" s="166"/>
      <c r="G322" s="166"/>
      <c r="H322" s="457"/>
      <c r="I322" s="455"/>
      <c r="J322" s="166"/>
      <c r="K322" s="166"/>
      <c r="L322" s="166"/>
      <c r="M322" s="457"/>
      <c r="N322" s="455"/>
      <c r="O322" s="167"/>
      <c r="P322" s="167"/>
      <c r="Q322" s="167"/>
      <c r="R322" s="469"/>
      <c r="S322" s="465"/>
      <c r="T322" s="167"/>
      <c r="U322" s="167"/>
      <c r="V322" s="167"/>
      <c r="W322" s="469"/>
      <c r="X322" s="465"/>
      <c r="Y322" s="167"/>
      <c r="Z322" s="167"/>
      <c r="AA322" s="167"/>
      <c r="AB322" s="469"/>
    </row>
    <row r="323" spans="1:28" ht="18" customHeight="1" x14ac:dyDescent="0.2">
      <c r="A323" s="480"/>
      <c r="B323" s="119" t="s">
        <v>785</v>
      </c>
      <c r="C323" s="457"/>
      <c r="D323" s="455"/>
      <c r="E323" s="166"/>
      <c r="F323" s="166"/>
      <c r="G323" s="166"/>
      <c r="H323" s="457"/>
      <c r="I323" s="455"/>
      <c r="J323" s="166"/>
      <c r="K323" s="166"/>
      <c r="L323" s="166"/>
      <c r="M323" s="457"/>
      <c r="N323" s="455"/>
      <c r="O323" s="167"/>
      <c r="P323" s="167"/>
      <c r="Q323" s="167"/>
      <c r="R323" s="469"/>
      <c r="S323" s="465"/>
      <c r="T323" s="167"/>
      <c r="U323" s="167"/>
      <c r="V323" s="167"/>
      <c r="W323" s="469"/>
      <c r="X323" s="465"/>
      <c r="Y323" s="167"/>
      <c r="Z323" s="167"/>
      <c r="AA323" s="167"/>
      <c r="AB323" s="469"/>
    </row>
    <row r="324" spans="1:28" ht="18" customHeight="1" x14ac:dyDescent="0.2">
      <c r="A324" s="480"/>
      <c r="B324" s="119" t="s">
        <v>786</v>
      </c>
      <c r="C324" s="457"/>
      <c r="D324" s="455"/>
      <c r="E324" s="166"/>
      <c r="F324" s="166"/>
      <c r="G324" s="166"/>
      <c r="H324" s="457"/>
      <c r="I324" s="455"/>
      <c r="J324" s="166"/>
      <c r="K324" s="166"/>
      <c r="L324" s="166"/>
      <c r="M324" s="457"/>
      <c r="N324" s="455"/>
      <c r="O324" s="167"/>
      <c r="P324" s="167"/>
      <c r="Q324" s="167"/>
      <c r="R324" s="469"/>
      <c r="S324" s="465"/>
      <c r="T324" s="167"/>
      <c r="U324" s="167"/>
      <c r="V324" s="167"/>
      <c r="W324" s="469"/>
      <c r="X324" s="465"/>
      <c r="Y324" s="167"/>
      <c r="Z324" s="167"/>
      <c r="AA324" s="167"/>
      <c r="AB324" s="469"/>
    </row>
    <row r="325" spans="1:28" ht="17.25" customHeight="1" x14ac:dyDescent="0.2">
      <c r="A325" s="480"/>
      <c r="B325" s="119" t="s">
        <v>817</v>
      </c>
      <c r="C325" s="457"/>
      <c r="D325" s="455"/>
      <c r="E325" s="166"/>
      <c r="F325" s="166"/>
      <c r="G325" s="166"/>
      <c r="H325" s="457"/>
      <c r="I325" s="455"/>
      <c r="J325" s="166"/>
      <c r="K325" s="166"/>
      <c r="L325" s="166"/>
      <c r="M325" s="457"/>
      <c r="N325" s="455"/>
      <c r="O325" s="167"/>
      <c r="P325" s="167"/>
      <c r="Q325" s="167"/>
      <c r="R325" s="469"/>
      <c r="S325" s="465"/>
      <c r="T325" s="167"/>
      <c r="U325" s="167"/>
      <c r="V325" s="167"/>
      <c r="W325" s="469"/>
      <c r="X325" s="465"/>
      <c r="Y325" s="167"/>
      <c r="Z325" s="167"/>
      <c r="AA325" s="167"/>
      <c r="AB325" s="469"/>
    </row>
    <row r="326" spans="1:28" ht="18" customHeight="1" x14ac:dyDescent="0.2">
      <c r="A326" s="508"/>
      <c r="B326" s="118" t="s">
        <v>138</v>
      </c>
      <c r="C326" s="457"/>
      <c r="D326" s="455"/>
      <c r="E326" s="166"/>
      <c r="F326" s="166"/>
      <c r="G326" s="166"/>
      <c r="H326" s="457"/>
      <c r="I326" s="455"/>
      <c r="J326" s="166"/>
      <c r="K326" s="166"/>
      <c r="L326" s="166"/>
      <c r="M326" s="457"/>
      <c r="N326" s="455"/>
      <c r="O326" s="167"/>
      <c r="P326" s="167"/>
      <c r="Q326" s="167"/>
      <c r="R326" s="469"/>
      <c r="S326" s="465"/>
      <c r="T326" s="167"/>
      <c r="U326" s="167"/>
      <c r="V326" s="167"/>
      <c r="W326" s="469"/>
      <c r="X326" s="465"/>
      <c r="Y326" s="167"/>
      <c r="Z326" s="167"/>
      <c r="AA326" s="167"/>
      <c r="AB326" s="469"/>
    </row>
    <row r="327" spans="1:28" ht="18" customHeight="1" x14ac:dyDescent="0.2">
      <c r="A327" s="480"/>
      <c r="B327" s="119" t="s">
        <v>819</v>
      </c>
      <c r="C327" s="457"/>
      <c r="D327" s="455"/>
      <c r="E327" s="166"/>
      <c r="F327" s="166"/>
      <c r="G327" s="166"/>
      <c r="H327" s="457"/>
      <c r="I327" s="455"/>
      <c r="J327" s="166"/>
      <c r="K327" s="166"/>
      <c r="L327" s="166"/>
      <c r="M327" s="457"/>
      <c r="N327" s="455"/>
      <c r="O327" s="167"/>
      <c r="P327" s="167"/>
      <c r="Q327" s="167"/>
      <c r="R327" s="469"/>
      <c r="S327" s="465"/>
      <c r="T327" s="167"/>
      <c r="U327" s="167"/>
      <c r="V327" s="167"/>
      <c r="W327" s="469"/>
      <c r="X327" s="465"/>
      <c r="Y327" s="167"/>
      <c r="Z327" s="167"/>
      <c r="AA327" s="167"/>
      <c r="AB327" s="469"/>
    </row>
    <row r="328" spans="1:28" ht="18" customHeight="1" x14ac:dyDescent="0.2">
      <c r="A328" s="480"/>
      <c r="B328" s="119" t="s">
        <v>820</v>
      </c>
      <c r="C328" s="457"/>
      <c r="D328" s="455"/>
      <c r="E328" s="166"/>
      <c r="F328" s="166"/>
      <c r="G328" s="166"/>
      <c r="H328" s="457"/>
      <c r="I328" s="455"/>
      <c r="J328" s="166"/>
      <c r="K328" s="166"/>
      <c r="L328" s="166"/>
      <c r="M328" s="457"/>
      <c r="N328" s="455"/>
      <c r="O328" s="167"/>
      <c r="P328" s="167"/>
      <c r="Q328" s="167"/>
      <c r="R328" s="469"/>
      <c r="S328" s="465"/>
      <c r="T328" s="167"/>
      <c r="U328" s="167"/>
      <c r="V328" s="167"/>
      <c r="W328" s="469"/>
      <c r="X328" s="465"/>
      <c r="Y328" s="167"/>
      <c r="Z328" s="167"/>
      <c r="AA328" s="167"/>
      <c r="AB328" s="469"/>
    </row>
    <row r="329" spans="1:28" ht="18" customHeight="1" x14ac:dyDescent="0.2">
      <c r="A329" s="480"/>
      <c r="B329" s="119" t="s">
        <v>787</v>
      </c>
      <c r="C329" s="457"/>
      <c r="D329" s="455"/>
      <c r="E329" s="166"/>
      <c r="F329" s="166"/>
      <c r="G329" s="166"/>
      <c r="H329" s="457"/>
      <c r="I329" s="455"/>
      <c r="J329" s="166"/>
      <c r="K329" s="166"/>
      <c r="L329" s="166"/>
      <c r="M329" s="457"/>
      <c r="N329" s="455"/>
      <c r="O329" s="167"/>
      <c r="P329" s="167"/>
      <c r="Q329" s="167"/>
      <c r="R329" s="469"/>
      <c r="S329" s="465"/>
      <c r="T329" s="167"/>
      <c r="U329" s="167"/>
      <c r="V329" s="167"/>
      <c r="W329" s="469"/>
      <c r="X329" s="465"/>
      <c r="Y329" s="167"/>
      <c r="Z329" s="167"/>
      <c r="AA329" s="167"/>
      <c r="AB329" s="469"/>
    </row>
    <row r="330" spans="1:28" ht="18" customHeight="1" x14ac:dyDescent="0.2">
      <c r="A330" s="480"/>
      <c r="B330" s="119" t="s">
        <v>788</v>
      </c>
      <c r="C330" s="457"/>
      <c r="D330" s="455"/>
      <c r="E330" s="166"/>
      <c r="F330" s="166"/>
      <c r="G330" s="166"/>
      <c r="H330" s="457"/>
      <c r="I330" s="455"/>
      <c r="J330" s="166"/>
      <c r="K330" s="166"/>
      <c r="L330" s="166"/>
      <c r="M330" s="457"/>
      <c r="N330" s="455"/>
      <c r="O330" s="167"/>
      <c r="P330" s="167"/>
      <c r="Q330" s="167"/>
      <c r="R330" s="469"/>
      <c r="S330" s="465"/>
      <c r="T330" s="167"/>
      <c r="U330" s="167"/>
      <c r="V330" s="167"/>
      <c r="W330" s="469"/>
      <c r="X330" s="465"/>
      <c r="Y330" s="167"/>
      <c r="Z330" s="167"/>
      <c r="AA330" s="167"/>
      <c r="AB330" s="469"/>
    </row>
    <row r="331" spans="1:28" ht="18" customHeight="1" x14ac:dyDescent="0.2">
      <c r="A331" s="480"/>
      <c r="B331" s="119" t="s">
        <v>789</v>
      </c>
      <c r="C331" s="457"/>
      <c r="D331" s="455"/>
      <c r="E331" s="166"/>
      <c r="F331" s="166"/>
      <c r="G331" s="166"/>
      <c r="H331" s="457"/>
      <c r="I331" s="455"/>
      <c r="J331" s="166"/>
      <c r="K331" s="166"/>
      <c r="L331" s="166"/>
      <c r="M331" s="457"/>
      <c r="N331" s="455"/>
      <c r="O331" s="167"/>
      <c r="P331" s="167"/>
      <c r="Q331" s="167"/>
      <c r="R331" s="469"/>
      <c r="S331" s="465"/>
      <c r="T331" s="167"/>
      <c r="U331" s="167"/>
      <c r="V331" s="167"/>
      <c r="W331" s="469"/>
      <c r="X331" s="465"/>
      <c r="Y331" s="167"/>
      <c r="Z331" s="167"/>
      <c r="AA331" s="167"/>
      <c r="AB331" s="469"/>
    </row>
    <row r="332" spans="1:28" ht="18" customHeight="1" x14ac:dyDescent="0.2">
      <c r="A332" s="480"/>
      <c r="B332" s="119" t="s">
        <v>790</v>
      </c>
      <c r="C332" s="457"/>
      <c r="D332" s="455"/>
      <c r="E332" s="166"/>
      <c r="F332" s="166"/>
      <c r="G332" s="166"/>
      <c r="H332" s="457"/>
      <c r="I332" s="455"/>
      <c r="J332" s="166"/>
      <c r="K332" s="166"/>
      <c r="L332" s="166"/>
      <c r="M332" s="457"/>
      <c r="N332" s="455"/>
      <c r="O332" s="167"/>
      <c r="P332" s="167"/>
      <c r="Q332" s="167"/>
      <c r="R332" s="469"/>
      <c r="S332" s="465"/>
      <c r="T332" s="167"/>
      <c r="U332" s="167"/>
      <c r="V332" s="167"/>
      <c r="W332" s="469"/>
      <c r="X332" s="465"/>
      <c r="Y332" s="167"/>
      <c r="Z332" s="167"/>
      <c r="AA332" s="167"/>
      <c r="AB332" s="469"/>
    </row>
    <row r="333" spans="1:28" ht="22.5" customHeight="1" x14ac:dyDescent="0.2">
      <c r="A333" s="480"/>
      <c r="B333" s="119" t="s">
        <v>791</v>
      </c>
      <c r="C333" s="457"/>
      <c r="D333" s="455"/>
      <c r="E333" s="166"/>
      <c r="F333" s="166"/>
      <c r="G333" s="166"/>
      <c r="H333" s="457"/>
      <c r="I333" s="455"/>
      <c r="J333" s="166"/>
      <c r="K333" s="166"/>
      <c r="L333" s="166"/>
      <c r="M333" s="457"/>
      <c r="N333" s="455"/>
      <c r="O333" s="167"/>
      <c r="P333" s="167"/>
      <c r="Q333" s="167"/>
      <c r="R333" s="469"/>
      <c r="S333" s="465"/>
      <c r="T333" s="167"/>
      <c r="U333" s="167"/>
      <c r="V333" s="167"/>
      <c r="W333" s="469"/>
      <c r="X333" s="465"/>
      <c r="Y333" s="167"/>
      <c r="Z333" s="167"/>
      <c r="AA333" s="167"/>
      <c r="AB333" s="469"/>
    </row>
    <row r="334" spans="1:28" ht="18" customHeight="1" x14ac:dyDescent="0.2">
      <c r="A334" s="480"/>
      <c r="B334" s="119" t="s">
        <v>792</v>
      </c>
      <c r="C334" s="457"/>
      <c r="D334" s="455"/>
      <c r="E334" s="166"/>
      <c r="F334" s="166"/>
      <c r="G334" s="166"/>
      <c r="H334" s="457"/>
      <c r="I334" s="455"/>
      <c r="J334" s="166"/>
      <c r="K334" s="166"/>
      <c r="L334" s="166"/>
      <c r="M334" s="457"/>
      <c r="N334" s="455"/>
      <c r="O334" s="167"/>
      <c r="P334" s="167"/>
      <c r="Q334" s="167"/>
      <c r="R334" s="469"/>
      <c r="S334" s="465"/>
      <c r="T334" s="167"/>
      <c r="U334" s="167"/>
      <c r="V334" s="167"/>
      <c r="W334" s="469"/>
      <c r="X334" s="465"/>
      <c r="Y334" s="167"/>
      <c r="Z334" s="167"/>
      <c r="AA334" s="167"/>
      <c r="AB334" s="469"/>
    </row>
    <row r="335" spans="1:28" ht="18" customHeight="1" x14ac:dyDescent="0.2">
      <c r="A335" s="480"/>
      <c r="B335" s="119" t="s">
        <v>793</v>
      </c>
      <c r="C335" s="457"/>
      <c r="D335" s="455"/>
      <c r="E335" s="166"/>
      <c r="F335" s="166"/>
      <c r="G335" s="166"/>
      <c r="H335" s="457"/>
      <c r="I335" s="455"/>
      <c r="J335" s="166"/>
      <c r="K335" s="166"/>
      <c r="L335" s="166"/>
      <c r="M335" s="457"/>
      <c r="N335" s="455"/>
      <c r="O335" s="167"/>
      <c r="P335" s="167"/>
      <c r="Q335" s="167"/>
      <c r="R335" s="469"/>
      <c r="S335" s="465"/>
      <c r="T335" s="167"/>
      <c r="U335" s="167"/>
      <c r="V335" s="167"/>
      <c r="W335" s="469"/>
      <c r="X335" s="465"/>
      <c r="Y335" s="167"/>
      <c r="Z335" s="167"/>
      <c r="AA335" s="167"/>
      <c r="AB335" s="469"/>
    </row>
    <row r="336" spans="1:28" ht="18" customHeight="1" x14ac:dyDescent="0.2">
      <c r="A336" s="480"/>
      <c r="B336" s="119" t="s">
        <v>794</v>
      </c>
      <c r="C336" s="457"/>
      <c r="D336" s="455"/>
      <c r="E336" s="166"/>
      <c r="F336" s="166"/>
      <c r="G336" s="166"/>
      <c r="H336" s="457"/>
      <c r="I336" s="455"/>
      <c r="J336" s="166"/>
      <c r="K336" s="166"/>
      <c r="L336" s="166"/>
      <c r="M336" s="457"/>
      <c r="N336" s="455"/>
      <c r="O336" s="167"/>
      <c r="P336" s="167"/>
      <c r="Q336" s="167"/>
      <c r="R336" s="469"/>
      <c r="S336" s="465"/>
      <c r="T336" s="167"/>
      <c r="U336" s="167"/>
      <c r="V336" s="167"/>
      <c r="W336" s="469"/>
      <c r="X336" s="465"/>
      <c r="Y336" s="167"/>
      <c r="Z336" s="167"/>
      <c r="AA336" s="167"/>
      <c r="AB336" s="469"/>
    </row>
    <row r="337" spans="1:28" ht="18" customHeight="1" x14ac:dyDescent="0.2">
      <c r="A337" s="480"/>
      <c r="B337" s="119" t="s">
        <v>795</v>
      </c>
      <c r="C337" s="457"/>
      <c r="D337" s="455"/>
      <c r="E337" s="166"/>
      <c r="F337" s="166"/>
      <c r="G337" s="166"/>
      <c r="H337" s="457"/>
      <c r="I337" s="455"/>
      <c r="J337" s="166"/>
      <c r="K337" s="166"/>
      <c r="L337" s="166"/>
      <c r="M337" s="457"/>
      <c r="N337" s="455"/>
      <c r="O337" s="167"/>
      <c r="P337" s="167"/>
      <c r="Q337" s="167"/>
      <c r="R337" s="469"/>
      <c r="S337" s="465"/>
      <c r="T337" s="167"/>
      <c r="U337" s="167"/>
      <c r="V337" s="167"/>
      <c r="W337" s="469"/>
      <c r="X337" s="465"/>
      <c r="Y337" s="167"/>
      <c r="Z337" s="167"/>
      <c r="AA337" s="167"/>
      <c r="AB337" s="469"/>
    </row>
    <row r="338" spans="1:28" ht="18" customHeight="1" x14ac:dyDescent="0.2">
      <c r="A338" s="480"/>
      <c r="B338" s="119" t="s">
        <v>796</v>
      </c>
      <c r="C338" s="457"/>
      <c r="D338" s="455"/>
      <c r="E338" s="166"/>
      <c r="F338" s="166"/>
      <c r="G338" s="166"/>
      <c r="H338" s="457"/>
      <c r="I338" s="455"/>
      <c r="J338" s="166"/>
      <c r="K338" s="166"/>
      <c r="L338" s="166"/>
      <c r="M338" s="457"/>
      <c r="N338" s="455"/>
      <c r="O338" s="167"/>
      <c r="P338" s="167"/>
      <c r="Q338" s="167"/>
      <c r="R338" s="469"/>
      <c r="S338" s="465"/>
      <c r="T338" s="167"/>
      <c r="U338" s="167"/>
      <c r="V338" s="167"/>
      <c r="W338" s="469"/>
      <c r="X338" s="465"/>
      <c r="Y338" s="167"/>
      <c r="Z338" s="167"/>
      <c r="AA338" s="167"/>
      <c r="AB338" s="469"/>
    </row>
    <row r="339" spans="1:28" ht="18" customHeight="1" x14ac:dyDescent="0.2">
      <c r="A339" s="480"/>
      <c r="B339" s="119" t="s">
        <v>797</v>
      </c>
      <c r="C339" s="457"/>
      <c r="D339" s="455"/>
      <c r="E339" s="166"/>
      <c r="F339" s="166"/>
      <c r="G339" s="166"/>
      <c r="H339" s="457"/>
      <c r="I339" s="455"/>
      <c r="J339" s="166"/>
      <c r="K339" s="166"/>
      <c r="L339" s="166"/>
      <c r="M339" s="457"/>
      <c r="N339" s="455"/>
      <c r="O339" s="167"/>
      <c r="P339" s="167"/>
      <c r="Q339" s="167"/>
      <c r="R339" s="469"/>
      <c r="S339" s="465"/>
      <c r="T339" s="167"/>
      <c r="U339" s="167"/>
      <c r="V339" s="167"/>
      <c r="W339" s="469"/>
      <c r="X339" s="465"/>
      <c r="Y339" s="167"/>
      <c r="Z339" s="167"/>
      <c r="AA339" s="167"/>
      <c r="AB339" s="469"/>
    </row>
    <row r="340" spans="1:28" ht="18" customHeight="1" x14ac:dyDescent="0.2">
      <c r="A340" s="480"/>
      <c r="B340" s="119" t="s">
        <v>798</v>
      </c>
      <c r="C340" s="457"/>
      <c r="D340" s="455"/>
      <c r="E340" s="166"/>
      <c r="F340" s="166"/>
      <c r="G340" s="166"/>
      <c r="H340" s="457"/>
      <c r="I340" s="455"/>
      <c r="J340" s="166"/>
      <c r="K340" s="166"/>
      <c r="L340" s="166"/>
      <c r="M340" s="457"/>
      <c r="N340" s="455"/>
      <c r="O340" s="167"/>
      <c r="P340" s="167"/>
      <c r="Q340" s="167"/>
      <c r="R340" s="469"/>
      <c r="S340" s="465"/>
      <c r="T340" s="167"/>
      <c r="U340" s="167"/>
      <c r="V340" s="167"/>
      <c r="W340" s="469"/>
      <c r="X340" s="465"/>
      <c r="Y340" s="167"/>
      <c r="Z340" s="167"/>
      <c r="AA340" s="167"/>
      <c r="AB340" s="469"/>
    </row>
    <row r="341" spans="1:28" ht="18" customHeight="1" x14ac:dyDescent="0.2">
      <c r="A341" s="480"/>
      <c r="B341" s="119" t="s">
        <v>799</v>
      </c>
      <c r="C341" s="457"/>
      <c r="D341" s="455"/>
      <c r="E341" s="166"/>
      <c r="F341" s="166"/>
      <c r="G341" s="166"/>
      <c r="H341" s="457"/>
      <c r="I341" s="455"/>
      <c r="J341" s="166"/>
      <c r="K341" s="166"/>
      <c r="L341" s="166"/>
      <c r="M341" s="457"/>
      <c r="N341" s="455"/>
      <c r="O341" s="167"/>
      <c r="P341" s="167"/>
      <c r="Q341" s="167"/>
      <c r="R341" s="469"/>
      <c r="S341" s="465"/>
      <c r="T341" s="167"/>
      <c r="U341" s="167"/>
      <c r="V341" s="167"/>
      <c r="W341" s="469"/>
      <c r="X341" s="465"/>
      <c r="Y341" s="167"/>
      <c r="Z341" s="167"/>
      <c r="AA341" s="167"/>
      <c r="AB341" s="469"/>
    </row>
    <row r="342" spans="1:28" ht="16.149999999999999" customHeight="1" x14ac:dyDescent="0.2">
      <c r="A342" s="480"/>
      <c r="B342" s="119" t="s">
        <v>800</v>
      </c>
      <c r="C342" s="457"/>
      <c r="D342" s="455"/>
      <c r="E342" s="166"/>
      <c r="F342" s="166"/>
      <c r="G342" s="166"/>
      <c r="H342" s="457"/>
      <c r="I342" s="455"/>
      <c r="J342" s="166"/>
      <c r="K342" s="166"/>
      <c r="L342" s="166"/>
      <c r="M342" s="457"/>
      <c r="N342" s="455"/>
      <c r="O342" s="167"/>
      <c r="P342" s="167"/>
      <c r="Q342" s="167"/>
      <c r="R342" s="469"/>
      <c r="S342" s="465"/>
      <c r="T342" s="167"/>
      <c r="U342" s="167"/>
      <c r="V342" s="167"/>
      <c r="W342" s="469"/>
      <c r="X342" s="465"/>
      <c r="Y342" s="167"/>
      <c r="Z342" s="167"/>
      <c r="AA342" s="167"/>
      <c r="AB342" s="469"/>
    </row>
    <row r="343" spans="1:28" ht="16.149999999999999" customHeight="1" x14ac:dyDescent="0.2">
      <c r="A343" s="480"/>
      <c r="B343" s="119" t="s">
        <v>801</v>
      </c>
      <c r="C343" s="457"/>
      <c r="D343" s="455"/>
      <c r="E343" s="166"/>
      <c r="F343" s="166"/>
      <c r="G343" s="166"/>
      <c r="H343" s="457"/>
      <c r="I343" s="455"/>
      <c r="J343" s="166"/>
      <c r="K343" s="166"/>
      <c r="L343" s="166"/>
      <c r="M343" s="457"/>
      <c r="N343" s="455"/>
      <c r="O343" s="167"/>
      <c r="P343" s="167"/>
      <c r="Q343" s="167"/>
      <c r="R343" s="469"/>
      <c r="S343" s="465"/>
      <c r="T343" s="167"/>
      <c r="U343" s="167"/>
      <c r="V343" s="167"/>
      <c r="W343" s="469"/>
      <c r="X343" s="465"/>
      <c r="Y343" s="167"/>
      <c r="Z343" s="167"/>
      <c r="AA343" s="167"/>
      <c r="AB343" s="469"/>
    </row>
    <row r="344" spans="1:28" ht="16.149999999999999" customHeight="1" x14ac:dyDescent="0.2">
      <c r="A344" s="480"/>
      <c r="B344" s="119" t="s">
        <v>802</v>
      </c>
      <c r="C344" s="457"/>
      <c r="D344" s="455"/>
      <c r="E344" s="166"/>
      <c r="F344" s="166"/>
      <c r="G344" s="166"/>
      <c r="H344" s="457"/>
      <c r="I344" s="455"/>
      <c r="J344" s="166"/>
      <c r="K344" s="166"/>
      <c r="L344" s="166"/>
      <c r="M344" s="457"/>
      <c r="N344" s="455"/>
      <c r="O344" s="167"/>
      <c r="P344" s="167"/>
      <c r="Q344" s="167"/>
      <c r="R344" s="469"/>
      <c r="S344" s="465"/>
      <c r="T344" s="167"/>
      <c r="U344" s="167"/>
      <c r="V344" s="167"/>
      <c r="W344" s="469"/>
      <c r="X344" s="465"/>
      <c r="Y344" s="167"/>
      <c r="Z344" s="167"/>
      <c r="AA344" s="167"/>
      <c r="AB344" s="469"/>
    </row>
    <row r="345" spans="1:28" ht="16.149999999999999" customHeight="1" x14ac:dyDescent="0.2">
      <c r="A345" s="480"/>
      <c r="B345" s="119" t="s">
        <v>803</v>
      </c>
      <c r="C345" s="457"/>
      <c r="D345" s="455"/>
      <c r="E345" s="166"/>
      <c r="F345" s="166"/>
      <c r="G345" s="166"/>
      <c r="H345" s="457"/>
      <c r="I345" s="455"/>
      <c r="J345" s="166"/>
      <c r="K345" s="166"/>
      <c r="L345" s="166"/>
      <c r="M345" s="457"/>
      <c r="N345" s="455"/>
      <c r="O345" s="167"/>
      <c r="P345" s="167"/>
      <c r="Q345" s="167"/>
      <c r="R345" s="469"/>
      <c r="S345" s="465"/>
      <c r="T345" s="167"/>
      <c r="U345" s="167"/>
      <c r="V345" s="167"/>
      <c r="W345" s="469"/>
      <c r="X345" s="465"/>
      <c r="Y345" s="167"/>
      <c r="Z345" s="167"/>
      <c r="AA345" s="167"/>
      <c r="AB345" s="469"/>
    </row>
    <row r="346" spans="1:28" ht="16.149999999999999" customHeight="1" x14ac:dyDescent="0.2">
      <c r="A346" s="480"/>
      <c r="B346" s="119" t="s">
        <v>804</v>
      </c>
      <c r="C346" s="457"/>
      <c r="D346" s="455"/>
      <c r="E346" s="166"/>
      <c r="F346" s="166"/>
      <c r="G346" s="166"/>
      <c r="H346" s="457"/>
      <c r="I346" s="455"/>
      <c r="J346" s="166"/>
      <c r="K346" s="166"/>
      <c r="L346" s="166"/>
      <c r="M346" s="457"/>
      <c r="N346" s="455"/>
      <c r="O346" s="167"/>
      <c r="P346" s="167"/>
      <c r="Q346" s="167"/>
      <c r="R346" s="469"/>
      <c r="S346" s="465"/>
      <c r="T346" s="167"/>
      <c r="U346" s="167"/>
      <c r="V346" s="167"/>
      <c r="W346" s="469"/>
      <c r="X346" s="465"/>
      <c r="Y346" s="167"/>
      <c r="Z346" s="167"/>
      <c r="AA346" s="167"/>
      <c r="AB346" s="469"/>
    </row>
    <row r="347" spans="1:28" ht="16.149999999999999" customHeight="1" x14ac:dyDescent="0.2">
      <c r="A347" s="480"/>
      <c r="B347" s="119" t="s">
        <v>805</v>
      </c>
      <c r="C347" s="457"/>
      <c r="D347" s="455"/>
      <c r="E347" s="166"/>
      <c r="F347" s="166"/>
      <c r="G347" s="166"/>
      <c r="H347" s="457"/>
      <c r="I347" s="455"/>
      <c r="J347" s="166"/>
      <c r="K347" s="166"/>
      <c r="L347" s="166"/>
      <c r="M347" s="457"/>
      <c r="N347" s="455"/>
      <c r="O347" s="167"/>
      <c r="P347" s="167"/>
      <c r="Q347" s="167"/>
      <c r="R347" s="469"/>
      <c r="S347" s="465"/>
      <c r="T347" s="167"/>
      <c r="U347" s="167"/>
      <c r="V347" s="167"/>
      <c r="W347" s="469"/>
      <c r="X347" s="465"/>
      <c r="Y347" s="167"/>
      <c r="Z347" s="167"/>
      <c r="AA347" s="167"/>
      <c r="AB347" s="469"/>
    </row>
    <row r="348" spans="1:28" ht="16.149999999999999" customHeight="1" x14ac:dyDescent="0.2">
      <c r="A348" s="480"/>
      <c r="B348" s="119" t="s">
        <v>806</v>
      </c>
      <c r="C348" s="457"/>
      <c r="D348" s="455"/>
      <c r="E348" s="166"/>
      <c r="F348" s="166"/>
      <c r="G348" s="166"/>
      <c r="H348" s="457"/>
      <c r="I348" s="455"/>
      <c r="J348" s="166"/>
      <c r="K348" s="166"/>
      <c r="L348" s="166"/>
      <c r="M348" s="457"/>
      <c r="N348" s="455"/>
      <c r="O348" s="167"/>
      <c r="P348" s="167"/>
      <c r="Q348" s="167"/>
      <c r="R348" s="469"/>
      <c r="S348" s="465"/>
      <c r="T348" s="167"/>
      <c r="U348" s="167"/>
      <c r="V348" s="167"/>
      <c r="W348" s="469"/>
      <c r="X348" s="465"/>
      <c r="Y348" s="167"/>
      <c r="Z348" s="167"/>
      <c r="AA348" s="167"/>
      <c r="AB348" s="469"/>
    </row>
    <row r="349" spans="1:28" ht="16.149999999999999" customHeight="1" x14ac:dyDescent="0.2">
      <c r="A349" s="480"/>
      <c r="B349" s="119" t="s">
        <v>807</v>
      </c>
      <c r="C349" s="457"/>
      <c r="D349" s="455"/>
      <c r="E349" s="166"/>
      <c r="F349" s="166"/>
      <c r="G349" s="166"/>
      <c r="H349" s="457"/>
      <c r="I349" s="455"/>
      <c r="J349" s="166"/>
      <c r="K349" s="166"/>
      <c r="L349" s="166"/>
      <c r="M349" s="457"/>
      <c r="N349" s="455"/>
      <c r="O349" s="167"/>
      <c r="P349" s="167"/>
      <c r="Q349" s="167"/>
      <c r="R349" s="469"/>
      <c r="S349" s="465"/>
      <c r="T349" s="167"/>
      <c r="U349" s="167"/>
      <c r="V349" s="167"/>
      <c r="W349" s="469"/>
      <c r="X349" s="465"/>
      <c r="Y349" s="167"/>
      <c r="Z349" s="167"/>
      <c r="AA349" s="167"/>
      <c r="AB349" s="469"/>
    </row>
    <row r="350" spans="1:28" ht="16.149999999999999" customHeight="1" x14ac:dyDescent="0.2">
      <c r="A350" s="480"/>
      <c r="B350" s="119" t="s">
        <v>808</v>
      </c>
      <c r="C350" s="457"/>
      <c r="D350" s="455"/>
      <c r="E350" s="166"/>
      <c r="F350" s="166"/>
      <c r="G350" s="166"/>
      <c r="H350" s="457"/>
      <c r="I350" s="455"/>
      <c r="J350" s="166"/>
      <c r="K350" s="166"/>
      <c r="L350" s="166"/>
      <c r="M350" s="457"/>
      <c r="N350" s="455"/>
      <c r="O350" s="167"/>
      <c r="P350" s="167"/>
      <c r="Q350" s="167"/>
      <c r="R350" s="469"/>
      <c r="S350" s="465"/>
      <c r="T350" s="167"/>
      <c r="U350" s="167"/>
      <c r="V350" s="167"/>
      <c r="W350" s="469"/>
      <c r="X350" s="465"/>
      <c r="Y350" s="167"/>
      <c r="Z350" s="167"/>
      <c r="AA350" s="167"/>
      <c r="AB350" s="469"/>
    </row>
    <row r="351" spans="1:28" ht="16.149999999999999" customHeight="1" x14ac:dyDescent="0.2">
      <c r="A351" s="480"/>
      <c r="B351" s="119" t="s">
        <v>809</v>
      </c>
      <c r="C351" s="457"/>
      <c r="D351" s="455"/>
      <c r="E351" s="166"/>
      <c r="F351" s="166"/>
      <c r="G351" s="166"/>
      <c r="H351" s="457"/>
      <c r="I351" s="455"/>
      <c r="J351" s="166"/>
      <c r="K351" s="166"/>
      <c r="L351" s="166"/>
      <c r="M351" s="457"/>
      <c r="N351" s="455"/>
      <c r="O351" s="167"/>
      <c r="P351" s="167"/>
      <c r="Q351" s="167"/>
      <c r="R351" s="469"/>
      <c r="S351" s="465"/>
      <c r="T351" s="167"/>
      <c r="U351" s="167"/>
      <c r="V351" s="167"/>
      <c r="W351" s="469"/>
      <c r="X351" s="465"/>
      <c r="Y351" s="167"/>
      <c r="Z351" s="167"/>
      <c r="AA351" s="167"/>
      <c r="AB351" s="469"/>
    </row>
    <row r="352" spans="1:28" ht="16.149999999999999" customHeight="1" x14ac:dyDescent="0.2">
      <c r="A352" s="480"/>
      <c r="B352" s="119" t="s">
        <v>828</v>
      </c>
      <c r="C352" s="457"/>
      <c r="D352" s="455"/>
      <c r="E352" s="166"/>
      <c r="F352" s="166"/>
      <c r="G352" s="166"/>
      <c r="H352" s="457"/>
      <c r="I352" s="455"/>
      <c r="J352" s="166"/>
      <c r="K352" s="166"/>
      <c r="L352" s="166"/>
      <c r="M352" s="457"/>
      <c r="N352" s="455"/>
      <c r="O352" s="167"/>
      <c r="P352" s="167"/>
      <c r="Q352" s="167"/>
      <c r="R352" s="469"/>
      <c r="S352" s="465"/>
      <c r="T352" s="167"/>
      <c r="U352" s="167"/>
      <c r="V352" s="167"/>
      <c r="W352" s="469"/>
      <c r="X352" s="465"/>
      <c r="Y352" s="167"/>
      <c r="Z352" s="167"/>
      <c r="AA352" s="167"/>
      <c r="AB352" s="469"/>
    </row>
    <row r="353" spans="1:28" ht="16.149999999999999" customHeight="1" x14ac:dyDescent="0.2">
      <c r="A353" s="480"/>
      <c r="B353" s="119" t="s">
        <v>811</v>
      </c>
      <c r="C353" s="457"/>
      <c r="D353" s="455"/>
      <c r="E353" s="166"/>
      <c r="F353" s="166"/>
      <c r="G353" s="166"/>
      <c r="H353" s="457"/>
      <c r="I353" s="455"/>
      <c r="J353" s="166"/>
      <c r="K353" s="166"/>
      <c r="L353" s="166"/>
      <c r="M353" s="457"/>
      <c r="N353" s="455"/>
      <c r="O353" s="167"/>
      <c r="P353" s="167"/>
      <c r="Q353" s="167"/>
      <c r="R353" s="469"/>
      <c r="S353" s="465"/>
      <c r="T353" s="167"/>
      <c r="U353" s="167"/>
      <c r="V353" s="167"/>
      <c r="W353" s="469"/>
      <c r="X353" s="465"/>
      <c r="Y353" s="167"/>
      <c r="Z353" s="167"/>
      <c r="AA353" s="167"/>
      <c r="AB353" s="469"/>
    </row>
    <row r="354" spans="1:28" ht="16.149999999999999" customHeight="1" x14ac:dyDescent="0.2">
      <c r="A354" s="480"/>
      <c r="B354" s="119" t="s">
        <v>826</v>
      </c>
      <c r="C354" s="457"/>
      <c r="D354" s="455"/>
      <c r="E354" s="166"/>
      <c r="F354" s="166"/>
      <c r="G354" s="166"/>
      <c r="H354" s="457"/>
      <c r="I354" s="455"/>
      <c r="J354" s="166"/>
      <c r="K354" s="166"/>
      <c r="L354" s="166"/>
      <c r="M354" s="457"/>
      <c r="N354" s="455"/>
      <c r="O354" s="167"/>
      <c r="P354" s="167"/>
      <c r="Q354" s="167"/>
      <c r="R354" s="469"/>
      <c r="S354" s="465"/>
      <c r="T354" s="167"/>
      <c r="U354" s="167"/>
      <c r="V354" s="167"/>
      <c r="W354" s="469"/>
      <c r="X354" s="465"/>
      <c r="Y354" s="167"/>
      <c r="Z354" s="167"/>
      <c r="AA354" s="167"/>
      <c r="AB354" s="469"/>
    </row>
    <row r="355" spans="1:28" ht="16.149999999999999" customHeight="1" x14ac:dyDescent="0.2">
      <c r="A355" s="480"/>
      <c r="B355" s="119" t="s">
        <v>825</v>
      </c>
      <c r="C355" s="457"/>
      <c r="D355" s="455"/>
      <c r="E355" s="166"/>
      <c r="F355" s="166"/>
      <c r="G355" s="166"/>
      <c r="H355" s="457"/>
      <c r="I355" s="455"/>
      <c r="J355" s="166"/>
      <c r="K355" s="166"/>
      <c r="L355" s="166"/>
      <c r="M355" s="457"/>
      <c r="N355" s="455"/>
      <c r="O355" s="167"/>
      <c r="P355" s="167"/>
      <c r="Q355" s="167"/>
      <c r="R355" s="469"/>
      <c r="S355" s="465"/>
      <c r="T355" s="167"/>
      <c r="U355" s="167"/>
      <c r="V355" s="167"/>
      <c r="W355" s="469"/>
      <c r="X355" s="465"/>
      <c r="Y355" s="167"/>
      <c r="Z355" s="167"/>
      <c r="AA355" s="167"/>
      <c r="AB355" s="469"/>
    </row>
    <row r="356" spans="1:28" ht="16.149999999999999" customHeight="1" x14ac:dyDescent="0.2">
      <c r="A356" s="480"/>
      <c r="B356" s="119" t="s">
        <v>812</v>
      </c>
      <c r="C356" s="457"/>
      <c r="D356" s="455"/>
      <c r="E356" s="166"/>
      <c r="F356" s="166"/>
      <c r="G356" s="166"/>
      <c r="H356" s="457"/>
      <c r="I356" s="455"/>
      <c r="J356" s="166"/>
      <c r="K356" s="166"/>
      <c r="L356" s="166"/>
      <c r="M356" s="457"/>
      <c r="N356" s="455"/>
      <c r="O356" s="167"/>
      <c r="P356" s="167"/>
      <c r="Q356" s="167"/>
      <c r="R356" s="469"/>
      <c r="S356" s="465"/>
      <c r="T356" s="167"/>
      <c r="U356" s="167"/>
      <c r="V356" s="167"/>
      <c r="W356" s="469"/>
      <c r="X356" s="465"/>
      <c r="Y356" s="167"/>
      <c r="Z356" s="167"/>
      <c r="AA356" s="167"/>
      <c r="AB356" s="469"/>
    </row>
    <row r="357" spans="1:28" ht="16.149999999999999" customHeight="1" x14ac:dyDescent="0.2">
      <c r="A357" s="480"/>
      <c r="B357" s="119" t="s">
        <v>824</v>
      </c>
      <c r="C357" s="457"/>
      <c r="D357" s="455"/>
      <c r="E357" s="166"/>
      <c r="F357" s="166"/>
      <c r="G357" s="166"/>
      <c r="H357" s="457"/>
      <c r="I357" s="455"/>
      <c r="J357" s="166"/>
      <c r="K357" s="166"/>
      <c r="L357" s="166"/>
      <c r="M357" s="457"/>
      <c r="N357" s="455"/>
      <c r="O357" s="167"/>
      <c r="P357" s="167"/>
      <c r="Q357" s="167"/>
      <c r="R357" s="469"/>
      <c r="S357" s="465"/>
      <c r="T357" s="167"/>
      <c r="U357" s="167"/>
      <c r="V357" s="167"/>
      <c r="W357" s="469"/>
      <c r="X357" s="465"/>
      <c r="Y357" s="167"/>
      <c r="Z357" s="167"/>
      <c r="AA357" s="167"/>
      <c r="AB357" s="469"/>
    </row>
    <row r="358" spans="1:28" ht="16.149999999999999" customHeight="1" x14ac:dyDescent="0.2">
      <c r="A358" s="480"/>
      <c r="B358" s="119" t="s">
        <v>823</v>
      </c>
      <c r="C358" s="457"/>
      <c r="D358" s="455"/>
      <c r="E358" s="166"/>
      <c r="F358" s="166"/>
      <c r="G358" s="166"/>
      <c r="H358" s="457"/>
      <c r="I358" s="455"/>
      <c r="J358" s="166"/>
      <c r="K358" s="166"/>
      <c r="L358" s="166"/>
      <c r="M358" s="457"/>
      <c r="N358" s="455"/>
      <c r="O358" s="167"/>
      <c r="P358" s="167"/>
      <c r="Q358" s="167"/>
      <c r="R358" s="469"/>
      <c r="S358" s="465"/>
      <c r="T358" s="167"/>
      <c r="U358" s="167"/>
      <c r="V358" s="167"/>
      <c r="W358" s="469"/>
      <c r="X358" s="465"/>
      <c r="Y358" s="167"/>
      <c r="Z358" s="167"/>
      <c r="AA358" s="167"/>
      <c r="AB358" s="469"/>
    </row>
    <row r="359" spans="1:28" ht="16.149999999999999" customHeight="1" x14ac:dyDescent="0.2">
      <c r="A359" s="480"/>
      <c r="B359" s="119" t="s">
        <v>822</v>
      </c>
      <c r="C359" s="457"/>
      <c r="D359" s="455"/>
      <c r="E359" s="166"/>
      <c r="F359" s="166"/>
      <c r="G359" s="166"/>
      <c r="H359" s="457"/>
      <c r="I359" s="455"/>
      <c r="J359" s="166"/>
      <c r="K359" s="166"/>
      <c r="L359" s="166"/>
      <c r="M359" s="457"/>
      <c r="N359" s="455"/>
      <c r="O359" s="167"/>
      <c r="P359" s="167"/>
      <c r="Q359" s="167"/>
      <c r="R359" s="469"/>
      <c r="S359" s="465"/>
      <c r="T359" s="167"/>
      <c r="U359" s="167"/>
      <c r="V359" s="167"/>
      <c r="W359" s="469"/>
      <c r="X359" s="465"/>
      <c r="Y359" s="167"/>
      <c r="Z359" s="167"/>
      <c r="AA359" s="167"/>
      <c r="AB359" s="469"/>
    </row>
    <row r="360" spans="1:28" ht="16.149999999999999" customHeight="1" x14ac:dyDescent="0.2">
      <c r="A360" s="480"/>
      <c r="B360" s="119" t="s">
        <v>813</v>
      </c>
      <c r="C360" s="457"/>
      <c r="D360" s="455"/>
      <c r="E360" s="166"/>
      <c r="F360" s="166"/>
      <c r="G360" s="166"/>
      <c r="H360" s="457"/>
      <c r="I360" s="455"/>
      <c r="J360" s="166"/>
      <c r="K360" s="166"/>
      <c r="L360" s="166"/>
      <c r="M360" s="457"/>
      <c r="N360" s="455"/>
      <c r="O360" s="167"/>
      <c r="P360" s="167"/>
      <c r="Q360" s="167"/>
      <c r="R360" s="469"/>
      <c r="S360" s="465"/>
      <c r="T360" s="167"/>
      <c r="U360" s="167"/>
      <c r="V360" s="167"/>
      <c r="W360" s="469"/>
      <c r="X360" s="465"/>
      <c r="Y360" s="167"/>
      <c r="Z360" s="167"/>
      <c r="AA360" s="167"/>
      <c r="AB360" s="469"/>
    </row>
    <row r="361" spans="1:28" ht="15" customHeight="1" x14ac:dyDescent="0.2">
      <c r="A361" s="480"/>
      <c r="B361" s="119" t="s">
        <v>814</v>
      </c>
      <c r="C361" s="457"/>
      <c r="D361" s="455"/>
      <c r="E361" s="166"/>
      <c r="F361" s="166"/>
      <c r="G361" s="166"/>
      <c r="H361" s="457"/>
      <c r="I361" s="455"/>
      <c r="J361" s="166"/>
      <c r="K361" s="166"/>
      <c r="L361" s="166"/>
      <c r="M361" s="457"/>
      <c r="N361" s="455"/>
      <c r="O361" s="167"/>
      <c r="P361" s="167"/>
      <c r="Q361" s="167"/>
      <c r="R361" s="469"/>
      <c r="S361" s="465"/>
      <c r="T361" s="167"/>
      <c r="U361" s="167"/>
      <c r="V361" s="167"/>
      <c r="W361" s="469"/>
      <c r="X361" s="465"/>
      <c r="Y361" s="167"/>
      <c r="Z361" s="167"/>
      <c r="AA361" s="167"/>
      <c r="AB361" s="469"/>
    </row>
    <row r="362" spans="1:28" ht="16.5" customHeight="1" x14ac:dyDescent="0.2">
      <c r="A362" s="480"/>
      <c r="B362" s="119" t="s">
        <v>821</v>
      </c>
      <c r="C362" s="457"/>
      <c r="D362" s="455"/>
      <c r="E362" s="166"/>
      <c r="F362" s="166"/>
      <c r="G362" s="166"/>
      <c r="H362" s="457"/>
      <c r="I362" s="455"/>
      <c r="J362" s="166"/>
      <c r="K362" s="166"/>
      <c r="L362" s="166"/>
      <c r="M362" s="457"/>
      <c r="N362" s="455"/>
      <c r="O362" s="167"/>
      <c r="P362" s="167"/>
      <c r="Q362" s="167"/>
      <c r="R362" s="469"/>
      <c r="S362" s="465"/>
      <c r="T362" s="167"/>
      <c r="U362" s="167"/>
      <c r="V362" s="167"/>
      <c r="W362" s="469"/>
      <c r="X362" s="465"/>
      <c r="Y362" s="167"/>
      <c r="Z362" s="167"/>
      <c r="AA362" s="167"/>
      <c r="AB362" s="469"/>
    </row>
    <row r="363" spans="1:28" ht="15.75" customHeight="1" x14ac:dyDescent="0.2">
      <c r="A363" s="480"/>
      <c r="B363" s="119" t="s">
        <v>815</v>
      </c>
      <c r="C363" s="457"/>
      <c r="D363" s="455"/>
      <c r="E363" s="164"/>
      <c r="F363" s="164"/>
      <c r="G363" s="164"/>
      <c r="H363" s="457"/>
      <c r="I363" s="455"/>
      <c r="J363" s="164"/>
      <c r="K363" s="164"/>
      <c r="L363" s="164"/>
      <c r="M363" s="457"/>
      <c r="N363" s="455"/>
      <c r="O363" s="165"/>
      <c r="P363" s="165"/>
      <c r="Q363" s="165"/>
      <c r="R363" s="469"/>
      <c r="S363" s="465"/>
      <c r="T363" s="165"/>
      <c r="U363" s="165"/>
      <c r="V363" s="165"/>
      <c r="W363" s="469"/>
      <c r="X363" s="465"/>
      <c r="Y363" s="165"/>
      <c r="Z363" s="165"/>
      <c r="AA363" s="165"/>
      <c r="AB363" s="469"/>
    </row>
    <row r="364" spans="1:28" ht="15.75" customHeight="1" x14ac:dyDescent="0.2">
      <c r="A364" s="480"/>
      <c r="B364" s="119" t="s">
        <v>816</v>
      </c>
      <c r="C364" s="457"/>
      <c r="D364" s="455"/>
      <c r="E364" s="164"/>
      <c r="F364" s="164"/>
      <c r="G364" s="164"/>
      <c r="H364" s="457"/>
      <c r="I364" s="455"/>
      <c r="J364" s="164"/>
      <c r="K364" s="164"/>
      <c r="L364" s="164"/>
      <c r="M364" s="457"/>
      <c r="N364" s="455"/>
      <c r="O364" s="165"/>
      <c r="P364" s="165"/>
      <c r="Q364" s="165"/>
      <c r="R364" s="469"/>
      <c r="S364" s="465"/>
      <c r="T364" s="165"/>
      <c r="U364" s="165"/>
      <c r="V364" s="165"/>
      <c r="W364" s="469"/>
      <c r="X364" s="465"/>
      <c r="Y364" s="165"/>
      <c r="Z364" s="165"/>
      <c r="AA364" s="165"/>
      <c r="AB364" s="469"/>
    </row>
    <row r="365" spans="1:28" ht="15.75" customHeight="1" x14ac:dyDescent="0.2">
      <c r="A365" s="480"/>
      <c r="B365" s="118" t="s">
        <v>308</v>
      </c>
      <c r="C365" s="457"/>
      <c r="D365" s="455"/>
      <c r="E365" s="164"/>
      <c r="F365" s="164"/>
      <c r="G365" s="164"/>
      <c r="H365" s="457"/>
      <c r="I365" s="455"/>
      <c r="J365" s="164"/>
      <c r="K365" s="164"/>
      <c r="L365" s="164"/>
      <c r="M365" s="457"/>
      <c r="N365" s="455"/>
      <c r="O365" s="165"/>
      <c r="P365" s="165"/>
      <c r="Q365" s="165"/>
      <c r="R365" s="469"/>
      <c r="S365" s="465"/>
      <c r="T365" s="165"/>
      <c r="U365" s="165"/>
      <c r="V365" s="165"/>
      <c r="W365" s="469"/>
      <c r="X365" s="465"/>
      <c r="Y365" s="165"/>
      <c r="Z365" s="165"/>
      <c r="AA365" s="165"/>
      <c r="AB365" s="469"/>
    </row>
    <row r="366" spans="1:28" ht="16.149999999999999" customHeight="1" x14ac:dyDescent="0.2">
      <c r="A366" s="480"/>
      <c r="B366" s="119" t="s">
        <v>827</v>
      </c>
      <c r="C366" s="457"/>
      <c r="D366" s="455"/>
      <c r="E366" s="164"/>
      <c r="F366" s="164"/>
      <c r="G366" s="164"/>
      <c r="H366" s="457"/>
      <c r="I366" s="455"/>
      <c r="J366" s="164"/>
      <c r="K366" s="164"/>
      <c r="L366" s="164"/>
      <c r="M366" s="457"/>
      <c r="N366" s="455"/>
      <c r="O366" s="165"/>
      <c r="P366" s="165"/>
      <c r="Q366" s="165"/>
      <c r="R366" s="469"/>
      <c r="S366" s="465"/>
      <c r="T366" s="165"/>
      <c r="U366" s="165"/>
      <c r="V366" s="165"/>
      <c r="W366" s="469"/>
      <c r="X366" s="465"/>
      <c r="Y366" s="165"/>
      <c r="Z366" s="165"/>
      <c r="AA366" s="165"/>
      <c r="AB366" s="469"/>
    </row>
    <row r="367" spans="1:28" ht="16.149999999999999" customHeight="1" x14ac:dyDescent="0.2">
      <c r="A367" s="480"/>
      <c r="B367" s="119" t="s">
        <v>829</v>
      </c>
      <c r="C367" s="457"/>
      <c r="D367" s="455"/>
      <c r="E367" s="164"/>
      <c r="F367" s="164"/>
      <c r="G367" s="164"/>
      <c r="H367" s="457"/>
      <c r="I367" s="455"/>
      <c r="J367" s="164"/>
      <c r="K367" s="164"/>
      <c r="L367" s="164"/>
      <c r="M367" s="457"/>
      <c r="N367" s="455"/>
      <c r="O367" s="165"/>
      <c r="P367" s="165"/>
      <c r="Q367" s="165"/>
      <c r="R367" s="469"/>
      <c r="S367" s="465"/>
      <c r="T367" s="165"/>
      <c r="U367" s="165"/>
      <c r="V367" s="165"/>
      <c r="W367" s="469"/>
      <c r="X367" s="465"/>
      <c r="Y367" s="165"/>
      <c r="Z367" s="165"/>
      <c r="AA367" s="165"/>
      <c r="AB367" s="469"/>
    </row>
    <row r="368" spans="1:28" ht="16.149999999999999" customHeight="1" x14ac:dyDescent="0.2">
      <c r="A368" s="480"/>
      <c r="B368" s="119" t="s">
        <v>830</v>
      </c>
      <c r="C368" s="457"/>
      <c r="D368" s="455"/>
      <c r="E368" s="164"/>
      <c r="F368" s="164"/>
      <c r="G368" s="164"/>
      <c r="H368" s="457"/>
      <c r="I368" s="455"/>
      <c r="J368" s="164"/>
      <c r="K368" s="164"/>
      <c r="L368" s="164"/>
      <c r="M368" s="457"/>
      <c r="N368" s="455"/>
      <c r="O368" s="165"/>
      <c r="P368" s="165"/>
      <c r="Q368" s="165"/>
      <c r="R368" s="469"/>
      <c r="S368" s="465"/>
      <c r="T368" s="165"/>
      <c r="U368" s="165"/>
      <c r="V368" s="165"/>
      <c r="W368" s="469"/>
      <c r="X368" s="465"/>
      <c r="Y368" s="165"/>
      <c r="Z368" s="165"/>
      <c r="AA368" s="165"/>
      <c r="AB368" s="469"/>
    </row>
    <row r="369" spans="1:28" ht="16.149999999999999" customHeight="1" x14ac:dyDescent="0.2">
      <c r="A369" s="480"/>
      <c r="B369" s="119" t="s">
        <v>831</v>
      </c>
      <c r="C369" s="457"/>
      <c r="D369" s="455"/>
      <c r="E369" s="164"/>
      <c r="F369" s="164"/>
      <c r="G369" s="164"/>
      <c r="H369" s="457"/>
      <c r="I369" s="455"/>
      <c r="J369" s="164"/>
      <c r="K369" s="164"/>
      <c r="L369" s="164"/>
      <c r="M369" s="457"/>
      <c r="N369" s="455"/>
      <c r="O369" s="165"/>
      <c r="P369" s="165"/>
      <c r="Q369" s="165"/>
      <c r="R369" s="469"/>
      <c r="S369" s="465"/>
      <c r="T369" s="165"/>
      <c r="U369" s="165"/>
      <c r="V369" s="165"/>
      <c r="W369" s="469"/>
      <c r="X369" s="465"/>
      <c r="Y369" s="165"/>
      <c r="Z369" s="165"/>
      <c r="AA369" s="165"/>
      <c r="AB369" s="469"/>
    </row>
    <row r="370" spans="1:28" ht="16.149999999999999" customHeight="1" x14ac:dyDescent="0.2">
      <c r="A370" s="480"/>
      <c r="B370" s="119" t="s">
        <v>832</v>
      </c>
      <c r="C370" s="457"/>
      <c r="D370" s="455"/>
      <c r="E370" s="164"/>
      <c r="F370" s="164"/>
      <c r="G370" s="164"/>
      <c r="H370" s="457"/>
      <c r="I370" s="455"/>
      <c r="J370" s="164"/>
      <c r="K370" s="164"/>
      <c r="L370" s="164"/>
      <c r="M370" s="457"/>
      <c r="N370" s="455"/>
      <c r="O370" s="165"/>
      <c r="P370" s="165"/>
      <c r="Q370" s="165"/>
      <c r="R370" s="469"/>
      <c r="S370" s="465"/>
      <c r="T370" s="165"/>
      <c r="U370" s="165"/>
      <c r="V370" s="165"/>
      <c r="W370" s="469"/>
      <c r="X370" s="465"/>
      <c r="Y370" s="165"/>
      <c r="Z370" s="165"/>
      <c r="AA370" s="165"/>
      <c r="AB370" s="469"/>
    </row>
    <row r="371" spans="1:28" ht="15.75" customHeight="1" x14ac:dyDescent="0.2">
      <c r="A371" s="480"/>
      <c r="B371" s="119" t="s">
        <v>1507</v>
      </c>
      <c r="C371" s="457"/>
      <c r="D371" s="455"/>
      <c r="E371" s="164"/>
      <c r="F371" s="164"/>
      <c r="G371" s="164"/>
      <c r="H371" s="457"/>
      <c r="I371" s="455"/>
      <c r="J371" s="164"/>
      <c r="K371" s="164"/>
      <c r="L371" s="164"/>
      <c r="M371" s="457"/>
      <c r="N371" s="455"/>
      <c r="O371" s="165"/>
      <c r="P371" s="165"/>
      <c r="Q371" s="165"/>
      <c r="R371" s="469"/>
      <c r="S371" s="465"/>
      <c r="T371" s="165"/>
      <c r="U371" s="165"/>
      <c r="V371" s="165"/>
      <c r="W371" s="469"/>
      <c r="X371" s="465"/>
      <c r="Y371" s="165"/>
      <c r="Z371" s="165"/>
      <c r="AA371" s="165"/>
      <c r="AB371" s="469"/>
    </row>
    <row r="372" spans="1:28" ht="18.75" customHeight="1" x14ac:dyDescent="0.2">
      <c r="A372" s="480"/>
      <c r="B372" s="119" t="s">
        <v>833</v>
      </c>
      <c r="C372" s="457"/>
      <c r="D372" s="455"/>
      <c r="E372" s="164"/>
      <c r="F372" s="164"/>
      <c r="G372" s="164"/>
      <c r="H372" s="457"/>
      <c r="I372" s="455"/>
      <c r="J372" s="164"/>
      <c r="K372" s="164"/>
      <c r="L372" s="164"/>
      <c r="M372" s="457"/>
      <c r="N372" s="455"/>
      <c r="O372" s="165"/>
      <c r="P372" s="165"/>
      <c r="Q372" s="165"/>
      <c r="R372" s="469"/>
      <c r="S372" s="465"/>
      <c r="T372" s="165"/>
      <c r="U372" s="165"/>
      <c r="V372" s="165"/>
      <c r="W372" s="469"/>
      <c r="X372" s="465"/>
      <c r="Y372" s="165"/>
      <c r="Z372" s="165"/>
      <c r="AA372" s="165"/>
      <c r="AB372" s="469"/>
    </row>
    <row r="373" spans="1:28" ht="16.5" customHeight="1" x14ac:dyDescent="0.2">
      <c r="A373" s="480"/>
      <c r="B373" s="119" t="s">
        <v>834</v>
      </c>
      <c r="C373" s="457"/>
      <c r="D373" s="455"/>
      <c r="E373" s="164"/>
      <c r="F373" s="164"/>
      <c r="G373" s="164"/>
      <c r="H373" s="457"/>
      <c r="I373" s="455"/>
      <c r="J373" s="164"/>
      <c r="K373" s="164"/>
      <c r="L373" s="164"/>
      <c r="M373" s="457"/>
      <c r="N373" s="455"/>
      <c r="O373" s="165"/>
      <c r="P373" s="165"/>
      <c r="Q373" s="165"/>
      <c r="R373" s="469"/>
      <c r="S373" s="465"/>
      <c r="T373" s="165"/>
      <c r="U373" s="165"/>
      <c r="V373" s="165"/>
      <c r="W373" s="469"/>
      <c r="X373" s="465"/>
      <c r="Y373" s="165"/>
      <c r="Z373" s="165"/>
      <c r="AA373" s="165"/>
      <c r="AB373" s="469"/>
    </row>
    <row r="374" spans="1:28" ht="13.5" customHeight="1" x14ac:dyDescent="0.2">
      <c r="A374" s="480"/>
      <c r="B374" s="119" t="s">
        <v>835</v>
      </c>
      <c r="C374" s="457"/>
      <c r="D374" s="455"/>
      <c r="E374" s="164"/>
      <c r="F374" s="164"/>
      <c r="G374" s="164"/>
      <c r="H374" s="457"/>
      <c r="I374" s="455"/>
      <c r="J374" s="164"/>
      <c r="K374" s="164"/>
      <c r="L374" s="164"/>
      <c r="M374" s="457"/>
      <c r="N374" s="455"/>
      <c r="O374" s="165"/>
      <c r="P374" s="165"/>
      <c r="Q374" s="165"/>
      <c r="R374" s="469"/>
      <c r="S374" s="465"/>
      <c r="T374" s="165"/>
      <c r="U374" s="165"/>
      <c r="V374" s="165"/>
      <c r="W374" s="469"/>
      <c r="X374" s="465"/>
      <c r="Y374" s="165"/>
      <c r="Z374" s="165"/>
      <c r="AA374" s="165"/>
      <c r="AB374" s="469"/>
    </row>
    <row r="375" spans="1:28" ht="16.149999999999999" customHeight="1" x14ac:dyDescent="0.2">
      <c r="A375" s="480"/>
      <c r="B375" s="119" t="s">
        <v>836</v>
      </c>
      <c r="C375" s="457"/>
      <c r="D375" s="455"/>
      <c r="E375" s="164"/>
      <c r="F375" s="164"/>
      <c r="G375" s="164"/>
      <c r="H375" s="457"/>
      <c r="I375" s="455"/>
      <c r="J375" s="164"/>
      <c r="K375" s="164"/>
      <c r="L375" s="164"/>
      <c r="M375" s="457"/>
      <c r="N375" s="455"/>
      <c r="O375" s="165"/>
      <c r="P375" s="165"/>
      <c r="Q375" s="165"/>
      <c r="R375" s="469"/>
      <c r="S375" s="465"/>
      <c r="T375" s="165"/>
      <c r="U375" s="165"/>
      <c r="V375" s="165"/>
      <c r="W375" s="469"/>
      <c r="X375" s="465"/>
      <c r="Y375" s="165"/>
      <c r="Z375" s="165"/>
      <c r="AA375" s="165"/>
      <c r="AB375" s="469"/>
    </row>
    <row r="376" spans="1:28" ht="16.149999999999999" customHeight="1" x14ac:dyDescent="0.2">
      <c r="A376" s="480"/>
      <c r="B376" s="168" t="s">
        <v>837</v>
      </c>
      <c r="C376" s="457"/>
      <c r="D376" s="455"/>
      <c r="E376" s="169"/>
      <c r="F376" s="169"/>
      <c r="G376" s="169"/>
      <c r="H376" s="457"/>
      <c r="I376" s="455"/>
      <c r="J376" s="169"/>
      <c r="K376" s="169"/>
      <c r="L376" s="169"/>
      <c r="M376" s="457"/>
      <c r="N376" s="455"/>
      <c r="O376" s="170"/>
      <c r="P376" s="170"/>
      <c r="Q376" s="170"/>
      <c r="R376" s="469"/>
      <c r="S376" s="465"/>
      <c r="T376" s="170"/>
      <c r="U376" s="170"/>
      <c r="V376" s="170"/>
      <c r="W376" s="469"/>
      <c r="X376" s="465"/>
      <c r="Y376" s="170"/>
      <c r="Z376" s="170"/>
      <c r="AA376" s="170"/>
      <c r="AB376" s="469"/>
    </row>
    <row r="377" spans="1:28" ht="16.149999999999999" customHeight="1" x14ac:dyDescent="0.2">
      <c r="A377" s="480"/>
      <c r="B377" s="168" t="s">
        <v>838</v>
      </c>
      <c r="C377" s="457"/>
      <c r="D377" s="455"/>
      <c r="E377" s="164"/>
      <c r="F377" s="164"/>
      <c r="G377" s="164"/>
      <c r="H377" s="457"/>
      <c r="I377" s="455"/>
      <c r="J377" s="164"/>
      <c r="K377" s="164"/>
      <c r="L377" s="164"/>
      <c r="M377" s="457"/>
      <c r="N377" s="455"/>
      <c r="O377" s="165"/>
      <c r="P377" s="165"/>
      <c r="Q377" s="165"/>
      <c r="R377" s="469"/>
      <c r="S377" s="465"/>
      <c r="T377" s="165"/>
      <c r="U377" s="165"/>
      <c r="V377" s="165"/>
      <c r="W377" s="469"/>
      <c r="X377" s="465"/>
      <c r="Y377" s="165"/>
      <c r="Z377" s="165"/>
      <c r="AA377" s="165"/>
      <c r="AB377" s="469"/>
    </row>
    <row r="378" spans="1:28" ht="16.149999999999999" customHeight="1" x14ac:dyDescent="0.2">
      <c r="A378" s="480"/>
      <c r="B378" s="168" t="s">
        <v>839</v>
      </c>
      <c r="C378" s="457"/>
      <c r="D378" s="455"/>
      <c r="E378" s="169"/>
      <c r="F378" s="169"/>
      <c r="G378" s="169"/>
      <c r="H378" s="457"/>
      <c r="I378" s="455"/>
      <c r="J378" s="169"/>
      <c r="K378" s="169"/>
      <c r="L378" s="169"/>
      <c r="M378" s="457"/>
      <c r="N378" s="455"/>
      <c r="O378" s="170"/>
      <c r="P378" s="170"/>
      <c r="Q378" s="170"/>
      <c r="R378" s="469"/>
      <c r="S378" s="465"/>
      <c r="T378" s="170"/>
      <c r="U378" s="170"/>
      <c r="V378" s="170"/>
      <c r="W378" s="469"/>
      <c r="X378" s="465"/>
      <c r="Y378" s="170"/>
      <c r="Z378" s="170"/>
      <c r="AA378" s="170"/>
      <c r="AB378" s="469"/>
    </row>
    <row r="379" spans="1:28" ht="16.149999999999999" customHeight="1" x14ac:dyDescent="0.2">
      <c r="A379" s="480"/>
      <c r="B379" s="168" t="s">
        <v>840</v>
      </c>
      <c r="C379" s="457"/>
      <c r="D379" s="455"/>
      <c r="E379" s="164"/>
      <c r="F379" s="164"/>
      <c r="G379" s="164"/>
      <c r="H379" s="457"/>
      <c r="I379" s="455"/>
      <c r="J379" s="164"/>
      <c r="K379" s="164"/>
      <c r="L379" s="164"/>
      <c r="M379" s="457"/>
      <c r="N379" s="455"/>
      <c r="O379" s="165"/>
      <c r="P379" s="165"/>
      <c r="Q379" s="165"/>
      <c r="R379" s="469"/>
      <c r="S379" s="465"/>
      <c r="T379" s="165"/>
      <c r="U379" s="165"/>
      <c r="V379" s="165"/>
      <c r="W379" s="469"/>
      <c r="X379" s="465"/>
      <c r="Y379" s="165"/>
      <c r="Z379" s="165"/>
      <c r="AA379" s="165"/>
      <c r="AB379" s="469"/>
    </row>
    <row r="380" spans="1:28" ht="33.75" customHeight="1" x14ac:dyDescent="0.2">
      <c r="A380" s="480"/>
      <c r="B380" s="168" t="s">
        <v>841</v>
      </c>
      <c r="C380" s="457"/>
      <c r="D380" s="455"/>
      <c r="E380" s="164"/>
      <c r="F380" s="164"/>
      <c r="G380" s="164"/>
      <c r="H380" s="457"/>
      <c r="I380" s="455"/>
      <c r="J380" s="164"/>
      <c r="K380" s="164"/>
      <c r="L380" s="164"/>
      <c r="M380" s="457"/>
      <c r="N380" s="455"/>
      <c r="O380" s="165"/>
      <c r="P380" s="165"/>
      <c r="Q380" s="165"/>
      <c r="R380" s="469"/>
      <c r="S380" s="465"/>
      <c r="T380" s="165"/>
      <c r="U380" s="165"/>
      <c r="V380" s="165"/>
      <c r="W380" s="469"/>
      <c r="X380" s="465"/>
      <c r="Y380" s="165"/>
      <c r="Z380" s="165"/>
      <c r="AA380" s="165"/>
      <c r="AB380" s="469"/>
    </row>
    <row r="381" spans="1:28" ht="16.149999999999999" customHeight="1" x14ac:dyDescent="0.2">
      <c r="A381" s="480"/>
      <c r="B381" s="168" t="s">
        <v>842</v>
      </c>
      <c r="C381" s="457"/>
      <c r="D381" s="455"/>
      <c r="E381" s="164"/>
      <c r="F381" s="164"/>
      <c r="G381" s="164"/>
      <c r="H381" s="457"/>
      <c r="I381" s="455"/>
      <c r="J381" s="164"/>
      <c r="K381" s="164"/>
      <c r="L381" s="164"/>
      <c r="M381" s="457"/>
      <c r="N381" s="455"/>
      <c r="O381" s="165"/>
      <c r="P381" s="165"/>
      <c r="Q381" s="165"/>
      <c r="R381" s="469"/>
      <c r="S381" s="465"/>
      <c r="T381" s="165"/>
      <c r="U381" s="165"/>
      <c r="V381" s="165"/>
      <c r="W381" s="469"/>
      <c r="X381" s="465"/>
      <c r="Y381" s="165"/>
      <c r="Z381" s="165"/>
      <c r="AA381" s="165"/>
      <c r="AB381" s="469"/>
    </row>
    <row r="382" spans="1:28" ht="22.5" customHeight="1" x14ac:dyDescent="0.2">
      <c r="A382" s="480"/>
      <c r="B382" s="168" t="s">
        <v>843</v>
      </c>
      <c r="C382" s="457"/>
      <c r="D382" s="455"/>
      <c r="E382" s="164"/>
      <c r="F382" s="164"/>
      <c r="G382" s="164"/>
      <c r="H382" s="457"/>
      <c r="I382" s="455"/>
      <c r="J382" s="164"/>
      <c r="K382" s="164"/>
      <c r="L382" s="164"/>
      <c r="M382" s="457"/>
      <c r="N382" s="455"/>
      <c r="O382" s="165"/>
      <c r="P382" s="165"/>
      <c r="Q382" s="165"/>
      <c r="R382" s="469"/>
      <c r="S382" s="465"/>
      <c r="T382" s="165"/>
      <c r="U382" s="165"/>
      <c r="V382" s="165"/>
      <c r="W382" s="469"/>
      <c r="X382" s="465"/>
      <c r="Y382" s="165"/>
      <c r="Z382" s="165"/>
      <c r="AA382" s="165"/>
      <c r="AB382" s="469"/>
    </row>
    <row r="383" spans="1:28" ht="16.149999999999999" customHeight="1" x14ac:dyDescent="0.2">
      <c r="A383" s="480"/>
      <c r="B383" s="168" t="s">
        <v>844</v>
      </c>
      <c r="C383" s="457"/>
      <c r="D383" s="455"/>
      <c r="E383" s="171"/>
      <c r="F383" s="171"/>
      <c r="G383" s="171"/>
      <c r="H383" s="457"/>
      <c r="I383" s="455"/>
      <c r="J383" s="171"/>
      <c r="K383" s="171"/>
      <c r="L383" s="171"/>
      <c r="M383" s="457"/>
      <c r="N383" s="455"/>
      <c r="O383" s="172"/>
      <c r="P383" s="172"/>
      <c r="Q383" s="172"/>
      <c r="R383" s="469"/>
      <c r="S383" s="465"/>
      <c r="T383" s="172"/>
      <c r="U383" s="172"/>
      <c r="V383" s="172"/>
      <c r="W383" s="469"/>
      <c r="X383" s="465"/>
      <c r="Y383" s="172"/>
      <c r="Z383" s="172"/>
      <c r="AA383" s="172"/>
      <c r="AB383" s="469"/>
    </row>
    <row r="384" spans="1:28" ht="16.149999999999999" customHeight="1" x14ac:dyDescent="0.2">
      <c r="A384" s="480"/>
      <c r="B384" s="168" t="s">
        <v>845</v>
      </c>
      <c r="C384" s="457"/>
      <c r="D384" s="455"/>
      <c r="E384" s="171"/>
      <c r="F384" s="171"/>
      <c r="G384" s="171"/>
      <c r="H384" s="457"/>
      <c r="I384" s="455"/>
      <c r="J384" s="171"/>
      <c r="K384" s="171"/>
      <c r="L384" s="171"/>
      <c r="M384" s="457"/>
      <c r="N384" s="455"/>
      <c r="O384" s="172"/>
      <c r="P384" s="172"/>
      <c r="Q384" s="172"/>
      <c r="R384" s="469"/>
      <c r="S384" s="465"/>
      <c r="T384" s="172"/>
      <c r="U384" s="172"/>
      <c r="V384" s="172"/>
      <c r="W384" s="469"/>
      <c r="X384" s="465"/>
      <c r="Y384" s="172"/>
      <c r="Z384" s="172"/>
      <c r="AA384" s="172"/>
      <c r="AB384" s="469"/>
    </row>
    <row r="385" spans="1:28" ht="16.149999999999999" customHeight="1" x14ac:dyDescent="0.2">
      <c r="A385" s="480"/>
      <c r="B385" s="168" t="s">
        <v>846</v>
      </c>
      <c r="C385" s="457"/>
      <c r="D385" s="455"/>
      <c r="E385" s="171"/>
      <c r="F385" s="171"/>
      <c r="G385" s="171"/>
      <c r="H385" s="457"/>
      <c r="I385" s="455"/>
      <c r="J385" s="171"/>
      <c r="K385" s="171"/>
      <c r="L385" s="171"/>
      <c r="M385" s="457"/>
      <c r="N385" s="455"/>
      <c r="O385" s="172"/>
      <c r="P385" s="172"/>
      <c r="Q385" s="172"/>
      <c r="R385" s="469"/>
      <c r="S385" s="465"/>
      <c r="T385" s="172"/>
      <c r="U385" s="172"/>
      <c r="V385" s="172"/>
      <c r="W385" s="469"/>
      <c r="X385" s="465"/>
      <c r="Y385" s="172"/>
      <c r="Z385" s="172"/>
      <c r="AA385" s="172"/>
      <c r="AB385" s="469"/>
    </row>
    <row r="386" spans="1:28" ht="16.149999999999999" customHeight="1" x14ac:dyDescent="0.2">
      <c r="A386" s="480"/>
      <c r="B386" s="168" t="s">
        <v>847</v>
      </c>
      <c r="C386" s="457"/>
      <c r="D386" s="455"/>
      <c r="E386" s="171"/>
      <c r="F386" s="171"/>
      <c r="G386" s="171"/>
      <c r="H386" s="457"/>
      <c r="I386" s="455"/>
      <c r="J386" s="171"/>
      <c r="K386" s="171"/>
      <c r="L386" s="171"/>
      <c r="M386" s="457"/>
      <c r="N386" s="455"/>
      <c r="O386" s="172"/>
      <c r="P386" s="172"/>
      <c r="Q386" s="172"/>
      <c r="R386" s="469"/>
      <c r="S386" s="465"/>
      <c r="T386" s="172"/>
      <c r="U386" s="172"/>
      <c r="V386" s="172"/>
      <c r="W386" s="469"/>
      <c r="X386" s="465"/>
      <c r="Y386" s="172"/>
      <c r="Z386" s="172"/>
      <c r="AA386" s="172"/>
      <c r="AB386" s="469"/>
    </row>
    <row r="387" spans="1:28" ht="16.149999999999999" customHeight="1" x14ac:dyDescent="0.2">
      <c r="A387" s="480"/>
      <c r="B387" s="168" t="s">
        <v>848</v>
      </c>
      <c r="C387" s="457"/>
      <c r="D387" s="455"/>
      <c r="E387" s="171"/>
      <c r="F387" s="171"/>
      <c r="G387" s="171"/>
      <c r="H387" s="457"/>
      <c r="I387" s="455"/>
      <c r="J387" s="171"/>
      <c r="K387" s="171"/>
      <c r="L387" s="171"/>
      <c r="M387" s="457"/>
      <c r="N387" s="455"/>
      <c r="O387" s="172"/>
      <c r="P387" s="172"/>
      <c r="Q387" s="172"/>
      <c r="R387" s="469"/>
      <c r="S387" s="465"/>
      <c r="T387" s="172"/>
      <c r="U387" s="172"/>
      <c r="V387" s="172"/>
      <c r="W387" s="469"/>
      <c r="X387" s="465"/>
      <c r="Y387" s="172"/>
      <c r="Z387" s="172"/>
      <c r="AA387" s="172"/>
      <c r="AB387" s="469"/>
    </row>
    <row r="388" spans="1:28" ht="16.149999999999999" customHeight="1" x14ac:dyDescent="0.2">
      <c r="A388" s="480"/>
      <c r="B388" s="119" t="s">
        <v>849</v>
      </c>
      <c r="C388" s="457"/>
      <c r="D388" s="455"/>
      <c r="E388" s="171"/>
      <c r="F388" s="171"/>
      <c r="G388" s="171"/>
      <c r="H388" s="457"/>
      <c r="I388" s="455"/>
      <c r="J388" s="171"/>
      <c r="K388" s="171"/>
      <c r="L388" s="171"/>
      <c r="M388" s="457"/>
      <c r="N388" s="455"/>
      <c r="O388" s="172"/>
      <c r="P388" s="172"/>
      <c r="Q388" s="172"/>
      <c r="R388" s="469"/>
      <c r="S388" s="465"/>
      <c r="T388" s="172"/>
      <c r="U388" s="172"/>
      <c r="V388" s="172"/>
      <c r="W388" s="469"/>
      <c r="X388" s="465"/>
      <c r="Y388" s="172"/>
      <c r="Z388" s="172"/>
      <c r="AA388" s="172"/>
      <c r="AB388" s="469"/>
    </row>
    <row r="389" spans="1:28" ht="16.149999999999999" customHeight="1" x14ac:dyDescent="0.2">
      <c r="A389" s="480"/>
      <c r="B389" s="119" t="s">
        <v>850</v>
      </c>
      <c r="C389" s="457"/>
      <c r="D389" s="455"/>
      <c r="E389" s="171"/>
      <c r="F389" s="171"/>
      <c r="G389" s="171"/>
      <c r="H389" s="457"/>
      <c r="I389" s="455"/>
      <c r="J389" s="171"/>
      <c r="K389" s="171"/>
      <c r="L389" s="171"/>
      <c r="M389" s="457"/>
      <c r="N389" s="455"/>
      <c r="O389" s="172"/>
      <c r="P389" s="172"/>
      <c r="Q389" s="172"/>
      <c r="R389" s="469"/>
      <c r="S389" s="465"/>
      <c r="T389" s="172"/>
      <c r="U389" s="172"/>
      <c r="V389" s="172"/>
      <c r="W389" s="469"/>
      <c r="X389" s="465"/>
      <c r="Y389" s="172"/>
      <c r="Z389" s="172"/>
      <c r="AA389" s="172"/>
      <c r="AB389" s="469"/>
    </row>
    <row r="390" spans="1:28" ht="16.149999999999999" customHeight="1" x14ac:dyDescent="0.2">
      <c r="A390" s="480"/>
      <c r="B390" s="119" t="s">
        <v>851</v>
      </c>
      <c r="C390" s="457"/>
      <c r="D390" s="455"/>
      <c r="E390" s="171"/>
      <c r="F390" s="171"/>
      <c r="G390" s="171"/>
      <c r="H390" s="457"/>
      <c r="I390" s="455"/>
      <c r="J390" s="171"/>
      <c r="K390" s="171"/>
      <c r="L390" s="171"/>
      <c r="M390" s="457"/>
      <c r="N390" s="455"/>
      <c r="O390" s="172"/>
      <c r="P390" s="172"/>
      <c r="Q390" s="172"/>
      <c r="R390" s="469"/>
      <c r="S390" s="465"/>
      <c r="T390" s="172"/>
      <c r="U390" s="172"/>
      <c r="V390" s="172"/>
      <c r="W390" s="469"/>
      <c r="X390" s="465"/>
      <c r="Y390" s="172"/>
      <c r="Z390" s="172"/>
      <c r="AA390" s="172"/>
      <c r="AB390" s="469"/>
    </row>
    <row r="391" spans="1:28" ht="16.149999999999999" customHeight="1" x14ac:dyDescent="0.2">
      <c r="A391" s="480"/>
      <c r="B391" s="119" t="s">
        <v>852</v>
      </c>
      <c r="C391" s="457"/>
      <c r="D391" s="455"/>
      <c r="E391" s="169"/>
      <c r="F391" s="169"/>
      <c r="G391" s="169"/>
      <c r="H391" s="457"/>
      <c r="I391" s="455"/>
      <c r="J391" s="169"/>
      <c r="K391" s="169"/>
      <c r="L391" s="169"/>
      <c r="M391" s="457"/>
      <c r="N391" s="455"/>
      <c r="O391" s="170"/>
      <c r="P391" s="170"/>
      <c r="Q391" s="170"/>
      <c r="R391" s="469"/>
      <c r="S391" s="465"/>
      <c r="T391" s="170"/>
      <c r="U391" s="170"/>
      <c r="V391" s="170"/>
      <c r="W391" s="469"/>
      <c r="X391" s="465"/>
      <c r="Y391" s="170"/>
      <c r="Z391" s="170"/>
      <c r="AA391" s="170"/>
      <c r="AB391" s="469"/>
    </row>
    <row r="392" spans="1:28" ht="16.149999999999999" customHeight="1" x14ac:dyDescent="0.2">
      <c r="A392" s="480"/>
      <c r="B392" s="119" t="s">
        <v>853</v>
      </c>
      <c r="C392" s="457"/>
      <c r="D392" s="455"/>
      <c r="E392" s="169"/>
      <c r="F392" s="169"/>
      <c r="G392" s="169"/>
      <c r="H392" s="457"/>
      <c r="I392" s="455"/>
      <c r="J392" s="169"/>
      <c r="K392" s="169"/>
      <c r="L392" s="169"/>
      <c r="M392" s="457"/>
      <c r="N392" s="455"/>
      <c r="O392" s="170"/>
      <c r="P392" s="170"/>
      <c r="Q392" s="170"/>
      <c r="R392" s="469"/>
      <c r="S392" s="465"/>
      <c r="T392" s="170"/>
      <c r="U392" s="170"/>
      <c r="V392" s="170"/>
      <c r="W392" s="469"/>
      <c r="X392" s="465"/>
      <c r="Y392" s="170"/>
      <c r="Z392" s="170"/>
      <c r="AA392" s="170"/>
      <c r="AB392" s="469"/>
    </row>
    <row r="393" spans="1:28" ht="16.149999999999999" customHeight="1" x14ac:dyDescent="0.2">
      <c r="A393" s="480"/>
      <c r="B393" s="119" t="s">
        <v>854</v>
      </c>
      <c r="C393" s="457"/>
      <c r="D393" s="455"/>
      <c r="E393" s="169"/>
      <c r="F393" s="169"/>
      <c r="G393" s="169"/>
      <c r="H393" s="457"/>
      <c r="I393" s="455"/>
      <c r="J393" s="169"/>
      <c r="K393" s="169"/>
      <c r="L393" s="169"/>
      <c r="M393" s="457"/>
      <c r="N393" s="455"/>
      <c r="O393" s="170"/>
      <c r="P393" s="170"/>
      <c r="Q393" s="170"/>
      <c r="R393" s="469"/>
      <c r="S393" s="465"/>
      <c r="T393" s="170"/>
      <c r="U393" s="170"/>
      <c r="V393" s="170"/>
      <c r="W393" s="469"/>
      <c r="X393" s="465"/>
      <c r="Y393" s="170"/>
      <c r="Z393" s="170"/>
      <c r="AA393" s="170"/>
      <c r="AB393" s="469"/>
    </row>
    <row r="394" spans="1:28" ht="16.149999999999999" customHeight="1" x14ac:dyDescent="0.2">
      <c r="A394" s="480"/>
      <c r="B394" s="119" t="s">
        <v>855</v>
      </c>
      <c r="C394" s="457"/>
      <c r="D394" s="455"/>
      <c r="E394" s="169"/>
      <c r="F394" s="169"/>
      <c r="G394" s="169"/>
      <c r="H394" s="457"/>
      <c r="I394" s="455"/>
      <c r="J394" s="169"/>
      <c r="K394" s="169"/>
      <c r="L394" s="169"/>
      <c r="M394" s="457"/>
      <c r="N394" s="455"/>
      <c r="O394" s="170"/>
      <c r="P394" s="170"/>
      <c r="Q394" s="170"/>
      <c r="R394" s="469"/>
      <c r="S394" s="465"/>
      <c r="T394" s="170"/>
      <c r="U394" s="170"/>
      <c r="V394" s="170"/>
      <c r="W394" s="469"/>
      <c r="X394" s="465"/>
      <c r="Y394" s="170"/>
      <c r="Z394" s="170"/>
      <c r="AA394" s="170"/>
      <c r="AB394" s="469"/>
    </row>
    <row r="395" spans="1:28" ht="16.149999999999999" customHeight="1" x14ac:dyDescent="0.2">
      <c r="A395" s="480"/>
      <c r="B395" s="119" t="s">
        <v>856</v>
      </c>
      <c r="C395" s="457"/>
      <c r="D395" s="455"/>
      <c r="E395" s="169"/>
      <c r="F395" s="169"/>
      <c r="G395" s="169"/>
      <c r="H395" s="457"/>
      <c r="I395" s="455"/>
      <c r="J395" s="169"/>
      <c r="K395" s="169"/>
      <c r="L395" s="169"/>
      <c r="M395" s="457"/>
      <c r="N395" s="455"/>
      <c r="O395" s="170"/>
      <c r="P395" s="170"/>
      <c r="Q395" s="170"/>
      <c r="R395" s="469"/>
      <c r="S395" s="465"/>
      <c r="T395" s="170"/>
      <c r="U395" s="170"/>
      <c r="V395" s="170"/>
      <c r="W395" s="469"/>
      <c r="X395" s="465"/>
      <c r="Y395" s="170"/>
      <c r="Z395" s="170"/>
      <c r="AA395" s="170"/>
      <c r="AB395" s="469"/>
    </row>
    <row r="396" spans="1:28" ht="16.149999999999999" customHeight="1" x14ac:dyDescent="0.2">
      <c r="A396" s="480"/>
      <c r="B396" s="119" t="s">
        <v>857</v>
      </c>
      <c r="C396" s="457"/>
      <c r="D396" s="455"/>
      <c r="E396" s="169"/>
      <c r="F396" s="169"/>
      <c r="G396" s="169"/>
      <c r="H396" s="457"/>
      <c r="I396" s="455"/>
      <c r="J396" s="169"/>
      <c r="K396" s="169"/>
      <c r="L396" s="169"/>
      <c r="M396" s="457"/>
      <c r="N396" s="455"/>
      <c r="O396" s="170"/>
      <c r="P396" s="170"/>
      <c r="Q396" s="170"/>
      <c r="R396" s="469"/>
      <c r="S396" s="465"/>
      <c r="T396" s="170"/>
      <c r="U396" s="170"/>
      <c r="V396" s="170"/>
      <c r="W396" s="469"/>
      <c r="X396" s="465"/>
      <c r="Y396" s="170"/>
      <c r="Z396" s="170"/>
      <c r="AA396" s="170"/>
      <c r="AB396" s="469"/>
    </row>
    <row r="397" spans="1:28" ht="16.149999999999999" customHeight="1" x14ac:dyDescent="0.2">
      <c r="A397" s="480"/>
      <c r="B397" s="119" t="s">
        <v>858</v>
      </c>
      <c r="C397" s="457"/>
      <c r="D397" s="455"/>
      <c r="E397" s="169"/>
      <c r="F397" s="169"/>
      <c r="G397" s="169"/>
      <c r="H397" s="457"/>
      <c r="I397" s="455"/>
      <c r="J397" s="169"/>
      <c r="K397" s="169"/>
      <c r="L397" s="169"/>
      <c r="M397" s="457"/>
      <c r="N397" s="455"/>
      <c r="O397" s="170"/>
      <c r="P397" s="170"/>
      <c r="Q397" s="170"/>
      <c r="R397" s="469"/>
      <c r="S397" s="465"/>
      <c r="T397" s="170"/>
      <c r="U397" s="170"/>
      <c r="V397" s="170"/>
      <c r="W397" s="469"/>
      <c r="X397" s="465"/>
      <c r="Y397" s="170"/>
      <c r="Z397" s="170"/>
      <c r="AA397" s="170"/>
      <c r="AB397" s="469"/>
    </row>
    <row r="398" spans="1:28" ht="16.149999999999999" customHeight="1" x14ac:dyDescent="0.2">
      <c r="A398" s="480"/>
      <c r="B398" s="119" t="s">
        <v>859</v>
      </c>
      <c r="C398" s="457"/>
      <c r="D398" s="455"/>
      <c r="E398" s="169"/>
      <c r="F398" s="169"/>
      <c r="G398" s="169"/>
      <c r="H398" s="457"/>
      <c r="I398" s="455"/>
      <c r="J398" s="169"/>
      <c r="K398" s="169"/>
      <c r="L398" s="169"/>
      <c r="M398" s="457"/>
      <c r="N398" s="455"/>
      <c r="O398" s="170"/>
      <c r="P398" s="170"/>
      <c r="Q398" s="170"/>
      <c r="R398" s="469"/>
      <c r="S398" s="465"/>
      <c r="T398" s="170"/>
      <c r="U398" s="170"/>
      <c r="V398" s="170"/>
      <c r="W398" s="469"/>
      <c r="X398" s="465"/>
      <c r="Y398" s="170"/>
      <c r="Z398" s="170"/>
      <c r="AA398" s="170"/>
      <c r="AB398" s="469"/>
    </row>
    <row r="399" spans="1:28" ht="16.149999999999999" customHeight="1" x14ac:dyDescent="0.2">
      <c r="A399" s="480"/>
      <c r="B399" s="119" t="s">
        <v>860</v>
      </c>
      <c r="C399" s="457"/>
      <c r="D399" s="455"/>
      <c r="E399" s="169"/>
      <c r="F399" s="169"/>
      <c r="G399" s="169"/>
      <c r="H399" s="457"/>
      <c r="I399" s="455"/>
      <c r="J399" s="169"/>
      <c r="K399" s="169"/>
      <c r="L399" s="169"/>
      <c r="M399" s="457"/>
      <c r="N399" s="455"/>
      <c r="O399" s="170"/>
      <c r="P399" s="170"/>
      <c r="Q399" s="170"/>
      <c r="R399" s="469"/>
      <c r="S399" s="465"/>
      <c r="T399" s="170"/>
      <c r="U399" s="170"/>
      <c r="V399" s="170"/>
      <c r="W399" s="469"/>
      <c r="X399" s="465"/>
      <c r="Y399" s="170"/>
      <c r="Z399" s="170"/>
      <c r="AA399" s="170"/>
      <c r="AB399" s="469"/>
    </row>
    <row r="400" spans="1:28" ht="16.149999999999999" customHeight="1" x14ac:dyDescent="0.2">
      <c r="A400" s="480"/>
      <c r="B400" s="119" t="s">
        <v>861</v>
      </c>
      <c r="C400" s="457"/>
      <c r="D400" s="455"/>
      <c r="E400" s="169"/>
      <c r="F400" s="169"/>
      <c r="G400" s="169"/>
      <c r="H400" s="457"/>
      <c r="I400" s="455"/>
      <c r="J400" s="169"/>
      <c r="K400" s="169"/>
      <c r="L400" s="169"/>
      <c r="M400" s="457"/>
      <c r="N400" s="455"/>
      <c r="O400" s="170"/>
      <c r="P400" s="170"/>
      <c r="Q400" s="170"/>
      <c r="R400" s="469"/>
      <c r="S400" s="465"/>
      <c r="T400" s="170"/>
      <c r="U400" s="170"/>
      <c r="V400" s="170"/>
      <c r="W400" s="469"/>
      <c r="X400" s="465"/>
      <c r="Y400" s="170"/>
      <c r="Z400" s="170"/>
      <c r="AA400" s="170"/>
      <c r="AB400" s="469"/>
    </row>
    <row r="401" spans="1:28" ht="16.149999999999999" customHeight="1" x14ac:dyDescent="0.2">
      <c r="A401" s="480"/>
      <c r="B401" s="119" t="s">
        <v>862</v>
      </c>
      <c r="C401" s="457"/>
      <c r="D401" s="455"/>
      <c r="E401" s="169"/>
      <c r="F401" s="169"/>
      <c r="G401" s="169"/>
      <c r="H401" s="457"/>
      <c r="I401" s="455"/>
      <c r="J401" s="169"/>
      <c r="K401" s="169"/>
      <c r="L401" s="169"/>
      <c r="M401" s="457"/>
      <c r="N401" s="455"/>
      <c r="O401" s="170"/>
      <c r="P401" s="170"/>
      <c r="Q401" s="170"/>
      <c r="R401" s="469"/>
      <c r="S401" s="465"/>
      <c r="T401" s="170"/>
      <c r="U401" s="170"/>
      <c r="V401" s="170"/>
      <c r="W401" s="469"/>
      <c r="X401" s="465"/>
      <c r="Y401" s="170"/>
      <c r="Z401" s="170"/>
      <c r="AA401" s="170"/>
      <c r="AB401" s="469"/>
    </row>
    <row r="402" spans="1:28" ht="27" customHeight="1" x14ac:dyDescent="0.2">
      <c r="A402" s="480"/>
      <c r="B402" s="119" t="s">
        <v>863</v>
      </c>
      <c r="C402" s="457"/>
      <c r="D402" s="455"/>
      <c r="E402" s="169"/>
      <c r="F402" s="169"/>
      <c r="G402" s="169"/>
      <c r="H402" s="457"/>
      <c r="I402" s="455"/>
      <c r="J402" s="169"/>
      <c r="K402" s="169"/>
      <c r="L402" s="169"/>
      <c r="M402" s="457"/>
      <c r="N402" s="455"/>
      <c r="O402" s="170"/>
      <c r="P402" s="170"/>
      <c r="Q402" s="170"/>
      <c r="R402" s="469"/>
      <c r="S402" s="465"/>
      <c r="T402" s="170"/>
      <c r="U402" s="170"/>
      <c r="V402" s="170"/>
      <c r="W402" s="469"/>
      <c r="X402" s="465"/>
      <c r="Y402" s="170"/>
      <c r="Z402" s="170"/>
      <c r="AA402" s="170"/>
      <c r="AB402" s="469"/>
    </row>
    <row r="403" spans="1:28" ht="16.5" customHeight="1" x14ac:dyDescent="0.2">
      <c r="A403" s="480"/>
      <c r="B403" s="119" t="s">
        <v>865</v>
      </c>
      <c r="C403" s="457"/>
      <c r="D403" s="455"/>
      <c r="E403" s="169"/>
      <c r="F403" s="169"/>
      <c r="G403" s="169"/>
      <c r="H403" s="457"/>
      <c r="I403" s="455"/>
      <c r="J403" s="169"/>
      <c r="K403" s="169"/>
      <c r="L403" s="169"/>
      <c r="M403" s="457"/>
      <c r="N403" s="455"/>
      <c r="O403" s="170"/>
      <c r="P403" s="170"/>
      <c r="Q403" s="170"/>
      <c r="R403" s="469"/>
      <c r="S403" s="465"/>
      <c r="T403" s="170"/>
      <c r="U403" s="170"/>
      <c r="V403" s="170"/>
      <c r="W403" s="469"/>
      <c r="X403" s="465"/>
      <c r="Y403" s="170"/>
      <c r="Z403" s="170"/>
      <c r="AA403" s="170"/>
      <c r="AB403" s="469"/>
    </row>
    <row r="404" spans="1:28" ht="16.149999999999999" customHeight="1" x14ac:dyDescent="0.2">
      <c r="A404" s="480"/>
      <c r="B404" s="119" t="s">
        <v>864</v>
      </c>
      <c r="C404" s="457"/>
      <c r="D404" s="455"/>
      <c r="E404" s="169"/>
      <c r="F404" s="169"/>
      <c r="G404" s="169"/>
      <c r="H404" s="457"/>
      <c r="I404" s="455"/>
      <c r="J404" s="169"/>
      <c r="K404" s="169"/>
      <c r="L404" s="169"/>
      <c r="M404" s="457"/>
      <c r="N404" s="455"/>
      <c r="O404" s="170"/>
      <c r="P404" s="170"/>
      <c r="Q404" s="170"/>
      <c r="R404" s="469"/>
      <c r="S404" s="465"/>
      <c r="T404" s="170"/>
      <c r="U404" s="170"/>
      <c r="V404" s="170"/>
      <c r="W404" s="469"/>
      <c r="X404" s="465"/>
      <c r="Y404" s="170"/>
      <c r="Z404" s="170"/>
      <c r="AA404" s="170"/>
      <c r="AB404" s="469"/>
    </row>
    <row r="405" spans="1:28" ht="16.149999999999999" customHeight="1" x14ac:dyDescent="0.2">
      <c r="A405" s="480"/>
      <c r="B405" s="119" t="s">
        <v>866</v>
      </c>
      <c r="C405" s="457"/>
      <c r="D405" s="455"/>
      <c r="E405" s="169"/>
      <c r="F405" s="169"/>
      <c r="G405" s="169"/>
      <c r="H405" s="457"/>
      <c r="I405" s="455"/>
      <c r="J405" s="169"/>
      <c r="K405" s="169"/>
      <c r="L405" s="169"/>
      <c r="M405" s="457"/>
      <c r="N405" s="455"/>
      <c r="O405" s="170"/>
      <c r="P405" s="170"/>
      <c r="Q405" s="170"/>
      <c r="R405" s="469"/>
      <c r="S405" s="465"/>
      <c r="T405" s="170"/>
      <c r="U405" s="170"/>
      <c r="V405" s="170"/>
      <c r="W405" s="469"/>
      <c r="X405" s="465"/>
      <c r="Y405" s="170"/>
      <c r="Z405" s="170"/>
      <c r="AA405" s="170"/>
      <c r="AB405" s="469"/>
    </row>
    <row r="406" spans="1:28" ht="16.149999999999999" customHeight="1" x14ac:dyDescent="0.2">
      <c r="A406" s="480"/>
      <c r="B406" s="119" t="s">
        <v>867</v>
      </c>
      <c r="C406" s="457"/>
      <c r="D406" s="455"/>
      <c r="E406" s="169"/>
      <c r="F406" s="169"/>
      <c r="G406" s="169"/>
      <c r="H406" s="457"/>
      <c r="I406" s="455"/>
      <c r="J406" s="169"/>
      <c r="K406" s="169"/>
      <c r="L406" s="169"/>
      <c r="M406" s="457"/>
      <c r="N406" s="455"/>
      <c r="O406" s="170"/>
      <c r="P406" s="170"/>
      <c r="Q406" s="170"/>
      <c r="R406" s="469"/>
      <c r="S406" s="465"/>
      <c r="T406" s="170"/>
      <c r="U406" s="170"/>
      <c r="V406" s="170"/>
      <c r="W406" s="469"/>
      <c r="X406" s="465"/>
      <c r="Y406" s="170"/>
      <c r="Z406" s="170"/>
      <c r="AA406" s="170"/>
      <c r="AB406" s="469"/>
    </row>
    <row r="407" spans="1:28" ht="16.149999999999999" customHeight="1" x14ac:dyDescent="0.2">
      <c r="A407" s="480"/>
      <c r="B407" s="119" t="s">
        <v>868</v>
      </c>
      <c r="C407" s="457"/>
      <c r="D407" s="455"/>
      <c r="E407" s="169"/>
      <c r="F407" s="169"/>
      <c r="G407" s="169"/>
      <c r="H407" s="457"/>
      <c r="I407" s="455"/>
      <c r="J407" s="169"/>
      <c r="K407" s="169"/>
      <c r="L407" s="169"/>
      <c r="M407" s="457"/>
      <c r="N407" s="455"/>
      <c r="O407" s="170"/>
      <c r="P407" s="170"/>
      <c r="Q407" s="170"/>
      <c r="R407" s="469"/>
      <c r="S407" s="465"/>
      <c r="T407" s="170"/>
      <c r="U407" s="170"/>
      <c r="V407" s="170"/>
      <c r="W407" s="469"/>
      <c r="X407" s="465"/>
      <c r="Y407" s="170"/>
      <c r="Z407" s="170"/>
      <c r="AA407" s="170"/>
      <c r="AB407" s="469"/>
    </row>
    <row r="408" spans="1:28" ht="16.149999999999999" customHeight="1" x14ac:dyDescent="0.2">
      <c r="A408" s="480"/>
      <c r="B408" s="119" t="s">
        <v>869</v>
      </c>
      <c r="C408" s="457"/>
      <c r="D408" s="455"/>
      <c r="E408" s="169"/>
      <c r="F408" s="169"/>
      <c r="G408" s="169"/>
      <c r="H408" s="457"/>
      <c r="I408" s="455"/>
      <c r="J408" s="169"/>
      <c r="K408" s="169"/>
      <c r="L408" s="169"/>
      <c r="M408" s="457"/>
      <c r="N408" s="455"/>
      <c r="O408" s="170"/>
      <c r="P408" s="170"/>
      <c r="Q408" s="170"/>
      <c r="R408" s="469"/>
      <c r="S408" s="465"/>
      <c r="T408" s="170"/>
      <c r="U408" s="170"/>
      <c r="V408" s="170"/>
      <c r="W408" s="469"/>
      <c r="X408" s="465"/>
      <c r="Y408" s="170"/>
      <c r="Z408" s="170"/>
      <c r="AA408" s="170"/>
      <c r="AB408" s="469"/>
    </row>
    <row r="409" spans="1:28" ht="16.149999999999999" customHeight="1" x14ac:dyDescent="0.2">
      <c r="A409" s="480"/>
      <c r="B409" s="119" t="s">
        <v>870</v>
      </c>
      <c r="C409" s="457"/>
      <c r="D409" s="455"/>
      <c r="E409" s="169"/>
      <c r="F409" s="169"/>
      <c r="G409" s="169"/>
      <c r="H409" s="457"/>
      <c r="I409" s="455"/>
      <c r="J409" s="169"/>
      <c r="K409" s="169"/>
      <c r="L409" s="169"/>
      <c r="M409" s="457"/>
      <c r="N409" s="455"/>
      <c r="O409" s="170"/>
      <c r="P409" s="170"/>
      <c r="Q409" s="170"/>
      <c r="R409" s="469"/>
      <c r="S409" s="465"/>
      <c r="T409" s="170"/>
      <c r="U409" s="170"/>
      <c r="V409" s="170"/>
      <c r="W409" s="469"/>
      <c r="X409" s="465"/>
      <c r="Y409" s="170"/>
      <c r="Z409" s="170"/>
      <c r="AA409" s="170"/>
      <c r="AB409" s="469"/>
    </row>
    <row r="410" spans="1:28" ht="16.149999999999999" customHeight="1" x14ac:dyDescent="0.2">
      <c r="A410" s="480"/>
      <c r="B410" s="119" t="s">
        <v>871</v>
      </c>
      <c r="C410" s="457"/>
      <c r="D410" s="455"/>
      <c r="E410" s="169"/>
      <c r="F410" s="169"/>
      <c r="G410" s="169"/>
      <c r="H410" s="457"/>
      <c r="I410" s="455"/>
      <c r="J410" s="169"/>
      <c r="K410" s="169"/>
      <c r="L410" s="169"/>
      <c r="M410" s="457"/>
      <c r="N410" s="455"/>
      <c r="O410" s="170"/>
      <c r="P410" s="170"/>
      <c r="Q410" s="170"/>
      <c r="R410" s="469"/>
      <c r="S410" s="465"/>
      <c r="T410" s="170"/>
      <c r="U410" s="170"/>
      <c r="V410" s="170"/>
      <c r="W410" s="469"/>
      <c r="X410" s="465"/>
      <c r="Y410" s="170"/>
      <c r="Z410" s="170"/>
      <c r="AA410" s="170"/>
      <c r="AB410" s="469"/>
    </row>
    <row r="411" spans="1:28" ht="16.149999999999999" customHeight="1" x14ac:dyDescent="0.2">
      <c r="A411" s="480"/>
      <c r="B411" s="119" t="s">
        <v>872</v>
      </c>
      <c r="C411" s="457"/>
      <c r="D411" s="455"/>
      <c r="E411" s="169"/>
      <c r="F411" s="169"/>
      <c r="G411" s="169"/>
      <c r="H411" s="457"/>
      <c r="I411" s="455"/>
      <c r="J411" s="169"/>
      <c r="K411" s="169"/>
      <c r="L411" s="169"/>
      <c r="M411" s="457"/>
      <c r="N411" s="455"/>
      <c r="O411" s="170"/>
      <c r="P411" s="170"/>
      <c r="Q411" s="170"/>
      <c r="R411" s="469"/>
      <c r="S411" s="465"/>
      <c r="T411" s="170"/>
      <c r="U411" s="170"/>
      <c r="V411" s="170"/>
      <c r="W411" s="469"/>
      <c r="X411" s="465"/>
      <c r="Y411" s="170"/>
      <c r="Z411" s="170"/>
      <c r="AA411" s="170"/>
      <c r="AB411" s="469"/>
    </row>
    <row r="412" spans="1:28" ht="16.149999999999999" customHeight="1" x14ac:dyDescent="0.2">
      <c r="A412" s="480"/>
      <c r="B412" s="119" t="s">
        <v>873</v>
      </c>
      <c r="C412" s="457"/>
      <c r="D412" s="455"/>
      <c r="E412" s="169"/>
      <c r="F412" s="169"/>
      <c r="G412" s="169"/>
      <c r="H412" s="457"/>
      <c r="I412" s="455"/>
      <c r="J412" s="169"/>
      <c r="K412" s="169"/>
      <c r="L412" s="169"/>
      <c r="M412" s="457"/>
      <c r="N412" s="455"/>
      <c r="O412" s="170"/>
      <c r="P412" s="170"/>
      <c r="Q412" s="170"/>
      <c r="R412" s="469"/>
      <c r="S412" s="465"/>
      <c r="T412" s="170"/>
      <c r="U412" s="170"/>
      <c r="V412" s="170"/>
      <c r="W412" s="469"/>
      <c r="X412" s="465"/>
      <c r="Y412" s="170"/>
      <c r="Z412" s="170"/>
      <c r="AA412" s="170"/>
      <c r="AB412" s="469"/>
    </row>
    <row r="413" spans="1:28" ht="15.75" customHeight="1" x14ac:dyDescent="0.2">
      <c r="A413" s="480"/>
      <c r="B413" s="119" t="s">
        <v>874</v>
      </c>
      <c r="C413" s="457"/>
      <c r="D413" s="455"/>
      <c r="E413" s="169"/>
      <c r="F413" s="169"/>
      <c r="G413" s="169"/>
      <c r="H413" s="457"/>
      <c r="I413" s="455"/>
      <c r="J413" s="169"/>
      <c r="K413" s="169"/>
      <c r="L413" s="169"/>
      <c r="M413" s="457"/>
      <c r="N413" s="455"/>
      <c r="O413" s="170"/>
      <c r="P413" s="170"/>
      <c r="Q413" s="170"/>
      <c r="R413" s="469"/>
      <c r="S413" s="465"/>
      <c r="T413" s="170"/>
      <c r="U413" s="170"/>
      <c r="V413" s="170"/>
      <c r="W413" s="469"/>
      <c r="X413" s="465"/>
      <c r="Y413" s="170"/>
      <c r="Z413" s="170"/>
      <c r="AA413" s="170"/>
      <c r="AB413" s="469"/>
    </row>
    <row r="414" spans="1:28" ht="16.149999999999999" customHeight="1" x14ac:dyDescent="0.2">
      <c r="A414" s="480"/>
      <c r="B414" s="119" t="s">
        <v>875</v>
      </c>
      <c r="C414" s="457"/>
      <c r="D414" s="455"/>
      <c r="E414" s="169"/>
      <c r="F414" s="169"/>
      <c r="G414" s="169"/>
      <c r="H414" s="457"/>
      <c r="I414" s="455"/>
      <c r="J414" s="169"/>
      <c r="K414" s="169"/>
      <c r="L414" s="169"/>
      <c r="M414" s="171"/>
      <c r="N414" s="173"/>
      <c r="O414" s="170"/>
      <c r="P414" s="170"/>
      <c r="Q414" s="170"/>
      <c r="R414" s="469"/>
      <c r="S414" s="465"/>
      <c r="T414" s="170"/>
      <c r="U414" s="170"/>
      <c r="V414" s="170"/>
      <c r="W414" s="469"/>
      <c r="X414" s="465"/>
      <c r="Y414" s="170"/>
      <c r="Z414" s="170"/>
      <c r="AA414" s="170"/>
      <c r="AB414" s="469"/>
    </row>
    <row r="415" spans="1:28" ht="16.149999999999999" customHeight="1" x14ac:dyDescent="0.2">
      <c r="A415" s="480"/>
      <c r="B415" s="119" t="s">
        <v>876</v>
      </c>
      <c r="C415" s="457"/>
      <c r="D415" s="455"/>
      <c r="E415" s="169"/>
      <c r="F415" s="169"/>
      <c r="G415" s="169"/>
      <c r="H415" s="457"/>
      <c r="I415" s="455"/>
      <c r="J415" s="169"/>
      <c r="K415" s="169"/>
      <c r="L415" s="169"/>
      <c r="M415" s="171"/>
      <c r="N415" s="173"/>
      <c r="O415" s="170"/>
      <c r="P415" s="170"/>
      <c r="Q415" s="170"/>
      <c r="R415" s="469"/>
      <c r="S415" s="465"/>
      <c r="T415" s="170"/>
      <c r="U415" s="170"/>
      <c r="V415" s="170"/>
      <c r="W415" s="469"/>
      <c r="X415" s="465"/>
      <c r="Y415" s="170"/>
      <c r="Z415" s="170"/>
      <c r="AA415" s="170"/>
      <c r="AB415" s="469"/>
    </row>
    <row r="416" spans="1:28" ht="16.149999999999999" customHeight="1" x14ac:dyDescent="0.2">
      <c r="A416" s="480"/>
      <c r="B416" s="119" t="s">
        <v>877</v>
      </c>
      <c r="C416" s="457"/>
      <c r="D416" s="455"/>
      <c r="E416" s="169"/>
      <c r="F416" s="169"/>
      <c r="G416" s="169"/>
      <c r="H416" s="457"/>
      <c r="I416" s="455"/>
      <c r="J416" s="169"/>
      <c r="K416" s="169"/>
      <c r="L416" s="169"/>
      <c r="M416" s="171"/>
      <c r="N416" s="173"/>
      <c r="O416" s="170"/>
      <c r="P416" s="170"/>
      <c r="Q416" s="170"/>
      <c r="R416" s="469"/>
      <c r="S416" s="465"/>
      <c r="T416" s="170"/>
      <c r="U416" s="170"/>
      <c r="V416" s="170"/>
      <c r="W416" s="469"/>
      <c r="X416" s="465"/>
      <c r="Y416" s="170"/>
      <c r="Z416" s="170"/>
      <c r="AA416" s="170"/>
      <c r="AB416" s="469"/>
    </row>
    <row r="417" spans="1:28" ht="16.149999999999999" customHeight="1" x14ac:dyDescent="0.2">
      <c r="A417" s="480"/>
      <c r="B417" s="119" t="s">
        <v>878</v>
      </c>
      <c r="C417" s="457"/>
      <c r="D417" s="455"/>
      <c r="E417" s="169"/>
      <c r="F417" s="169"/>
      <c r="G417" s="169"/>
      <c r="H417" s="457"/>
      <c r="I417" s="455"/>
      <c r="J417" s="169"/>
      <c r="K417" s="169"/>
      <c r="L417" s="169"/>
      <c r="M417" s="171"/>
      <c r="N417" s="173"/>
      <c r="O417" s="170"/>
      <c r="P417" s="170"/>
      <c r="Q417" s="170"/>
      <c r="R417" s="469"/>
      <c r="S417" s="465"/>
      <c r="T417" s="170"/>
      <c r="U417" s="170"/>
      <c r="V417" s="170"/>
      <c r="W417" s="469"/>
      <c r="X417" s="465"/>
      <c r="Y417" s="170"/>
      <c r="Z417" s="170"/>
      <c r="AA417" s="170"/>
      <c r="AB417" s="469"/>
    </row>
    <row r="418" spans="1:28" ht="16.149999999999999" customHeight="1" x14ac:dyDescent="0.2">
      <c r="A418" s="480"/>
      <c r="B418" s="119" t="s">
        <v>879</v>
      </c>
      <c r="C418" s="457"/>
      <c r="D418" s="455"/>
      <c r="E418" s="169"/>
      <c r="F418" s="169"/>
      <c r="G418" s="169"/>
      <c r="H418" s="457"/>
      <c r="I418" s="455"/>
      <c r="J418" s="169"/>
      <c r="K418" s="169"/>
      <c r="L418" s="169"/>
      <c r="M418" s="171"/>
      <c r="N418" s="173"/>
      <c r="O418" s="170"/>
      <c r="P418" s="170"/>
      <c r="Q418" s="170"/>
      <c r="R418" s="469"/>
      <c r="S418" s="465"/>
      <c r="T418" s="170"/>
      <c r="U418" s="170"/>
      <c r="V418" s="170"/>
      <c r="W418" s="469"/>
      <c r="X418" s="465"/>
      <c r="Y418" s="170"/>
      <c r="Z418" s="170"/>
      <c r="AA418" s="170"/>
      <c r="AB418" s="469"/>
    </row>
    <row r="419" spans="1:28" ht="16.149999999999999" customHeight="1" x14ac:dyDescent="0.2">
      <c r="A419" s="480"/>
      <c r="B419" s="119" t="s">
        <v>880</v>
      </c>
      <c r="C419" s="457"/>
      <c r="D419" s="455"/>
      <c r="E419" s="169"/>
      <c r="F419" s="169"/>
      <c r="G419" s="169"/>
      <c r="H419" s="457"/>
      <c r="I419" s="455"/>
      <c r="J419" s="169"/>
      <c r="K419" s="169"/>
      <c r="L419" s="169"/>
      <c r="M419" s="171"/>
      <c r="N419" s="173"/>
      <c r="O419" s="170"/>
      <c r="P419" s="170"/>
      <c r="Q419" s="170"/>
      <c r="R419" s="469"/>
      <c r="S419" s="465"/>
      <c r="T419" s="170"/>
      <c r="U419" s="170"/>
      <c r="V419" s="170"/>
      <c r="W419" s="469"/>
      <c r="X419" s="465"/>
      <c r="Y419" s="170"/>
      <c r="Z419" s="170"/>
      <c r="AA419" s="170"/>
      <c r="AB419" s="469"/>
    </row>
    <row r="420" spans="1:28" ht="16.149999999999999" customHeight="1" x14ac:dyDescent="0.2">
      <c r="A420" s="480"/>
      <c r="B420" s="119" t="s">
        <v>881</v>
      </c>
      <c r="C420" s="457"/>
      <c r="D420" s="455"/>
      <c r="E420" s="169"/>
      <c r="F420" s="169"/>
      <c r="G420" s="169"/>
      <c r="H420" s="457"/>
      <c r="I420" s="455"/>
      <c r="J420" s="169"/>
      <c r="K420" s="169"/>
      <c r="L420" s="169"/>
      <c r="M420" s="171"/>
      <c r="N420" s="173"/>
      <c r="O420" s="170"/>
      <c r="P420" s="170"/>
      <c r="Q420" s="170"/>
      <c r="R420" s="469"/>
      <c r="S420" s="465"/>
      <c r="T420" s="170"/>
      <c r="U420" s="170"/>
      <c r="V420" s="170"/>
      <c r="W420" s="469"/>
      <c r="X420" s="465"/>
      <c r="Y420" s="170"/>
      <c r="Z420" s="170"/>
      <c r="AA420" s="170"/>
      <c r="AB420" s="469"/>
    </row>
    <row r="421" spans="1:28" ht="16.149999999999999" customHeight="1" x14ac:dyDescent="0.2">
      <c r="A421" s="480"/>
      <c r="B421" s="119" t="s">
        <v>882</v>
      </c>
      <c r="C421" s="457"/>
      <c r="D421" s="455"/>
      <c r="E421" s="169"/>
      <c r="F421" s="169"/>
      <c r="G421" s="169"/>
      <c r="H421" s="457"/>
      <c r="I421" s="455"/>
      <c r="J421" s="169"/>
      <c r="K421" s="169"/>
      <c r="L421" s="169"/>
      <c r="M421" s="171"/>
      <c r="N421" s="173"/>
      <c r="O421" s="170"/>
      <c r="P421" s="170"/>
      <c r="Q421" s="170"/>
      <c r="R421" s="469"/>
      <c r="S421" s="465"/>
      <c r="T421" s="170"/>
      <c r="U421" s="170"/>
      <c r="V421" s="170"/>
      <c r="W421" s="469"/>
      <c r="X421" s="465"/>
      <c r="Y421" s="170"/>
      <c r="Z421" s="170"/>
      <c r="AA421" s="170"/>
      <c r="AB421" s="469"/>
    </row>
    <row r="422" spans="1:28" ht="16.149999999999999" customHeight="1" x14ac:dyDescent="0.2">
      <c r="A422" s="480"/>
      <c r="B422" s="119" t="s">
        <v>883</v>
      </c>
      <c r="C422" s="457"/>
      <c r="D422" s="455"/>
      <c r="E422" s="169"/>
      <c r="F422" s="169"/>
      <c r="G422" s="169"/>
      <c r="H422" s="457"/>
      <c r="I422" s="455"/>
      <c r="J422" s="169"/>
      <c r="K422" s="169"/>
      <c r="L422" s="169"/>
      <c r="M422" s="171"/>
      <c r="N422" s="173"/>
      <c r="O422" s="170"/>
      <c r="P422" s="170"/>
      <c r="Q422" s="170"/>
      <c r="R422" s="469"/>
      <c r="S422" s="465"/>
      <c r="T422" s="170"/>
      <c r="U422" s="170"/>
      <c r="V422" s="170"/>
      <c r="W422" s="469"/>
      <c r="X422" s="465"/>
      <c r="Y422" s="170"/>
      <c r="Z422" s="170"/>
      <c r="AA422" s="170"/>
      <c r="AB422" s="469"/>
    </row>
    <row r="423" spans="1:28" ht="16.149999999999999" customHeight="1" x14ac:dyDescent="0.2">
      <c r="A423" s="480"/>
      <c r="B423" s="119" t="s">
        <v>884</v>
      </c>
      <c r="C423" s="457"/>
      <c r="D423" s="455"/>
      <c r="E423" s="169"/>
      <c r="F423" s="169"/>
      <c r="G423" s="169"/>
      <c r="H423" s="457"/>
      <c r="I423" s="455"/>
      <c r="J423" s="169"/>
      <c r="K423" s="169"/>
      <c r="L423" s="169"/>
      <c r="M423" s="171"/>
      <c r="N423" s="173"/>
      <c r="O423" s="170"/>
      <c r="P423" s="170"/>
      <c r="Q423" s="170"/>
      <c r="R423" s="469"/>
      <c r="S423" s="465"/>
      <c r="T423" s="170"/>
      <c r="U423" s="170"/>
      <c r="V423" s="170"/>
      <c r="W423" s="469"/>
      <c r="X423" s="465"/>
      <c r="Y423" s="170"/>
      <c r="Z423" s="170"/>
      <c r="AA423" s="170"/>
      <c r="AB423" s="469"/>
    </row>
    <row r="424" spans="1:28" ht="16.149999999999999" customHeight="1" x14ac:dyDescent="0.2">
      <c r="A424" s="480"/>
      <c r="B424" s="119" t="s">
        <v>885</v>
      </c>
      <c r="C424" s="457"/>
      <c r="D424" s="455"/>
      <c r="E424" s="169"/>
      <c r="F424" s="169"/>
      <c r="G424" s="169"/>
      <c r="H424" s="457"/>
      <c r="I424" s="455"/>
      <c r="J424" s="169"/>
      <c r="K424" s="169"/>
      <c r="L424" s="169"/>
      <c r="M424" s="171"/>
      <c r="N424" s="173"/>
      <c r="O424" s="170"/>
      <c r="P424" s="170"/>
      <c r="Q424" s="170"/>
      <c r="R424" s="469"/>
      <c r="S424" s="465"/>
      <c r="T424" s="170"/>
      <c r="U424" s="170"/>
      <c r="V424" s="170"/>
      <c r="W424" s="469"/>
      <c r="X424" s="465"/>
      <c r="Y424" s="170"/>
      <c r="Z424" s="170"/>
      <c r="AA424" s="170"/>
      <c r="AB424" s="469"/>
    </row>
    <row r="425" spans="1:28" ht="16.149999999999999" customHeight="1" x14ac:dyDescent="0.2">
      <c r="A425" s="480"/>
      <c r="B425" s="119" t="s">
        <v>886</v>
      </c>
      <c r="C425" s="457"/>
      <c r="D425" s="455"/>
      <c r="E425" s="169"/>
      <c r="F425" s="169"/>
      <c r="G425" s="169"/>
      <c r="H425" s="457"/>
      <c r="I425" s="455"/>
      <c r="J425" s="169"/>
      <c r="K425" s="169"/>
      <c r="L425" s="169"/>
      <c r="M425" s="171"/>
      <c r="N425" s="173"/>
      <c r="O425" s="170"/>
      <c r="P425" s="170"/>
      <c r="Q425" s="170"/>
      <c r="R425" s="469"/>
      <c r="S425" s="465"/>
      <c r="T425" s="170"/>
      <c r="U425" s="170"/>
      <c r="V425" s="170"/>
      <c r="W425" s="469"/>
      <c r="X425" s="465"/>
      <c r="Y425" s="170"/>
      <c r="Z425" s="170"/>
      <c r="AA425" s="170"/>
      <c r="AB425" s="469"/>
    </row>
    <row r="426" spans="1:28" ht="16.149999999999999" customHeight="1" x14ac:dyDescent="0.2">
      <c r="A426" s="480"/>
      <c r="B426" s="119" t="s">
        <v>887</v>
      </c>
      <c r="C426" s="457"/>
      <c r="D426" s="455"/>
      <c r="E426" s="169"/>
      <c r="F426" s="169"/>
      <c r="G426" s="169"/>
      <c r="H426" s="457"/>
      <c r="I426" s="455"/>
      <c r="J426" s="169"/>
      <c r="K426" s="169"/>
      <c r="L426" s="169"/>
      <c r="M426" s="171"/>
      <c r="N426" s="173"/>
      <c r="O426" s="170"/>
      <c r="P426" s="170"/>
      <c r="Q426" s="170"/>
      <c r="R426" s="469"/>
      <c r="S426" s="465"/>
      <c r="T426" s="170"/>
      <c r="U426" s="170"/>
      <c r="V426" s="170"/>
      <c r="W426" s="469"/>
      <c r="X426" s="465"/>
      <c r="Y426" s="170"/>
      <c r="Z426" s="170"/>
      <c r="AA426" s="170"/>
      <c r="AB426" s="469"/>
    </row>
    <row r="427" spans="1:28" ht="16.149999999999999" customHeight="1" x14ac:dyDescent="0.2">
      <c r="A427" s="480"/>
      <c r="B427" s="119" t="s">
        <v>888</v>
      </c>
      <c r="C427" s="457"/>
      <c r="D427" s="455"/>
      <c r="E427" s="169"/>
      <c r="F427" s="169"/>
      <c r="G427" s="169"/>
      <c r="H427" s="457"/>
      <c r="I427" s="455"/>
      <c r="J427" s="169"/>
      <c r="K427" s="169"/>
      <c r="L427" s="169"/>
      <c r="M427" s="171"/>
      <c r="N427" s="173"/>
      <c r="O427" s="170"/>
      <c r="P427" s="170"/>
      <c r="Q427" s="170"/>
      <c r="R427" s="469"/>
      <c r="S427" s="465"/>
      <c r="T427" s="170"/>
      <c r="U427" s="170"/>
      <c r="V427" s="170"/>
      <c r="W427" s="469"/>
      <c r="X427" s="465"/>
      <c r="Y427" s="170"/>
      <c r="Z427" s="170"/>
      <c r="AA427" s="170"/>
      <c r="AB427" s="469"/>
    </row>
    <row r="428" spans="1:28" ht="16.149999999999999" customHeight="1" x14ac:dyDescent="0.2">
      <c r="A428" s="480"/>
      <c r="B428" s="119" t="s">
        <v>889</v>
      </c>
      <c r="C428" s="457"/>
      <c r="D428" s="455"/>
      <c r="E428" s="169"/>
      <c r="F428" s="169"/>
      <c r="G428" s="169"/>
      <c r="H428" s="457"/>
      <c r="I428" s="455"/>
      <c r="J428" s="169"/>
      <c r="K428" s="169"/>
      <c r="L428" s="169"/>
      <c r="M428" s="171"/>
      <c r="N428" s="173"/>
      <c r="O428" s="170"/>
      <c r="P428" s="170"/>
      <c r="Q428" s="170"/>
      <c r="R428" s="469"/>
      <c r="S428" s="465"/>
      <c r="T428" s="170"/>
      <c r="U428" s="170"/>
      <c r="V428" s="170"/>
      <c r="W428" s="469"/>
      <c r="X428" s="465"/>
      <c r="Y428" s="170"/>
      <c r="Z428" s="170"/>
      <c r="AA428" s="170"/>
      <c r="AB428" s="469"/>
    </row>
    <row r="429" spans="1:28" ht="16.149999999999999" customHeight="1" x14ac:dyDescent="0.2">
      <c r="A429" s="480"/>
      <c r="B429" s="119" t="s">
        <v>895</v>
      </c>
      <c r="C429" s="457"/>
      <c r="D429" s="455"/>
      <c r="E429" s="169"/>
      <c r="F429" s="169"/>
      <c r="G429" s="169"/>
      <c r="H429" s="457"/>
      <c r="I429" s="455"/>
      <c r="J429" s="169"/>
      <c r="K429" s="169"/>
      <c r="L429" s="169"/>
      <c r="M429" s="171"/>
      <c r="N429" s="173"/>
      <c r="O429" s="170"/>
      <c r="P429" s="170"/>
      <c r="Q429" s="170"/>
      <c r="R429" s="469"/>
      <c r="S429" s="465"/>
      <c r="T429" s="170"/>
      <c r="U429" s="170"/>
      <c r="V429" s="170"/>
      <c r="W429" s="469"/>
      <c r="X429" s="465"/>
      <c r="Y429" s="170"/>
      <c r="Z429" s="170"/>
      <c r="AA429" s="170"/>
      <c r="AB429" s="469"/>
    </row>
    <row r="430" spans="1:28" ht="16.149999999999999" customHeight="1" x14ac:dyDescent="0.2">
      <c r="A430" s="480"/>
      <c r="B430" s="119" t="s">
        <v>890</v>
      </c>
      <c r="C430" s="457"/>
      <c r="D430" s="455"/>
      <c r="E430" s="169"/>
      <c r="F430" s="169"/>
      <c r="G430" s="169"/>
      <c r="H430" s="457"/>
      <c r="I430" s="455"/>
      <c r="J430" s="169"/>
      <c r="K430" s="169"/>
      <c r="L430" s="169"/>
      <c r="M430" s="171"/>
      <c r="N430" s="173"/>
      <c r="O430" s="170"/>
      <c r="P430" s="170"/>
      <c r="Q430" s="170"/>
      <c r="R430" s="469"/>
      <c r="S430" s="465"/>
      <c r="T430" s="170"/>
      <c r="U430" s="170"/>
      <c r="V430" s="170"/>
      <c r="W430" s="469"/>
      <c r="X430" s="465"/>
      <c r="Y430" s="170"/>
      <c r="Z430" s="170"/>
      <c r="AA430" s="170"/>
      <c r="AB430" s="469"/>
    </row>
    <row r="431" spans="1:28" ht="16.149999999999999" customHeight="1" x14ac:dyDescent="0.2">
      <c r="A431" s="480"/>
      <c r="B431" s="119" t="s">
        <v>894</v>
      </c>
      <c r="C431" s="457"/>
      <c r="D431" s="455"/>
      <c r="E431" s="169"/>
      <c r="F431" s="169"/>
      <c r="G431" s="169"/>
      <c r="H431" s="457"/>
      <c r="I431" s="455"/>
      <c r="J431" s="169"/>
      <c r="K431" s="169"/>
      <c r="L431" s="169"/>
      <c r="M431" s="171"/>
      <c r="N431" s="173"/>
      <c r="O431" s="170"/>
      <c r="P431" s="170"/>
      <c r="Q431" s="170"/>
      <c r="R431" s="469"/>
      <c r="S431" s="465"/>
      <c r="T431" s="170"/>
      <c r="U431" s="170"/>
      <c r="V431" s="170"/>
      <c r="W431" s="469"/>
      <c r="X431" s="465"/>
      <c r="Y431" s="170"/>
      <c r="Z431" s="170"/>
      <c r="AA431" s="170"/>
      <c r="AB431" s="469"/>
    </row>
    <row r="432" spans="1:28" ht="16.149999999999999" customHeight="1" x14ac:dyDescent="0.2">
      <c r="A432" s="480"/>
      <c r="B432" s="119" t="s">
        <v>891</v>
      </c>
      <c r="C432" s="457"/>
      <c r="D432" s="455"/>
      <c r="E432" s="169"/>
      <c r="F432" s="169"/>
      <c r="G432" s="169"/>
      <c r="H432" s="457"/>
      <c r="I432" s="455"/>
      <c r="J432" s="169"/>
      <c r="K432" s="169"/>
      <c r="L432" s="169"/>
      <c r="M432" s="171"/>
      <c r="N432" s="173"/>
      <c r="O432" s="170"/>
      <c r="P432" s="170"/>
      <c r="Q432" s="170"/>
      <c r="R432" s="469"/>
      <c r="S432" s="465"/>
      <c r="T432" s="170"/>
      <c r="U432" s="170"/>
      <c r="V432" s="170"/>
      <c r="W432" s="469"/>
      <c r="X432" s="465"/>
      <c r="Y432" s="170"/>
      <c r="Z432" s="170"/>
      <c r="AA432" s="170"/>
      <c r="AB432" s="469"/>
    </row>
    <row r="433" spans="1:28" ht="16.149999999999999" customHeight="1" x14ac:dyDescent="0.2">
      <c r="A433" s="480"/>
      <c r="B433" s="119" t="s">
        <v>892</v>
      </c>
      <c r="C433" s="457"/>
      <c r="D433" s="455"/>
      <c r="E433" s="169"/>
      <c r="F433" s="169"/>
      <c r="G433" s="169"/>
      <c r="H433" s="457"/>
      <c r="I433" s="455"/>
      <c r="J433" s="169"/>
      <c r="K433" s="169"/>
      <c r="L433" s="169"/>
      <c r="M433" s="171"/>
      <c r="N433" s="173"/>
      <c r="O433" s="170"/>
      <c r="P433" s="170"/>
      <c r="Q433" s="170"/>
      <c r="R433" s="469"/>
      <c r="S433" s="465"/>
      <c r="T433" s="170"/>
      <c r="U433" s="170"/>
      <c r="V433" s="170"/>
      <c r="W433" s="469"/>
      <c r="X433" s="465"/>
      <c r="Y433" s="170"/>
      <c r="Z433" s="170"/>
      <c r="AA433" s="170"/>
      <c r="AB433" s="469"/>
    </row>
    <row r="434" spans="1:28" ht="16.149999999999999" customHeight="1" x14ac:dyDescent="0.2">
      <c r="A434" s="480"/>
      <c r="B434" s="119" t="s">
        <v>893</v>
      </c>
      <c r="C434" s="457"/>
      <c r="D434" s="455"/>
      <c r="E434" s="169"/>
      <c r="F434" s="169"/>
      <c r="G434" s="169"/>
      <c r="H434" s="457"/>
      <c r="I434" s="455"/>
      <c r="J434" s="169"/>
      <c r="K434" s="169"/>
      <c r="L434" s="169"/>
      <c r="M434" s="171"/>
      <c r="N434" s="173"/>
      <c r="O434" s="170"/>
      <c r="P434" s="170"/>
      <c r="Q434" s="170"/>
      <c r="R434" s="469"/>
      <c r="S434" s="465"/>
      <c r="T434" s="170"/>
      <c r="U434" s="170"/>
      <c r="V434" s="170"/>
      <c r="W434" s="469"/>
      <c r="X434" s="465"/>
      <c r="Y434" s="170"/>
      <c r="Z434" s="170"/>
      <c r="AA434" s="170"/>
      <c r="AB434" s="469"/>
    </row>
    <row r="435" spans="1:28" ht="16.149999999999999" customHeight="1" x14ac:dyDescent="0.2">
      <c r="A435" s="480"/>
      <c r="B435" s="119" t="s">
        <v>896</v>
      </c>
      <c r="C435" s="457"/>
      <c r="D435" s="455"/>
      <c r="E435" s="169"/>
      <c r="F435" s="169"/>
      <c r="G435" s="169"/>
      <c r="H435" s="457"/>
      <c r="I435" s="455"/>
      <c r="J435" s="169"/>
      <c r="K435" s="169"/>
      <c r="L435" s="169"/>
      <c r="M435" s="171"/>
      <c r="N435" s="173"/>
      <c r="O435" s="170"/>
      <c r="P435" s="170"/>
      <c r="Q435" s="170"/>
      <c r="R435" s="469"/>
      <c r="S435" s="465"/>
      <c r="T435" s="170"/>
      <c r="U435" s="170"/>
      <c r="V435" s="170"/>
      <c r="W435" s="469"/>
      <c r="X435" s="465"/>
      <c r="Y435" s="170"/>
      <c r="Z435" s="170"/>
      <c r="AA435" s="170"/>
      <c r="AB435" s="469"/>
    </row>
    <row r="436" spans="1:28" ht="16.149999999999999" customHeight="1" x14ac:dyDescent="0.2">
      <c r="A436" s="480"/>
      <c r="B436" s="119" t="s">
        <v>897</v>
      </c>
      <c r="C436" s="457"/>
      <c r="D436" s="455"/>
      <c r="E436" s="169"/>
      <c r="F436" s="169"/>
      <c r="G436" s="169"/>
      <c r="H436" s="457"/>
      <c r="I436" s="455"/>
      <c r="J436" s="169"/>
      <c r="K436" s="169"/>
      <c r="L436" s="169"/>
      <c r="M436" s="171"/>
      <c r="N436" s="173"/>
      <c r="O436" s="170"/>
      <c r="P436" s="170"/>
      <c r="Q436" s="170"/>
      <c r="R436" s="469"/>
      <c r="S436" s="465"/>
      <c r="T436" s="170"/>
      <c r="U436" s="170"/>
      <c r="V436" s="170"/>
      <c r="W436" s="469"/>
      <c r="X436" s="465"/>
      <c r="Y436" s="170"/>
      <c r="Z436" s="170"/>
      <c r="AA436" s="170"/>
      <c r="AB436" s="469"/>
    </row>
    <row r="437" spans="1:28" ht="16.149999999999999" customHeight="1" x14ac:dyDescent="0.2">
      <c r="A437" s="480"/>
      <c r="B437" s="119" t="s">
        <v>898</v>
      </c>
      <c r="C437" s="457"/>
      <c r="D437" s="455"/>
      <c r="E437" s="169"/>
      <c r="F437" s="169"/>
      <c r="G437" s="169"/>
      <c r="H437" s="457"/>
      <c r="I437" s="455"/>
      <c r="J437" s="169"/>
      <c r="K437" s="169"/>
      <c r="L437" s="169"/>
      <c r="M437" s="171"/>
      <c r="N437" s="173"/>
      <c r="O437" s="170"/>
      <c r="P437" s="170"/>
      <c r="Q437" s="170"/>
      <c r="R437" s="469"/>
      <c r="S437" s="465"/>
      <c r="T437" s="170"/>
      <c r="U437" s="170"/>
      <c r="V437" s="170"/>
      <c r="W437" s="469"/>
      <c r="X437" s="465"/>
      <c r="Y437" s="170"/>
      <c r="Z437" s="170"/>
      <c r="AA437" s="170"/>
      <c r="AB437" s="469"/>
    </row>
    <row r="438" spans="1:28" ht="16.149999999999999" customHeight="1" x14ac:dyDescent="0.2">
      <c r="A438" s="480"/>
      <c r="B438" s="119" t="s">
        <v>899</v>
      </c>
      <c r="C438" s="457"/>
      <c r="D438" s="455"/>
      <c r="E438" s="169"/>
      <c r="F438" s="169"/>
      <c r="G438" s="169"/>
      <c r="H438" s="457"/>
      <c r="I438" s="455"/>
      <c r="J438" s="169"/>
      <c r="K438" s="169"/>
      <c r="L438" s="169"/>
      <c r="M438" s="171"/>
      <c r="N438" s="173"/>
      <c r="O438" s="170"/>
      <c r="P438" s="170"/>
      <c r="Q438" s="170"/>
      <c r="R438" s="469"/>
      <c r="S438" s="465"/>
      <c r="T438" s="170"/>
      <c r="U438" s="170"/>
      <c r="V438" s="170"/>
      <c r="W438" s="469"/>
      <c r="X438" s="465"/>
      <c r="Y438" s="170"/>
      <c r="Z438" s="170"/>
      <c r="AA438" s="170"/>
      <c r="AB438" s="469"/>
    </row>
    <row r="439" spans="1:28" ht="16.149999999999999" customHeight="1" x14ac:dyDescent="0.2">
      <c r="A439" s="480"/>
      <c r="B439" s="119" t="s">
        <v>900</v>
      </c>
      <c r="C439" s="457"/>
      <c r="D439" s="455"/>
      <c r="E439" s="169"/>
      <c r="F439" s="169"/>
      <c r="G439" s="169"/>
      <c r="H439" s="457"/>
      <c r="I439" s="455"/>
      <c r="J439" s="169"/>
      <c r="K439" s="169"/>
      <c r="L439" s="169"/>
      <c r="M439" s="171"/>
      <c r="N439" s="173"/>
      <c r="O439" s="170"/>
      <c r="P439" s="170"/>
      <c r="Q439" s="170"/>
      <c r="R439" s="469"/>
      <c r="S439" s="465"/>
      <c r="T439" s="170"/>
      <c r="U439" s="170"/>
      <c r="V439" s="170"/>
      <c r="W439" s="469"/>
      <c r="X439" s="465"/>
      <c r="Y439" s="170"/>
      <c r="Z439" s="170"/>
      <c r="AA439" s="170"/>
      <c r="AB439" s="469"/>
    </row>
    <row r="440" spans="1:28" ht="16.149999999999999" customHeight="1" x14ac:dyDescent="0.2">
      <c r="A440" s="480"/>
      <c r="B440" s="119" t="s">
        <v>901</v>
      </c>
      <c r="C440" s="457"/>
      <c r="D440" s="455"/>
      <c r="E440" s="169"/>
      <c r="F440" s="169"/>
      <c r="G440" s="169"/>
      <c r="H440" s="457"/>
      <c r="I440" s="455"/>
      <c r="J440" s="169"/>
      <c r="K440" s="169"/>
      <c r="L440" s="169"/>
      <c r="M440" s="171"/>
      <c r="N440" s="173"/>
      <c r="O440" s="170"/>
      <c r="P440" s="170"/>
      <c r="Q440" s="170"/>
      <c r="R440" s="469"/>
      <c r="S440" s="465"/>
      <c r="T440" s="170"/>
      <c r="U440" s="170"/>
      <c r="V440" s="170"/>
      <c r="W440" s="469"/>
      <c r="X440" s="465"/>
      <c r="Y440" s="170"/>
      <c r="Z440" s="170"/>
      <c r="AA440" s="170"/>
      <c r="AB440" s="469"/>
    </row>
    <row r="441" spans="1:28" ht="16.149999999999999" customHeight="1" x14ac:dyDescent="0.2">
      <c r="A441" s="480"/>
      <c r="B441" s="118" t="s">
        <v>357</v>
      </c>
      <c r="C441" s="457"/>
      <c r="D441" s="455"/>
      <c r="E441" s="169"/>
      <c r="F441" s="169"/>
      <c r="G441" s="169"/>
      <c r="H441" s="457"/>
      <c r="I441" s="455"/>
      <c r="J441" s="169"/>
      <c r="K441" s="169"/>
      <c r="L441" s="169"/>
      <c r="M441" s="171"/>
      <c r="N441" s="173"/>
      <c r="O441" s="170"/>
      <c r="P441" s="170"/>
      <c r="Q441" s="170"/>
      <c r="R441" s="469"/>
      <c r="S441" s="465"/>
      <c r="T441" s="170"/>
      <c r="U441" s="170"/>
      <c r="V441" s="170"/>
      <c r="W441" s="469"/>
      <c r="X441" s="465"/>
      <c r="Y441" s="170"/>
      <c r="Z441" s="170"/>
      <c r="AA441" s="170"/>
      <c r="AB441" s="469"/>
    </row>
    <row r="442" spans="1:28" ht="16.149999999999999" customHeight="1" x14ac:dyDescent="0.2">
      <c r="A442" s="480"/>
      <c r="B442" s="119" t="s">
        <v>902</v>
      </c>
      <c r="C442" s="457"/>
      <c r="D442" s="455"/>
      <c r="E442" s="169"/>
      <c r="F442" s="169"/>
      <c r="G442" s="169"/>
      <c r="H442" s="457"/>
      <c r="I442" s="455"/>
      <c r="J442" s="169"/>
      <c r="K442" s="169"/>
      <c r="L442" s="169"/>
      <c r="M442" s="171"/>
      <c r="N442" s="173"/>
      <c r="O442" s="170"/>
      <c r="P442" s="170"/>
      <c r="Q442" s="170"/>
      <c r="R442" s="469"/>
      <c r="S442" s="465"/>
      <c r="T442" s="170"/>
      <c r="U442" s="170"/>
      <c r="V442" s="170"/>
      <c r="W442" s="469"/>
      <c r="X442" s="465"/>
      <c r="Y442" s="170"/>
      <c r="Z442" s="170"/>
      <c r="AA442" s="170"/>
      <c r="AB442" s="469"/>
    </row>
    <row r="443" spans="1:28" ht="16.149999999999999" customHeight="1" x14ac:dyDescent="0.2">
      <c r="A443" s="480"/>
      <c r="B443" s="119" t="s">
        <v>903</v>
      </c>
      <c r="C443" s="457"/>
      <c r="D443" s="455"/>
      <c r="E443" s="169"/>
      <c r="F443" s="169"/>
      <c r="G443" s="169"/>
      <c r="H443" s="457"/>
      <c r="I443" s="455"/>
      <c r="J443" s="169"/>
      <c r="K443" s="169"/>
      <c r="L443" s="169"/>
      <c r="M443" s="171"/>
      <c r="N443" s="173"/>
      <c r="O443" s="170"/>
      <c r="P443" s="170"/>
      <c r="Q443" s="170"/>
      <c r="R443" s="469"/>
      <c r="S443" s="465"/>
      <c r="T443" s="170"/>
      <c r="U443" s="170"/>
      <c r="V443" s="170"/>
      <c r="W443" s="469"/>
      <c r="X443" s="465"/>
      <c r="Y443" s="170"/>
      <c r="Z443" s="170"/>
      <c r="AA443" s="170"/>
      <c r="AB443" s="469"/>
    </row>
    <row r="444" spans="1:28" ht="16.149999999999999" customHeight="1" x14ac:dyDescent="0.2">
      <c r="A444" s="480"/>
      <c r="B444" s="119" t="s">
        <v>904</v>
      </c>
      <c r="C444" s="457"/>
      <c r="D444" s="455"/>
      <c r="E444" s="169"/>
      <c r="F444" s="169"/>
      <c r="G444" s="169"/>
      <c r="H444" s="457"/>
      <c r="I444" s="455"/>
      <c r="J444" s="169"/>
      <c r="K444" s="169"/>
      <c r="L444" s="169"/>
      <c r="M444" s="171"/>
      <c r="N444" s="173"/>
      <c r="O444" s="170"/>
      <c r="P444" s="170"/>
      <c r="Q444" s="170"/>
      <c r="R444" s="469"/>
      <c r="S444" s="465"/>
      <c r="T444" s="170"/>
      <c r="U444" s="170"/>
      <c r="V444" s="170"/>
      <c r="W444" s="469"/>
      <c r="X444" s="465"/>
      <c r="Y444" s="170"/>
      <c r="Z444" s="170"/>
      <c r="AA444" s="170"/>
      <c r="AB444" s="469"/>
    </row>
    <row r="445" spans="1:28" ht="16.149999999999999" customHeight="1" x14ac:dyDescent="0.2">
      <c r="A445" s="480"/>
      <c r="B445" s="119" t="s">
        <v>905</v>
      </c>
      <c r="C445" s="457"/>
      <c r="D445" s="455"/>
      <c r="E445" s="169"/>
      <c r="F445" s="169"/>
      <c r="G445" s="169"/>
      <c r="H445" s="457"/>
      <c r="I445" s="455"/>
      <c r="J445" s="169"/>
      <c r="K445" s="169"/>
      <c r="L445" s="169"/>
      <c r="M445" s="171"/>
      <c r="N445" s="173"/>
      <c r="O445" s="170"/>
      <c r="P445" s="170"/>
      <c r="Q445" s="170"/>
      <c r="R445" s="469"/>
      <c r="S445" s="465"/>
      <c r="T445" s="170"/>
      <c r="U445" s="170"/>
      <c r="V445" s="170"/>
      <c r="W445" s="469"/>
      <c r="X445" s="465"/>
      <c r="Y445" s="170"/>
      <c r="Z445" s="170"/>
      <c r="AA445" s="170"/>
      <c r="AB445" s="469"/>
    </row>
    <row r="446" spans="1:28" ht="16.149999999999999" customHeight="1" x14ac:dyDescent="0.2">
      <c r="A446" s="480"/>
      <c r="B446" s="119" t="s">
        <v>906</v>
      </c>
      <c r="C446" s="457"/>
      <c r="D446" s="455"/>
      <c r="E446" s="169"/>
      <c r="F446" s="169"/>
      <c r="G446" s="169"/>
      <c r="H446" s="457"/>
      <c r="I446" s="455"/>
      <c r="J446" s="169"/>
      <c r="K446" s="169"/>
      <c r="L446" s="169"/>
      <c r="M446" s="171"/>
      <c r="N446" s="173"/>
      <c r="O446" s="170"/>
      <c r="P446" s="170"/>
      <c r="Q446" s="170"/>
      <c r="R446" s="469"/>
      <c r="S446" s="465"/>
      <c r="T446" s="170"/>
      <c r="U446" s="170"/>
      <c r="V446" s="170"/>
      <c r="W446" s="469"/>
      <c r="X446" s="465"/>
      <c r="Y446" s="170"/>
      <c r="Z446" s="170"/>
      <c r="AA446" s="170"/>
      <c r="AB446" s="469"/>
    </row>
    <row r="447" spans="1:28" ht="16.149999999999999" customHeight="1" x14ac:dyDescent="0.2">
      <c r="A447" s="480"/>
      <c r="B447" s="119" t="s">
        <v>907</v>
      </c>
      <c r="C447" s="457"/>
      <c r="D447" s="455"/>
      <c r="E447" s="169"/>
      <c r="F447" s="169"/>
      <c r="G447" s="169"/>
      <c r="H447" s="457"/>
      <c r="I447" s="455"/>
      <c r="J447" s="169"/>
      <c r="K447" s="169"/>
      <c r="L447" s="169"/>
      <c r="M447" s="171"/>
      <c r="N447" s="173"/>
      <c r="O447" s="170"/>
      <c r="P447" s="170"/>
      <c r="Q447" s="170"/>
      <c r="R447" s="469"/>
      <c r="S447" s="465"/>
      <c r="T447" s="170"/>
      <c r="U447" s="170"/>
      <c r="V447" s="170"/>
      <c r="W447" s="469"/>
      <c r="X447" s="465"/>
      <c r="Y447" s="170"/>
      <c r="Z447" s="170"/>
      <c r="AA447" s="170"/>
      <c r="AB447" s="469"/>
    </row>
    <row r="448" spans="1:28" ht="16.149999999999999" customHeight="1" x14ac:dyDescent="0.2">
      <c r="A448" s="480"/>
      <c r="B448" s="119" t="s">
        <v>908</v>
      </c>
      <c r="C448" s="457"/>
      <c r="D448" s="455"/>
      <c r="E448" s="169"/>
      <c r="F448" s="169"/>
      <c r="G448" s="169"/>
      <c r="H448" s="457"/>
      <c r="I448" s="455"/>
      <c r="J448" s="169"/>
      <c r="K448" s="169"/>
      <c r="L448" s="169"/>
      <c r="M448" s="171"/>
      <c r="N448" s="173"/>
      <c r="O448" s="170"/>
      <c r="P448" s="170"/>
      <c r="Q448" s="170"/>
      <c r="R448" s="469"/>
      <c r="S448" s="465"/>
      <c r="T448" s="170"/>
      <c r="U448" s="170"/>
      <c r="V448" s="170"/>
      <c r="W448" s="469"/>
      <c r="X448" s="465"/>
      <c r="Y448" s="170"/>
      <c r="Z448" s="170"/>
      <c r="AA448" s="170"/>
      <c r="AB448" s="469"/>
    </row>
    <row r="449" spans="1:28" ht="16.149999999999999" customHeight="1" x14ac:dyDescent="0.2">
      <c r="A449" s="480"/>
      <c r="B449" s="119" t="s">
        <v>909</v>
      </c>
      <c r="C449" s="457"/>
      <c r="D449" s="455"/>
      <c r="E449" s="169"/>
      <c r="F449" s="169"/>
      <c r="G449" s="169"/>
      <c r="H449" s="457"/>
      <c r="I449" s="455"/>
      <c r="J449" s="169"/>
      <c r="K449" s="169"/>
      <c r="L449" s="169"/>
      <c r="M449" s="171"/>
      <c r="N449" s="173"/>
      <c r="O449" s="170"/>
      <c r="P449" s="170"/>
      <c r="Q449" s="170"/>
      <c r="R449" s="469"/>
      <c r="S449" s="465"/>
      <c r="T449" s="170"/>
      <c r="U449" s="170"/>
      <c r="V449" s="170"/>
      <c r="W449" s="469"/>
      <c r="X449" s="465"/>
      <c r="Y449" s="170"/>
      <c r="Z449" s="170"/>
      <c r="AA449" s="170"/>
      <c r="AB449" s="469"/>
    </row>
    <row r="450" spans="1:28" ht="16.149999999999999" customHeight="1" x14ac:dyDescent="0.2">
      <c r="A450" s="480"/>
      <c r="B450" s="119" t="s">
        <v>910</v>
      </c>
      <c r="C450" s="457"/>
      <c r="D450" s="455"/>
      <c r="E450" s="169"/>
      <c r="F450" s="169"/>
      <c r="G450" s="169"/>
      <c r="H450" s="457"/>
      <c r="I450" s="455"/>
      <c r="J450" s="169"/>
      <c r="K450" s="169"/>
      <c r="L450" s="169"/>
      <c r="M450" s="171"/>
      <c r="N450" s="173"/>
      <c r="O450" s="170"/>
      <c r="P450" s="170"/>
      <c r="Q450" s="170"/>
      <c r="R450" s="469"/>
      <c r="S450" s="465"/>
      <c r="T450" s="170"/>
      <c r="U450" s="170"/>
      <c r="V450" s="170"/>
      <c r="W450" s="469"/>
      <c r="X450" s="465"/>
      <c r="Y450" s="170"/>
      <c r="Z450" s="170"/>
      <c r="AA450" s="170"/>
      <c r="AB450" s="469"/>
    </row>
    <row r="451" spans="1:28" ht="16.149999999999999" customHeight="1" x14ac:dyDescent="0.2">
      <c r="A451" s="480"/>
      <c r="B451" s="119" t="s">
        <v>911</v>
      </c>
      <c r="C451" s="457"/>
      <c r="D451" s="455"/>
      <c r="E451" s="169"/>
      <c r="F451" s="169"/>
      <c r="G451" s="169"/>
      <c r="H451" s="457"/>
      <c r="I451" s="455"/>
      <c r="J451" s="169"/>
      <c r="K451" s="169"/>
      <c r="L451" s="169"/>
      <c r="M451" s="171"/>
      <c r="N451" s="173"/>
      <c r="O451" s="170"/>
      <c r="P451" s="170"/>
      <c r="Q451" s="170"/>
      <c r="R451" s="469"/>
      <c r="S451" s="465"/>
      <c r="T451" s="170"/>
      <c r="U451" s="170"/>
      <c r="V451" s="170"/>
      <c r="W451" s="469"/>
      <c r="X451" s="465"/>
      <c r="Y451" s="170"/>
      <c r="Z451" s="170"/>
      <c r="AA451" s="170"/>
      <c r="AB451" s="469"/>
    </row>
    <row r="452" spans="1:28" ht="16.149999999999999" customHeight="1" x14ac:dyDescent="0.2">
      <c r="A452" s="480"/>
      <c r="B452" s="119" t="s">
        <v>912</v>
      </c>
      <c r="C452" s="457"/>
      <c r="D452" s="455"/>
      <c r="E452" s="169"/>
      <c r="F452" s="169"/>
      <c r="G452" s="169"/>
      <c r="H452" s="457"/>
      <c r="I452" s="455"/>
      <c r="J452" s="169"/>
      <c r="K452" s="169"/>
      <c r="L452" s="169"/>
      <c r="M452" s="171"/>
      <c r="N452" s="173"/>
      <c r="O452" s="170"/>
      <c r="P452" s="170"/>
      <c r="Q452" s="170"/>
      <c r="R452" s="469"/>
      <c r="S452" s="465"/>
      <c r="T452" s="170"/>
      <c r="U452" s="170"/>
      <c r="V452" s="170"/>
      <c r="W452" s="469"/>
      <c r="X452" s="465"/>
      <c r="Y452" s="170"/>
      <c r="Z452" s="170"/>
      <c r="AA452" s="170"/>
      <c r="AB452" s="469"/>
    </row>
    <row r="453" spans="1:28" ht="16.149999999999999" customHeight="1" x14ac:dyDescent="0.2">
      <c r="A453" s="480"/>
      <c r="B453" s="119" t="s">
        <v>913</v>
      </c>
      <c r="C453" s="457"/>
      <c r="D453" s="455"/>
      <c r="E453" s="169"/>
      <c r="F453" s="169"/>
      <c r="G453" s="169"/>
      <c r="H453" s="457"/>
      <c r="I453" s="455"/>
      <c r="J453" s="169"/>
      <c r="K453" s="169"/>
      <c r="L453" s="169"/>
      <c r="M453" s="171"/>
      <c r="N453" s="173"/>
      <c r="O453" s="170"/>
      <c r="P453" s="170"/>
      <c r="Q453" s="170"/>
      <c r="R453" s="469"/>
      <c r="S453" s="465"/>
      <c r="T453" s="170"/>
      <c r="U453" s="170"/>
      <c r="V453" s="170"/>
      <c r="W453" s="469"/>
      <c r="X453" s="465"/>
      <c r="Y453" s="170"/>
      <c r="Z453" s="170"/>
      <c r="AA453" s="170"/>
      <c r="AB453" s="469"/>
    </row>
    <row r="454" spans="1:28" ht="16.149999999999999" customHeight="1" x14ac:dyDescent="0.2">
      <c r="A454" s="480"/>
      <c r="B454" s="119" t="s">
        <v>914</v>
      </c>
      <c r="C454" s="457"/>
      <c r="D454" s="455"/>
      <c r="E454" s="169"/>
      <c r="F454" s="169"/>
      <c r="G454" s="169"/>
      <c r="H454" s="457"/>
      <c r="I454" s="455"/>
      <c r="J454" s="169"/>
      <c r="K454" s="169"/>
      <c r="L454" s="169"/>
      <c r="M454" s="171"/>
      <c r="N454" s="173"/>
      <c r="O454" s="170"/>
      <c r="P454" s="170"/>
      <c r="Q454" s="170"/>
      <c r="R454" s="469"/>
      <c r="S454" s="465"/>
      <c r="T454" s="170"/>
      <c r="U454" s="170"/>
      <c r="V454" s="170"/>
      <c r="W454" s="469"/>
      <c r="X454" s="465"/>
      <c r="Y454" s="170"/>
      <c r="Z454" s="170"/>
      <c r="AA454" s="170"/>
      <c r="AB454" s="469"/>
    </row>
    <row r="455" spans="1:28" ht="16.149999999999999" customHeight="1" x14ac:dyDescent="0.2">
      <c r="A455" s="480"/>
      <c r="B455" s="119" t="s">
        <v>915</v>
      </c>
      <c r="C455" s="457"/>
      <c r="D455" s="455"/>
      <c r="E455" s="169"/>
      <c r="F455" s="169"/>
      <c r="G455" s="169"/>
      <c r="H455" s="457"/>
      <c r="I455" s="455"/>
      <c r="J455" s="169"/>
      <c r="K455" s="169"/>
      <c r="L455" s="169"/>
      <c r="M455" s="171"/>
      <c r="N455" s="173"/>
      <c r="O455" s="170"/>
      <c r="P455" s="170"/>
      <c r="Q455" s="170"/>
      <c r="R455" s="469"/>
      <c r="S455" s="465"/>
      <c r="T455" s="170"/>
      <c r="U455" s="170"/>
      <c r="V455" s="170"/>
      <c r="W455" s="469"/>
      <c r="X455" s="465"/>
      <c r="Y455" s="170"/>
      <c r="Z455" s="170"/>
      <c r="AA455" s="170"/>
      <c r="AB455" s="469"/>
    </row>
    <row r="456" spans="1:28" ht="16.149999999999999" customHeight="1" x14ac:dyDescent="0.2">
      <c r="A456" s="480"/>
      <c r="B456" s="119" t="s">
        <v>916</v>
      </c>
      <c r="C456" s="457"/>
      <c r="D456" s="455"/>
      <c r="E456" s="169"/>
      <c r="F456" s="169"/>
      <c r="G456" s="169"/>
      <c r="H456" s="457"/>
      <c r="I456" s="455"/>
      <c r="J456" s="169"/>
      <c r="K456" s="169"/>
      <c r="L456" s="169"/>
      <c r="M456" s="171"/>
      <c r="N456" s="173"/>
      <c r="O456" s="170"/>
      <c r="P456" s="170"/>
      <c r="Q456" s="170"/>
      <c r="R456" s="469"/>
      <c r="S456" s="465"/>
      <c r="T456" s="170"/>
      <c r="U456" s="170"/>
      <c r="V456" s="170"/>
      <c r="W456" s="469"/>
      <c r="X456" s="465"/>
      <c r="Y456" s="170"/>
      <c r="Z456" s="170"/>
      <c r="AA456" s="170"/>
      <c r="AB456" s="469"/>
    </row>
    <row r="457" spans="1:28" ht="16.149999999999999" customHeight="1" x14ac:dyDescent="0.2">
      <c r="A457" s="480"/>
      <c r="B457" s="119" t="s">
        <v>917</v>
      </c>
      <c r="C457" s="457"/>
      <c r="D457" s="455"/>
      <c r="E457" s="169"/>
      <c r="F457" s="169"/>
      <c r="G457" s="169"/>
      <c r="H457" s="457"/>
      <c r="I457" s="455"/>
      <c r="J457" s="169"/>
      <c r="K457" s="169"/>
      <c r="L457" s="169"/>
      <c r="M457" s="171"/>
      <c r="N457" s="173"/>
      <c r="O457" s="170"/>
      <c r="P457" s="170"/>
      <c r="Q457" s="170"/>
      <c r="R457" s="469"/>
      <c r="S457" s="465"/>
      <c r="T457" s="170"/>
      <c r="U457" s="170"/>
      <c r="V457" s="170"/>
      <c r="W457" s="469"/>
      <c r="X457" s="465"/>
      <c r="Y457" s="170"/>
      <c r="Z457" s="170"/>
      <c r="AA457" s="170"/>
      <c r="AB457" s="469"/>
    </row>
    <row r="458" spans="1:28" ht="16.149999999999999" customHeight="1" x14ac:dyDescent="0.2">
      <c r="A458" s="480"/>
      <c r="B458" s="119" t="s">
        <v>918</v>
      </c>
      <c r="C458" s="457"/>
      <c r="D458" s="455"/>
      <c r="E458" s="169"/>
      <c r="F458" s="169"/>
      <c r="G458" s="169"/>
      <c r="H458" s="457"/>
      <c r="I458" s="455"/>
      <c r="J458" s="169"/>
      <c r="K458" s="169"/>
      <c r="L458" s="169"/>
      <c r="M458" s="171"/>
      <c r="N458" s="173"/>
      <c r="O458" s="170"/>
      <c r="P458" s="170"/>
      <c r="Q458" s="170"/>
      <c r="R458" s="469"/>
      <c r="S458" s="465"/>
      <c r="T458" s="170"/>
      <c r="U458" s="170"/>
      <c r="V458" s="170"/>
      <c r="W458" s="469"/>
      <c r="X458" s="465"/>
      <c r="Y458" s="170"/>
      <c r="Z458" s="170"/>
      <c r="AA458" s="170"/>
      <c r="AB458" s="469"/>
    </row>
    <row r="459" spans="1:28" ht="16.149999999999999" customHeight="1" x14ac:dyDescent="0.2">
      <c r="A459" s="480"/>
      <c r="B459" s="119" t="s">
        <v>919</v>
      </c>
      <c r="C459" s="457"/>
      <c r="D459" s="455"/>
      <c r="E459" s="169"/>
      <c r="F459" s="169"/>
      <c r="G459" s="169"/>
      <c r="H459" s="457"/>
      <c r="I459" s="455"/>
      <c r="J459" s="169"/>
      <c r="K459" s="169"/>
      <c r="L459" s="169"/>
      <c r="M459" s="171"/>
      <c r="N459" s="173"/>
      <c r="O459" s="170"/>
      <c r="P459" s="170"/>
      <c r="Q459" s="170"/>
      <c r="R459" s="469"/>
      <c r="S459" s="465"/>
      <c r="T459" s="170"/>
      <c r="U459" s="170"/>
      <c r="V459" s="170"/>
      <c r="W459" s="469"/>
      <c r="X459" s="465"/>
      <c r="Y459" s="170"/>
      <c r="Z459" s="170"/>
      <c r="AA459" s="170"/>
      <c r="AB459" s="469"/>
    </row>
    <row r="460" spans="1:28" ht="16.149999999999999" customHeight="1" x14ac:dyDescent="0.2">
      <c r="A460" s="480"/>
      <c r="B460" s="119" t="s">
        <v>920</v>
      </c>
      <c r="C460" s="457"/>
      <c r="D460" s="455"/>
      <c r="E460" s="169"/>
      <c r="F460" s="169"/>
      <c r="G460" s="169"/>
      <c r="H460" s="457"/>
      <c r="I460" s="455"/>
      <c r="J460" s="169"/>
      <c r="K460" s="169"/>
      <c r="L460" s="169"/>
      <c r="M460" s="171"/>
      <c r="N460" s="173"/>
      <c r="O460" s="170"/>
      <c r="P460" s="170"/>
      <c r="Q460" s="170"/>
      <c r="R460" s="469"/>
      <c r="S460" s="465"/>
      <c r="T460" s="170"/>
      <c r="U460" s="170"/>
      <c r="V460" s="170"/>
      <c r="W460" s="469"/>
      <c r="X460" s="465"/>
      <c r="Y460" s="170"/>
      <c r="Z460" s="170"/>
      <c r="AA460" s="170"/>
      <c r="AB460" s="469"/>
    </row>
    <row r="461" spans="1:28" ht="16.149999999999999" customHeight="1" x14ac:dyDescent="0.2">
      <c r="A461" s="480"/>
      <c r="B461" s="119" t="s">
        <v>921</v>
      </c>
      <c r="C461" s="457"/>
      <c r="D461" s="455"/>
      <c r="E461" s="169"/>
      <c r="F461" s="169"/>
      <c r="G461" s="169"/>
      <c r="H461" s="457"/>
      <c r="I461" s="455"/>
      <c r="J461" s="169"/>
      <c r="K461" s="169"/>
      <c r="L461" s="169"/>
      <c r="M461" s="171"/>
      <c r="N461" s="173"/>
      <c r="O461" s="170"/>
      <c r="P461" s="170"/>
      <c r="Q461" s="170"/>
      <c r="R461" s="469"/>
      <c r="S461" s="465"/>
      <c r="T461" s="170"/>
      <c r="U461" s="170"/>
      <c r="V461" s="170"/>
      <c r="W461" s="469"/>
      <c r="X461" s="465"/>
      <c r="Y461" s="170"/>
      <c r="Z461" s="170"/>
      <c r="AA461" s="170"/>
      <c r="AB461" s="469"/>
    </row>
    <row r="462" spans="1:28" ht="16.149999999999999" customHeight="1" x14ac:dyDescent="0.2">
      <c r="A462" s="480"/>
      <c r="B462" s="119" t="s">
        <v>922</v>
      </c>
      <c r="C462" s="457"/>
      <c r="D462" s="455"/>
      <c r="E462" s="169"/>
      <c r="F462" s="169"/>
      <c r="G462" s="169"/>
      <c r="H462" s="457"/>
      <c r="I462" s="455"/>
      <c r="J462" s="169"/>
      <c r="K462" s="169"/>
      <c r="L462" s="169"/>
      <c r="M462" s="171"/>
      <c r="N462" s="173"/>
      <c r="O462" s="170"/>
      <c r="P462" s="170"/>
      <c r="Q462" s="170"/>
      <c r="R462" s="469"/>
      <c r="S462" s="465"/>
      <c r="T462" s="170"/>
      <c r="U462" s="170"/>
      <c r="V462" s="170"/>
      <c r="W462" s="469"/>
      <c r="X462" s="465"/>
      <c r="Y462" s="170"/>
      <c r="Z462" s="170"/>
      <c r="AA462" s="170"/>
      <c r="AB462" s="469"/>
    </row>
    <row r="463" spans="1:28" ht="16.149999999999999" customHeight="1" x14ac:dyDescent="0.2">
      <c r="A463" s="480"/>
      <c r="B463" s="119" t="s">
        <v>923</v>
      </c>
      <c r="C463" s="457"/>
      <c r="D463" s="455"/>
      <c r="E463" s="169"/>
      <c r="F463" s="169"/>
      <c r="G463" s="169"/>
      <c r="H463" s="457"/>
      <c r="I463" s="455"/>
      <c r="J463" s="169"/>
      <c r="K463" s="169"/>
      <c r="L463" s="169"/>
      <c r="M463" s="171"/>
      <c r="N463" s="173"/>
      <c r="O463" s="170"/>
      <c r="P463" s="170"/>
      <c r="Q463" s="170"/>
      <c r="R463" s="469"/>
      <c r="S463" s="465"/>
      <c r="T463" s="170"/>
      <c r="U463" s="170"/>
      <c r="V463" s="170"/>
      <c r="W463" s="469"/>
      <c r="X463" s="465"/>
      <c r="Y463" s="170"/>
      <c r="Z463" s="170"/>
      <c r="AA463" s="170"/>
      <c r="AB463" s="469"/>
    </row>
    <row r="464" spans="1:28" ht="16.149999999999999" customHeight="1" x14ac:dyDescent="0.2">
      <c r="A464" s="480"/>
      <c r="B464" s="119" t="s">
        <v>924</v>
      </c>
      <c r="C464" s="457"/>
      <c r="D464" s="455"/>
      <c r="E464" s="169"/>
      <c r="F464" s="169"/>
      <c r="G464" s="169"/>
      <c r="H464" s="457"/>
      <c r="I464" s="455"/>
      <c r="J464" s="169"/>
      <c r="K464" s="169"/>
      <c r="L464" s="169"/>
      <c r="M464" s="171"/>
      <c r="N464" s="173"/>
      <c r="O464" s="170"/>
      <c r="P464" s="170"/>
      <c r="Q464" s="170"/>
      <c r="R464" s="469"/>
      <c r="S464" s="465"/>
      <c r="T464" s="170"/>
      <c r="U464" s="170"/>
      <c r="V464" s="170"/>
      <c r="W464" s="469"/>
      <c r="X464" s="465"/>
      <c r="Y464" s="170"/>
      <c r="Z464" s="170"/>
      <c r="AA464" s="170"/>
      <c r="AB464" s="469"/>
    </row>
    <row r="465" spans="1:28" ht="16.149999999999999" customHeight="1" x14ac:dyDescent="0.2">
      <c r="A465" s="480"/>
      <c r="B465" s="119" t="s">
        <v>925</v>
      </c>
      <c r="C465" s="457"/>
      <c r="D465" s="455"/>
      <c r="E465" s="169"/>
      <c r="F465" s="169"/>
      <c r="G465" s="169"/>
      <c r="H465" s="457"/>
      <c r="I465" s="455"/>
      <c r="J465" s="169"/>
      <c r="K465" s="169"/>
      <c r="L465" s="169"/>
      <c r="M465" s="171"/>
      <c r="N465" s="173"/>
      <c r="O465" s="170"/>
      <c r="P465" s="170"/>
      <c r="Q465" s="170"/>
      <c r="R465" s="469"/>
      <c r="S465" s="465"/>
      <c r="T465" s="170"/>
      <c r="U465" s="170"/>
      <c r="V465" s="170"/>
      <c r="W465" s="469"/>
      <c r="X465" s="465"/>
      <c r="Y465" s="170"/>
      <c r="Z465" s="170"/>
      <c r="AA465" s="170"/>
      <c r="AB465" s="469"/>
    </row>
    <row r="466" spans="1:28" ht="16.149999999999999" customHeight="1" x14ac:dyDescent="0.2">
      <c r="A466" s="480"/>
      <c r="B466" s="119" t="s">
        <v>926</v>
      </c>
      <c r="C466" s="457"/>
      <c r="D466" s="455"/>
      <c r="E466" s="169"/>
      <c r="F466" s="169"/>
      <c r="G466" s="169"/>
      <c r="H466" s="457"/>
      <c r="I466" s="455"/>
      <c r="J466" s="169"/>
      <c r="K466" s="169"/>
      <c r="L466" s="169"/>
      <c r="M466" s="171"/>
      <c r="N466" s="173"/>
      <c r="O466" s="170"/>
      <c r="P466" s="170"/>
      <c r="Q466" s="170"/>
      <c r="R466" s="469"/>
      <c r="S466" s="465"/>
      <c r="T466" s="170"/>
      <c r="U466" s="170"/>
      <c r="V466" s="170"/>
      <c r="W466" s="469"/>
      <c r="X466" s="465"/>
      <c r="Y466" s="170"/>
      <c r="Z466" s="170"/>
      <c r="AA466" s="170"/>
      <c r="AB466" s="469"/>
    </row>
    <row r="467" spans="1:28" ht="16.149999999999999" customHeight="1" x14ac:dyDescent="0.2">
      <c r="A467" s="480"/>
      <c r="B467" s="119" t="s">
        <v>927</v>
      </c>
      <c r="C467" s="457"/>
      <c r="D467" s="455"/>
      <c r="E467" s="169"/>
      <c r="F467" s="169"/>
      <c r="G467" s="169"/>
      <c r="H467" s="457"/>
      <c r="I467" s="455"/>
      <c r="J467" s="169"/>
      <c r="K467" s="169"/>
      <c r="L467" s="169"/>
      <c r="M467" s="171"/>
      <c r="N467" s="173"/>
      <c r="O467" s="170"/>
      <c r="P467" s="170"/>
      <c r="Q467" s="170"/>
      <c r="R467" s="469"/>
      <c r="S467" s="465"/>
      <c r="T467" s="170"/>
      <c r="U467" s="170"/>
      <c r="V467" s="170"/>
      <c r="W467" s="469"/>
      <c r="X467" s="465"/>
      <c r="Y467" s="170"/>
      <c r="Z467" s="170"/>
      <c r="AA467" s="170"/>
      <c r="AB467" s="469"/>
    </row>
    <row r="468" spans="1:28" ht="16.149999999999999" customHeight="1" x14ac:dyDescent="0.2">
      <c r="A468" s="480"/>
      <c r="B468" s="119" t="s">
        <v>928</v>
      </c>
      <c r="C468" s="457"/>
      <c r="D468" s="455"/>
      <c r="E468" s="169"/>
      <c r="F468" s="169"/>
      <c r="G468" s="169"/>
      <c r="H468" s="457"/>
      <c r="I468" s="455"/>
      <c r="J468" s="169"/>
      <c r="K468" s="169"/>
      <c r="L468" s="169"/>
      <c r="M468" s="171"/>
      <c r="N468" s="173"/>
      <c r="O468" s="170"/>
      <c r="P468" s="170"/>
      <c r="Q468" s="170"/>
      <c r="R468" s="469"/>
      <c r="S468" s="465"/>
      <c r="T468" s="170"/>
      <c r="U468" s="170"/>
      <c r="V468" s="170"/>
      <c r="W468" s="469"/>
      <c r="X468" s="465"/>
      <c r="Y468" s="170"/>
      <c r="Z468" s="170"/>
      <c r="AA468" s="170"/>
      <c r="AB468" s="469"/>
    </row>
    <row r="469" spans="1:28" ht="16.149999999999999" customHeight="1" x14ac:dyDescent="0.2">
      <c r="A469" s="480"/>
      <c r="B469" s="119" t="s">
        <v>929</v>
      </c>
      <c r="C469" s="457"/>
      <c r="D469" s="455"/>
      <c r="E469" s="169"/>
      <c r="F469" s="169"/>
      <c r="G469" s="169"/>
      <c r="H469" s="457"/>
      <c r="I469" s="455"/>
      <c r="J469" s="169"/>
      <c r="K469" s="169"/>
      <c r="L469" s="169"/>
      <c r="M469" s="171"/>
      <c r="N469" s="173"/>
      <c r="O469" s="170"/>
      <c r="P469" s="170"/>
      <c r="Q469" s="170"/>
      <c r="R469" s="469"/>
      <c r="S469" s="465"/>
      <c r="T469" s="170"/>
      <c r="U469" s="170"/>
      <c r="V469" s="170"/>
      <c r="W469" s="469"/>
      <c r="X469" s="465"/>
      <c r="Y469" s="170"/>
      <c r="Z469" s="170"/>
      <c r="AA469" s="170"/>
      <c r="AB469" s="469"/>
    </row>
    <row r="470" spans="1:28" ht="16.149999999999999" customHeight="1" x14ac:dyDescent="0.2">
      <c r="A470" s="480"/>
      <c r="B470" s="119" t="s">
        <v>930</v>
      </c>
      <c r="C470" s="457"/>
      <c r="D470" s="455"/>
      <c r="E470" s="169"/>
      <c r="F470" s="169"/>
      <c r="G470" s="169"/>
      <c r="H470" s="457"/>
      <c r="I470" s="455"/>
      <c r="J470" s="169"/>
      <c r="K470" s="169"/>
      <c r="L470" s="169"/>
      <c r="M470" s="171"/>
      <c r="N470" s="173"/>
      <c r="O470" s="170"/>
      <c r="P470" s="170"/>
      <c r="Q470" s="170"/>
      <c r="R470" s="469"/>
      <c r="S470" s="465"/>
      <c r="T470" s="170"/>
      <c r="U470" s="170"/>
      <c r="V470" s="170"/>
      <c r="W470" s="469"/>
      <c r="X470" s="465"/>
      <c r="Y470" s="170"/>
      <c r="Z470" s="170"/>
      <c r="AA470" s="170"/>
      <c r="AB470" s="469"/>
    </row>
    <row r="471" spans="1:28" ht="16.149999999999999" customHeight="1" x14ac:dyDescent="0.2">
      <c r="A471" s="480"/>
      <c r="B471" s="119" t="s">
        <v>931</v>
      </c>
      <c r="C471" s="457"/>
      <c r="D471" s="455"/>
      <c r="E471" s="169"/>
      <c r="F471" s="169"/>
      <c r="G471" s="169"/>
      <c r="H471" s="457"/>
      <c r="I471" s="455"/>
      <c r="J471" s="169"/>
      <c r="K471" s="169"/>
      <c r="L471" s="169"/>
      <c r="M471" s="171"/>
      <c r="N471" s="173"/>
      <c r="O471" s="170"/>
      <c r="P471" s="170"/>
      <c r="Q471" s="170"/>
      <c r="R471" s="469"/>
      <c r="S471" s="465"/>
      <c r="T471" s="170"/>
      <c r="U471" s="170"/>
      <c r="V471" s="170"/>
      <c r="W471" s="469"/>
      <c r="X471" s="465"/>
      <c r="Y471" s="170"/>
      <c r="Z471" s="170"/>
      <c r="AA471" s="170"/>
      <c r="AB471" s="469"/>
    </row>
    <row r="472" spans="1:28" ht="16.149999999999999" customHeight="1" x14ac:dyDescent="0.2">
      <c r="A472" s="480"/>
      <c r="B472" s="119" t="s">
        <v>932</v>
      </c>
      <c r="C472" s="457"/>
      <c r="D472" s="455"/>
      <c r="E472" s="169"/>
      <c r="F472" s="169"/>
      <c r="G472" s="169"/>
      <c r="H472" s="457"/>
      <c r="I472" s="455"/>
      <c r="J472" s="169"/>
      <c r="K472" s="169"/>
      <c r="L472" s="169"/>
      <c r="M472" s="171"/>
      <c r="N472" s="173"/>
      <c r="O472" s="170"/>
      <c r="P472" s="170"/>
      <c r="Q472" s="170"/>
      <c r="R472" s="469"/>
      <c r="S472" s="465"/>
      <c r="T472" s="170"/>
      <c r="U472" s="170"/>
      <c r="V472" s="170"/>
      <c r="W472" s="469"/>
      <c r="X472" s="465"/>
      <c r="Y472" s="170"/>
      <c r="Z472" s="170"/>
      <c r="AA472" s="170"/>
      <c r="AB472" s="469"/>
    </row>
    <row r="473" spans="1:28" ht="16.149999999999999" customHeight="1" x14ac:dyDescent="0.2">
      <c r="A473" s="480"/>
      <c r="B473" s="119" t="s">
        <v>933</v>
      </c>
      <c r="C473" s="457"/>
      <c r="D473" s="455"/>
      <c r="E473" s="169"/>
      <c r="F473" s="169"/>
      <c r="G473" s="169"/>
      <c r="H473" s="457"/>
      <c r="I473" s="455"/>
      <c r="J473" s="169"/>
      <c r="K473" s="169"/>
      <c r="L473" s="169"/>
      <c r="M473" s="171"/>
      <c r="N473" s="173"/>
      <c r="O473" s="170"/>
      <c r="P473" s="170"/>
      <c r="Q473" s="170"/>
      <c r="R473" s="469"/>
      <c r="S473" s="465"/>
      <c r="T473" s="170"/>
      <c r="U473" s="170"/>
      <c r="V473" s="170"/>
      <c r="W473" s="469"/>
      <c r="X473" s="465"/>
      <c r="Y473" s="170"/>
      <c r="Z473" s="170"/>
      <c r="AA473" s="170"/>
      <c r="AB473" s="469"/>
    </row>
    <row r="474" spans="1:28" ht="16.149999999999999" customHeight="1" x14ac:dyDescent="0.2">
      <c r="A474" s="480"/>
      <c r="B474" s="119" t="s">
        <v>934</v>
      </c>
      <c r="C474" s="457"/>
      <c r="D474" s="455"/>
      <c r="E474" s="169"/>
      <c r="F474" s="169"/>
      <c r="G474" s="169"/>
      <c r="H474" s="457"/>
      <c r="I474" s="455"/>
      <c r="J474" s="169"/>
      <c r="K474" s="169"/>
      <c r="L474" s="169"/>
      <c r="M474" s="171"/>
      <c r="N474" s="173"/>
      <c r="O474" s="170"/>
      <c r="P474" s="170"/>
      <c r="Q474" s="170"/>
      <c r="R474" s="469"/>
      <c r="S474" s="465"/>
      <c r="T474" s="170"/>
      <c r="U474" s="170"/>
      <c r="V474" s="170"/>
      <c r="W474" s="469"/>
      <c r="X474" s="465"/>
      <c r="Y474" s="170"/>
      <c r="Z474" s="170"/>
      <c r="AA474" s="170"/>
      <c r="AB474" s="469"/>
    </row>
    <row r="475" spans="1:28" ht="16.149999999999999" customHeight="1" x14ac:dyDescent="0.2">
      <c r="A475" s="480"/>
      <c r="B475" s="119" t="s">
        <v>935</v>
      </c>
      <c r="C475" s="457"/>
      <c r="D475" s="455"/>
      <c r="E475" s="169"/>
      <c r="F475" s="169"/>
      <c r="G475" s="169"/>
      <c r="H475" s="457"/>
      <c r="I475" s="455"/>
      <c r="J475" s="169"/>
      <c r="K475" s="169"/>
      <c r="L475" s="169"/>
      <c r="M475" s="171"/>
      <c r="N475" s="173"/>
      <c r="O475" s="170"/>
      <c r="P475" s="170"/>
      <c r="Q475" s="170"/>
      <c r="R475" s="469"/>
      <c r="S475" s="465"/>
      <c r="T475" s="170"/>
      <c r="U475" s="170"/>
      <c r="V475" s="170"/>
      <c r="W475" s="469"/>
      <c r="X475" s="465"/>
      <c r="Y475" s="170"/>
      <c r="Z475" s="170"/>
      <c r="AA475" s="170"/>
      <c r="AB475" s="469"/>
    </row>
    <row r="476" spans="1:28" ht="16.149999999999999" customHeight="1" x14ac:dyDescent="0.2">
      <c r="A476" s="480"/>
      <c r="B476" s="119" t="s">
        <v>936</v>
      </c>
      <c r="C476" s="457"/>
      <c r="D476" s="455"/>
      <c r="E476" s="169"/>
      <c r="F476" s="169"/>
      <c r="G476" s="169"/>
      <c r="H476" s="457"/>
      <c r="I476" s="455"/>
      <c r="J476" s="169"/>
      <c r="K476" s="169"/>
      <c r="L476" s="169"/>
      <c r="M476" s="171"/>
      <c r="N476" s="173"/>
      <c r="O476" s="170"/>
      <c r="P476" s="170"/>
      <c r="Q476" s="170"/>
      <c r="R476" s="469"/>
      <c r="S476" s="465"/>
      <c r="T476" s="170"/>
      <c r="U476" s="170"/>
      <c r="V476" s="170"/>
      <c r="W476" s="469"/>
      <c r="X476" s="465"/>
      <c r="Y476" s="170"/>
      <c r="Z476" s="170"/>
      <c r="AA476" s="170"/>
      <c r="AB476" s="469"/>
    </row>
    <row r="477" spans="1:28" ht="16.149999999999999" customHeight="1" x14ac:dyDescent="0.2">
      <c r="A477" s="480"/>
      <c r="B477" s="119" t="s">
        <v>938</v>
      </c>
      <c r="C477" s="457"/>
      <c r="D477" s="455"/>
      <c r="E477" s="169"/>
      <c r="F477" s="169"/>
      <c r="G477" s="169"/>
      <c r="H477" s="457"/>
      <c r="I477" s="455"/>
      <c r="J477" s="169"/>
      <c r="K477" s="169"/>
      <c r="L477" s="169"/>
      <c r="M477" s="171"/>
      <c r="N477" s="173"/>
      <c r="O477" s="170"/>
      <c r="P477" s="170"/>
      <c r="Q477" s="170"/>
      <c r="R477" s="469"/>
      <c r="S477" s="465"/>
      <c r="T477" s="170"/>
      <c r="U477" s="170"/>
      <c r="V477" s="170"/>
      <c r="W477" s="469"/>
      <c r="X477" s="465"/>
      <c r="Y477" s="170"/>
      <c r="Z477" s="170"/>
      <c r="AA477" s="170"/>
      <c r="AB477" s="469"/>
    </row>
    <row r="478" spans="1:28" ht="16.149999999999999" customHeight="1" x14ac:dyDescent="0.2">
      <c r="A478" s="480"/>
      <c r="B478" s="119" t="s">
        <v>937</v>
      </c>
      <c r="C478" s="457"/>
      <c r="D478" s="455"/>
      <c r="E478" s="169"/>
      <c r="F478" s="169"/>
      <c r="G478" s="169"/>
      <c r="H478" s="457"/>
      <c r="I478" s="455"/>
      <c r="J478" s="169"/>
      <c r="K478" s="169"/>
      <c r="L478" s="169"/>
      <c r="M478" s="171"/>
      <c r="N478" s="173"/>
      <c r="O478" s="170"/>
      <c r="P478" s="170"/>
      <c r="Q478" s="170"/>
      <c r="R478" s="469"/>
      <c r="S478" s="465"/>
      <c r="T478" s="170"/>
      <c r="U478" s="170"/>
      <c r="V478" s="170"/>
      <c r="W478" s="469"/>
      <c r="X478" s="465"/>
      <c r="Y478" s="170"/>
      <c r="Z478" s="170"/>
      <c r="AA478" s="170"/>
      <c r="AB478" s="469"/>
    </row>
    <row r="479" spans="1:28" ht="16.149999999999999" customHeight="1" x14ac:dyDescent="0.2">
      <c r="A479" s="480"/>
      <c r="B479" s="119" t="s">
        <v>939</v>
      </c>
      <c r="C479" s="457"/>
      <c r="D479" s="455"/>
      <c r="E479" s="169"/>
      <c r="F479" s="169"/>
      <c r="G479" s="169"/>
      <c r="H479" s="457"/>
      <c r="I479" s="455"/>
      <c r="J479" s="169"/>
      <c r="K479" s="169"/>
      <c r="L479" s="169"/>
      <c r="M479" s="171"/>
      <c r="N479" s="173"/>
      <c r="O479" s="170"/>
      <c r="P479" s="170"/>
      <c r="Q479" s="170"/>
      <c r="R479" s="469"/>
      <c r="S479" s="465"/>
      <c r="T479" s="170"/>
      <c r="U479" s="170"/>
      <c r="V479" s="170"/>
      <c r="W479" s="469"/>
      <c r="X479" s="465"/>
      <c r="Y479" s="170"/>
      <c r="Z479" s="170"/>
      <c r="AA479" s="170"/>
      <c r="AB479" s="469"/>
    </row>
    <row r="480" spans="1:28" ht="16.149999999999999" customHeight="1" x14ac:dyDescent="0.2">
      <c r="A480" s="480"/>
      <c r="B480" s="119" t="s">
        <v>940</v>
      </c>
      <c r="C480" s="457"/>
      <c r="D480" s="455"/>
      <c r="E480" s="169"/>
      <c r="F480" s="169"/>
      <c r="G480" s="169"/>
      <c r="H480" s="457"/>
      <c r="I480" s="455"/>
      <c r="J480" s="169"/>
      <c r="K480" s="169"/>
      <c r="L480" s="169"/>
      <c r="M480" s="171"/>
      <c r="N480" s="173"/>
      <c r="O480" s="170"/>
      <c r="P480" s="170"/>
      <c r="Q480" s="170"/>
      <c r="R480" s="469"/>
      <c r="S480" s="465"/>
      <c r="T480" s="170"/>
      <c r="U480" s="170"/>
      <c r="V480" s="170"/>
      <c r="W480" s="469"/>
      <c r="X480" s="465"/>
      <c r="Y480" s="170"/>
      <c r="Z480" s="170"/>
      <c r="AA480" s="170"/>
      <c r="AB480" s="469"/>
    </row>
    <row r="481" spans="1:28" ht="16.149999999999999" customHeight="1" x14ac:dyDescent="0.2">
      <c r="A481" s="480"/>
      <c r="B481" s="119" t="s">
        <v>941</v>
      </c>
      <c r="C481" s="457"/>
      <c r="D481" s="455"/>
      <c r="E481" s="169"/>
      <c r="F481" s="169"/>
      <c r="G481" s="169"/>
      <c r="H481" s="457"/>
      <c r="I481" s="455"/>
      <c r="J481" s="169"/>
      <c r="K481" s="169"/>
      <c r="L481" s="169"/>
      <c r="M481" s="171"/>
      <c r="N481" s="173"/>
      <c r="O481" s="170"/>
      <c r="P481" s="170"/>
      <c r="Q481" s="170"/>
      <c r="R481" s="469"/>
      <c r="S481" s="465"/>
      <c r="T481" s="170"/>
      <c r="U481" s="170"/>
      <c r="V481" s="170"/>
      <c r="W481" s="469"/>
      <c r="X481" s="465"/>
      <c r="Y481" s="170"/>
      <c r="Z481" s="170"/>
      <c r="AA481" s="170"/>
      <c r="AB481" s="469"/>
    </row>
    <row r="482" spans="1:28" ht="16.149999999999999" customHeight="1" x14ac:dyDescent="0.2">
      <c r="A482" s="480"/>
      <c r="B482" s="119" t="s">
        <v>942</v>
      </c>
      <c r="C482" s="457"/>
      <c r="D482" s="455"/>
      <c r="E482" s="169"/>
      <c r="F482" s="169"/>
      <c r="G482" s="169"/>
      <c r="H482" s="457"/>
      <c r="I482" s="455"/>
      <c r="J482" s="169"/>
      <c r="K482" s="169"/>
      <c r="L482" s="169"/>
      <c r="M482" s="171"/>
      <c r="N482" s="173"/>
      <c r="O482" s="170"/>
      <c r="P482" s="170"/>
      <c r="Q482" s="170"/>
      <c r="R482" s="469"/>
      <c r="S482" s="465"/>
      <c r="T482" s="170"/>
      <c r="U482" s="170"/>
      <c r="V482" s="170"/>
      <c r="W482" s="469"/>
      <c r="X482" s="465"/>
      <c r="Y482" s="170"/>
      <c r="Z482" s="170"/>
      <c r="AA482" s="170"/>
      <c r="AB482" s="469"/>
    </row>
    <row r="483" spans="1:28" ht="16.149999999999999" customHeight="1" x14ac:dyDescent="0.2">
      <c r="A483" s="480"/>
      <c r="B483" s="119" t="s">
        <v>948</v>
      </c>
      <c r="C483" s="457"/>
      <c r="D483" s="455"/>
      <c r="E483" s="169"/>
      <c r="F483" s="169"/>
      <c r="G483" s="169"/>
      <c r="H483" s="457"/>
      <c r="I483" s="455"/>
      <c r="J483" s="169"/>
      <c r="K483" s="169"/>
      <c r="L483" s="169"/>
      <c r="M483" s="171"/>
      <c r="N483" s="173"/>
      <c r="O483" s="170"/>
      <c r="P483" s="170"/>
      <c r="Q483" s="170"/>
      <c r="R483" s="469"/>
      <c r="S483" s="465"/>
      <c r="T483" s="170"/>
      <c r="U483" s="170"/>
      <c r="V483" s="170"/>
      <c r="W483" s="469"/>
      <c r="X483" s="465"/>
      <c r="Y483" s="170"/>
      <c r="Z483" s="170"/>
      <c r="AA483" s="170"/>
      <c r="AB483" s="469"/>
    </row>
    <row r="484" spans="1:28" ht="16.149999999999999" customHeight="1" x14ac:dyDescent="0.2">
      <c r="A484" s="480"/>
      <c r="B484" s="119" t="s">
        <v>943</v>
      </c>
      <c r="C484" s="457"/>
      <c r="D484" s="455"/>
      <c r="E484" s="169"/>
      <c r="F484" s="169"/>
      <c r="G484" s="169"/>
      <c r="H484" s="457"/>
      <c r="I484" s="455"/>
      <c r="J484" s="169"/>
      <c r="K484" s="169"/>
      <c r="L484" s="169"/>
      <c r="M484" s="171"/>
      <c r="N484" s="173"/>
      <c r="O484" s="170"/>
      <c r="P484" s="170"/>
      <c r="Q484" s="170"/>
      <c r="R484" s="469"/>
      <c r="S484" s="465"/>
      <c r="T484" s="170"/>
      <c r="U484" s="170"/>
      <c r="V484" s="170"/>
      <c r="W484" s="469"/>
      <c r="X484" s="465"/>
      <c r="Y484" s="170"/>
      <c r="Z484" s="170"/>
      <c r="AA484" s="170"/>
      <c r="AB484" s="469"/>
    </row>
    <row r="485" spans="1:28" ht="16.149999999999999" customHeight="1" x14ac:dyDescent="0.2">
      <c r="A485" s="480"/>
      <c r="B485" s="119" t="s">
        <v>944</v>
      </c>
      <c r="C485" s="457"/>
      <c r="D485" s="455"/>
      <c r="E485" s="169"/>
      <c r="F485" s="169"/>
      <c r="G485" s="169"/>
      <c r="H485" s="457"/>
      <c r="I485" s="455"/>
      <c r="J485" s="169"/>
      <c r="K485" s="169"/>
      <c r="L485" s="169"/>
      <c r="M485" s="171"/>
      <c r="N485" s="173"/>
      <c r="O485" s="170"/>
      <c r="P485" s="170"/>
      <c r="Q485" s="170"/>
      <c r="R485" s="469"/>
      <c r="S485" s="465"/>
      <c r="T485" s="170"/>
      <c r="U485" s="170"/>
      <c r="V485" s="170"/>
      <c r="W485" s="469"/>
      <c r="X485" s="465"/>
      <c r="Y485" s="170"/>
      <c r="Z485" s="170"/>
      <c r="AA485" s="170"/>
      <c r="AB485" s="469"/>
    </row>
    <row r="486" spans="1:28" ht="16.149999999999999" customHeight="1" x14ac:dyDescent="0.2">
      <c r="A486" s="480"/>
      <c r="B486" s="119" t="s">
        <v>949</v>
      </c>
      <c r="C486" s="457"/>
      <c r="D486" s="455"/>
      <c r="E486" s="169"/>
      <c r="F486" s="169"/>
      <c r="G486" s="169"/>
      <c r="H486" s="457"/>
      <c r="I486" s="455"/>
      <c r="J486" s="169"/>
      <c r="K486" s="169"/>
      <c r="L486" s="169"/>
      <c r="M486" s="171"/>
      <c r="N486" s="173"/>
      <c r="O486" s="170"/>
      <c r="P486" s="170"/>
      <c r="Q486" s="170"/>
      <c r="R486" s="469"/>
      <c r="S486" s="465"/>
      <c r="T486" s="170"/>
      <c r="U486" s="170"/>
      <c r="V486" s="170"/>
      <c r="W486" s="469"/>
      <c r="X486" s="465"/>
      <c r="Y486" s="170"/>
      <c r="Z486" s="170"/>
      <c r="AA486" s="170"/>
      <c r="AB486" s="469"/>
    </row>
    <row r="487" spans="1:28" ht="16.149999999999999" customHeight="1" x14ac:dyDescent="0.2">
      <c r="A487" s="480"/>
      <c r="B487" s="119" t="s">
        <v>945</v>
      </c>
      <c r="C487" s="457"/>
      <c r="D487" s="455"/>
      <c r="E487" s="169"/>
      <c r="F487" s="169"/>
      <c r="G487" s="169"/>
      <c r="H487" s="457"/>
      <c r="I487" s="455"/>
      <c r="J487" s="169"/>
      <c r="K487" s="169"/>
      <c r="L487" s="169"/>
      <c r="M487" s="171"/>
      <c r="N487" s="173"/>
      <c r="O487" s="170"/>
      <c r="P487" s="170"/>
      <c r="Q487" s="170"/>
      <c r="R487" s="469"/>
      <c r="S487" s="465"/>
      <c r="T487" s="170"/>
      <c r="U487" s="170"/>
      <c r="V487" s="170"/>
      <c r="W487" s="469"/>
      <c r="X487" s="465"/>
      <c r="Y487" s="170"/>
      <c r="Z487" s="170"/>
      <c r="AA487" s="170"/>
      <c r="AB487" s="469"/>
    </row>
    <row r="488" spans="1:28" ht="16.149999999999999" customHeight="1" x14ac:dyDescent="0.2">
      <c r="A488" s="480"/>
      <c r="B488" s="119" t="s">
        <v>950</v>
      </c>
      <c r="C488" s="457"/>
      <c r="D488" s="455"/>
      <c r="E488" s="169"/>
      <c r="F488" s="169"/>
      <c r="G488" s="169"/>
      <c r="H488" s="457"/>
      <c r="I488" s="455"/>
      <c r="J488" s="169"/>
      <c r="K488" s="169"/>
      <c r="L488" s="169"/>
      <c r="M488" s="171"/>
      <c r="N488" s="173"/>
      <c r="O488" s="170"/>
      <c r="P488" s="170"/>
      <c r="Q488" s="170"/>
      <c r="R488" s="469"/>
      <c r="S488" s="465"/>
      <c r="T488" s="170"/>
      <c r="U488" s="170"/>
      <c r="V488" s="170"/>
      <c r="W488" s="469"/>
      <c r="X488" s="465"/>
      <c r="Y488" s="170"/>
      <c r="Z488" s="170"/>
      <c r="AA488" s="170"/>
      <c r="AB488" s="469"/>
    </row>
    <row r="489" spans="1:28" ht="16.149999999999999" customHeight="1" x14ac:dyDescent="0.2">
      <c r="A489" s="480"/>
      <c r="B489" s="119" t="s">
        <v>946</v>
      </c>
      <c r="C489" s="457"/>
      <c r="D489" s="455"/>
      <c r="E489" s="169"/>
      <c r="F489" s="169"/>
      <c r="G489" s="169"/>
      <c r="H489" s="457"/>
      <c r="I489" s="455"/>
      <c r="J489" s="169"/>
      <c r="K489" s="169"/>
      <c r="L489" s="169"/>
      <c r="M489" s="171"/>
      <c r="N489" s="173"/>
      <c r="O489" s="170"/>
      <c r="P489" s="170"/>
      <c r="Q489" s="170"/>
      <c r="R489" s="469"/>
      <c r="S489" s="465"/>
      <c r="T489" s="170"/>
      <c r="U489" s="170"/>
      <c r="V489" s="170"/>
      <c r="W489" s="469"/>
      <c r="X489" s="465"/>
      <c r="Y489" s="170"/>
      <c r="Z489" s="170"/>
      <c r="AA489" s="170"/>
      <c r="AB489" s="469"/>
    </row>
    <row r="490" spans="1:28" ht="16.149999999999999" customHeight="1" x14ac:dyDescent="0.2">
      <c r="A490" s="480"/>
      <c r="B490" s="119" t="s">
        <v>951</v>
      </c>
      <c r="C490" s="457"/>
      <c r="D490" s="455"/>
      <c r="E490" s="169"/>
      <c r="F490" s="169"/>
      <c r="G490" s="169"/>
      <c r="H490" s="457"/>
      <c r="I490" s="455"/>
      <c r="J490" s="169"/>
      <c r="K490" s="169"/>
      <c r="L490" s="169"/>
      <c r="M490" s="171"/>
      <c r="N490" s="173"/>
      <c r="O490" s="170"/>
      <c r="P490" s="170"/>
      <c r="Q490" s="170"/>
      <c r="R490" s="469"/>
      <c r="S490" s="465"/>
      <c r="T490" s="170"/>
      <c r="U490" s="170"/>
      <c r="V490" s="170"/>
      <c r="W490" s="469"/>
      <c r="X490" s="465"/>
      <c r="Y490" s="170"/>
      <c r="Z490" s="170"/>
      <c r="AA490" s="170"/>
      <c r="AB490" s="469"/>
    </row>
    <row r="491" spans="1:28" ht="16.149999999999999" customHeight="1" x14ac:dyDescent="0.2">
      <c r="A491" s="480"/>
      <c r="B491" s="119" t="s">
        <v>952</v>
      </c>
      <c r="C491" s="457"/>
      <c r="D491" s="455"/>
      <c r="E491" s="169"/>
      <c r="F491" s="169"/>
      <c r="G491" s="169"/>
      <c r="H491" s="457"/>
      <c r="I491" s="455"/>
      <c r="J491" s="169"/>
      <c r="K491" s="169"/>
      <c r="L491" s="169"/>
      <c r="M491" s="171"/>
      <c r="N491" s="173"/>
      <c r="O491" s="170"/>
      <c r="P491" s="170"/>
      <c r="Q491" s="170"/>
      <c r="R491" s="469"/>
      <c r="S491" s="465"/>
      <c r="T491" s="170"/>
      <c r="U491" s="170"/>
      <c r="V491" s="170"/>
      <c r="W491" s="469"/>
      <c r="X491" s="465"/>
      <c r="Y491" s="170"/>
      <c r="Z491" s="170"/>
      <c r="AA491" s="170"/>
      <c r="AB491" s="469"/>
    </row>
    <row r="492" spans="1:28" ht="16.149999999999999" customHeight="1" x14ac:dyDescent="0.2">
      <c r="A492" s="480"/>
      <c r="B492" s="119" t="s">
        <v>953</v>
      </c>
      <c r="C492" s="457"/>
      <c r="D492" s="455"/>
      <c r="E492" s="169"/>
      <c r="F492" s="169"/>
      <c r="G492" s="169"/>
      <c r="H492" s="457"/>
      <c r="I492" s="455"/>
      <c r="J492" s="169"/>
      <c r="K492" s="169"/>
      <c r="L492" s="169"/>
      <c r="M492" s="171"/>
      <c r="N492" s="173"/>
      <c r="O492" s="170"/>
      <c r="P492" s="170"/>
      <c r="Q492" s="170"/>
      <c r="R492" s="469"/>
      <c r="S492" s="465"/>
      <c r="T492" s="170"/>
      <c r="U492" s="170"/>
      <c r="V492" s="170"/>
      <c r="W492" s="469"/>
      <c r="X492" s="465"/>
      <c r="Y492" s="170"/>
      <c r="Z492" s="170"/>
      <c r="AA492" s="170"/>
      <c r="AB492" s="469"/>
    </row>
    <row r="493" spans="1:28" ht="16.149999999999999" customHeight="1" x14ac:dyDescent="0.2">
      <c r="A493" s="480"/>
      <c r="B493" s="119" t="s">
        <v>947</v>
      </c>
      <c r="C493" s="457"/>
      <c r="D493" s="455"/>
      <c r="E493" s="169"/>
      <c r="F493" s="169"/>
      <c r="G493" s="169"/>
      <c r="H493" s="457"/>
      <c r="I493" s="455"/>
      <c r="J493" s="169"/>
      <c r="K493" s="169"/>
      <c r="L493" s="169"/>
      <c r="M493" s="171"/>
      <c r="N493" s="173"/>
      <c r="O493" s="170"/>
      <c r="P493" s="170"/>
      <c r="Q493" s="170"/>
      <c r="R493" s="469"/>
      <c r="S493" s="465"/>
      <c r="T493" s="170"/>
      <c r="U493" s="170"/>
      <c r="V493" s="170"/>
      <c r="W493" s="469"/>
      <c r="X493" s="465"/>
      <c r="Y493" s="170"/>
      <c r="Z493" s="170"/>
      <c r="AA493" s="170"/>
      <c r="AB493" s="469"/>
    </row>
    <row r="494" spans="1:28" ht="16.149999999999999" customHeight="1" x14ac:dyDescent="0.2">
      <c r="A494" s="480"/>
      <c r="B494" s="119" t="s">
        <v>954</v>
      </c>
      <c r="C494" s="457"/>
      <c r="D494" s="455"/>
      <c r="E494" s="169"/>
      <c r="F494" s="169"/>
      <c r="G494" s="169"/>
      <c r="H494" s="457"/>
      <c r="I494" s="455"/>
      <c r="J494" s="169"/>
      <c r="K494" s="169"/>
      <c r="L494" s="169"/>
      <c r="M494" s="171"/>
      <c r="N494" s="173"/>
      <c r="O494" s="170"/>
      <c r="P494" s="170"/>
      <c r="Q494" s="170"/>
      <c r="R494" s="469"/>
      <c r="S494" s="465"/>
      <c r="T494" s="170"/>
      <c r="U494" s="170"/>
      <c r="V494" s="170"/>
      <c r="W494" s="469"/>
      <c r="X494" s="465"/>
      <c r="Y494" s="170"/>
      <c r="Z494" s="170"/>
      <c r="AA494" s="170"/>
      <c r="AB494" s="469"/>
    </row>
    <row r="495" spans="1:28" ht="16.149999999999999" customHeight="1" x14ac:dyDescent="0.2">
      <c r="A495" s="480"/>
      <c r="B495" s="119" t="s">
        <v>955</v>
      </c>
      <c r="C495" s="457"/>
      <c r="D495" s="455"/>
      <c r="E495" s="169"/>
      <c r="F495" s="169"/>
      <c r="G495" s="169"/>
      <c r="H495" s="457"/>
      <c r="I495" s="455"/>
      <c r="J495" s="169"/>
      <c r="K495" s="169"/>
      <c r="L495" s="169"/>
      <c r="M495" s="171"/>
      <c r="N495" s="173"/>
      <c r="O495" s="170"/>
      <c r="P495" s="170"/>
      <c r="Q495" s="170"/>
      <c r="R495" s="469"/>
      <c r="S495" s="465"/>
      <c r="T495" s="170"/>
      <c r="U495" s="170"/>
      <c r="V495" s="170"/>
      <c r="W495" s="469"/>
      <c r="X495" s="465"/>
      <c r="Y495" s="170"/>
      <c r="Z495" s="170"/>
      <c r="AA495" s="170"/>
      <c r="AB495" s="469"/>
    </row>
    <row r="496" spans="1:28" ht="16.149999999999999" customHeight="1" x14ac:dyDescent="0.2">
      <c r="A496" s="480"/>
      <c r="B496" s="119" t="s">
        <v>956</v>
      </c>
      <c r="C496" s="457"/>
      <c r="D496" s="455"/>
      <c r="E496" s="169"/>
      <c r="F496" s="169"/>
      <c r="G496" s="169"/>
      <c r="H496" s="457"/>
      <c r="I496" s="455"/>
      <c r="J496" s="169"/>
      <c r="K496" s="169"/>
      <c r="L496" s="169"/>
      <c r="M496" s="171"/>
      <c r="N496" s="173"/>
      <c r="O496" s="170"/>
      <c r="P496" s="170"/>
      <c r="Q496" s="170"/>
      <c r="R496" s="469"/>
      <c r="S496" s="465"/>
      <c r="T496" s="170"/>
      <c r="U496" s="170"/>
      <c r="V496" s="170"/>
      <c r="W496" s="469"/>
      <c r="X496" s="465"/>
      <c r="Y496" s="170"/>
      <c r="Z496" s="170"/>
      <c r="AA496" s="170"/>
      <c r="AB496" s="469"/>
    </row>
    <row r="497" spans="1:28" ht="16.149999999999999" customHeight="1" x14ac:dyDescent="0.2">
      <c r="A497" s="480"/>
      <c r="B497" s="119" t="s">
        <v>957</v>
      </c>
      <c r="C497" s="457"/>
      <c r="D497" s="455"/>
      <c r="E497" s="169"/>
      <c r="F497" s="169"/>
      <c r="G497" s="169"/>
      <c r="H497" s="457"/>
      <c r="I497" s="455"/>
      <c r="J497" s="169"/>
      <c r="K497" s="169"/>
      <c r="L497" s="169"/>
      <c r="M497" s="171"/>
      <c r="N497" s="173"/>
      <c r="O497" s="170"/>
      <c r="P497" s="170"/>
      <c r="Q497" s="170"/>
      <c r="R497" s="469"/>
      <c r="S497" s="465"/>
      <c r="T497" s="170"/>
      <c r="U497" s="170"/>
      <c r="V497" s="170"/>
      <c r="W497" s="469"/>
      <c r="X497" s="465"/>
      <c r="Y497" s="170"/>
      <c r="Z497" s="170"/>
      <c r="AA497" s="170"/>
      <c r="AB497" s="469"/>
    </row>
    <row r="498" spans="1:28" ht="16.149999999999999" customHeight="1" x14ac:dyDescent="0.2">
      <c r="A498" s="480"/>
      <c r="B498" s="119" t="s">
        <v>958</v>
      </c>
      <c r="C498" s="457"/>
      <c r="D498" s="455"/>
      <c r="E498" s="169"/>
      <c r="F498" s="169"/>
      <c r="G498" s="169"/>
      <c r="H498" s="457"/>
      <c r="I498" s="455"/>
      <c r="J498" s="169"/>
      <c r="K498" s="169"/>
      <c r="L498" s="169"/>
      <c r="M498" s="171"/>
      <c r="N498" s="173"/>
      <c r="O498" s="170"/>
      <c r="P498" s="170"/>
      <c r="Q498" s="170"/>
      <c r="R498" s="469"/>
      <c r="S498" s="465"/>
      <c r="T498" s="170"/>
      <c r="U498" s="170"/>
      <c r="V498" s="170"/>
      <c r="W498" s="469"/>
      <c r="X498" s="465"/>
      <c r="Y498" s="170"/>
      <c r="Z498" s="170"/>
      <c r="AA498" s="170"/>
      <c r="AB498" s="469"/>
    </row>
    <row r="499" spans="1:28" ht="16.149999999999999" customHeight="1" x14ac:dyDescent="0.2">
      <c r="A499" s="480"/>
      <c r="B499" s="119" t="s">
        <v>959</v>
      </c>
      <c r="C499" s="457"/>
      <c r="D499" s="455"/>
      <c r="E499" s="169"/>
      <c r="F499" s="169"/>
      <c r="G499" s="169"/>
      <c r="H499" s="457"/>
      <c r="I499" s="455"/>
      <c r="J499" s="169"/>
      <c r="K499" s="169"/>
      <c r="L499" s="169"/>
      <c r="M499" s="171"/>
      <c r="N499" s="173"/>
      <c r="O499" s="170"/>
      <c r="P499" s="170"/>
      <c r="Q499" s="170"/>
      <c r="R499" s="469"/>
      <c r="S499" s="465"/>
      <c r="T499" s="170"/>
      <c r="U499" s="170"/>
      <c r="V499" s="170"/>
      <c r="W499" s="469"/>
      <c r="X499" s="465"/>
      <c r="Y499" s="170"/>
      <c r="Z499" s="170"/>
      <c r="AA499" s="170"/>
      <c r="AB499" s="469"/>
    </row>
    <row r="500" spans="1:28" ht="16.149999999999999" customHeight="1" x14ac:dyDescent="0.2">
      <c r="A500" s="480"/>
      <c r="B500" s="119" t="s">
        <v>960</v>
      </c>
      <c r="C500" s="457"/>
      <c r="D500" s="455"/>
      <c r="E500" s="169"/>
      <c r="F500" s="169"/>
      <c r="G500" s="169"/>
      <c r="H500" s="457"/>
      <c r="I500" s="455"/>
      <c r="J500" s="169"/>
      <c r="K500" s="169"/>
      <c r="L500" s="169"/>
      <c r="M500" s="171"/>
      <c r="N500" s="173"/>
      <c r="O500" s="170"/>
      <c r="P500" s="170"/>
      <c r="Q500" s="170"/>
      <c r="R500" s="469"/>
      <c r="S500" s="465"/>
      <c r="T500" s="170"/>
      <c r="U500" s="170"/>
      <c r="V500" s="170"/>
      <c r="W500" s="469"/>
      <c r="X500" s="465"/>
      <c r="Y500" s="170"/>
      <c r="Z500" s="170"/>
      <c r="AA500" s="170"/>
      <c r="AB500" s="469"/>
    </row>
    <row r="501" spans="1:28" ht="16.149999999999999" customHeight="1" x14ac:dyDescent="0.2">
      <c r="A501" s="480"/>
      <c r="B501" s="119" t="s">
        <v>817</v>
      </c>
      <c r="C501" s="457"/>
      <c r="D501" s="455"/>
      <c r="E501" s="169"/>
      <c r="F501" s="169"/>
      <c r="G501" s="169"/>
      <c r="H501" s="457"/>
      <c r="I501" s="455"/>
      <c r="J501" s="169"/>
      <c r="K501" s="169"/>
      <c r="L501" s="169"/>
      <c r="M501" s="171"/>
      <c r="N501" s="173"/>
      <c r="O501" s="170"/>
      <c r="P501" s="170"/>
      <c r="Q501" s="170"/>
      <c r="R501" s="469"/>
      <c r="S501" s="465"/>
      <c r="T501" s="170"/>
      <c r="U501" s="170"/>
      <c r="V501" s="170"/>
      <c r="W501" s="469"/>
      <c r="X501" s="465"/>
      <c r="Y501" s="170"/>
      <c r="Z501" s="170"/>
      <c r="AA501" s="170"/>
      <c r="AB501" s="469"/>
    </row>
    <row r="502" spans="1:28" ht="16.149999999999999" customHeight="1" x14ac:dyDescent="0.2">
      <c r="A502" s="480"/>
      <c r="B502" s="119" t="s">
        <v>820</v>
      </c>
      <c r="C502" s="457"/>
      <c r="D502" s="455"/>
      <c r="E502" s="169"/>
      <c r="F502" s="169"/>
      <c r="G502" s="169"/>
      <c r="H502" s="457"/>
      <c r="I502" s="455"/>
      <c r="J502" s="169"/>
      <c r="K502" s="169"/>
      <c r="L502" s="169"/>
      <c r="M502" s="171"/>
      <c r="N502" s="173"/>
      <c r="O502" s="170"/>
      <c r="P502" s="170"/>
      <c r="Q502" s="170"/>
      <c r="R502" s="469"/>
      <c r="S502" s="465"/>
      <c r="T502" s="170"/>
      <c r="U502" s="170"/>
      <c r="V502" s="170"/>
      <c r="W502" s="469"/>
      <c r="X502" s="465"/>
      <c r="Y502" s="170"/>
      <c r="Z502" s="170"/>
      <c r="AA502" s="170"/>
      <c r="AB502" s="469"/>
    </row>
    <row r="503" spans="1:28" ht="16.149999999999999" customHeight="1" x14ac:dyDescent="0.2">
      <c r="A503" s="480"/>
      <c r="B503" s="119" t="s">
        <v>961</v>
      </c>
      <c r="C503" s="457"/>
      <c r="D503" s="455"/>
      <c r="E503" s="169"/>
      <c r="F503" s="169"/>
      <c r="G503" s="169"/>
      <c r="H503" s="457"/>
      <c r="I503" s="455"/>
      <c r="J503" s="169"/>
      <c r="K503" s="169"/>
      <c r="L503" s="169"/>
      <c r="M503" s="171"/>
      <c r="N503" s="173"/>
      <c r="O503" s="170"/>
      <c r="P503" s="170"/>
      <c r="Q503" s="170"/>
      <c r="R503" s="469"/>
      <c r="S503" s="465"/>
      <c r="T503" s="170"/>
      <c r="U503" s="170"/>
      <c r="V503" s="170"/>
      <c r="W503" s="469"/>
      <c r="X503" s="465"/>
      <c r="Y503" s="170"/>
      <c r="Z503" s="170"/>
      <c r="AA503" s="170"/>
      <c r="AB503" s="469"/>
    </row>
    <row r="504" spans="1:28" ht="16.149999999999999" customHeight="1" x14ac:dyDescent="0.2">
      <c r="A504" s="480"/>
      <c r="B504" s="119" t="s">
        <v>962</v>
      </c>
      <c r="C504" s="457"/>
      <c r="D504" s="455"/>
      <c r="E504" s="169"/>
      <c r="F504" s="169"/>
      <c r="G504" s="169"/>
      <c r="H504" s="457"/>
      <c r="I504" s="455"/>
      <c r="J504" s="169"/>
      <c r="K504" s="169"/>
      <c r="L504" s="169"/>
      <c r="M504" s="171"/>
      <c r="N504" s="173"/>
      <c r="O504" s="170"/>
      <c r="P504" s="170"/>
      <c r="Q504" s="170"/>
      <c r="R504" s="469"/>
      <c r="S504" s="465"/>
      <c r="T504" s="170"/>
      <c r="U504" s="170"/>
      <c r="V504" s="170"/>
      <c r="W504" s="469"/>
      <c r="X504" s="465"/>
      <c r="Y504" s="170"/>
      <c r="Z504" s="170"/>
      <c r="AA504" s="170"/>
      <c r="AB504" s="469"/>
    </row>
    <row r="505" spans="1:28" ht="16.149999999999999" customHeight="1" x14ac:dyDescent="0.2">
      <c r="A505" s="480"/>
      <c r="B505" s="119" t="s">
        <v>963</v>
      </c>
      <c r="C505" s="457"/>
      <c r="D505" s="455"/>
      <c r="E505" s="169"/>
      <c r="F505" s="169"/>
      <c r="G505" s="169"/>
      <c r="H505" s="457"/>
      <c r="I505" s="455"/>
      <c r="J505" s="169"/>
      <c r="K505" s="169"/>
      <c r="L505" s="169"/>
      <c r="M505" s="171"/>
      <c r="N505" s="173"/>
      <c r="O505" s="170"/>
      <c r="P505" s="170"/>
      <c r="Q505" s="170"/>
      <c r="R505" s="469"/>
      <c r="S505" s="465"/>
      <c r="T505" s="170"/>
      <c r="U505" s="170"/>
      <c r="V505" s="170"/>
      <c r="W505" s="469"/>
      <c r="X505" s="465"/>
      <c r="Y505" s="170"/>
      <c r="Z505" s="170"/>
      <c r="AA505" s="170"/>
      <c r="AB505" s="469"/>
    </row>
    <row r="506" spans="1:28" ht="16.149999999999999" customHeight="1" x14ac:dyDescent="0.2">
      <c r="A506" s="480"/>
      <c r="B506" s="119" t="s">
        <v>964</v>
      </c>
      <c r="C506" s="457"/>
      <c r="D506" s="455"/>
      <c r="E506" s="169"/>
      <c r="F506" s="169"/>
      <c r="G506" s="169"/>
      <c r="H506" s="457"/>
      <c r="I506" s="455"/>
      <c r="J506" s="169"/>
      <c r="K506" s="169"/>
      <c r="L506" s="169"/>
      <c r="M506" s="171"/>
      <c r="N506" s="173"/>
      <c r="O506" s="170"/>
      <c r="P506" s="170"/>
      <c r="Q506" s="170"/>
      <c r="R506" s="469"/>
      <c r="S506" s="465"/>
      <c r="T506" s="170"/>
      <c r="U506" s="170"/>
      <c r="V506" s="170"/>
      <c r="W506" s="469"/>
      <c r="X506" s="465"/>
      <c r="Y506" s="170"/>
      <c r="Z506" s="170"/>
      <c r="AA506" s="170"/>
      <c r="AB506" s="469"/>
    </row>
    <row r="507" spans="1:28" ht="16.149999999999999" customHeight="1" x14ac:dyDescent="0.2">
      <c r="A507" s="480"/>
      <c r="B507" s="119" t="s">
        <v>965</v>
      </c>
      <c r="C507" s="457"/>
      <c r="D507" s="455"/>
      <c r="E507" s="169"/>
      <c r="F507" s="169"/>
      <c r="G507" s="169"/>
      <c r="H507" s="457"/>
      <c r="I507" s="455"/>
      <c r="J507" s="169"/>
      <c r="K507" s="169"/>
      <c r="L507" s="169"/>
      <c r="M507" s="171"/>
      <c r="N507" s="173"/>
      <c r="O507" s="170"/>
      <c r="P507" s="170"/>
      <c r="Q507" s="170"/>
      <c r="R507" s="469"/>
      <c r="S507" s="465"/>
      <c r="T507" s="170"/>
      <c r="U507" s="170"/>
      <c r="V507" s="170"/>
      <c r="W507" s="469"/>
      <c r="X507" s="465"/>
      <c r="Y507" s="170"/>
      <c r="Z507" s="170"/>
      <c r="AA507" s="170"/>
      <c r="AB507" s="469"/>
    </row>
    <row r="508" spans="1:28" ht="16.149999999999999" customHeight="1" x14ac:dyDescent="0.2">
      <c r="A508" s="480"/>
      <c r="B508" s="119" t="s">
        <v>966</v>
      </c>
      <c r="C508" s="457"/>
      <c r="D508" s="455"/>
      <c r="E508" s="169"/>
      <c r="F508" s="169"/>
      <c r="G508" s="169"/>
      <c r="H508" s="457"/>
      <c r="I508" s="455"/>
      <c r="J508" s="169"/>
      <c r="K508" s="169"/>
      <c r="L508" s="169"/>
      <c r="M508" s="171"/>
      <c r="N508" s="173"/>
      <c r="O508" s="170"/>
      <c r="P508" s="170"/>
      <c r="Q508" s="170"/>
      <c r="R508" s="469"/>
      <c r="S508" s="465"/>
      <c r="T508" s="170"/>
      <c r="U508" s="170"/>
      <c r="V508" s="170"/>
      <c r="W508" s="469"/>
      <c r="X508" s="465"/>
      <c r="Y508" s="170"/>
      <c r="Z508" s="170"/>
      <c r="AA508" s="170"/>
      <c r="AB508" s="469"/>
    </row>
    <row r="509" spans="1:28" ht="16.149999999999999" customHeight="1" x14ac:dyDescent="0.2">
      <c r="A509" s="480"/>
      <c r="B509" s="119" t="s">
        <v>967</v>
      </c>
      <c r="C509" s="457"/>
      <c r="D509" s="455"/>
      <c r="E509" s="169"/>
      <c r="F509" s="169"/>
      <c r="G509" s="169"/>
      <c r="H509" s="457"/>
      <c r="I509" s="455"/>
      <c r="J509" s="169"/>
      <c r="K509" s="169"/>
      <c r="L509" s="169"/>
      <c r="M509" s="171"/>
      <c r="N509" s="173"/>
      <c r="O509" s="170"/>
      <c r="P509" s="170"/>
      <c r="Q509" s="170"/>
      <c r="R509" s="469"/>
      <c r="S509" s="465"/>
      <c r="T509" s="170"/>
      <c r="U509" s="170"/>
      <c r="V509" s="170"/>
      <c r="W509" s="469"/>
      <c r="X509" s="465"/>
      <c r="Y509" s="170"/>
      <c r="Z509" s="170"/>
      <c r="AA509" s="170"/>
      <c r="AB509" s="469"/>
    </row>
    <row r="510" spans="1:28" ht="16.149999999999999" customHeight="1" x14ac:dyDescent="0.2">
      <c r="A510" s="480"/>
      <c r="B510" s="119" t="s">
        <v>968</v>
      </c>
      <c r="C510" s="457"/>
      <c r="D510" s="455"/>
      <c r="E510" s="169"/>
      <c r="F510" s="169"/>
      <c r="G510" s="169"/>
      <c r="H510" s="457"/>
      <c r="I510" s="455"/>
      <c r="J510" s="169"/>
      <c r="K510" s="169"/>
      <c r="L510" s="169"/>
      <c r="M510" s="171"/>
      <c r="N510" s="173"/>
      <c r="O510" s="170"/>
      <c r="P510" s="170"/>
      <c r="Q510" s="170"/>
      <c r="R510" s="469"/>
      <c r="S510" s="465"/>
      <c r="T510" s="170"/>
      <c r="U510" s="170"/>
      <c r="V510" s="170"/>
      <c r="W510" s="469"/>
      <c r="X510" s="465"/>
      <c r="Y510" s="170"/>
      <c r="Z510" s="170"/>
      <c r="AA510" s="170"/>
      <c r="AB510" s="469"/>
    </row>
    <row r="511" spans="1:28" ht="18" customHeight="1" x14ac:dyDescent="0.2">
      <c r="A511" s="480"/>
      <c r="B511" s="119" t="s">
        <v>1333</v>
      </c>
      <c r="C511" s="457"/>
      <c r="D511" s="455"/>
      <c r="E511" s="169"/>
      <c r="F511" s="169"/>
      <c r="G511" s="169"/>
      <c r="H511" s="457"/>
      <c r="I511" s="455"/>
      <c r="J511" s="169"/>
      <c r="K511" s="169"/>
      <c r="L511" s="169"/>
      <c r="M511" s="171"/>
      <c r="N511" s="173"/>
      <c r="O511" s="170"/>
      <c r="P511" s="170"/>
      <c r="Q511" s="170"/>
      <c r="R511" s="469"/>
      <c r="S511" s="465"/>
      <c r="T511" s="170"/>
      <c r="U511" s="170"/>
      <c r="V511" s="170"/>
      <c r="W511" s="469"/>
      <c r="X511" s="465"/>
      <c r="Y511" s="170"/>
      <c r="Z511" s="170"/>
      <c r="AA511" s="170"/>
      <c r="AB511" s="469"/>
    </row>
    <row r="512" spans="1:28" ht="18" customHeight="1" x14ac:dyDescent="0.2">
      <c r="A512" s="480"/>
      <c r="B512" s="119" t="s">
        <v>1380</v>
      </c>
      <c r="C512" s="457"/>
      <c r="D512" s="455"/>
      <c r="E512" s="169"/>
      <c r="F512" s="169"/>
      <c r="G512" s="169"/>
      <c r="H512" s="457"/>
      <c r="I512" s="455"/>
      <c r="J512" s="169"/>
      <c r="K512" s="169"/>
      <c r="L512" s="169"/>
      <c r="M512" s="171"/>
      <c r="N512" s="173"/>
      <c r="O512" s="170"/>
      <c r="P512" s="170"/>
      <c r="Q512" s="170"/>
      <c r="R512" s="469"/>
      <c r="S512" s="465"/>
      <c r="T512" s="170"/>
      <c r="U512" s="170"/>
      <c r="V512" s="170"/>
      <c r="W512" s="469"/>
      <c r="X512" s="465"/>
      <c r="Y512" s="170"/>
      <c r="Z512" s="170"/>
      <c r="AA512" s="170"/>
      <c r="AB512" s="469"/>
    </row>
    <row r="513" spans="1:28" ht="16.149999999999999" customHeight="1" x14ac:dyDescent="0.2">
      <c r="A513" s="480"/>
      <c r="B513" s="119" t="s">
        <v>1337</v>
      </c>
      <c r="C513" s="457"/>
      <c r="D513" s="455"/>
      <c r="E513" s="169"/>
      <c r="F513" s="169"/>
      <c r="G513" s="169"/>
      <c r="H513" s="457"/>
      <c r="I513" s="455"/>
      <c r="J513" s="169"/>
      <c r="K513" s="169"/>
      <c r="L513" s="169"/>
      <c r="M513" s="171"/>
      <c r="N513" s="173"/>
      <c r="O513" s="170"/>
      <c r="P513" s="170"/>
      <c r="Q513" s="170"/>
      <c r="R513" s="469"/>
      <c r="S513" s="465"/>
      <c r="T513" s="170"/>
      <c r="U513" s="170"/>
      <c r="V513" s="170"/>
      <c r="W513" s="469"/>
      <c r="X513" s="465"/>
      <c r="Y513" s="170"/>
      <c r="Z513" s="170"/>
      <c r="AA513" s="170"/>
      <c r="AB513" s="469"/>
    </row>
    <row r="514" spans="1:28" ht="16.149999999999999" customHeight="1" x14ac:dyDescent="0.2">
      <c r="A514" s="480"/>
      <c r="B514" s="118" t="s">
        <v>394</v>
      </c>
      <c r="C514" s="457"/>
      <c r="D514" s="455"/>
      <c r="E514" s="169"/>
      <c r="F514" s="169"/>
      <c r="G514" s="169"/>
      <c r="H514" s="457"/>
      <c r="I514" s="455"/>
      <c r="J514" s="169"/>
      <c r="K514" s="169"/>
      <c r="L514" s="169"/>
      <c r="M514" s="171"/>
      <c r="N514" s="173"/>
      <c r="O514" s="170"/>
      <c r="P514" s="170"/>
      <c r="Q514" s="170"/>
      <c r="R514" s="469"/>
      <c r="S514" s="465"/>
      <c r="T514" s="170"/>
      <c r="U514" s="170"/>
      <c r="V514" s="170"/>
      <c r="W514" s="469"/>
      <c r="X514" s="465"/>
      <c r="Y514" s="170"/>
      <c r="Z514" s="170"/>
      <c r="AA514" s="170"/>
      <c r="AB514" s="469"/>
    </row>
    <row r="515" spans="1:28" ht="16.149999999999999" customHeight="1" x14ac:dyDescent="0.2">
      <c r="A515" s="480"/>
      <c r="B515" s="119" t="s">
        <v>969</v>
      </c>
      <c r="C515" s="457"/>
      <c r="D515" s="455"/>
      <c r="E515" s="169"/>
      <c r="F515" s="169"/>
      <c r="G515" s="169"/>
      <c r="H515" s="457"/>
      <c r="I515" s="455"/>
      <c r="J515" s="169"/>
      <c r="K515" s="169"/>
      <c r="L515" s="169"/>
      <c r="M515" s="171"/>
      <c r="N515" s="173"/>
      <c r="O515" s="170"/>
      <c r="P515" s="170"/>
      <c r="Q515" s="170"/>
      <c r="R515" s="469"/>
      <c r="S515" s="465"/>
      <c r="T515" s="170"/>
      <c r="U515" s="170"/>
      <c r="V515" s="170"/>
      <c r="W515" s="469"/>
      <c r="X515" s="465"/>
      <c r="Y515" s="170"/>
      <c r="Z515" s="170"/>
      <c r="AA515" s="170"/>
      <c r="AB515" s="469"/>
    </row>
    <row r="516" spans="1:28" ht="16.149999999999999" customHeight="1" x14ac:dyDescent="0.2">
      <c r="A516" s="480"/>
      <c r="B516" s="119" t="s">
        <v>970</v>
      </c>
      <c r="C516" s="457"/>
      <c r="D516" s="455"/>
      <c r="E516" s="169"/>
      <c r="F516" s="169"/>
      <c r="G516" s="169"/>
      <c r="H516" s="457"/>
      <c r="I516" s="455"/>
      <c r="J516" s="169"/>
      <c r="K516" s="169"/>
      <c r="L516" s="169"/>
      <c r="M516" s="171"/>
      <c r="N516" s="173"/>
      <c r="O516" s="170"/>
      <c r="P516" s="170"/>
      <c r="Q516" s="170"/>
      <c r="R516" s="469"/>
      <c r="S516" s="465"/>
      <c r="T516" s="170"/>
      <c r="U516" s="170"/>
      <c r="V516" s="170"/>
      <c r="W516" s="469"/>
      <c r="X516" s="465"/>
      <c r="Y516" s="170"/>
      <c r="Z516" s="170"/>
      <c r="AA516" s="170"/>
      <c r="AB516" s="469"/>
    </row>
    <row r="517" spans="1:28" ht="16.149999999999999" customHeight="1" x14ac:dyDescent="0.2">
      <c r="A517" s="480"/>
      <c r="B517" s="119" t="s">
        <v>971</v>
      </c>
      <c r="C517" s="457"/>
      <c r="D517" s="455"/>
      <c r="E517" s="169"/>
      <c r="F517" s="169"/>
      <c r="G517" s="169"/>
      <c r="H517" s="457"/>
      <c r="I517" s="455"/>
      <c r="J517" s="169"/>
      <c r="K517" s="169"/>
      <c r="L517" s="169"/>
      <c r="M517" s="171"/>
      <c r="N517" s="173"/>
      <c r="O517" s="170"/>
      <c r="P517" s="170"/>
      <c r="Q517" s="170"/>
      <c r="R517" s="469"/>
      <c r="S517" s="465"/>
      <c r="T517" s="170"/>
      <c r="U517" s="170"/>
      <c r="V517" s="170"/>
      <c r="W517" s="469"/>
      <c r="X517" s="465"/>
      <c r="Y517" s="170"/>
      <c r="Z517" s="170"/>
      <c r="AA517" s="170"/>
      <c r="AB517" s="469"/>
    </row>
    <row r="518" spans="1:28" ht="16.149999999999999" customHeight="1" x14ac:dyDescent="0.2">
      <c r="A518" s="480"/>
      <c r="B518" s="119" t="s">
        <v>972</v>
      </c>
      <c r="C518" s="457"/>
      <c r="D518" s="455"/>
      <c r="E518" s="169"/>
      <c r="F518" s="169"/>
      <c r="G518" s="169"/>
      <c r="H518" s="457"/>
      <c r="I518" s="455"/>
      <c r="J518" s="169"/>
      <c r="K518" s="169"/>
      <c r="L518" s="169"/>
      <c r="M518" s="171"/>
      <c r="N518" s="173"/>
      <c r="O518" s="170"/>
      <c r="P518" s="170"/>
      <c r="Q518" s="170"/>
      <c r="R518" s="469"/>
      <c r="S518" s="465"/>
      <c r="T518" s="170"/>
      <c r="U518" s="170"/>
      <c r="V518" s="170"/>
      <c r="W518" s="469"/>
      <c r="X518" s="465"/>
      <c r="Y518" s="170"/>
      <c r="Z518" s="170"/>
      <c r="AA518" s="170"/>
      <c r="AB518" s="469"/>
    </row>
    <row r="519" spans="1:28" ht="16.149999999999999" customHeight="1" x14ac:dyDescent="0.2">
      <c r="A519" s="480"/>
      <c r="B519" s="119" t="s">
        <v>973</v>
      </c>
      <c r="C519" s="457"/>
      <c r="D519" s="455"/>
      <c r="E519" s="169"/>
      <c r="F519" s="169"/>
      <c r="G519" s="169"/>
      <c r="H519" s="457"/>
      <c r="I519" s="455"/>
      <c r="J519" s="169"/>
      <c r="K519" s="169"/>
      <c r="L519" s="169"/>
      <c r="M519" s="171"/>
      <c r="N519" s="173"/>
      <c r="O519" s="170"/>
      <c r="P519" s="170"/>
      <c r="Q519" s="170"/>
      <c r="R519" s="469"/>
      <c r="S519" s="465"/>
      <c r="T519" s="170"/>
      <c r="U519" s="170"/>
      <c r="V519" s="170"/>
      <c r="W519" s="469"/>
      <c r="X519" s="465"/>
      <c r="Y519" s="170"/>
      <c r="Z519" s="170"/>
      <c r="AA519" s="170"/>
      <c r="AB519" s="469"/>
    </row>
    <row r="520" spans="1:28" ht="16.149999999999999" customHeight="1" x14ac:dyDescent="0.2">
      <c r="A520" s="480"/>
      <c r="B520" s="119" t="s">
        <v>974</v>
      </c>
      <c r="C520" s="457"/>
      <c r="D520" s="455"/>
      <c r="E520" s="169"/>
      <c r="F520" s="169"/>
      <c r="G520" s="169"/>
      <c r="H520" s="457"/>
      <c r="I520" s="455"/>
      <c r="J520" s="169"/>
      <c r="K520" s="169"/>
      <c r="L520" s="169"/>
      <c r="M520" s="171"/>
      <c r="N520" s="173"/>
      <c r="O520" s="170"/>
      <c r="P520" s="170"/>
      <c r="Q520" s="170"/>
      <c r="R520" s="469"/>
      <c r="S520" s="465"/>
      <c r="T520" s="170"/>
      <c r="U520" s="170"/>
      <c r="V520" s="170"/>
      <c r="W520" s="469"/>
      <c r="X520" s="465"/>
      <c r="Y520" s="170"/>
      <c r="Z520" s="170"/>
      <c r="AA520" s="170"/>
      <c r="AB520" s="469"/>
    </row>
    <row r="521" spans="1:28" ht="16.149999999999999" customHeight="1" x14ac:dyDescent="0.2">
      <c r="A521" s="480"/>
      <c r="B521" s="119" t="s">
        <v>975</v>
      </c>
      <c r="C521" s="457"/>
      <c r="D521" s="455"/>
      <c r="E521" s="169"/>
      <c r="F521" s="169"/>
      <c r="G521" s="169"/>
      <c r="H521" s="457"/>
      <c r="I521" s="455"/>
      <c r="J521" s="169"/>
      <c r="K521" s="169"/>
      <c r="L521" s="169"/>
      <c r="M521" s="171"/>
      <c r="N521" s="173"/>
      <c r="O521" s="170"/>
      <c r="P521" s="170"/>
      <c r="Q521" s="170"/>
      <c r="R521" s="469"/>
      <c r="S521" s="465"/>
      <c r="T521" s="170"/>
      <c r="U521" s="170"/>
      <c r="V521" s="170"/>
      <c r="W521" s="469"/>
      <c r="X521" s="465"/>
      <c r="Y521" s="170"/>
      <c r="Z521" s="170"/>
      <c r="AA521" s="170"/>
      <c r="AB521" s="469"/>
    </row>
    <row r="522" spans="1:28" ht="16.149999999999999" customHeight="1" x14ac:dyDescent="0.2">
      <c r="A522" s="480"/>
      <c r="B522" s="119" t="s">
        <v>976</v>
      </c>
      <c r="C522" s="457"/>
      <c r="D522" s="455"/>
      <c r="E522" s="169"/>
      <c r="F522" s="169"/>
      <c r="G522" s="169"/>
      <c r="H522" s="457"/>
      <c r="I522" s="455"/>
      <c r="J522" s="169"/>
      <c r="K522" s="169"/>
      <c r="L522" s="169"/>
      <c r="M522" s="171"/>
      <c r="N522" s="173"/>
      <c r="O522" s="170"/>
      <c r="P522" s="170"/>
      <c r="Q522" s="170"/>
      <c r="R522" s="469"/>
      <c r="S522" s="465"/>
      <c r="T522" s="170"/>
      <c r="U522" s="170"/>
      <c r="V522" s="170"/>
      <c r="W522" s="469"/>
      <c r="X522" s="465"/>
      <c r="Y522" s="170"/>
      <c r="Z522" s="170"/>
      <c r="AA522" s="170"/>
      <c r="AB522" s="469"/>
    </row>
    <row r="523" spans="1:28" ht="15.75" customHeight="1" x14ac:dyDescent="0.2">
      <c r="A523" s="480"/>
      <c r="B523" s="119" t="s">
        <v>977</v>
      </c>
      <c r="C523" s="457"/>
      <c r="D523" s="455"/>
      <c r="E523" s="169"/>
      <c r="F523" s="169"/>
      <c r="G523" s="169"/>
      <c r="H523" s="457"/>
      <c r="I523" s="455"/>
      <c r="J523" s="169"/>
      <c r="K523" s="169"/>
      <c r="L523" s="169"/>
      <c r="M523" s="171"/>
      <c r="N523" s="173"/>
      <c r="O523" s="170"/>
      <c r="P523" s="170"/>
      <c r="Q523" s="170"/>
      <c r="R523" s="469"/>
      <c r="S523" s="465"/>
      <c r="T523" s="170"/>
      <c r="U523" s="170"/>
      <c r="V523" s="170"/>
      <c r="W523" s="469"/>
      <c r="X523" s="465"/>
      <c r="Y523" s="170"/>
      <c r="Z523" s="170"/>
      <c r="AA523" s="170"/>
      <c r="AB523" s="469"/>
    </row>
    <row r="524" spans="1:28" ht="16.149999999999999" customHeight="1" x14ac:dyDescent="0.2">
      <c r="A524" s="480"/>
      <c r="B524" s="119" t="s">
        <v>978</v>
      </c>
      <c r="C524" s="457"/>
      <c r="D524" s="455"/>
      <c r="E524" s="169"/>
      <c r="F524" s="169"/>
      <c r="G524" s="169"/>
      <c r="H524" s="457"/>
      <c r="I524" s="455"/>
      <c r="J524" s="169"/>
      <c r="K524" s="169"/>
      <c r="L524" s="169"/>
      <c r="M524" s="171"/>
      <c r="N524" s="173"/>
      <c r="O524" s="170"/>
      <c r="P524" s="170"/>
      <c r="Q524" s="170"/>
      <c r="R524" s="469"/>
      <c r="S524" s="465"/>
      <c r="T524" s="170"/>
      <c r="U524" s="170"/>
      <c r="V524" s="170"/>
      <c r="W524" s="469"/>
      <c r="X524" s="465"/>
      <c r="Y524" s="170"/>
      <c r="Z524" s="170"/>
      <c r="AA524" s="170"/>
      <c r="AB524" s="469"/>
    </row>
    <row r="525" spans="1:28" ht="15.75" customHeight="1" x14ac:dyDescent="0.2">
      <c r="A525" s="480"/>
      <c r="B525" s="119" t="s">
        <v>979</v>
      </c>
      <c r="C525" s="457"/>
      <c r="D525" s="455"/>
      <c r="E525" s="169"/>
      <c r="F525" s="169"/>
      <c r="G525" s="169"/>
      <c r="H525" s="457"/>
      <c r="I525" s="455"/>
      <c r="J525" s="169"/>
      <c r="K525" s="169"/>
      <c r="L525" s="169"/>
      <c r="M525" s="171"/>
      <c r="N525" s="173"/>
      <c r="O525" s="170"/>
      <c r="P525" s="170"/>
      <c r="Q525" s="170"/>
      <c r="R525" s="469"/>
      <c r="S525" s="465"/>
      <c r="T525" s="170"/>
      <c r="U525" s="170"/>
      <c r="V525" s="170"/>
      <c r="W525" s="469"/>
      <c r="X525" s="465"/>
      <c r="Y525" s="170"/>
      <c r="Z525" s="170"/>
      <c r="AA525" s="170"/>
      <c r="AB525" s="469"/>
    </row>
    <row r="526" spans="1:28" ht="15.75" customHeight="1" x14ac:dyDescent="0.2">
      <c r="A526" s="480"/>
      <c r="B526" s="119" t="s">
        <v>980</v>
      </c>
      <c r="C526" s="457"/>
      <c r="D526" s="455"/>
      <c r="E526" s="169"/>
      <c r="F526" s="169"/>
      <c r="G526" s="169"/>
      <c r="H526" s="457"/>
      <c r="I526" s="455"/>
      <c r="J526" s="169"/>
      <c r="K526" s="169"/>
      <c r="L526" s="169"/>
      <c r="M526" s="171"/>
      <c r="N526" s="173"/>
      <c r="O526" s="170"/>
      <c r="P526" s="170"/>
      <c r="Q526" s="170"/>
      <c r="R526" s="469"/>
      <c r="S526" s="465"/>
      <c r="T526" s="170"/>
      <c r="U526" s="170"/>
      <c r="V526" s="170"/>
      <c r="W526" s="469"/>
      <c r="X526" s="465"/>
      <c r="Y526" s="170"/>
      <c r="Z526" s="170"/>
      <c r="AA526" s="170"/>
      <c r="AB526" s="469"/>
    </row>
    <row r="527" spans="1:28" ht="15.75" customHeight="1" x14ac:dyDescent="0.2">
      <c r="A527" s="480"/>
      <c r="B527" s="119" t="s">
        <v>993</v>
      </c>
      <c r="C527" s="457"/>
      <c r="D527" s="455"/>
      <c r="E527" s="169"/>
      <c r="F527" s="169"/>
      <c r="G527" s="169"/>
      <c r="H527" s="457"/>
      <c r="I527" s="455"/>
      <c r="J527" s="169"/>
      <c r="K527" s="169"/>
      <c r="L527" s="169"/>
      <c r="M527" s="171"/>
      <c r="N527" s="173"/>
      <c r="O527" s="170"/>
      <c r="P527" s="170"/>
      <c r="Q527" s="170"/>
      <c r="R527" s="469"/>
      <c r="S527" s="465"/>
      <c r="T527" s="170"/>
      <c r="U527" s="170"/>
      <c r="V527" s="170"/>
      <c r="W527" s="469"/>
      <c r="X527" s="465"/>
      <c r="Y527" s="170"/>
      <c r="Z527" s="170"/>
      <c r="AA527" s="170"/>
      <c r="AB527" s="469"/>
    </row>
    <row r="528" spans="1:28" ht="15.75" customHeight="1" x14ac:dyDescent="0.2">
      <c r="A528" s="480"/>
      <c r="B528" s="119" t="s">
        <v>981</v>
      </c>
      <c r="C528" s="457"/>
      <c r="D528" s="455"/>
      <c r="E528" s="169"/>
      <c r="F528" s="169"/>
      <c r="G528" s="169"/>
      <c r="H528" s="457"/>
      <c r="I528" s="455"/>
      <c r="J528" s="169"/>
      <c r="K528" s="169"/>
      <c r="L528" s="169"/>
      <c r="M528" s="171"/>
      <c r="N528" s="173"/>
      <c r="O528" s="170"/>
      <c r="P528" s="170"/>
      <c r="Q528" s="170"/>
      <c r="R528" s="469"/>
      <c r="S528" s="465"/>
      <c r="T528" s="170"/>
      <c r="U528" s="170"/>
      <c r="V528" s="170"/>
      <c r="W528" s="469"/>
      <c r="X528" s="465"/>
      <c r="Y528" s="170"/>
      <c r="Z528" s="170"/>
      <c r="AA528" s="170"/>
      <c r="AB528" s="469"/>
    </row>
    <row r="529" spans="1:28" ht="15.75" customHeight="1" x14ac:dyDescent="0.2">
      <c r="A529" s="480"/>
      <c r="B529" s="119" t="s">
        <v>982</v>
      </c>
      <c r="C529" s="457"/>
      <c r="D529" s="455"/>
      <c r="E529" s="169"/>
      <c r="F529" s="169"/>
      <c r="G529" s="169"/>
      <c r="H529" s="457"/>
      <c r="I529" s="455"/>
      <c r="J529" s="169"/>
      <c r="K529" s="169"/>
      <c r="L529" s="169"/>
      <c r="M529" s="171"/>
      <c r="N529" s="173"/>
      <c r="O529" s="170"/>
      <c r="P529" s="170"/>
      <c r="Q529" s="170"/>
      <c r="R529" s="469"/>
      <c r="S529" s="465"/>
      <c r="T529" s="170"/>
      <c r="U529" s="170"/>
      <c r="V529" s="170"/>
      <c r="W529" s="469"/>
      <c r="X529" s="465"/>
      <c r="Y529" s="170"/>
      <c r="Z529" s="170"/>
      <c r="AA529" s="170"/>
      <c r="AB529" s="469"/>
    </row>
    <row r="530" spans="1:28" ht="15.75" customHeight="1" x14ac:dyDescent="0.2">
      <c r="A530" s="480"/>
      <c r="B530" s="119" t="s">
        <v>992</v>
      </c>
      <c r="C530" s="457"/>
      <c r="D530" s="455"/>
      <c r="E530" s="169"/>
      <c r="F530" s="169"/>
      <c r="G530" s="169"/>
      <c r="H530" s="457"/>
      <c r="I530" s="455"/>
      <c r="J530" s="169"/>
      <c r="K530" s="169"/>
      <c r="L530" s="169"/>
      <c r="M530" s="171"/>
      <c r="N530" s="173"/>
      <c r="O530" s="170"/>
      <c r="P530" s="170"/>
      <c r="Q530" s="170"/>
      <c r="R530" s="469"/>
      <c r="S530" s="465"/>
      <c r="T530" s="170"/>
      <c r="U530" s="170"/>
      <c r="V530" s="170"/>
      <c r="W530" s="469"/>
      <c r="X530" s="465"/>
      <c r="Y530" s="170"/>
      <c r="Z530" s="170"/>
      <c r="AA530" s="170"/>
      <c r="AB530" s="469"/>
    </row>
    <row r="531" spans="1:28" ht="16.149999999999999" customHeight="1" x14ac:dyDescent="0.2">
      <c r="A531" s="480"/>
      <c r="B531" s="119" t="s">
        <v>991</v>
      </c>
      <c r="C531" s="457"/>
      <c r="D531" s="455"/>
      <c r="E531" s="169"/>
      <c r="F531" s="169"/>
      <c r="G531" s="169"/>
      <c r="H531" s="457"/>
      <c r="I531" s="455"/>
      <c r="J531" s="169"/>
      <c r="K531" s="169"/>
      <c r="L531" s="169"/>
      <c r="M531" s="171"/>
      <c r="N531" s="173"/>
      <c r="O531" s="170"/>
      <c r="P531" s="170"/>
      <c r="Q531" s="170"/>
      <c r="R531" s="469"/>
      <c r="S531" s="465"/>
      <c r="T531" s="170"/>
      <c r="U531" s="170"/>
      <c r="V531" s="170"/>
      <c r="W531" s="469"/>
      <c r="X531" s="465"/>
      <c r="Y531" s="170"/>
      <c r="Z531" s="170"/>
      <c r="AA531" s="170"/>
      <c r="AB531" s="469"/>
    </row>
    <row r="532" spans="1:28" ht="16.149999999999999" customHeight="1" x14ac:dyDescent="0.2">
      <c r="A532" s="480"/>
      <c r="B532" s="119" t="s">
        <v>983</v>
      </c>
      <c r="C532" s="457"/>
      <c r="D532" s="455"/>
      <c r="E532" s="169"/>
      <c r="F532" s="169"/>
      <c r="G532" s="169"/>
      <c r="H532" s="457"/>
      <c r="I532" s="455"/>
      <c r="J532" s="169"/>
      <c r="K532" s="169"/>
      <c r="L532" s="169"/>
      <c r="M532" s="171"/>
      <c r="N532" s="173"/>
      <c r="O532" s="170"/>
      <c r="P532" s="170"/>
      <c r="Q532" s="170"/>
      <c r="R532" s="469"/>
      <c r="S532" s="465"/>
      <c r="T532" s="170"/>
      <c r="U532" s="170"/>
      <c r="V532" s="170"/>
      <c r="W532" s="469"/>
      <c r="X532" s="465"/>
      <c r="Y532" s="170"/>
      <c r="Z532" s="170"/>
      <c r="AA532" s="170"/>
      <c r="AB532" s="469"/>
    </row>
    <row r="533" spans="1:28" ht="16.149999999999999" customHeight="1" x14ac:dyDescent="0.2">
      <c r="A533" s="480"/>
      <c r="B533" s="119" t="s">
        <v>984</v>
      </c>
      <c r="C533" s="457"/>
      <c r="D533" s="455"/>
      <c r="E533" s="169"/>
      <c r="F533" s="169"/>
      <c r="G533" s="169"/>
      <c r="H533" s="457"/>
      <c r="I533" s="455"/>
      <c r="J533" s="169"/>
      <c r="K533" s="169"/>
      <c r="L533" s="169"/>
      <c r="M533" s="171"/>
      <c r="N533" s="173"/>
      <c r="O533" s="170"/>
      <c r="P533" s="170"/>
      <c r="Q533" s="170"/>
      <c r="R533" s="469"/>
      <c r="S533" s="465"/>
      <c r="T533" s="170"/>
      <c r="U533" s="170"/>
      <c r="V533" s="170"/>
      <c r="W533" s="469"/>
      <c r="X533" s="465"/>
      <c r="Y533" s="170"/>
      <c r="Z533" s="170"/>
      <c r="AA533" s="170"/>
      <c r="AB533" s="469"/>
    </row>
    <row r="534" spans="1:28" ht="16.149999999999999" customHeight="1" x14ac:dyDescent="0.2">
      <c r="A534" s="480"/>
      <c r="B534" s="119" t="s">
        <v>985</v>
      </c>
      <c r="C534" s="457"/>
      <c r="D534" s="455"/>
      <c r="E534" s="169"/>
      <c r="F534" s="169"/>
      <c r="G534" s="169"/>
      <c r="H534" s="457"/>
      <c r="I534" s="455"/>
      <c r="J534" s="169"/>
      <c r="K534" s="169"/>
      <c r="L534" s="169"/>
      <c r="M534" s="171"/>
      <c r="N534" s="173"/>
      <c r="O534" s="170"/>
      <c r="P534" s="170"/>
      <c r="Q534" s="170"/>
      <c r="R534" s="469"/>
      <c r="S534" s="465"/>
      <c r="T534" s="170"/>
      <c r="U534" s="170"/>
      <c r="V534" s="170"/>
      <c r="W534" s="469"/>
      <c r="X534" s="465"/>
      <c r="Y534" s="170"/>
      <c r="Z534" s="170"/>
      <c r="AA534" s="170"/>
      <c r="AB534" s="469"/>
    </row>
    <row r="535" spans="1:28" ht="16.149999999999999" customHeight="1" x14ac:dyDescent="0.2">
      <c r="A535" s="480"/>
      <c r="B535" s="119" t="s">
        <v>986</v>
      </c>
      <c r="C535" s="457"/>
      <c r="D535" s="455"/>
      <c r="E535" s="169"/>
      <c r="F535" s="169"/>
      <c r="G535" s="169"/>
      <c r="H535" s="457"/>
      <c r="I535" s="455"/>
      <c r="J535" s="169"/>
      <c r="K535" s="169"/>
      <c r="L535" s="169"/>
      <c r="M535" s="171"/>
      <c r="N535" s="173"/>
      <c r="O535" s="170"/>
      <c r="P535" s="170"/>
      <c r="Q535" s="170"/>
      <c r="R535" s="469"/>
      <c r="S535" s="465"/>
      <c r="T535" s="170"/>
      <c r="U535" s="170"/>
      <c r="V535" s="170"/>
      <c r="W535" s="469"/>
      <c r="X535" s="465"/>
      <c r="Y535" s="170"/>
      <c r="Z535" s="170"/>
      <c r="AA535" s="170"/>
      <c r="AB535" s="469"/>
    </row>
    <row r="536" spans="1:28" ht="16.149999999999999" customHeight="1" x14ac:dyDescent="0.2">
      <c r="A536" s="480"/>
      <c r="B536" s="119" t="s">
        <v>987</v>
      </c>
      <c r="C536" s="457"/>
      <c r="D536" s="455"/>
      <c r="E536" s="169"/>
      <c r="F536" s="169"/>
      <c r="G536" s="169"/>
      <c r="H536" s="457"/>
      <c r="I536" s="455"/>
      <c r="J536" s="169"/>
      <c r="K536" s="169"/>
      <c r="L536" s="169"/>
      <c r="M536" s="171"/>
      <c r="N536" s="173"/>
      <c r="O536" s="170"/>
      <c r="P536" s="170"/>
      <c r="Q536" s="170"/>
      <c r="R536" s="469"/>
      <c r="S536" s="465"/>
      <c r="T536" s="170"/>
      <c r="U536" s="170"/>
      <c r="V536" s="170"/>
      <c r="W536" s="469"/>
      <c r="X536" s="465"/>
      <c r="Y536" s="170"/>
      <c r="Z536" s="170"/>
      <c r="AA536" s="170"/>
      <c r="AB536" s="469"/>
    </row>
    <row r="537" spans="1:28" ht="16.149999999999999" customHeight="1" x14ac:dyDescent="0.2">
      <c r="A537" s="480"/>
      <c r="B537" s="119" t="s">
        <v>988</v>
      </c>
      <c r="C537" s="457"/>
      <c r="D537" s="455"/>
      <c r="E537" s="169"/>
      <c r="F537" s="169"/>
      <c r="G537" s="169"/>
      <c r="H537" s="457"/>
      <c r="I537" s="455"/>
      <c r="J537" s="169"/>
      <c r="K537" s="169"/>
      <c r="L537" s="169"/>
      <c r="M537" s="171"/>
      <c r="N537" s="173"/>
      <c r="O537" s="170"/>
      <c r="P537" s="170"/>
      <c r="Q537" s="170"/>
      <c r="R537" s="469"/>
      <c r="S537" s="465"/>
      <c r="T537" s="170"/>
      <c r="U537" s="170"/>
      <c r="V537" s="170"/>
      <c r="W537" s="469"/>
      <c r="X537" s="465"/>
      <c r="Y537" s="170"/>
      <c r="Z537" s="170"/>
      <c r="AA537" s="170"/>
      <c r="AB537" s="469"/>
    </row>
    <row r="538" spans="1:28" ht="16.149999999999999" customHeight="1" x14ac:dyDescent="0.2">
      <c r="A538" s="480"/>
      <c r="B538" s="119" t="s">
        <v>989</v>
      </c>
      <c r="C538" s="457"/>
      <c r="D538" s="455"/>
      <c r="E538" s="169"/>
      <c r="F538" s="169"/>
      <c r="G538" s="169"/>
      <c r="H538" s="457"/>
      <c r="I538" s="455"/>
      <c r="J538" s="169"/>
      <c r="K538" s="169"/>
      <c r="L538" s="169"/>
      <c r="M538" s="171"/>
      <c r="N538" s="173"/>
      <c r="O538" s="170"/>
      <c r="P538" s="170"/>
      <c r="Q538" s="170"/>
      <c r="R538" s="469"/>
      <c r="S538" s="465"/>
      <c r="T538" s="170"/>
      <c r="U538" s="170"/>
      <c r="V538" s="170"/>
      <c r="W538" s="469"/>
      <c r="X538" s="465"/>
      <c r="Y538" s="170"/>
      <c r="Z538" s="170"/>
      <c r="AA538" s="170"/>
      <c r="AB538" s="469"/>
    </row>
    <row r="539" spans="1:28" ht="16.149999999999999" customHeight="1" x14ac:dyDescent="0.2">
      <c r="A539" s="480"/>
      <c r="B539" s="119" t="s">
        <v>990</v>
      </c>
      <c r="C539" s="457"/>
      <c r="D539" s="455"/>
      <c r="E539" s="169"/>
      <c r="F539" s="169"/>
      <c r="G539" s="169"/>
      <c r="H539" s="457"/>
      <c r="I539" s="455"/>
      <c r="J539" s="169"/>
      <c r="K539" s="169"/>
      <c r="L539" s="169"/>
      <c r="M539" s="171"/>
      <c r="N539" s="173"/>
      <c r="O539" s="170"/>
      <c r="P539" s="170"/>
      <c r="Q539" s="170"/>
      <c r="R539" s="469"/>
      <c r="S539" s="465"/>
      <c r="T539" s="170"/>
      <c r="U539" s="170"/>
      <c r="V539" s="170"/>
      <c r="W539" s="469"/>
      <c r="X539" s="465"/>
      <c r="Y539" s="170"/>
      <c r="Z539" s="170"/>
      <c r="AA539" s="170"/>
      <c r="AB539" s="469"/>
    </row>
    <row r="540" spans="1:28" ht="16.149999999999999" customHeight="1" x14ac:dyDescent="0.2">
      <c r="A540" s="480"/>
      <c r="B540" s="119" t="s">
        <v>1453</v>
      </c>
      <c r="C540" s="457"/>
      <c r="D540" s="455"/>
      <c r="E540" s="169"/>
      <c r="F540" s="169"/>
      <c r="G540" s="169"/>
      <c r="H540" s="457"/>
      <c r="I540" s="455"/>
      <c r="J540" s="169"/>
      <c r="K540" s="169"/>
      <c r="L540" s="169"/>
      <c r="M540" s="171"/>
      <c r="N540" s="173"/>
      <c r="O540" s="170"/>
      <c r="P540" s="170"/>
      <c r="Q540" s="170"/>
      <c r="R540" s="469"/>
      <c r="S540" s="465"/>
      <c r="T540" s="170"/>
      <c r="U540" s="170"/>
      <c r="V540" s="170"/>
      <c r="W540" s="469"/>
      <c r="X540" s="465"/>
      <c r="Y540" s="170"/>
      <c r="Z540" s="170"/>
      <c r="AA540" s="170"/>
      <c r="AB540" s="469"/>
    </row>
    <row r="541" spans="1:28" ht="16.149999999999999" customHeight="1" x14ac:dyDescent="0.2">
      <c r="A541" s="480"/>
      <c r="B541" s="119" t="s">
        <v>1454</v>
      </c>
      <c r="C541" s="457"/>
      <c r="D541" s="455"/>
      <c r="E541" s="169"/>
      <c r="F541" s="169"/>
      <c r="G541" s="169"/>
      <c r="H541" s="457"/>
      <c r="I541" s="455"/>
      <c r="J541" s="169"/>
      <c r="K541" s="169"/>
      <c r="L541" s="169"/>
      <c r="M541" s="171"/>
      <c r="N541" s="173"/>
      <c r="O541" s="170"/>
      <c r="P541" s="170"/>
      <c r="Q541" s="170"/>
      <c r="R541" s="469"/>
      <c r="S541" s="465"/>
      <c r="T541" s="170"/>
      <c r="U541" s="170"/>
      <c r="V541" s="170"/>
      <c r="W541" s="469"/>
      <c r="X541" s="465"/>
      <c r="Y541" s="170"/>
      <c r="Z541" s="170"/>
      <c r="AA541" s="170"/>
      <c r="AB541" s="469"/>
    </row>
    <row r="542" spans="1:28" ht="16.149999999999999" customHeight="1" x14ac:dyDescent="0.2">
      <c r="A542" s="480"/>
      <c r="B542" s="119" t="s">
        <v>1455</v>
      </c>
      <c r="C542" s="457"/>
      <c r="D542" s="455"/>
      <c r="E542" s="169"/>
      <c r="F542" s="169"/>
      <c r="G542" s="169"/>
      <c r="H542" s="457"/>
      <c r="I542" s="455"/>
      <c r="J542" s="169"/>
      <c r="K542" s="169"/>
      <c r="L542" s="169"/>
      <c r="M542" s="171"/>
      <c r="N542" s="173"/>
      <c r="O542" s="170"/>
      <c r="P542" s="170"/>
      <c r="Q542" s="170"/>
      <c r="R542" s="469"/>
      <c r="S542" s="465"/>
      <c r="T542" s="170"/>
      <c r="U542" s="170"/>
      <c r="V542" s="170"/>
      <c r="W542" s="469"/>
      <c r="X542" s="465"/>
      <c r="Y542" s="170"/>
      <c r="Z542" s="170"/>
      <c r="AA542" s="170"/>
      <c r="AB542" s="469"/>
    </row>
    <row r="543" spans="1:28" ht="16.149999999999999" customHeight="1" x14ac:dyDescent="0.2">
      <c r="A543" s="480"/>
      <c r="B543" s="119" t="s">
        <v>1456</v>
      </c>
      <c r="C543" s="457"/>
      <c r="D543" s="455"/>
      <c r="E543" s="169"/>
      <c r="F543" s="169"/>
      <c r="G543" s="169"/>
      <c r="H543" s="457"/>
      <c r="I543" s="455"/>
      <c r="J543" s="169"/>
      <c r="K543" s="169"/>
      <c r="L543" s="169"/>
      <c r="M543" s="171"/>
      <c r="N543" s="173"/>
      <c r="O543" s="170"/>
      <c r="P543" s="170"/>
      <c r="Q543" s="170"/>
      <c r="R543" s="469"/>
      <c r="S543" s="465"/>
      <c r="T543" s="170"/>
      <c r="U543" s="170"/>
      <c r="V543" s="170"/>
      <c r="W543" s="469"/>
      <c r="X543" s="465"/>
      <c r="Y543" s="170"/>
      <c r="Z543" s="170"/>
      <c r="AA543" s="170"/>
      <c r="AB543" s="469"/>
    </row>
    <row r="544" spans="1:28" ht="16.149999999999999" customHeight="1" x14ac:dyDescent="0.2">
      <c r="A544" s="480"/>
      <c r="B544" s="119" t="s">
        <v>1457</v>
      </c>
      <c r="C544" s="457"/>
      <c r="D544" s="455"/>
      <c r="E544" s="169"/>
      <c r="F544" s="169"/>
      <c r="G544" s="169"/>
      <c r="H544" s="457"/>
      <c r="I544" s="455"/>
      <c r="J544" s="169"/>
      <c r="K544" s="169"/>
      <c r="L544" s="169"/>
      <c r="M544" s="171"/>
      <c r="N544" s="173"/>
      <c r="O544" s="170"/>
      <c r="P544" s="170"/>
      <c r="Q544" s="170"/>
      <c r="R544" s="469"/>
      <c r="S544" s="465"/>
      <c r="T544" s="170"/>
      <c r="U544" s="170"/>
      <c r="V544" s="170"/>
      <c r="W544" s="469"/>
      <c r="X544" s="465"/>
      <c r="Y544" s="170"/>
      <c r="Z544" s="170"/>
      <c r="AA544" s="170"/>
      <c r="AB544" s="469"/>
    </row>
    <row r="545" spans="1:28" ht="16.149999999999999" customHeight="1" x14ac:dyDescent="0.2">
      <c r="A545" s="480"/>
      <c r="B545" s="119" t="s">
        <v>1458</v>
      </c>
      <c r="C545" s="457"/>
      <c r="D545" s="455"/>
      <c r="E545" s="169"/>
      <c r="F545" s="169"/>
      <c r="G545" s="169"/>
      <c r="H545" s="457"/>
      <c r="I545" s="455"/>
      <c r="J545" s="169"/>
      <c r="K545" s="169"/>
      <c r="L545" s="169"/>
      <c r="M545" s="171"/>
      <c r="N545" s="173"/>
      <c r="O545" s="170"/>
      <c r="P545" s="170"/>
      <c r="Q545" s="170"/>
      <c r="R545" s="469"/>
      <c r="S545" s="465"/>
      <c r="T545" s="170"/>
      <c r="U545" s="170"/>
      <c r="V545" s="170"/>
      <c r="W545" s="469"/>
      <c r="X545" s="465"/>
      <c r="Y545" s="170"/>
      <c r="Z545" s="170"/>
      <c r="AA545" s="170"/>
      <c r="AB545" s="469"/>
    </row>
    <row r="546" spans="1:28" ht="16.149999999999999" customHeight="1" x14ac:dyDescent="0.2">
      <c r="A546" s="480"/>
      <c r="B546" s="119" t="s">
        <v>1459</v>
      </c>
      <c r="C546" s="457"/>
      <c r="D546" s="455"/>
      <c r="E546" s="169"/>
      <c r="F546" s="169"/>
      <c r="G546" s="169"/>
      <c r="H546" s="457"/>
      <c r="I546" s="455"/>
      <c r="J546" s="169"/>
      <c r="K546" s="169"/>
      <c r="L546" s="169"/>
      <c r="M546" s="171"/>
      <c r="N546" s="173"/>
      <c r="O546" s="170"/>
      <c r="P546" s="170"/>
      <c r="Q546" s="170"/>
      <c r="R546" s="469"/>
      <c r="S546" s="465"/>
      <c r="T546" s="170"/>
      <c r="U546" s="170"/>
      <c r="V546" s="170"/>
      <c r="W546" s="469"/>
      <c r="X546" s="465"/>
      <c r="Y546" s="170"/>
      <c r="Z546" s="170"/>
      <c r="AA546" s="170"/>
      <c r="AB546" s="469"/>
    </row>
    <row r="547" spans="1:28" ht="16.149999999999999" customHeight="1" x14ac:dyDescent="0.2">
      <c r="A547" s="480"/>
      <c r="B547" s="119" t="s">
        <v>1460</v>
      </c>
      <c r="C547" s="457"/>
      <c r="D547" s="455"/>
      <c r="E547" s="169"/>
      <c r="F547" s="169"/>
      <c r="G547" s="169"/>
      <c r="H547" s="457"/>
      <c r="I547" s="455"/>
      <c r="J547" s="169"/>
      <c r="K547" s="169"/>
      <c r="L547" s="169"/>
      <c r="M547" s="171"/>
      <c r="N547" s="173"/>
      <c r="O547" s="170"/>
      <c r="P547" s="170"/>
      <c r="Q547" s="170"/>
      <c r="R547" s="469"/>
      <c r="S547" s="465"/>
      <c r="T547" s="170"/>
      <c r="U547" s="170"/>
      <c r="V547" s="170"/>
      <c r="W547" s="469"/>
      <c r="X547" s="465"/>
      <c r="Y547" s="170"/>
      <c r="Z547" s="170"/>
      <c r="AA547" s="170"/>
      <c r="AB547" s="469"/>
    </row>
    <row r="548" spans="1:28" ht="16.149999999999999" customHeight="1" x14ac:dyDescent="0.2">
      <c r="A548" s="480"/>
      <c r="B548" s="119" t="s">
        <v>1512</v>
      </c>
      <c r="C548" s="457"/>
      <c r="D548" s="455"/>
      <c r="E548" s="169"/>
      <c r="F548" s="169"/>
      <c r="G548" s="169"/>
      <c r="H548" s="457"/>
      <c r="I548" s="455"/>
      <c r="J548" s="169"/>
      <c r="K548" s="169"/>
      <c r="L548" s="169"/>
      <c r="M548" s="171"/>
      <c r="N548" s="173"/>
      <c r="O548" s="170"/>
      <c r="P548" s="170"/>
      <c r="Q548" s="170"/>
      <c r="R548" s="469"/>
      <c r="S548" s="465"/>
      <c r="T548" s="170"/>
      <c r="U548" s="170"/>
      <c r="V548" s="170"/>
      <c r="W548" s="469"/>
      <c r="X548" s="465"/>
      <c r="Y548" s="170"/>
      <c r="Z548" s="170"/>
      <c r="AA548" s="170"/>
      <c r="AB548" s="469"/>
    </row>
    <row r="549" spans="1:28" ht="16.149999999999999" customHeight="1" x14ac:dyDescent="0.2">
      <c r="A549" s="480"/>
      <c r="B549" s="119" t="s">
        <v>1513</v>
      </c>
      <c r="C549" s="457"/>
      <c r="D549" s="455"/>
      <c r="E549" s="169"/>
      <c r="F549" s="169"/>
      <c r="G549" s="169"/>
      <c r="H549" s="457"/>
      <c r="I549" s="455"/>
      <c r="J549" s="169"/>
      <c r="K549" s="169"/>
      <c r="L549" s="169"/>
      <c r="M549" s="171"/>
      <c r="N549" s="173"/>
      <c r="O549" s="170"/>
      <c r="P549" s="170"/>
      <c r="Q549" s="170"/>
      <c r="R549" s="469"/>
      <c r="S549" s="465"/>
      <c r="T549" s="170"/>
      <c r="U549" s="170"/>
      <c r="V549" s="170"/>
      <c r="W549" s="469"/>
      <c r="X549" s="465"/>
      <c r="Y549" s="170"/>
      <c r="Z549" s="170"/>
      <c r="AA549" s="170"/>
      <c r="AB549" s="469"/>
    </row>
    <row r="550" spans="1:28" ht="16.149999999999999" customHeight="1" x14ac:dyDescent="0.2">
      <c r="A550" s="480"/>
      <c r="B550" s="119" t="s">
        <v>1514</v>
      </c>
      <c r="C550" s="457"/>
      <c r="D550" s="455"/>
      <c r="E550" s="169"/>
      <c r="F550" s="169"/>
      <c r="G550" s="169"/>
      <c r="H550" s="457"/>
      <c r="I550" s="455"/>
      <c r="J550" s="169"/>
      <c r="K550" s="169"/>
      <c r="L550" s="169"/>
      <c r="M550" s="171"/>
      <c r="N550" s="173"/>
      <c r="O550" s="170"/>
      <c r="P550" s="170"/>
      <c r="Q550" s="170"/>
      <c r="R550" s="469"/>
      <c r="S550" s="465"/>
      <c r="T550" s="170"/>
      <c r="U550" s="170"/>
      <c r="V550" s="170"/>
      <c r="W550" s="469"/>
      <c r="X550" s="465"/>
      <c r="Y550" s="170"/>
      <c r="Z550" s="170"/>
      <c r="AA550" s="170"/>
      <c r="AB550" s="469"/>
    </row>
    <row r="551" spans="1:28" ht="16.149999999999999" customHeight="1" x14ac:dyDescent="0.2">
      <c r="A551" s="480"/>
      <c r="B551" s="119" t="s">
        <v>1515</v>
      </c>
      <c r="C551" s="457"/>
      <c r="D551" s="455"/>
      <c r="E551" s="169"/>
      <c r="F551" s="169"/>
      <c r="G551" s="169"/>
      <c r="H551" s="457"/>
      <c r="I551" s="455"/>
      <c r="J551" s="169"/>
      <c r="K551" s="169"/>
      <c r="L551" s="169"/>
      <c r="M551" s="171"/>
      <c r="N551" s="173"/>
      <c r="O551" s="170"/>
      <c r="P551" s="170"/>
      <c r="Q551" s="170"/>
      <c r="R551" s="469"/>
      <c r="S551" s="465"/>
      <c r="T551" s="170"/>
      <c r="U551" s="170"/>
      <c r="V551" s="170"/>
      <c r="W551" s="469"/>
      <c r="X551" s="465"/>
      <c r="Y551" s="170"/>
      <c r="Z551" s="170"/>
      <c r="AA551" s="170"/>
      <c r="AB551" s="469"/>
    </row>
    <row r="552" spans="1:28" ht="16.149999999999999" customHeight="1" x14ac:dyDescent="0.2">
      <c r="A552" s="480"/>
      <c r="B552" s="119" t="s">
        <v>1642</v>
      </c>
      <c r="C552" s="457"/>
      <c r="D552" s="455"/>
      <c r="E552" s="169"/>
      <c r="F552" s="169"/>
      <c r="G552" s="169"/>
      <c r="H552" s="457"/>
      <c r="I552" s="455"/>
      <c r="J552" s="169"/>
      <c r="K552" s="169"/>
      <c r="L552" s="169"/>
      <c r="M552" s="171"/>
      <c r="N552" s="173"/>
      <c r="O552" s="170"/>
      <c r="P552" s="170"/>
      <c r="Q552" s="170"/>
      <c r="R552" s="469"/>
      <c r="S552" s="465"/>
      <c r="T552" s="170"/>
      <c r="U552" s="170"/>
      <c r="V552" s="170"/>
      <c r="W552" s="469"/>
      <c r="X552" s="465"/>
      <c r="Y552" s="170"/>
      <c r="Z552" s="170"/>
      <c r="AA552" s="170"/>
      <c r="AB552" s="469"/>
    </row>
    <row r="553" spans="1:28" ht="16.149999999999999" customHeight="1" x14ac:dyDescent="0.2">
      <c r="A553" s="480"/>
      <c r="B553" s="119" t="s">
        <v>1516</v>
      </c>
      <c r="C553" s="457"/>
      <c r="D553" s="455"/>
      <c r="E553" s="169"/>
      <c r="F553" s="169"/>
      <c r="G553" s="169"/>
      <c r="H553" s="457"/>
      <c r="I553" s="455"/>
      <c r="J553" s="169"/>
      <c r="K553" s="169"/>
      <c r="L553" s="169"/>
      <c r="M553" s="171"/>
      <c r="N553" s="173"/>
      <c r="O553" s="170"/>
      <c r="P553" s="170"/>
      <c r="Q553" s="170"/>
      <c r="R553" s="469"/>
      <c r="S553" s="465"/>
      <c r="T553" s="170"/>
      <c r="U553" s="170"/>
      <c r="V553" s="170"/>
      <c r="W553" s="469"/>
      <c r="X553" s="465"/>
      <c r="Y553" s="170"/>
      <c r="Z553" s="170"/>
      <c r="AA553" s="170"/>
      <c r="AB553" s="469"/>
    </row>
    <row r="554" spans="1:28" ht="16.149999999999999" customHeight="1" x14ac:dyDescent="0.2">
      <c r="A554" s="480"/>
      <c r="B554" s="119" t="s">
        <v>1517</v>
      </c>
      <c r="C554" s="457"/>
      <c r="D554" s="455"/>
      <c r="E554" s="169"/>
      <c r="F554" s="169"/>
      <c r="G554" s="169"/>
      <c r="H554" s="457"/>
      <c r="I554" s="455"/>
      <c r="J554" s="169"/>
      <c r="K554" s="169"/>
      <c r="L554" s="169"/>
      <c r="M554" s="171"/>
      <c r="N554" s="173"/>
      <c r="O554" s="170"/>
      <c r="P554" s="170"/>
      <c r="Q554" s="170"/>
      <c r="R554" s="469"/>
      <c r="S554" s="465"/>
      <c r="T554" s="170"/>
      <c r="U554" s="170"/>
      <c r="V554" s="170"/>
      <c r="W554" s="469"/>
      <c r="X554" s="465"/>
      <c r="Y554" s="170"/>
      <c r="Z554" s="170"/>
      <c r="AA554" s="170"/>
      <c r="AB554" s="469"/>
    </row>
    <row r="555" spans="1:28" ht="16.149999999999999" customHeight="1" x14ac:dyDescent="0.2">
      <c r="A555" s="480"/>
      <c r="B555" s="119" t="s">
        <v>1518</v>
      </c>
      <c r="C555" s="457"/>
      <c r="D555" s="455"/>
      <c r="E555" s="169"/>
      <c r="F555" s="169"/>
      <c r="G555" s="169"/>
      <c r="H555" s="457"/>
      <c r="I555" s="455"/>
      <c r="J555" s="169"/>
      <c r="K555" s="169"/>
      <c r="L555" s="169"/>
      <c r="M555" s="171"/>
      <c r="N555" s="173"/>
      <c r="O555" s="170"/>
      <c r="P555" s="170"/>
      <c r="Q555" s="170"/>
      <c r="R555" s="469"/>
      <c r="S555" s="465"/>
      <c r="T555" s="170"/>
      <c r="U555" s="170"/>
      <c r="V555" s="170"/>
      <c r="W555" s="469"/>
      <c r="X555" s="465"/>
      <c r="Y555" s="170"/>
      <c r="Z555" s="170"/>
      <c r="AA555" s="170"/>
      <c r="AB555" s="469"/>
    </row>
    <row r="556" spans="1:28" ht="16.149999999999999" customHeight="1" x14ac:dyDescent="0.2">
      <c r="A556" s="480"/>
      <c r="B556" s="119" t="s">
        <v>1519</v>
      </c>
      <c r="C556" s="457"/>
      <c r="D556" s="455"/>
      <c r="E556" s="169"/>
      <c r="F556" s="169"/>
      <c r="G556" s="169"/>
      <c r="H556" s="457"/>
      <c r="I556" s="455"/>
      <c r="J556" s="169"/>
      <c r="K556" s="169"/>
      <c r="L556" s="169"/>
      <c r="M556" s="171"/>
      <c r="N556" s="173"/>
      <c r="O556" s="170"/>
      <c r="P556" s="170"/>
      <c r="Q556" s="170"/>
      <c r="R556" s="469"/>
      <c r="S556" s="465"/>
      <c r="T556" s="170"/>
      <c r="U556" s="170"/>
      <c r="V556" s="170"/>
      <c r="W556" s="469"/>
      <c r="X556" s="465"/>
      <c r="Y556" s="170"/>
      <c r="Z556" s="170"/>
      <c r="AA556" s="170"/>
      <c r="AB556" s="469"/>
    </row>
    <row r="557" spans="1:28" ht="16.149999999999999" customHeight="1" x14ac:dyDescent="0.2">
      <c r="A557" s="480"/>
      <c r="B557" s="119" t="s">
        <v>1520</v>
      </c>
      <c r="C557" s="457"/>
      <c r="D557" s="455"/>
      <c r="E557" s="169"/>
      <c r="F557" s="169"/>
      <c r="G557" s="169"/>
      <c r="H557" s="457"/>
      <c r="I557" s="455"/>
      <c r="J557" s="169"/>
      <c r="K557" s="169"/>
      <c r="L557" s="169"/>
      <c r="M557" s="171"/>
      <c r="N557" s="173"/>
      <c r="O557" s="170"/>
      <c r="P557" s="170"/>
      <c r="Q557" s="170"/>
      <c r="R557" s="469"/>
      <c r="S557" s="465"/>
      <c r="T557" s="170"/>
      <c r="U557" s="170"/>
      <c r="V557" s="170"/>
      <c r="W557" s="469"/>
      <c r="X557" s="465"/>
      <c r="Y557" s="170"/>
      <c r="Z557" s="170"/>
      <c r="AA557" s="170"/>
      <c r="AB557" s="469"/>
    </row>
    <row r="558" spans="1:28" ht="16.149999999999999" customHeight="1" x14ac:dyDescent="0.2">
      <c r="A558" s="480"/>
      <c r="B558" s="119" t="s">
        <v>1521</v>
      </c>
      <c r="C558" s="457"/>
      <c r="D558" s="455"/>
      <c r="E558" s="169"/>
      <c r="F558" s="169"/>
      <c r="G558" s="169"/>
      <c r="H558" s="457"/>
      <c r="I558" s="455"/>
      <c r="J558" s="169"/>
      <c r="K558" s="169"/>
      <c r="L558" s="169"/>
      <c r="M558" s="171"/>
      <c r="N558" s="173"/>
      <c r="O558" s="170"/>
      <c r="P558" s="170"/>
      <c r="Q558" s="170"/>
      <c r="R558" s="469"/>
      <c r="S558" s="465"/>
      <c r="T558" s="170"/>
      <c r="U558" s="170"/>
      <c r="V558" s="170"/>
      <c r="W558" s="469"/>
      <c r="X558" s="465"/>
      <c r="Y558" s="170"/>
      <c r="Z558" s="170"/>
      <c r="AA558" s="170"/>
      <c r="AB558" s="469"/>
    </row>
    <row r="559" spans="1:28" ht="16.149999999999999" customHeight="1" x14ac:dyDescent="0.2">
      <c r="A559" s="480"/>
      <c r="B559" s="119" t="s">
        <v>1522</v>
      </c>
      <c r="C559" s="457"/>
      <c r="D559" s="455"/>
      <c r="E559" s="169"/>
      <c r="F559" s="169"/>
      <c r="G559" s="169"/>
      <c r="H559" s="457"/>
      <c r="I559" s="455"/>
      <c r="J559" s="169"/>
      <c r="K559" s="169"/>
      <c r="L559" s="169"/>
      <c r="M559" s="171"/>
      <c r="N559" s="173"/>
      <c r="O559" s="170"/>
      <c r="P559" s="170"/>
      <c r="Q559" s="170"/>
      <c r="R559" s="469"/>
      <c r="S559" s="465"/>
      <c r="T559" s="170"/>
      <c r="U559" s="170"/>
      <c r="V559" s="170"/>
      <c r="W559" s="469"/>
      <c r="X559" s="465"/>
      <c r="Y559" s="170"/>
      <c r="Z559" s="170"/>
      <c r="AA559" s="170"/>
      <c r="AB559" s="469"/>
    </row>
    <row r="560" spans="1:28" ht="16.149999999999999" customHeight="1" x14ac:dyDescent="0.2">
      <c r="A560" s="480"/>
      <c r="B560" s="119" t="s">
        <v>1523</v>
      </c>
      <c r="C560" s="457"/>
      <c r="D560" s="455"/>
      <c r="E560" s="169"/>
      <c r="F560" s="169"/>
      <c r="G560" s="169"/>
      <c r="H560" s="457"/>
      <c r="I560" s="455"/>
      <c r="J560" s="169"/>
      <c r="K560" s="169"/>
      <c r="L560" s="169"/>
      <c r="M560" s="171"/>
      <c r="N560" s="173"/>
      <c r="O560" s="170"/>
      <c r="P560" s="170"/>
      <c r="Q560" s="170"/>
      <c r="R560" s="469"/>
      <c r="S560" s="465"/>
      <c r="T560" s="170"/>
      <c r="U560" s="170"/>
      <c r="V560" s="170"/>
      <c r="W560" s="469"/>
      <c r="X560" s="465"/>
      <c r="Y560" s="170"/>
      <c r="Z560" s="170"/>
      <c r="AA560" s="170"/>
      <c r="AB560" s="469"/>
    </row>
    <row r="561" spans="1:28" ht="16.149999999999999" customHeight="1" x14ac:dyDescent="0.2">
      <c r="A561" s="480"/>
      <c r="B561" s="119" t="s">
        <v>1524</v>
      </c>
      <c r="C561" s="457"/>
      <c r="D561" s="455"/>
      <c r="E561" s="169"/>
      <c r="F561" s="169"/>
      <c r="G561" s="169"/>
      <c r="H561" s="457"/>
      <c r="I561" s="455"/>
      <c r="J561" s="169"/>
      <c r="K561" s="169"/>
      <c r="L561" s="169"/>
      <c r="M561" s="171"/>
      <c r="N561" s="173"/>
      <c r="O561" s="170"/>
      <c r="P561" s="170"/>
      <c r="Q561" s="170"/>
      <c r="R561" s="469"/>
      <c r="S561" s="465"/>
      <c r="T561" s="170"/>
      <c r="U561" s="170"/>
      <c r="V561" s="170"/>
      <c r="W561" s="469"/>
      <c r="X561" s="465"/>
      <c r="Y561" s="170"/>
      <c r="Z561" s="170"/>
      <c r="AA561" s="170"/>
      <c r="AB561" s="469"/>
    </row>
    <row r="562" spans="1:28" ht="16.149999999999999" customHeight="1" x14ac:dyDescent="0.2">
      <c r="A562" s="480"/>
      <c r="B562" s="119" t="s">
        <v>1525</v>
      </c>
      <c r="C562" s="457"/>
      <c r="D562" s="455"/>
      <c r="E562" s="169"/>
      <c r="F562" s="169"/>
      <c r="G562" s="169"/>
      <c r="H562" s="457"/>
      <c r="I562" s="455"/>
      <c r="J562" s="169"/>
      <c r="K562" s="169"/>
      <c r="L562" s="169"/>
      <c r="M562" s="171"/>
      <c r="N562" s="173"/>
      <c r="O562" s="170"/>
      <c r="P562" s="170"/>
      <c r="Q562" s="170"/>
      <c r="R562" s="469"/>
      <c r="S562" s="465"/>
      <c r="T562" s="170"/>
      <c r="U562" s="170"/>
      <c r="V562" s="170"/>
      <c r="W562" s="469"/>
      <c r="X562" s="465"/>
      <c r="Y562" s="170"/>
      <c r="Z562" s="170"/>
      <c r="AA562" s="170"/>
      <c r="AB562" s="469"/>
    </row>
    <row r="563" spans="1:28" ht="16.149999999999999" customHeight="1" x14ac:dyDescent="0.2">
      <c r="A563" s="480"/>
      <c r="B563" s="119" t="s">
        <v>1526</v>
      </c>
      <c r="C563" s="457"/>
      <c r="D563" s="455"/>
      <c r="E563" s="169"/>
      <c r="F563" s="169"/>
      <c r="G563" s="169"/>
      <c r="H563" s="457"/>
      <c r="I563" s="455"/>
      <c r="J563" s="169"/>
      <c r="K563" s="169"/>
      <c r="L563" s="169"/>
      <c r="M563" s="171"/>
      <c r="N563" s="173"/>
      <c r="O563" s="170"/>
      <c r="P563" s="170"/>
      <c r="Q563" s="170"/>
      <c r="R563" s="469"/>
      <c r="S563" s="465"/>
      <c r="T563" s="170"/>
      <c r="U563" s="170"/>
      <c r="V563" s="170"/>
      <c r="W563" s="469"/>
      <c r="X563" s="465"/>
      <c r="Y563" s="170"/>
      <c r="Z563" s="170"/>
      <c r="AA563" s="170"/>
      <c r="AB563" s="469"/>
    </row>
    <row r="564" spans="1:28" ht="16.149999999999999" customHeight="1" x14ac:dyDescent="0.2">
      <c r="A564" s="480"/>
      <c r="B564" s="119" t="s">
        <v>1527</v>
      </c>
      <c r="C564" s="457"/>
      <c r="D564" s="455"/>
      <c r="E564" s="169"/>
      <c r="F564" s="169"/>
      <c r="G564" s="169"/>
      <c r="H564" s="457"/>
      <c r="I564" s="455"/>
      <c r="J564" s="169"/>
      <c r="K564" s="169"/>
      <c r="L564" s="169"/>
      <c r="M564" s="171"/>
      <c r="N564" s="173"/>
      <c r="O564" s="170"/>
      <c r="P564" s="170"/>
      <c r="Q564" s="170"/>
      <c r="R564" s="469"/>
      <c r="S564" s="465"/>
      <c r="T564" s="170"/>
      <c r="U564" s="170"/>
      <c r="V564" s="170"/>
      <c r="W564" s="469"/>
      <c r="X564" s="465"/>
      <c r="Y564" s="170"/>
      <c r="Z564" s="170"/>
      <c r="AA564" s="170"/>
      <c r="AB564" s="469"/>
    </row>
    <row r="565" spans="1:28" ht="16.149999999999999" customHeight="1" x14ac:dyDescent="0.2">
      <c r="A565" s="480"/>
      <c r="B565" s="119" t="s">
        <v>1528</v>
      </c>
      <c r="C565" s="457"/>
      <c r="D565" s="455"/>
      <c r="E565" s="169"/>
      <c r="F565" s="169"/>
      <c r="G565" s="169"/>
      <c r="H565" s="457"/>
      <c r="I565" s="455"/>
      <c r="J565" s="169"/>
      <c r="K565" s="169"/>
      <c r="L565" s="169"/>
      <c r="M565" s="171"/>
      <c r="N565" s="173"/>
      <c r="O565" s="170"/>
      <c r="P565" s="170"/>
      <c r="Q565" s="170"/>
      <c r="R565" s="469"/>
      <c r="S565" s="465"/>
      <c r="T565" s="170"/>
      <c r="U565" s="170"/>
      <c r="V565" s="170"/>
      <c r="W565" s="469"/>
      <c r="X565" s="465"/>
      <c r="Y565" s="170"/>
      <c r="Z565" s="170"/>
      <c r="AA565" s="170"/>
      <c r="AB565" s="469"/>
    </row>
    <row r="566" spans="1:28" ht="16.149999999999999" customHeight="1" x14ac:dyDescent="0.2">
      <c r="A566" s="480"/>
      <c r="B566" s="119" t="s">
        <v>1529</v>
      </c>
      <c r="C566" s="457"/>
      <c r="D566" s="455"/>
      <c r="E566" s="169"/>
      <c r="F566" s="169"/>
      <c r="G566" s="169"/>
      <c r="H566" s="457"/>
      <c r="I566" s="455"/>
      <c r="J566" s="169"/>
      <c r="K566" s="169"/>
      <c r="L566" s="169"/>
      <c r="M566" s="171"/>
      <c r="N566" s="173"/>
      <c r="O566" s="170"/>
      <c r="P566" s="170"/>
      <c r="Q566" s="170"/>
      <c r="R566" s="469"/>
      <c r="S566" s="465"/>
      <c r="T566" s="170"/>
      <c r="U566" s="170"/>
      <c r="V566" s="170"/>
      <c r="W566" s="469"/>
      <c r="X566" s="465"/>
      <c r="Y566" s="170"/>
      <c r="Z566" s="170"/>
      <c r="AA566" s="170"/>
      <c r="AB566" s="469"/>
    </row>
    <row r="567" spans="1:28" ht="16.149999999999999" customHeight="1" x14ac:dyDescent="0.2">
      <c r="A567" s="480"/>
      <c r="B567" s="119" t="s">
        <v>1530</v>
      </c>
      <c r="C567" s="457"/>
      <c r="D567" s="455"/>
      <c r="E567" s="169"/>
      <c r="F567" s="169"/>
      <c r="G567" s="169"/>
      <c r="H567" s="457"/>
      <c r="I567" s="455"/>
      <c r="J567" s="169"/>
      <c r="K567" s="169"/>
      <c r="L567" s="169"/>
      <c r="M567" s="171"/>
      <c r="N567" s="173"/>
      <c r="O567" s="170"/>
      <c r="P567" s="170"/>
      <c r="Q567" s="170"/>
      <c r="R567" s="469"/>
      <c r="S567" s="465"/>
      <c r="T567" s="170"/>
      <c r="U567" s="170"/>
      <c r="V567" s="170"/>
      <c r="W567" s="469"/>
      <c r="X567" s="465"/>
      <c r="Y567" s="170"/>
      <c r="Z567" s="170"/>
      <c r="AA567" s="170"/>
      <c r="AB567" s="469"/>
    </row>
    <row r="568" spans="1:28" ht="16.149999999999999" customHeight="1" x14ac:dyDescent="0.2">
      <c r="A568" s="480"/>
      <c r="B568" s="119" t="s">
        <v>1531</v>
      </c>
      <c r="C568" s="457"/>
      <c r="D568" s="455"/>
      <c r="E568" s="169"/>
      <c r="F568" s="169"/>
      <c r="G568" s="169"/>
      <c r="H568" s="457"/>
      <c r="I568" s="455"/>
      <c r="J568" s="169"/>
      <c r="K568" s="169"/>
      <c r="L568" s="169"/>
      <c r="M568" s="171"/>
      <c r="N568" s="173"/>
      <c r="O568" s="170"/>
      <c r="P568" s="170"/>
      <c r="Q568" s="170"/>
      <c r="R568" s="469"/>
      <c r="S568" s="465"/>
      <c r="T568" s="170"/>
      <c r="U568" s="170"/>
      <c r="V568" s="170"/>
      <c r="W568" s="469"/>
      <c r="X568" s="465"/>
      <c r="Y568" s="170"/>
      <c r="Z568" s="170"/>
      <c r="AA568" s="170"/>
      <c r="AB568" s="469"/>
    </row>
    <row r="569" spans="1:28" ht="16.149999999999999" customHeight="1" x14ac:dyDescent="0.2">
      <c r="A569" s="480"/>
      <c r="B569" s="119" t="s">
        <v>1532</v>
      </c>
      <c r="C569" s="457"/>
      <c r="D569" s="455"/>
      <c r="E569" s="169"/>
      <c r="F569" s="169"/>
      <c r="G569" s="169"/>
      <c r="H569" s="457"/>
      <c r="I569" s="455"/>
      <c r="J569" s="169"/>
      <c r="K569" s="169"/>
      <c r="L569" s="169"/>
      <c r="M569" s="171"/>
      <c r="N569" s="173"/>
      <c r="O569" s="170"/>
      <c r="P569" s="170"/>
      <c r="Q569" s="170"/>
      <c r="R569" s="469"/>
      <c r="S569" s="465"/>
      <c r="T569" s="170"/>
      <c r="U569" s="170"/>
      <c r="V569" s="170"/>
      <c r="W569" s="469"/>
      <c r="X569" s="465"/>
      <c r="Y569" s="170"/>
      <c r="Z569" s="170"/>
      <c r="AA569" s="170"/>
      <c r="AB569" s="469"/>
    </row>
    <row r="570" spans="1:28" ht="16.149999999999999" customHeight="1" x14ac:dyDescent="0.2">
      <c r="A570" s="480"/>
      <c r="B570" s="119" t="s">
        <v>1533</v>
      </c>
      <c r="C570" s="457"/>
      <c r="D570" s="455"/>
      <c r="E570" s="169"/>
      <c r="F570" s="169"/>
      <c r="G570" s="169"/>
      <c r="H570" s="457"/>
      <c r="I570" s="455"/>
      <c r="J570" s="169"/>
      <c r="K570" s="169"/>
      <c r="L570" s="169"/>
      <c r="M570" s="171"/>
      <c r="N570" s="173"/>
      <c r="O570" s="170"/>
      <c r="P570" s="170"/>
      <c r="Q570" s="170"/>
      <c r="R570" s="469"/>
      <c r="S570" s="465"/>
      <c r="T570" s="170"/>
      <c r="U570" s="170"/>
      <c r="V570" s="170"/>
      <c r="W570" s="469"/>
      <c r="X570" s="465"/>
      <c r="Y570" s="170"/>
      <c r="Z570" s="170"/>
      <c r="AA570" s="170"/>
      <c r="AB570" s="469"/>
    </row>
    <row r="571" spans="1:28" ht="16.149999999999999" customHeight="1" x14ac:dyDescent="0.2">
      <c r="A571" s="480"/>
      <c r="B571" s="119" t="s">
        <v>1534</v>
      </c>
      <c r="C571" s="457"/>
      <c r="D571" s="455"/>
      <c r="E571" s="169"/>
      <c r="F571" s="169"/>
      <c r="G571" s="169"/>
      <c r="H571" s="457"/>
      <c r="I571" s="455"/>
      <c r="J571" s="169"/>
      <c r="K571" s="169"/>
      <c r="L571" s="169"/>
      <c r="M571" s="171"/>
      <c r="N571" s="173"/>
      <c r="O571" s="170"/>
      <c r="P571" s="170"/>
      <c r="Q571" s="170"/>
      <c r="R571" s="469"/>
      <c r="S571" s="465"/>
      <c r="T571" s="170"/>
      <c r="U571" s="170"/>
      <c r="V571" s="170"/>
      <c r="W571" s="469"/>
      <c r="X571" s="465"/>
      <c r="Y571" s="170"/>
      <c r="Z571" s="170"/>
      <c r="AA571" s="170"/>
      <c r="AB571" s="469"/>
    </row>
    <row r="572" spans="1:28" ht="16.149999999999999" customHeight="1" x14ac:dyDescent="0.2">
      <c r="A572" s="480"/>
      <c r="B572" s="119" t="s">
        <v>1535</v>
      </c>
      <c r="C572" s="457"/>
      <c r="D572" s="455"/>
      <c r="E572" s="169"/>
      <c r="F572" s="169"/>
      <c r="G572" s="169"/>
      <c r="H572" s="457"/>
      <c r="I572" s="455"/>
      <c r="J572" s="169"/>
      <c r="K572" s="169"/>
      <c r="L572" s="169"/>
      <c r="M572" s="171"/>
      <c r="N572" s="173"/>
      <c r="O572" s="170"/>
      <c r="P572" s="170"/>
      <c r="Q572" s="170"/>
      <c r="R572" s="469"/>
      <c r="S572" s="465"/>
      <c r="T572" s="170"/>
      <c r="U572" s="170"/>
      <c r="V572" s="170"/>
      <c r="W572" s="469"/>
      <c r="X572" s="465"/>
      <c r="Y572" s="170"/>
      <c r="Z572" s="170"/>
      <c r="AA572" s="170"/>
      <c r="AB572" s="469"/>
    </row>
    <row r="573" spans="1:28" ht="16.149999999999999" customHeight="1" x14ac:dyDescent="0.2">
      <c r="A573" s="480"/>
      <c r="B573" s="119" t="s">
        <v>1536</v>
      </c>
      <c r="C573" s="457"/>
      <c r="D573" s="455"/>
      <c r="E573" s="169"/>
      <c r="F573" s="169"/>
      <c r="G573" s="169"/>
      <c r="H573" s="457"/>
      <c r="I573" s="455"/>
      <c r="J573" s="169"/>
      <c r="K573" s="169"/>
      <c r="L573" s="169"/>
      <c r="M573" s="171"/>
      <c r="N573" s="173"/>
      <c r="O573" s="170"/>
      <c r="P573" s="170"/>
      <c r="Q573" s="170"/>
      <c r="R573" s="469"/>
      <c r="S573" s="465"/>
      <c r="T573" s="170"/>
      <c r="U573" s="170"/>
      <c r="V573" s="170"/>
      <c r="W573" s="469"/>
      <c r="X573" s="465"/>
      <c r="Y573" s="170"/>
      <c r="Z573" s="170"/>
      <c r="AA573" s="170"/>
      <c r="AB573" s="469"/>
    </row>
    <row r="574" spans="1:28" ht="16.149999999999999" customHeight="1" x14ac:dyDescent="0.2">
      <c r="A574" s="480"/>
      <c r="B574" s="119" t="s">
        <v>1537</v>
      </c>
      <c r="C574" s="457"/>
      <c r="D574" s="455"/>
      <c r="E574" s="169"/>
      <c r="F574" s="169"/>
      <c r="G574" s="169"/>
      <c r="H574" s="457"/>
      <c r="I574" s="455"/>
      <c r="J574" s="169"/>
      <c r="K574" s="169"/>
      <c r="L574" s="169"/>
      <c r="M574" s="171"/>
      <c r="N574" s="173"/>
      <c r="O574" s="170"/>
      <c r="P574" s="170"/>
      <c r="Q574" s="170"/>
      <c r="R574" s="469"/>
      <c r="S574" s="465"/>
      <c r="T574" s="170"/>
      <c r="U574" s="170"/>
      <c r="V574" s="170"/>
      <c r="W574" s="469"/>
      <c r="X574" s="465"/>
      <c r="Y574" s="170"/>
      <c r="Z574" s="170"/>
      <c r="AA574" s="170"/>
      <c r="AB574" s="469"/>
    </row>
    <row r="575" spans="1:28" ht="16.149999999999999" customHeight="1" x14ac:dyDescent="0.2">
      <c r="A575" s="480"/>
      <c r="B575" s="119" t="s">
        <v>1538</v>
      </c>
      <c r="C575" s="457"/>
      <c r="D575" s="455"/>
      <c r="E575" s="169"/>
      <c r="F575" s="169"/>
      <c r="G575" s="169"/>
      <c r="H575" s="457"/>
      <c r="I575" s="455"/>
      <c r="J575" s="169"/>
      <c r="K575" s="169"/>
      <c r="L575" s="169"/>
      <c r="M575" s="171"/>
      <c r="N575" s="173"/>
      <c r="O575" s="170"/>
      <c r="P575" s="170"/>
      <c r="Q575" s="170"/>
      <c r="R575" s="469"/>
      <c r="S575" s="465"/>
      <c r="T575" s="170"/>
      <c r="U575" s="170"/>
      <c r="V575" s="170"/>
      <c r="W575" s="469"/>
      <c r="X575" s="465"/>
      <c r="Y575" s="170"/>
      <c r="Z575" s="170"/>
      <c r="AA575" s="170"/>
      <c r="AB575" s="469"/>
    </row>
    <row r="576" spans="1:28" ht="16.149999999999999" customHeight="1" x14ac:dyDescent="0.2">
      <c r="A576" s="480"/>
      <c r="B576" s="119" t="s">
        <v>1539</v>
      </c>
      <c r="C576" s="457"/>
      <c r="D576" s="455"/>
      <c r="E576" s="169"/>
      <c r="F576" s="169"/>
      <c r="G576" s="169"/>
      <c r="H576" s="457"/>
      <c r="I576" s="455"/>
      <c r="J576" s="169"/>
      <c r="K576" s="169"/>
      <c r="L576" s="169"/>
      <c r="M576" s="171"/>
      <c r="N576" s="173"/>
      <c r="O576" s="170"/>
      <c r="P576" s="170"/>
      <c r="Q576" s="170"/>
      <c r="R576" s="469"/>
      <c r="S576" s="465"/>
      <c r="T576" s="170"/>
      <c r="U576" s="170"/>
      <c r="V576" s="170"/>
      <c r="W576" s="469"/>
      <c r="X576" s="465"/>
      <c r="Y576" s="170"/>
      <c r="Z576" s="170"/>
      <c r="AA576" s="170"/>
      <c r="AB576" s="469"/>
    </row>
    <row r="577" spans="1:28" ht="16.149999999999999" customHeight="1" x14ac:dyDescent="0.2">
      <c r="A577" s="480"/>
      <c r="B577" s="119" t="s">
        <v>1540</v>
      </c>
      <c r="C577" s="457"/>
      <c r="D577" s="455"/>
      <c r="E577" s="169"/>
      <c r="F577" s="169"/>
      <c r="G577" s="169"/>
      <c r="H577" s="457"/>
      <c r="I577" s="455"/>
      <c r="J577" s="169"/>
      <c r="K577" s="169"/>
      <c r="L577" s="169"/>
      <c r="M577" s="171"/>
      <c r="N577" s="173"/>
      <c r="O577" s="170"/>
      <c r="P577" s="170"/>
      <c r="Q577" s="170"/>
      <c r="R577" s="469"/>
      <c r="S577" s="465"/>
      <c r="T577" s="170"/>
      <c r="U577" s="170"/>
      <c r="V577" s="170"/>
      <c r="W577" s="469"/>
      <c r="X577" s="465"/>
      <c r="Y577" s="170"/>
      <c r="Z577" s="170"/>
      <c r="AA577" s="170"/>
      <c r="AB577" s="469"/>
    </row>
    <row r="578" spans="1:28" ht="16.149999999999999" customHeight="1" x14ac:dyDescent="0.2">
      <c r="A578" s="480"/>
      <c r="B578" s="119" t="s">
        <v>1541</v>
      </c>
      <c r="C578" s="457"/>
      <c r="D578" s="455"/>
      <c r="E578" s="169"/>
      <c r="F578" s="169"/>
      <c r="G578" s="169"/>
      <c r="H578" s="457"/>
      <c r="I578" s="455"/>
      <c r="J578" s="169"/>
      <c r="K578" s="169"/>
      <c r="L578" s="169"/>
      <c r="M578" s="171"/>
      <c r="N578" s="173"/>
      <c r="O578" s="170"/>
      <c r="P578" s="170"/>
      <c r="Q578" s="170"/>
      <c r="R578" s="469"/>
      <c r="S578" s="465"/>
      <c r="T578" s="170"/>
      <c r="U578" s="170"/>
      <c r="V578" s="170"/>
      <c r="W578" s="469"/>
      <c r="X578" s="465"/>
      <c r="Y578" s="170"/>
      <c r="Z578" s="170"/>
      <c r="AA578" s="170"/>
      <c r="AB578" s="469"/>
    </row>
    <row r="579" spans="1:28" ht="16.149999999999999" customHeight="1" x14ac:dyDescent="0.2">
      <c r="A579" s="480"/>
      <c r="B579" s="119" t="s">
        <v>1542</v>
      </c>
      <c r="C579" s="457"/>
      <c r="D579" s="455"/>
      <c r="E579" s="169"/>
      <c r="F579" s="169"/>
      <c r="G579" s="169"/>
      <c r="H579" s="457"/>
      <c r="I579" s="455"/>
      <c r="J579" s="169"/>
      <c r="K579" s="169"/>
      <c r="L579" s="169"/>
      <c r="M579" s="171"/>
      <c r="N579" s="173"/>
      <c r="O579" s="170"/>
      <c r="P579" s="170"/>
      <c r="Q579" s="170"/>
      <c r="R579" s="469"/>
      <c r="S579" s="465"/>
      <c r="T579" s="170"/>
      <c r="U579" s="170"/>
      <c r="V579" s="170"/>
      <c r="W579" s="469"/>
      <c r="X579" s="465"/>
      <c r="Y579" s="170"/>
      <c r="Z579" s="170"/>
      <c r="AA579" s="170"/>
      <c r="AB579" s="469"/>
    </row>
    <row r="580" spans="1:28" ht="16.149999999999999" customHeight="1" x14ac:dyDescent="0.2">
      <c r="A580" s="480"/>
      <c r="B580" s="119" t="s">
        <v>1543</v>
      </c>
      <c r="C580" s="457"/>
      <c r="D580" s="455"/>
      <c r="E580" s="169"/>
      <c r="F580" s="169"/>
      <c r="G580" s="169"/>
      <c r="H580" s="457"/>
      <c r="I580" s="455"/>
      <c r="J580" s="169"/>
      <c r="K580" s="169"/>
      <c r="L580" s="169"/>
      <c r="M580" s="171"/>
      <c r="N580" s="173"/>
      <c r="O580" s="170"/>
      <c r="P580" s="170"/>
      <c r="Q580" s="170"/>
      <c r="R580" s="469"/>
      <c r="S580" s="465"/>
      <c r="T580" s="170"/>
      <c r="U580" s="170"/>
      <c r="V580" s="170"/>
      <c r="W580" s="469"/>
      <c r="X580" s="465"/>
      <c r="Y580" s="170"/>
      <c r="Z580" s="170"/>
      <c r="AA580" s="170"/>
      <c r="AB580" s="469"/>
    </row>
    <row r="581" spans="1:28" ht="16.149999999999999" customHeight="1" x14ac:dyDescent="0.2">
      <c r="A581" s="480"/>
      <c r="B581" s="119" t="s">
        <v>1544</v>
      </c>
      <c r="C581" s="457"/>
      <c r="D581" s="455"/>
      <c r="E581" s="169"/>
      <c r="F581" s="169"/>
      <c r="G581" s="169"/>
      <c r="H581" s="457"/>
      <c r="I581" s="455"/>
      <c r="J581" s="169"/>
      <c r="K581" s="169"/>
      <c r="L581" s="169"/>
      <c r="M581" s="171"/>
      <c r="N581" s="173"/>
      <c r="O581" s="170"/>
      <c r="P581" s="170"/>
      <c r="Q581" s="170"/>
      <c r="R581" s="469"/>
      <c r="S581" s="465"/>
      <c r="T581" s="170"/>
      <c r="U581" s="170"/>
      <c r="V581" s="170"/>
      <c r="W581" s="469"/>
      <c r="X581" s="465"/>
      <c r="Y581" s="170"/>
      <c r="Z581" s="170"/>
      <c r="AA581" s="170"/>
      <c r="AB581" s="469"/>
    </row>
    <row r="582" spans="1:28" ht="16.149999999999999" customHeight="1" x14ac:dyDescent="0.2">
      <c r="A582" s="480"/>
      <c r="B582" s="119" t="s">
        <v>1545</v>
      </c>
      <c r="C582" s="457"/>
      <c r="D582" s="455"/>
      <c r="E582" s="169"/>
      <c r="F582" s="169"/>
      <c r="G582" s="169"/>
      <c r="H582" s="457"/>
      <c r="I582" s="455"/>
      <c r="J582" s="169"/>
      <c r="K582" s="169"/>
      <c r="L582" s="169"/>
      <c r="M582" s="171"/>
      <c r="N582" s="173"/>
      <c r="O582" s="170"/>
      <c r="P582" s="170"/>
      <c r="Q582" s="170"/>
      <c r="R582" s="469"/>
      <c r="S582" s="465"/>
      <c r="T582" s="170"/>
      <c r="U582" s="170"/>
      <c r="V582" s="170"/>
      <c r="W582" s="469"/>
      <c r="X582" s="465"/>
      <c r="Y582" s="170"/>
      <c r="Z582" s="170"/>
      <c r="AA582" s="170"/>
      <c r="AB582" s="469"/>
    </row>
    <row r="583" spans="1:28" ht="16.149999999999999" customHeight="1" x14ac:dyDescent="0.2">
      <c r="A583" s="480"/>
      <c r="B583" s="119" t="s">
        <v>1546</v>
      </c>
      <c r="C583" s="457"/>
      <c r="D583" s="455"/>
      <c r="E583" s="169"/>
      <c r="F583" s="169"/>
      <c r="G583" s="169"/>
      <c r="H583" s="457"/>
      <c r="I583" s="455"/>
      <c r="J583" s="169"/>
      <c r="K583" s="169"/>
      <c r="L583" s="169"/>
      <c r="M583" s="171"/>
      <c r="N583" s="173"/>
      <c r="O583" s="170"/>
      <c r="P583" s="170"/>
      <c r="Q583" s="170"/>
      <c r="R583" s="469"/>
      <c r="S583" s="465"/>
      <c r="T583" s="170"/>
      <c r="U583" s="170"/>
      <c r="V583" s="170"/>
      <c r="W583" s="469"/>
      <c r="X583" s="465"/>
      <c r="Y583" s="170"/>
      <c r="Z583" s="170"/>
      <c r="AA583" s="170"/>
      <c r="AB583" s="469"/>
    </row>
    <row r="584" spans="1:28" ht="16.149999999999999" customHeight="1" x14ac:dyDescent="0.2">
      <c r="A584" s="480"/>
      <c r="B584" s="119" t="s">
        <v>1547</v>
      </c>
      <c r="C584" s="457"/>
      <c r="D584" s="455"/>
      <c r="E584" s="169"/>
      <c r="F584" s="169"/>
      <c r="G584" s="169"/>
      <c r="H584" s="457"/>
      <c r="I584" s="455"/>
      <c r="J584" s="169"/>
      <c r="K584" s="169"/>
      <c r="L584" s="169"/>
      <c r="M584" s="171"/>
      <c r="N584" s="173"/>
      <c r="O584" s="170"/>
      <c r="P584" s="170"/>
      <c r="Q584" s="170"/>
      <c r="R584" s="469"/>
      <c r="S584" s="465"/>
      <c r="T584" s="170"/>
      <c r="U584" s="170"/>
      <c r="V584" s="170"/>
      <c r="W584" s="469"/>
      <c r="X584" s="465"/>
      <c r="Y584" s="170"/>
      <c r="Z584" s="170"/>
      <c r="AA584" s="170"/>
      <c r="AB584" s="469"/>
    </row>
    <row r="585" spans="1:28" ht="16.149999999999999" customHeight="1" x14ac:dyDescent="0.2">
      <c r="A585" s="480"/>
      <c r="B585" s="119" t="s">
        <v>1548</v>
      </c>
      <c r="C585" s="457"/>
      <c r="D585" s="455"/>
      <c r="E585" s="169"/>
      <c r="F585" s="169"/>
      <c r="G585" s="169"/>
      <c r="H585" s="457"/>
      <c r="I585" s="455"/>
      <c r="J585" s="169"/>
      <c r="K585" s="169"/>
      <c r="L585" s="169"/>
      <c r="M585" s="171"/>
      <c r="N585" s="173"/>
      <c r="O585" s="170"/>
      <c r="P585" s="170"/>
      <c r="Q585" s="170"/>
      <c r="R585" s="469"/>
      <c r="S585" s="465"/>
      <c r="T585" s="170"/>
      <c r="U585" s="170"/>
      <c r="V585" s="170"/>
      <c r="W585" s="469"/>
      <c r="X585" s="465"/>
      <c r="Y585" s="170"/>
      <c r="Z585" s="170"/>
      <c r="AA585" s="170"/>
      <c r="AB585" s="469"/>
    </row>
    <row r="586" spans="1:28" ht="16.149999999999999" customHeight="1" x14ac:dyDescent="0.2">
      <c r="A586" s="480"/>
      <c r="B586" s="119" t="s">
        <v>1549</v>
      </c>
      <c r="C586" s="457"/>
      <c r="D586" s="455"/>
      <c r="E586" s="169"/>
      <c r="F586" s="169"/>
      <c r="G586" s="169"/>
      <c r="H586" s="457"/>
      <c r="I586" s="455"/>
      <c r="J586" s="169"/>
      <c r="K586" s="169"/>
      <c r="L586" s="169"/>
      <c r="M586" s="171"/>
      <c r="N586" s="173"/>
      <c r="O586" s="170"/>
      <c r="P586" s="170"/>
      <c r="Q586" s="170"/>
      <c r="R586" s="469"/>
      <c r="S586" s="465"/>
      <c r="T586" s="170"/>
      <c r="U586" s="170"/>
      <c r="V586" s="170"/>
      <c r="W586" s="469"/>
      <c r="X586" s="465"/>
      <c r="Y586" s="170"/>
      <c r="Z586" s="170"/>
      <c r="AA586" s="170"/>
      <c r="AB586" s="469"/>
    </row>
    <row r="587" spans="1:28" ht="16.149999999999999" customHeight="1" x14ac:dyDescent="0.2">
      <c r="A587" s="480"/>
      <c r="B587" s="119" t="s">
        <v>1550</v>
      </c>
      <c r="C587" s="457"/>
      <c r="D587" s="455"/>
      <c r="E587" s="169"/>
      <c r="F587" s="169"/>
      <c r="G587" s="169"/>
      <c r="H587" s="457"/>
      <c r="I587" s="455"/>
      <c r="J587" s="169"/>
      <c r="K587" s="169"/>
      <c r="L587" s="169"/>
      <c r="M587" s="171"/>
      <c r="N587" s="173"/>
      <c r="O587" s="170"/>
      <c r="P587" s="170"/>
      <c r="Q587" s="170"/>
      <c r="R587" s="469"/>
      <c r="S587" s="465"/>
      <c r="T587" s="170"/>
      <c r="U587" s="170"/>
      <c r="V587" s="170"/>
      <c r="W587" s="469"/>
      <c r="X587" s="465"/>
      <c r="Y587" s="170"/>
      <c r="Z587" s="170"/>
      <c r="AA587" s="170"/>
      <c r="AB587" s="469"/>
    </row>
    <row r="588" spans="1:28" ht="16.149999999999999" customHeight="1" x14ac:dyDescent="0.2">
      <c r="A588" s="480"/>
      <c r="B588" s="119" t="s">
        <v>1551</v>
      </c>
      <c r="C588" s="457"/>
      <c r="D588" s="455"/>
      <c r="E588" s="169"/>
      <c r="F588" s="169"/>
      <c r="G588" s="169"/>
      <c r="H588" s="457"/>
      <c r="I588" s="455"/>
      <c r="J588" s="169"/>
      <c r="K588" s="169"/>
      <c r="L588" s="169"/>
      <c r="M588" s="171"/>
      <c r="N588" s="173"/>
      <c r="O588" s="170"/>
      <c r="P588" s="170"/>
      <c r="Q588" s="170"/>
      <c r="R588" s="469"/>
      <c r="S588" s="465"/>
      <c r="T588" s="170"/>
      <c r="U588" s="170"/>
      <c r="V588" s="170"/>
      <c r="W588" s="469"/>
      <c r="X588" s="465"/>
      <c r="Y588" s="170"/>
      <c r="Z588" s="170"/>
      <c r="AA588" s="170"/>
      <c r="AB588" s="469"/>
    </row>
    <row r="589" spans="1:28" ht="16.149999999999999" customHeight="1" x14ac:dyDescent="0.2">
      <c r="A589" s="480"/>
      <c r="B589" s="119" t="s">
        <v>1552</v>
      </c>
      <c r="C589" s="457"/>
      <c r="D589" s="455"/>
      <c r="E589" s="169"/>
      <c r="F589" s="169"/>
      <c r="G589" s="169"/>
      <c r="H589" s="457"/>
      <c r="I589" s="455"/>
      <c r="J589" s="169"/>
      <c r="K589" s="169"/>
      <c r="L589" s="169"/>
      <c r="M589" s="171"/>
      <c r="N589" s="173"/>
      <c r="O589" s="170"/>
      <c r="P589" s="170"/>
      <c r="Q589" s="170"/>
      <c r="R589" s="469"/>
      <c r="S589" s="465"/>
      <c r="T589" s="170"/>
      <c r="U589" s="170"/>
      <c r="V589" s="170"/>
      <c r="W589" s="469"/>
      <c r="X589" s="465"/>
      <c r="Y589" s="170"/>
      <c r="Z589" s="170"/>
      <c r="AA589" s="170"/>
      <c r="AB589" s="469"/>
    </row>
    <row r="590" spans="1:28" ht="16.149999999999999" customHeight="1" x14ac:dyDescent="0.2">
      <c r="A590" s="480"/>
      <c r="B590" s="119" t="s">
        <v>1553</v>
      </c>
      <c r="C590" s="457"/>
      <c r="D590" s="455"/>
      <c r="E590" s="169"/>
      <c r="F590" s="169"/>
      <c r="G590" s="169"/>
      <c r="H590" s="457"/>
      <c r="I590" s="455"/>
      <c r="J590" s="169"/>
      <c r="K590" s="169"/>
      <c r="L590" s="169"/>
      <c r="M590" s="171"/>
      <c r="N590" s="173"/>
      <c r="O590" s="170"/>
      <c r="P590" s="170"/>
      <c r="Q590" s="170"/>
      <c r="R590" s="469"/>
      <c r="S590" s="465"/>
      <c r="T590" s="170"/>
      <c r="U590" s="170"/>
      <c r="V590" s="170"/>
      <c r="W590" s="469"/>
      <c r="X590" s="465"/>
      <c r="Y590" s="170"/>
      <c r="Z590" s="170"/>
      <c r="AA590" s="170"/>
      <c r="AB590" s="469"/>
    </row>
    <row r="591" spans="1:28" ht="16.149999999999999" customHeight="1" x14ac:dyDescent="0.2">
      <c r="A591" s="480"/>
      <c r="B591" s="119" t="s">
        <v>1554</v>
      </c>
      <c r="C591" s="457"/>
      <c r="D591" s="455"/>
      <c r="E591" s="169"/>
      <c r="F591" s="169"/>
      <c r="G591" s="169"/>
      <c r="H591" s="457"/>
      <c r="I591" s="455"/>
      <c r="J591" s="169"/>
      <c r="K591" s="169"/>
      <c r="L591" s="169"/>
      <c r="M591" s="171"/>
      <c r="N591" s="173"/>
      <c r="O591" s="170"/>
      <c r="P591" s="170"/>
      <c r="Q591" s="170"/>
      <c r="R591" s="469"/>
      <c r="S591" s="465"/>
      <c r="T591" s="170"/>
      <c r="U591" s="170"/>
      <c r="V591" s="170"/>
      <c r="W591" s="469"/>
      <c r="X591" s="465"/>
      <c r="Y591" s="170"/>
      <c r="Z591" s="170"/>
      <c r="AA591" s="170"/>
      <c r="AB591" s="469"/>
    </row>
    <row r="592" spans="1:28" ht="16.149999999999999" customHeight="1" x14ac:dyDescent="0.2">
      <c r="A592" s="480"/>
      <c r="B592" s="119" t="s">
        <v>1555</v>
      </c>
      <c r="C592" s="457"/>
      <c r="D592" s="455"/>
      <c r="E592" s="169"/>
      <c r="F592" s="169"/>
      <c r="G592" s="169"/>
      <c r="H592" s="457"/>
      <c r="I592" s="455"/>
      <c r="J592" s="169"/>
      <c r="K592" s="169"/>
      <c r="L592" s="169"/>
      <c r="M592" s="171"/>
      <c r="N592" s="173"/>
      <c r="O592" s="170"/>
      <c r="P592" s="170"/>
      <c r="Q592" s="170"/>
      <c r="R592" s="469"/>
      <c r="S592" s="465"/>
      <c r="T592" s="170"/>
      <c r="U592" s="170"/>
      <c r="V592" s="170"/>
      <c r="W592" s="469"/>
      <c r="X592" s="465"/>
      <c r="Y592" s="170"/>
      <c r="Z592" s="170"/>
      <c r="AA592" s="170"/>
      <c r="AB592" s="469"/>
    </row>
    <row r="593" spans="1:28" ht="16.149999999999999" customHeight="1" x14ac:dyDescent="0.2">
      <c r="A593" s="480"/>
      <c r="B593" s="119" t="s">
        <v>1556</v>
      </c>
      <c r="C593" s="457"/>
      <c r="D593" s="455"/>
      <c r="E593" s="169"/>
      <c r="F593" s="169"/>
      <c r="G593" s="169"/>
      <c r="H593" s="457"/>
      <c r="I593" s="455"/>
      <c r="J593" s="169"/>
      <c r="K593" s="169"/>
      <c r="L593" s="169"/>
      <c r="M593" s="171"/>
      <c r="N593" s="173"/>
      <c r="O593" s="170"/>
      <c r="P593" s="170"/>
      <c r="Q593" s="170"/>
      <c r="R593" s="469"/>
      <c r="S593" s="465"/>
      <c r="T593" s="170"/>
      <c r="U593" s="170"/>
      <c r="V593" s="170"/>
      <c r="W593" s="469"/>
      <c r="X593" s="465"/>
      <c r="Y593" s="170"/>
      <c r="Z593" s="170"/>
      <c r="AA593" s="170"/>
      <c r="AB593" s="469"/>
    </row>
    <row r="594" spans="1:28" ht="16.149999999999999" customHeight="1" x14ac:dyDescent="0.2">
      <c r="A594" s="480"/>
      <c r="B594" s="119" t="s">
        <v>1557</v>
      </c>
      <c r="C594" s="457"/>
      <c r="D594" s="455"/>
      <c r="E594" s="169"/>
      <c r="F594" s="169"/>
      <c r="G594" s="169"/>
      <c r="H594" s="457"/>
      <c r="I594" s="455"/>
      <c r="J594" s="169"/>
      <c r="K594" s="169"/>
      <c r="L594" s="169"/>
      <c r="M594" s="171"/>
      <c r="N594" s="173"/>
      <c r="O594" s="170"/>
      <c r="P594" s="170"/>
      <c r="Q594" s="170"/>
      <c r="R594" s="469"/>
      <c r="S594" s="465"/>
      <c r="T594" s="170"/>
      <c r="U594" s="170"/>
      <c r="V594" s="170"/>
      <c r="W594" s="469"/>
      <c r="X594" s="465"/>
      <c r="Y594" s="170"/>
      <c r="Z594" s="170"/>
      <c r="AA594" s="170"/>
      <c r="AB594" s="469"/>
    </row>
    <row r="595" spans="1:28" ht="16.149999999999999" customHeight="1" x14ac:dyDescent="0.2">
      <c r="A595" s="480"/>
      <c r="B595" s="119" t="s">
        <v>1558</v>
      </c>
      <c r="C595" s="457"/>
      <c r="D595" s="455"/>
      <c r="E595" s="169"/>
      <c r="F595" s="169"/>
      <c r="G595" s="169"/>
      <c r="H595" s="457"/>
      <c r="I595" s="455"/>
      <c r="J595" s="169"/>
      <c r="K595" s="169"/>
      <c r="L595" s="169"/>
      <c r="M595" s="171"/>
      <c r="N595" s="173"/>
      <c r="O595" s="170"/>
      <c r="P595" s="170"/>
      <c r="Q595" s="170"/>
      <c r="R595" s="469"/>
      <c r="S595" s="465"/>
      <c r="T595" s="170"/>
      <c r="U595" s="170"/>
      <c r="V595" s="170"/>
      <c r="W595" s="469"/>
      <c r="X595" s="465"/>
      <c r="Y595" s="170"/>
      <c r="Z595" s="170"/>
      <c r="AA595" s="170"/>
      <c r="AB595" s="469"/>
    </row>
    <row r="596" spans="1:28" ht="16.149999999999999" customHeight="1" x14ac:dyDescent="0.2">
      <c r="A596" s="480"/>
      <c r="B596" s="119" t="s">
        <v>1559</v>
      </c>
      <c r="C596" s="457"/>
      <c r="D596" s="455"/>
      <c r="E596" s="169"/>
      <c r="F596" s="169"/>
      <c r="G596" s="169"/>
      <c r="H596" s="457"/>
      <c r="I596" s="455"/>
      <c r="J596" s="169"/>
      <c r="K596" s="169"/>
      <c r="L596" s="169"/>
      <c r="M596" s="171"/>
      <c r="N596" s="173"/>
      <c r="O596" s="170"/>
      <c r="P596" s="170"/>
      <c r="Q596" s="170"/>
      <c r="R596" s="469"/>
      <c r="S596" s="465"/>
      <c r="T596" s="170"/>
      <c r="U596" s="170"/>
      <c r="V596" s="170"/>
      <c r="W596" s="469"/>
      <c r="X596" s="465"/>
      <c r="Y596" s="170"/>
      <c r="Z596" s="170"/>
      <c r="AA596" s="170"/>
      <c r="AB596" s="469"/>
    </row>
    <row r="597" spans="1:28" ht="16.149999999999999" customHeight="1" x14ac:dyDescent="0.2">
      <c r="A597" s="480"/>
      <c r="B597" s="119" t="s">
        <v>1560</v>
      </c>
      <c r="C597" s="457"/>
      <c r="D597" s="455"/>
      <c r="E597" s="169"/>
      <c r="F597" s="169"/>
      <c r="G597" s="169"/>
      <c r="H597" s="457"/>
      <c r="I597" s="455"/>
      <c r="J597" s="169"/>
      <c r="K597" s="169"/>
      <c r="L597" s="169"/>
      <c r="M597" s="171"/>
      <c r="N597" s="173"/>
      <c r="O597" s="170"/>
      <c r="P597" s="170"/>
      <c r="Q597" s="170"/>
      <c r="R597" s="469"/>
      <c r="S597" s="465"/>
      <c r="T597" s="170"/>
      <c r="U597" s="170"/>
      <c r="V597" s="170"/>
      <c r="W597" s="469"/>
      <c r="X597" s="465"/>
      <c r="Y597" s="170"/>
      <c r="Z597" s="170"/>
      <c r="AA597" s="170"/>
      <c r="AB597" s="469"/>
    </row>
    <row r="598" spans="1:28" ht="16.149999999999999" customHeight="1" x14ac:dyDescent="0.2">
      <c r="A598" s="480"/>
      <c r="B598" s="119" t="s">
        <v>1561</v>
      </c>
      <c r="C598" s="457"/>
      <c r="D598" s="455"/>
      <c r="E598" s="169"/>
      <c r="F598" s="169"/>
      <c r="G598" s="169"/>
      <c r="H598" s="457"/>
      <c r="I598" s="455"/>
      <c r="J598" s="169"/>
      <c r="K598" s="169"/>
      <c r="L598" s="169"/>
      <c r="M598" s="171"/>
      <c r="N598" s="173"/>
      <c r="O598" s="170"/>
      <c r="P598" s="170"/>
      <c r="Q598" s="170"/>
      <c r="R598" s="469"/>
      <c r="S598" s="465"/>
      <c r="T598" s="170"/>
      <c r="U598" s="170"/>
      <c r="V598" s="170"/>
      <c r="W598" s="469"/>
      <c r="X598" s="465"/>
      <c r="Y598" s="170"/>
      <c r="Z598" s="170"/>
      <c r="AA598" s="170"/>
      <c r="AB598" s="469"/>
    </row>
    <row r="599" spans="1:28" ht="16.149999999999999" customHeight="1" x14ac:dyDescent="0.2">
      <c r="A599" s="480"/>
      <c r="B599" s="119" t="s">
        <v>1562</v>
      </c>
      <c r="C599" s="457"/>
      <c r="D599" s="455"/>
      <c r="E599" s="169"/>
      <c r="F599" s="169"/>
      <c r="G599" s="169"/>
      <c r="H599" s="457"/>
      <c r="I599" s="455"/>
      <c r="J599" s="169"/>
      <c r="K599" s="169"/>
      <c r="L599" s="169"/>
      <c r="M599" s="171"/>
      <c r="N599" s="173"/>
      <c r="O599" s="170"/>
      <c r="P599" s="170"/>
      <c r="Q599" s="170"/>
      <c r="R599" s="469"/>
      <c r="S599" s="465"/>
      <c r="T599" s="170"/>
      <c r="U599" s="170"/>
      <c r="V599" s="170"/>
      <c r="W599" s="469"/>
      <c r="X599" s="465"/>
      <c r="Y599" s="170"/>
      <c r="Z599" s="170"/>
      <c r="AA599" s="170"/>
      <c r="AB599" s="469"/>
    </row>
    <row r="600" spans="1:28" ht="16.149999999999999" customHeight="1" x14ac:dyDescent="0.2">
      <c r="A600" s="480"/>
      <c r="B600" s="119" t="s">
        <v>1563</v>
      </c>
      <c r="C600" s="457"/>
      <c r="D600" s="455"/>
      <c r="E600" s="169"/>
      <c r="F600" s="169"/>
      <c r="G600" s="169"/>
      <c r="H600" s="457"/>
      <c r="I600" s="455"/>
      <c r="J600" s="169"/>
      <c r="K600" s="169"/>
      <c r="L600" s="169"/>
      <c r="M600" s="171"/>
      <c r="N600" s="173"/>
      <c r="O600" s="170"/>
      <c r="P600" s="170"/>
      <c r="Q600" s="170"/>
      <c r="R600" s="469"/>
      <c r="S600" s="465"/>
      <c r="T600" s="170"/>
      <c r="U600" s="170"/>
      <c r="V600" s="170"/>
      <c r="W600" s="469"/>
      <c r="X600" s="465"/>
      <c r="Y600" s="170"/>
      <c r="Z600" s="170"/>
      <c r="AA600" s="170"/>
      <c r="AB600" s="469"/>
    </row>
    <row r="601" spans="1:28" ht="16.149999999999999" customHeight="1" x14ac:dyDescent="0.2">
      <c r="A601" s="480"/>
      <c r="B601" s="119" t="s">
        <v>1477</v>
      </c>
      <c r="C601" s="457"/>
      <c r="D601" s="455"/>
      <c r="E601" s="169"/>
      <c r="F601" s="169"/>
      <c r="G601" s="169"/>
      <c r="H601" s="457"/>
      <c r="I601" s="455"/>
      <c r="J601" s="169"/>
      <c r="K601" s="169"/>
      <c r="L601" s="169"/>
      <c r="M601" s="171"/>
      <c r="N601" s="173"/>
      <c r="O601" s="170"/>
      <c r="P601" s="170"/>
      <c r="Q601" s="170"/>
      <c r="R601" s="469"/>
      <c r="S601" s="465"/>
      <c r="T601" s="170"/>
      <c r="U601" s="170"/>
      <c r="V601" s="170"/>
      <c r="W601" s="469"/>
      <c r="X601" s="465"/>
      <c r="Y601" s="170"/>
      <c r="Z601" s="170"/>
      <c r="AA601" s="170"/>
      <c r="AB601" s="469"/>
    </row>
    <row r="602" spans="1:28" ht="32.25" customHeight="1" x14ac:dyDescent="0.2">
      <c r="A602" s="460" t="s">
        <v>11</v>
      </c>
      <c r="B602" s="114" t="s">
        <v>145</v>
      </c>
      <c r="C602" s="459">
        <f>D602+E602+F602+G602</f>
        <v>0</v>
      </c>
      <c r="D602" s="454">
        <v>0</v>
      </c>
      <c r="E602" s="115">
        <v>0</v>
      </c>
      <c r="F602" s="115">
        <v>0</v>
      </c>
      <c r="G602" s="115">
        <v>0</v>
      </c>
      <c r="H602" s="459">
        <f>I602+J602+K602+L602</f>
        <v>0</v>
      </c>
      <c r="I602" s="454">
        <v>0</v>
      </c>
      <c r="J602" s="115">
        <v>0</v>
      </c>
      <c r="K602" s="115">
        <v>0</v>
      </c>
      <c r="L602" s="115">
        <v>0</v>
      </c>
      <c r="M602" s="459">
        <f>N602</f>
        <v>0</v>
      </c>
      <c r="N602" s="454">
        <f>1417-578-583-29-214-13</f>
        <v>0</v>
      </c>
      <c r="O602" s="116">
        <v>0</v>
      </c>
      <c r="P602" s="116">
        <v>0</v>
      </c>
      <c r="Q602" s="116">
        <v>0</v>
      </c>
      <c r="R602" s="459">
        <f>S602</f>
        <v>821</v>
      </c>
      <c r="S602" s="454">
        <f>1417+3469-4281-10+271-22-23</f>
        <v>821</v>
      </c>
      <c r="T602" s="115">
        <v>0</v>
      </c>
      <c r="U602" s="115">
        <v>0</v>
      </c>
      <c r="V602" s="115">
        <v>0</v>
      </c>
      <c r="W602" s="459">
        <f>X602</f>
        <v>2871</v>
      </c>
      <c r="X602" s="454">
        <f>256-69+2060+1309-685</f>
        <v>2871</v>
      </c>
      <c r="Y602" s="115">
        <v>0</v>
      </c>
      <c r="Z602" s="115">
        <v>0</v>
      </c>
      <c r="AA602" s="115">
        <v>0</v>
      </c>
      <c r="AB602" s="459">
        <f>C602+H602+M602+R602+W602</f>
        <v>3692</v>
      </c>
    </row>
    <row r="603" spans="1:28" ht="18" customHeight="1" x14ac:dyDescent="0.2">
      <c r="A603" s="461"/>
      <c r="B603" s="118" t="s">
        <v>357</v>
      </c>
      <c r="C603" s="457"/>
      <c r="D603" s="455"/>
      <c r="E603" s="115"/>
      <c r="F603" s="115"/>
      <c r="G603" s="115"/>
      <c r="H603" s="457"/>
      <c r="I603" s="455"/>
      <c r="J603" s="115"/>
      <c r="K603" s="115"/>
      <c r="L603" s="115"/>
      <c r="M603" s="457"/>
      <c r="N603" s="455"/>
      <c r="O603" s="116"/>
      <c r="P603" s="116"/>
      <c r="Q603" s="116"/>
      <c r="R603" s="457"/>
      <c r="S603" s="455"/>
      <c r="T603" s="115"/>
      <c r="U603" s="115"/>
      <c r="V603" s="115"/>
      <c r="W603" s="457"/>
      <c r="X603" s="455"/>
      <c r="Y603" s="115"/>
      <c r="Z603" s="115"/>
      <c r="AA603" s="115"/>
      <c r="AB603" s="457"/>
    </row>
    <row r="604" spans="1:28" ht="15.75" customHeight="1" x14ac:dyDescent="0.2">
      <c r="A604" s="461"/>
      <c r="B604" s="119" t="s">
        <v>994</v>
      </c>
      <c r="C604" s="457"/>
      <c r="D604" s="455"/>
      <c r="E604" s="115"/>
      <c r="F604" s="115"/>
      <c r="G604" s="115"/>
      <c r="H604" s="457"/>
      <c r="I604" s="455"/>
      <c r="J604" s="115"/>
      <c r="K604" s="115"/>
      <c r="L604" s="115"/>
      <c r="M604" s="457"/>
      <c r="N604" s="455"/>
      <c r="O604" s="116"/>
      <c r="P604" s="116"/>
      <c r="Q604" s="116"/>
      <c r="R604" s="457"/>
      <c r="S604" s="455"/>
      <c r="T604" s="115"/>
      <c r="U604" s="115"/>
      <c r="V604" s="115"/>
      <c r="W604" s="457"/>
      <c r="X604" s="455"/>
      <c r="Y604" s="115"/>
      <c r="Z604" s="115"/>
      <c r="AA604" s="115"/>
      <c r="AB604" s="457"/>
    </row>
    <row r="605" spans="1:28" ht="15.75" customHeight="1" x14ac:dyDescent="0.2">
      <c r="A605" s="461"/>
      <c r="B605" s="119" t="s">
        <v>995</v>
      </c>
      <c r="C605" s="457"/>
      <c r="D605" s="455"/>
      <c r="E605" s="115"/>
      <c r="F605" s="115"/>
      <c r="G605" s="115"/>
      <c r="H605" s="457"/>
      <c r="I605" s="455"/>
      <c r="J605" s="115"/>
      <c r="K605" s="115"/>
      <c r="L605" s="115"/>
      <c r="M605" s="457"/>
      <c r="N605" s="455"/>
      <c r="O605" s="116"/>
      <c r="P605" s="116"/>
      <c r="Q605" s="116"/>
      <c r="R605" s="457"/>
      <c r="S605" s="455"/>
      <c r="T605" s="115"/>
      <c r="U605" s="115"/>
      <c r="V605" s="115"/>
      <c r="W605" s="457"/>
      <c r="X605" s="455"/>
      <c r="Y605" s="115"/>
      <c r="Z605" s="115"/>
      <c r="AA605" s="115"/>
      <c r="AB605" s="457"/>
    </row>
    <row r="606" spans="1:28" ht="15.75" customHeight="1" x14ac:dyDescent="0.2">
      <c r="A606" s="461"/>
      <c r="B606" s="119" t="s">
        <v>996</v>
      </c>
      <c r="C606" s="457"/>
      <c r="D606" s="455"/>
      <c r="E606" s="115"/>
      <c r="F606" s="115"/>
      <c r="G606" s="115"/>
      <c r="H606" s="457"/>
      <c r="I606" s="455"/>
      <c r="J606" s="115"/>
      <c r="K606" s="115"/>
      <c r="L606" s="115"/>
      <c r="M606" s="457"/>
      <c r="N606" s="455"/>
      <c r="O606" s="116"/>
      <c r="P606" s="116"/>
      <c r="Q606" s="116"/>
      <c r="R606" s="457"/>
      <c r="S606" s="455"/>
      <c r="T606" s="115"/>
      <c r="U606" s="115"/>
      <c r="V606" s="115"/>
      <c r="W606" s="457"/>
      <c r="X606" s="455"/>
      <c r="Y606" s="115"/>
      <c r="Z606" s="115"/>
      <c r="AA606" s="115"/>
      <c r="AB606" s="457"/>
    </row>
    <row r="607" spans="1:28" ht="15.75" customHeight="1" x14ac:dyDescent="0.2">
      <c r="A607" s="155"/>
      <c r="B607" s="119" t="s">
        <v>1067</v>
      </c>
      <c r="C607" s="126"/>
      <c r="D607" s="127"/>
      <c r="E607" s="115"/>
      <c r="F607" s="115"/>
      <c r="G607" s="115"/>
      <c r="H607" s="126"/>
      <c r="I607" s="127"/>
      <c r="J607" s="115"/>
      <c r="K607" s="115"/>
      <c r="L607" s="115"/>
      <c r="M607" s="126"/>
      <c r="N607" s="127"/>
      <c r="O607" s="116"/>
      <c r="P607" s="116"/>
      <c r="Q607" s="116"/>
      <c r="R607" s="126"/>
      <c r="S607" s="127"/>
      <c r="T607" s="115"/>
      <c r="U607" s="115"/>
      <c r="V607" s="115"/>
      <c r="W607" s="126"/>
      <c r="X607" s="127"/>
      <c r="Y607" s="115"/>
      <c r="Z607" s="115"/>
      <c r="AA607" s="115"/>
      <c r="AB607" s="126"/>
    </row>
    <row r="608" spans="1:28" ht="14.25" customHeight="1" x14ac:dyDescent="0.2">
      <c r="A608" s="480"/>
      <c r="B608" s="118" t="s">
        <v>394</v>
      </c>
      <c r="C608" s="457"/>
      <c r="D608" s="455"/>
      <c r="E608" s="115"/>
      <c r="F608" s="115"/>
      <c r="G608" s="115"/>
      <c r="H608" s="457"/>
      <c r="I608" s="455"/>
      <c r="J608" s="115"/>
      <c r="K608" s="115"/>
      <c r="L608" s="115"/>
      <c r="M608" s="457"/>
      <c r="N608" s="455"/>
      <c r="O608" s="116"/>
      <c r="P608" s="116"/>
      <c r="Q608" s="116"/>
      <c r="R608" s="469"/>
      <c r="S608" s="465"/>
      <c r="T608" s="116"/>
      <c r="U608" s="116"/>
      <c r="V608" s="116"/>
      <c r="W608" s="469"/>
      <c r="X608" s="465"/>
      <c r="Y608" s="116"/>
      <c r="Z608" s="116"/>
      <c r="AA608" s="116"/>
      <c r="AB608" s="469"/>
    </row>
    <row r="609" spans="1:28" ht="16.5" customHeight="1" x14ac:dyDescent="0.2">
      <c r="A609" s="480"/>
      <c r="B609" s="174" t="s">
        <v>1564</v>
      </c>
      <c r="C609" s="457"/>
      <c r="D609" s="455"/>
      <c r="E609" s="115"/>
      <c r="F609" s="115"/>
      <c r="G609" s="115"/>
      <c r="H609" s="457"/>
      <c r="I609" s="455"/>
      <c r="J609" s="115"/>
      <c r="K609" s="115"/>
      <c r="L609" s="115"/>
      <c r="M609" s="457"/>
      <c r="N609" s="455"/>
      <c r="O609" s="116"/>
      <c r="P609" s="116"/>
      <c r="Q609" s="116"/>
      <c r="R609" s="469"/>
      <c r="S609" s="465"/>
      <c r="T609" s="116"/>
      <c r="U609" s="116"/>
      <c r="V609" s="116"/>
      <c r="W609" s="469"/>
      <c r="X609" s="465"/>
      <c r="Y609" s="116"/>
      <c r="Z609" s="116"/>
      <c r="AA609" s="116"/>
      <c r="AB609" s="469"/>
    </row>
    <row r="610" spans="1:28" ht="21.75" customHeight="1" x14ac:dyDescent="0.2">
      <c r="A610" s="480"/>
      <c r="B610" s="175" t="s">
        <v>1565</v>
      </c>
      <c r="C610" s="457"/>
      <c r="D610" s="455"/>
      <c r="E610" s="115"/>
      <c r="F610" s="115"/>
      <c r="G610" s="115"/>
      <c r="H610" s="457"/>
      <c r="I610" s="455"/>
      <c r="J610" s="115"/>
      <c r="K610" s="115"/>
      <c r="L610" s="115"/>
      <c r="M610" s="457"/>
      <c r="N610" s="455"/>
      <c r="O610" s="116"/>
      <c r="P610" s="116"/>
      <c r="Q610" s="116"/>
      <c r="R610" s="469"/>
      <c r="S610" s="465"/>
      <c r="T610" s="116"/>
      <c r="U610" s="116"/>
      <c r="V610" s="116"/>
      <c r="W610" s="469"/>
      <c r="X610" s="465"/>
      <c r="Y610" s="116"/>
      <c r="Z610" s="116"/>
      <c r="AA610" s="116"/>
      <c r="AB610" s="469"/>
    </row>
    <row r="611" spans="1:28" ht="20.25" customHeight="1" x14ac:dyDescent="0.2">
      <c r="A611" s="480"/>
      <c r="B611" s="175" t="s">
        <v>1566</v>
      </c>
      <c r="C611" s="457"/>
      <c r="D611" s="455"/>
      <c r="E611" s="115"/>
      <c r="F611" s="115"/>
      <c r="G611" s="115"/>
      <c r="H611" s="457"/>
      <c r="I611" s="455"/>
      <c r="J611" s="115"/>
      <c r="K611" s="115"/>
      <c r="L611" s="115"/>
      <c r="M611" s="457"/>
      <c r="N611" s="455"/>
      <c r="O611" s="116"/>
      <c r="P611" s="116"/>
      <c r="Q611" s="116"/>
      <c r="R611" s="469"/>
      <c r="S611" s="465"/>
      <c r="T611" s="116"/>
      <c r="U611" s="116"/>
      <c r="V611" s="116"/>
      <c r="W611" s="469"/>
      <c r="X611" s="465"/>
      <c r="Y611" s="116"/>
      <c r="Z611" s="116"/>
      <c r="AA611" s="116"/>
      <c r="AB611" s="469"/>
    </row>
    <row r="612" spans="1:28" ht="21.75" customHeight="1" x14ac:dyDescent="0.2">
      <c r="A612" s="480"/>
      <c r="B612" s="175" t="s">
        <v>1567</v>
      </c>
      <c r="C612" s="457"/>
      <c r="D612" s="455"/>
      <c r="E612" s="115"/>
      <c r="F612" s="115"/>
      <c r="G612" s="115"/>
      <c r="H612" s="457"/>
      <c r="I612" s="455"/>
      <c r="J612" s="115"/>
      <c r="K612" s="115"/>
      <c r="L612" s="115"/>
      <c r="M612" s="457"/>
      <c r="N612" s="455"/>
      <c r="O612" s="116"/>
      <c r="P612" s="116"/>
      <c r="Q612" s="116"/>
      <c r="R612" s="469"/>
      <c r="S612" s="465"/>
      <c r="T612" s="116"/>
      <c r="U612" s="116"/>
      <c r="V612" s="116"/>
      <c r="W612" s="469"/>
      <c r="X612" s="465"/>
      <c r="Y612" s="116"/>
      <c r="Z612" s="116"/>
      <c r="AA612" s="116"/>
      <c r="AB612" s="469"/>
    </row>
    <row r="613" spans="1:28" ht="18.75" customHeight="1" x14ac:dyDescent="0.2">
      <c r="A613" s="480"/>
      <c r="B613" s="175" t="s">
        <v>1568</v>
      </c>
      <c r="C613" s="457"/>
      <c r="D613" s="455"/>
      <c r="E613" s="115"/>
      <c r="F613" s="115"/>
      <c r="G613" s="115"/>
      <c r="H613" s="457"/>
      <c r="I613" s="455"/>
      <c r="J613" s="115"/>
      <c r="K613" s="115"/>
      <c r="L613" s="115"/>
      <c r="M613" s="457"/>
      <c r="N613" s="455"/>
      <c r="O613" s="116"/>
      <c r="P613" s="116"/>
      <c r="Q613" s="116"/>
      <c r="R613" s="469"/>
      <c r="S613" s="465"/>
      <c r="T613" s="116"/>
      <c r="U613" s="116"/>
      <c r="V613" s="116"/>
      <c r="W613" s="469"/>
      <c r="X613" s="465"/>
      <c r="Y613" s="116"/>
      <c r="Z613" s="116"/>
      <c r="AA613" s="116"/>
      <c r="AB613" s="469"/>
    </row>
    <row r="614" spans="1:28" ht="15.75" customHeight="1" x14ac:dyDescent="0.2">
      <c r="A614" s="480"/>
      <c r="B614" s="175" t="s">
        <v>1569</v>
      </c>
      <c r="C614" s="457"/>
      <c r="D614" s="455"/>
      <c r="E614" s="115"/>
      <c r="F614" s="115"/>
      <c r="G614" s="115"/>
      <c r="H614" s="457"/>
      <c r="I614" s="455"/>
      <c r="J614" s="115"/>
      <c r="K614" s="115"/>
      <c r="L614" s="115"/>
      <c r="M614" s="457"/>
      <c r="N614" s="455"/>
      <c r="O614" s="116"/>
      <c r="P614" s="116"/>
      <c r="Q614" s="116"/>
      <c r="R614" s="469"/>
      <c r="S614" s="465"/>
      <c r="T614" s="116"/>
      <c r="U614" s="116"/>
      <c r="V614" s="116"/>
      <c r="W614" s="469"/>
      <c r="X614" s="465"/>
      <c r="Y614" s="116"/>
      <c r="Z614" s="116"/>
      <c r="AA614" s="116"/>
      <c r="AB614" s="469"/>
    </row>
    <row r="615" spans="1:28" ht="19.5" customHeight="1" x14ac:dyDescent="0.2">
      <c r="A615" s="480"/>
      <c r="B615" s="175" t="s">
        <v>1570</v>
      </c>
      <c r="C615" s="457"/>
      <c r="D615" s="455"/>
      <c r="E615" s="115"/>
      <c r="F615" s="115"/>
      <c r="G615" s="115"/>
      <c r="H615" s="457"/>
      <c r="I615" s="455"/>
      <c r="J615" s="115"/>
      <c r="K615" s="115"/>
      <c r="L615" s="115"/>
      <c r="M615" s="457"/>
      <c r="N615" s="455"/>
      <c r="O615" s="116"/>
      <c r="P615" s="116"/>
      <c r="Q615" s="116"/>
      <c r="R615" s="469"/>
      <c r="S615" s="465"/>
      <c r="T615" s="116"/>
      <c r="U615" s="116"/>
      <c r="V615" s="116"/>
      <c r="W615" s="469"/>
      <c r="X615" s="465"/>
      <c r="Y615" s="116"/>
      <c r="Z615" s="116"/>
      <c r="AA615" s="116"/>
      <c r="AB615" s="469"/>
    </row>
    <row r="616" spans="1:28" ht="18.75" customHeight="1" x14ac:dyDescent="0.2">
      <c r="A616" s="480"/>
      <c r="B616" s="176" t="s">
        <v>1631</v>
      </c>
      <c r="C616" s="457"/>
      <c r="D616" s="455"/>
      <c r="E616" s="115"/>
      <c r="F616" s="115"/>
      <c r="G616" s="115"/>
      <c r="H616" s="457"/>
      <c r="I616" s="455"/>
      <c r="J616" s="115"/>
      <c r="K616" s="115"/>
      <c r="L616" s="115"/>
      <c r="M616" s="457"/>
      <c r="N616" s="455"/>
      <c r="O616" s="116"/>
      <c r="P616" s="116"/>
      <c r="Q616" s="116"/>
      <c r="R616" s="469"/>
      <c r="S616" s="465"/>
      <c r="T616" s="116"/>
      <c r="U616" s="116"/>
      <c r="V616" s="116"/>
      <c r="W616" s="469"/>
      <c r="X616" s="465"/>
      <c r="Y616" s="116"/>
      <c r="Z616" s="116"/>
      <c r="AA616" s="116"/>
      <c r="AB616" s="469"/>
    </row>
    <row r="617" spans="1:28" ht="19.5" customHeight="1" x14ac:dyDescent="0.2">
      <c r="A617" s="480"/>
      <c r="B617" s="177" t="s">
        <v>1630</v>
      </c>
      <c r="C617" s="457"/>
      <c r="D617" s="455"/>
      <c r="E617" s="115"/>
      <c r="F617" s="115"/>
      <c r="G617" s="115"/>
      <c r="H617" s="457"/>
      <c r="I617" s="455"/>
      <c r="J617" s="115"/>
      <c r="K617" s="115"/>
      <c r="L617" s="115"/>
      <c r="M617" s="457"/>
      <c r="N617" s="455"/>
      <c r="O617" s="116"/>
      <c r="P617" s="116"/>
      <c r="Q617" s="116"/>
      <c r="R617" s="469"/>
      <c r="S617" s="465"/>
      <c r="T617" s="116"/>
      <c r="U617" s="116"/>
      <c r="V617" s="116"/>
      <c r="W617" s="469"/>
      <c r="X617" s="465"/>
      <c r="Y617" s="116"/>
      <c r="Z617" s="116"/>
      <c r="AA617" s="116"/>
      <c r="AB617" s="469"/>
    </row>
    <row r="618" spans="1:28" ht="27" customHeight="1" x14ac:dyDescent="0.2">
      <c r="A618" s="460" t="s">
        <v>16</v>
      </c>
      <c r="B618" s="114" t="s">
        <v>147</v>
      </c>
      <c r="C618" s="459">
        <f>D618+E618+F618+G618</f>
        <v>5379</v>
      </c>
      <c r="D618" s="454">
        <v>5379</v>
      </c>
      <c r="E618" s="115">
        <v>0</v>
      </c>
      <c r="F618" s="115">
        <v>0</v>
      </c>
      <c r="G618" s="115">
        <v>0</v>
      </c>
      <c r="H618" s="459">
        <f>I618+J618+K618+L618</f>
        <v>8539</v>
      </c>
      <c r="I618" s="454">
        <f>5209+3483-153</f>
        <v>8539</v>
      </c>
      <c r="J618" s="115">
        <v>0</v>
      </c>
      <c r="K618" s="115">
        <v>0</v>
      </c>
      <c r="L618" s="115">
        <v>0</v>
      </c>
      <c r="M618" s="459">
        <f>N618</f>
        <v>1149</v>
      </c>
      <c r="N618" s="454">
        <f>12265-10932-82-20-82</f>
        <v>1149</v>
      </c>
      <c r="O618" s="116">
        <v>0</v>
      </c>
      <c r="P618" s="116">
        <v>0</v>
      </c>
      <c r="Q618" s="116">
        <v>0</v>
      </c>
      <c r="R618" s="459">
        <f>S618</f>
        <v>0</v>
      </c>
      <c r="S618" s="454">
        <f>12265-12265+18810-8428-6805-3577</f>
        <v>0</v>
      </c>
      <c r="T618" s="115">
        <v>0</v>
      </c>
      <c r="U618" s="115">
        <v>0</v>
      </c>
      <c r="V618" s="115">
        <v>0</v>
      </c>
      <c r="W618" s="459">
        <f>X618</f>
        <v>3941</v>
      </c>
      <c r="X618" s="454">
        <f>4698-327-327-103</f>
        <v>3941</v>
      </c>
      <c r="Y618" s="115">
        <v>0</v>
      </c>
      <c r="Z618" s="115">
        <v>0</v>
      </c>
      <c r="AA618" s="115">
        <v>0</v>
      </c>
      <c r="AB618" s="459">
        <f>C618+H618+M618+R618+W618</f>
        <v>19008</v>
      </c>
    </row>
    <row r="619" spans="1:28" ht="18" customHeight="1" x14ac:dyDescent="0.2">
      <c r="A619" s="461"/>
      <c r="B619" s="118" t="s">
        <v>146</v>
      </c>
      <c r="C619" s="457"/>
      <c r="D619" s="455"/>
      <c r="E619" s="115"/>
      <c r="F619" s="115"/>
      <c r="G619" s="115"/>
      <c r="H619" s="457"/>
      <c r="I619" s="455"/>
      <c r="J619" s="115"/>
      <c r="K619" s="115"/>
      <c r="L619" s="115"/>
      <c r="M619" s="457"/>
      <c r="N619" s="455"/>
      <c r="O619" s="116"/>
      <c r="P619" s="116"/>
      <c r="Q619" s="116"/>
      <c r="R619" s="457"/>
      <c r="S619" s="455"/>
      <c r="T619" s="115"/>
      <c r="U619" s="115"/>
      <c r="V619" s="115"/>
      <c r="W619" s="457"/>
      <c r="X619" s="455"/>
      <c r="Y619" s="115"/>
      <c r="Z619" s="115"/>
      <c r="AA619" s="115"/>
      <c r="AB619" s="457"/>
    </row>
    <row r="620" spans="1:28" ht="18" customHeight="1" x14ac:dyDescent="0.2">
      <c r="A620" s="461"/>
      <c r="B620" s="119" t="s">
        <v>148</v>
      </c>
      <c r="C620" s="457"/>
      <c r="D620" s="455"/>
      <c r="E620" s="115"/>
      <c r="F620" s="115"/>
      <c r="G620" s="115"/>
      <c r="H620" s="457"/>
      <c r="I620" s="455"/>
      <c r="J620" s="115"/>
      <c r="K620" s="115"/>
      <c r="L620" s="115"/>
      <c r="M620" s="457"/>
      <c r="N620" s="455"/>
      <c r="O620" s="116"/>
      <c r="P620" s="116"/>
      <c r="Q620" s="116"/>
      <c r="R620" s="457"/>
      <c r="S620" s="455"/>
      <c r="T620" s="115"/>
      <c r="U620" s="115"/>
      <c r="V620" s="115"/>
      <c r="W620" s="457"/>
      <c r="X620" s="455"/>
      <c r="Y620" s="115"/>
      <c r="Z620" s="115"/>
      <c r="AA620" s="115"/>
      <c r="AB620" s="457"/>
    </row>
    <row r="621" spans="1:28" ht="18" customHeight="1" x14ac:dyDescent="0.2">
      <c r="A621" s="461"/>
      <c r="B621" s="119" t="s">
        <v>997</v>
      </c>
      <c r="C621" s="457"/>
      <c r="D621" s="455"/>
      <c r="E621" s="115"/>
      <c r="F621" s="115"/>
      <c r="G621" s="115"/>
      <c r="H621" s="457"/>
      <c r="I621" s="455"/>
      <c r="J621" s="115"/>
      <c r="K621" s="115"/>
      <c r="L621" s="115"/>
      <c r="M621" s="457"/>
      <c r="N621" s="455"/>
      <c r="O621" s="116"/>
      <c r="P621" s="116"/>
      <c r="Q621" s="116"/>
      <c r="R621" s="457"/>
      <c r="S621" s="455"/>
      <c r="T621" s="115"/>
      <c r="U621" s="115"/>
      <c r="V621" s="115"/>
      <c r="W621" s="457"/>
      <c r="X621" s="455"/>
      <c r="Y621" s="115"/>
      <c r="Z621" s="115"/>
      <c r="AA621" s="115"/>
      <c r="AB621" s="457"/>
    </row>
    <row r="622" spans="1:28" ht="18" customHeight="1" x14ac:dyDescent="0.2">
      <c r="A622" s="461"/>
      <c r="B622" s="118" t="s">
        <v>138</v>
      </c>
      <c r="C622" s="457"/>
      <c r="D622" s="455"/>
      <c r="E622" s="115"/>
      <c r="F622" s="115"/>
      <c r="G622" s="115"/>
      <c r="H622" s="457"/>
      <c r="I622" s="455"/>
      <c r="J622" s="115"/>
      <c r="K622" s="115"/>
      <c r="L622" s="115"/>
      <c r="M622" s="457"/>
      <c r="N622" s="455"/>
      <c r="O622" s="116"/>
      <c r="P622" s="116"/>
      <c r="Q622" s="116"/>
      <c r="R622" s="457"/>
      <c r="S622" s="455"/>
      <c r="T622" s="115"/>
      <c r="U622" s="115"/>
      <c r="V622" s="115"/>
      <c r="W622" s="457"/>
      <c r="X622" s="455"/>
      <c r="Y622" s="115"/>
      <c r="Z622" s="115"/>
      <c r="AA622" s="115"/>
      <c r="AB622" s="457"/>
    </row>
    <row r="623" spans="1:28" ht="18" customHeight="1" x14ac:dyDescent="0.2">
      <c r="A623" s="461"/>
      <c r="B623" s="119" t="s">
        <v>1000</v>
      </c>
      <c r="C623" s="457"/>
      <c r="D623" s="455"/>
      <c r="E623" s="115"/>
      <c r="F623" s="115"/>
      <c r="G623" s="115"/>
      <c r="H623" s="457"/>
      <c r="I623" s="455"/>
      <c r="J623" s="115"/>
      <c r="K623" s="115"/>
      <c r="L623" s="115"/>
      <c r="M623" s="457"/>
      <c r="N623" s="455"/>
      <c r="O623" s="116"/>
      <c r="P623" s="116"/>
      <c r="Q623" s="116"/>
      <c r="R623" s="457"/>
      <c r="S623" s="455"/>
      <c r="T623" s="115"/>
      <c r="U623" s="115"/>
      <c r="V623" s="115"/>
      <c r="W623" s="457"/>
      <c r="X623" s="455"/>
      <c r="Y623" s="115"/>
      <c r="Z623" s="115"/>
      <c r="AA623" s="115"/>
      <c r="AB623" s="457"/>
    </row>
    <row r="624" spans="1:28" ht="18" customHeight="1" x14ac:dyDescent="0.2">
      <c r="A624" s="461"/>
      <c r="B624" s="119" t="s">
        <v>998</v>
      </c>
      <c r="C624" s="457"/>
      <c r="D624" s="455"/>
      <c r="E624" s="115"/>
      <c r="F624" s="115"/>
      <c r="G624" s="115"/>
      <c r="H624" s="457"/>
      <c r="I624" s="455"/>
      <c r="J624" s="115"/>
      <c r="K624" s="115"/>
      <c r="L624" s="115"/>
      <c r="M624" s="457"/>
      <c r="N624" s="455"/>
      <c r="O624" s="116"/>
      <c r="P624" s="116"/>
      <c r="Q624" s="116"/>
      <c r="R624" s="457"/>
      <c r="S624" s="455"/>
      <c r="T624" s="115"/>
      <c r="U624" s="115"/>
      <c r="V624" s="115"/>
      <c r="W624" s="457"/>
      <c r="X624" s="455"/>
      <c r="Y624" s="115"/>
      <c r="Z624" s="115"/>
      <c r="AA624" s="115"/>
      <c r="AB624" s="457"/>
    </row>
    <row r="625" spans="1:28" ht="18" customHeight="1" x14ac:dyDescent="0.2">
      <c r="A625" s="461"/>
      <c r="B625" s="118" t="s">
        <v>308</v>
      </c>
      <c r="C625" s="457"/>
      <c r="D625" s="455"/>
      <c r="E625" s="115"/>
      <c r="F625" s="115"/>
      <c r="G625" s="115"/>
      <c r="H625" s="457"/>
      <c r="I625" s="455"/>
      <c r="J625" s="115"/>
      <c r="K625" s="115"/>
      <c r="L625" s="115"/>
      <c r="M625" s="457"/>
      <c r="N625" s="455"/>
      <c r="O625" s="116"/>
      <c r="P625" s="116"/>
      <c r="Q625" s="116"/>
      <c r="R625" s="457"/>
      <c r="S625" s="455"/>
      <c r="T625" s="115"/>
      <c r="U625" s="115"/>
      <c r="V625" s="115"/>
      <c r="W625" s="457"/>
      <c r="X625" s="455"/>
      <c r="Y625" s="115"/>
      <c r="Z625" s="115"/>
      <c r="AA625" s="115"/>
      <c r="AB625" s="457"/>
    </row>
    <row r="626" spans="1:28" ht="18" customHeight="1" x14ac:dyDescent="0.2">
      <c r="A626" s="461"/>
      <c r="B626" s="119" t="s">
        <v>999</v>
      </c>
      <c r="C626" s="457"/>
      <c r="D626" s="455"/>
      <c r="E626" s="115"/>
      <c r="F626" s="115"/>
      <c r="G626" s="115"/>
      <c r="H626" s="457"/>
      <c r="I626" s="455"/>
      <c r="J626" s="115"/>
      <c r="K626" s="115"/>
      <c r="L626" s="115"/>
      <c r="M626" s="457"/>
      <c r="N626" s="455"/>
      <c r="O626" s="116"/>
      <c r="P626" s="116"/>
      <c r="Q626" s="116"/>
      <c r="R626" s="457"/>
      <c r="S626" s="455"/>
      <c r="T626" s="115"/>
      <c r="U626" s="115"/>
      <c r="V626" s="115"/>
      <c r="W626" s="457"/>
      <c r="X626" s="455"/>
      <c r="Y626" s="115"/>
      <c r="Z626" s="115"/>
      <c r="AA626" s="115"/>
      <c r="AB626" s="457"/>
    </row>
    <row r="627" spans="1:28" ht="18" customHeight="1" x14ac:dyDescent="0.2">
      <c r="A627" s="155"/>
      <c r="B627" s="118" t="s">
        <v>394</v>
      </c>
      <c r="C627" s="126"/>
      <c r="D627" s="127"/>
      <c r="E627" s="115"/>
      <c r="F627" s="115"/>
      <c r="G627" s="115"/>
      <c r="H627" s="126"/>
      <c r="I627" s="127"/>
      <c r="J627" s="115"/>
      <c r="K627" s="115"/>
      <c r="L627" s="115"/>
      <c r="M627" s="126"/>
      <c r="N627" s="127"/>
      <c r="O627" s="116"/>
      <c r="P627" s="116"/>
      <c r="Q627" s="116"/>
      <c r="R627" s="126"/>
      <c r="S627" s="127"/>
      <c r="T627" s="115"/>
      <c r="U627" s="115"/>
      <c r="V627" s="115"/>
      <c r="W627" s="126"/>
      <c r="X627" s="127"/>
      <c r="Y627" s="115"/>
      <c r="Z627" s="115"/>
      <c r="AA627" s="115"/>
      <c r="AB627" s="126"/>
    </row>
    <row r="628" spans="1:28" ht="18" customHeight="1" x14ac:dyDescent="0.2">
      <c r="A628" s="155"/>
      <c r="B628" s="119" t="s">
        <v>1375</v>
      </c>
      <c r="C628" s="126"/>
      <c r="D628" s="127"/>
      <c r="E628" s="115"/>
      <c r="F628" s="115"/>
      <c r="G628" s="115"/>
      <c r="H628" s="126"/>
      <c r="I628" s="127"/>
      <c r="J628" s="115"/>
      <c r="K628" s="115"/>
      <c r="L628" s="115"/>
      <c r="M628" s="126"/>
      <c r="N628" s="127"/>
      <c r="O628" s="116"/>
      <c r="P628" s="116"/>
      <c r="Q628" s="116"/>
      <c r="R628" s="126"/>
      <c r="S628" s="127"/>
      <c r="T628" s="115"/>
      <c r="U628" s="115"/>
      <c r="V628" s="115"/>
      <c r="W628" s="126"/>
      <c r="X628" s="127"/>
      <c r="Y628" s="115"/>
      <c r="Z628" s="115"/>
      <c r="AA628" s="115"/>
      <c r="AB628" s="126"/>
    </row>
    <row r="629" spans="1:28" ht="18.75" customHeight="1" x14ac:dyDescent="0.2">
      <c r="A629" s="460" t="s">
        <v>439</v>
      </c>
      <c r="B629" s="114" t="s">
        <v>358</v>
      </c>
      <c r="C629" s="459">
        <v>0</v>
      </c>
      <c r="D629" s="454">
        <v>0</v>
      </c>
      <c r="E629" s="115"/>
      <c r="F629" s="115"/>
      <c r="G629" s="115"/>
      <c r="H629" s="459">
        <f>I629</f>
        <v>65</v>
      </c>
      <c r="I629" s="454">
        <v>65</v>
      </c>
      <c r="J629" s="115"/>
      <c r="K629" s="115"/>
      <c r="L629" s="115"/>
      <c r="M629" s="459">
        <f>N629</f>
        <v>1041</v>
      </c>
      <c r="N629" s="454">
        <f>1076-35</f>
        <v>1041</v>
      </c>
      <c r="O629" s="116"/>
      <c r="P629" s="116"/>
      <c r="Q629" s="116"/>
      <c r="R629" s="459">
        <f>S629</f>
        <v>0</v>
      </c>
      <c r="S629" s="454">
        <f>1752-1752</f>
        <v>0</v>
      </c>
      <c r="T629" s="115"/>
      <c r="U629" s="115"/>
      <c r="V629" s="115"/>
      <c r="W629" s="459">
        <f>X629</f>
        <v>0</v>
      </c>
      <c r="X629" s="454">
        <f>498+152-650</f>
        <v>0</v>
      </c>
      <c r="Y629" s="115"/>
      <c r="Z629" s="115"/>
      <c r="AA629" s="115"/>
      <c r="AB629" s="459">
        <f>C629+H629+M629+R629+W629</f>
        <v>1106</v>
      </c>
    </row>
    <row r="630" spans="1:28" ht="18" customHeight="1" x14ac:dyDescent="0.2">
      <c r="A630" s="461"/>
      <c r="B630" s="118" t="s">
        <v>308</v>
      </c>
      <c r="C630" s="457"/>
      <c r="D630" s="455"/>
      <c r="E630" s="115"/>
      <c r="F630" s="115"/>
      <c r="G630" s="115"/>
      <c r="H630" s="457"/>
      <c r="I630" s="455"/>
      <c r="J630" s="115"/>
      <c r="K630" s="115"/>
      <c r="L630" s="115"/>
      <c r="M630" s="457"/>
      <c r="N630" s="455"/>
      <c r="O630" s="116"/>
      <c r="P630" s="116"/>
      <c r="Q630" s="116"/>
      <c r="R630" s="457"/>
      <c r="S630" s="455"/>
      <c r="T630" s="115"/>
      <c r="U630" s="115"/>
      <c r="V630" s="115"/>
      <c r="W630" s="457"/>
      <c r="X630" s="455"/>
      <c r="Y630" s="115"/>
      <c r="Z630" s="115"/>
      <c r="AA630" s="115"/>
      <c r="AB630" s="457"/>
    </row>
    <row r="631" spans="1:28" ht="18" customHeight="1" x14ac:dyDescent="0.2">
      <c r="A631" s="461"/>
      <c r="B631" s="119" t="s">
        <v>505</v>
      </c>
      <c r="C631" s="457"/>
      <c r="D631" s="455"/>
      <c r="E631" s="115"/>
      <c r="F631" s="115"/>
      <c r="G631" s="115"/>
      <c r="H631" s="457"/>
      <c r="I631" s="455"/>
      <c r="J631" s="115"/>
      <c r="K631" s="115"/>
      <c r="L631" s="115"/>
      <c r="M631" s="457"/>
      <c r="N631" s="455"/>
      <c r="O631" s="116"/>
      <c r="P631" s="116"/>
      <c r="Q631" s="116"/>
      <c r="R631" s="457"/>
      <c r="S631" s="455"/>
      <c r="T631" s="115"/>
      <c r="U631" s="115"/>
      <c r="V631" s="115"/>
      <c r="W631" s="457"/>
      <c r="X631" s="455"/>
      <c r="Y631" s="115"/>
      <c r="Z631" s="115"/>
      <c r="AA631" s="115"/>
      <c r="AB631" s="457"/>
    </row>
    <row r="632" spans="1:28" ht="13.5" customHeight="1" x14ac:dyDescent="0.2">
      <c r="A632" s="460" t="s">
        <v>440</v>
      </c>
      <c r="B632" s="114" t="s">
        <v>149</v>
      </c>
      <c r="C632" s="459">
        <f>D632+E632+F632+G632</f>
        <v>3478</v>
      </c>
      <c r="D632" s="454">
        <v>3478</v>
      </c>
      <c r="E632" s="115">
        <v>0</v>
      </c>
      <c r="F632" s="115">
        <v>0</v>
      </c>
      <c r="G632" s="115">
        <v>0</v>
      </c>
      <c r="H632" s="459">
        <f>I632+J632+K632+L632</f>
        <v>797</v>
      </c>
      <c r="I632" s="454">
        <f>4667-3870</f>
        <v>797</v>
      </c>
      <c r="J632" s="115">
        <v>0</v>
      </c>
      <c r="K632" s="115">
        <v>0</v>
      </c>
      <c r="L632" s="115">
        <v>0</v>
      </c>
      <c r="M632" s="459">
        <f>N632</f>
        <v>2723</v>
      </c>
      <c r="N632" s="454">
        <f>0+2619+104</f>
        <v>2723</v>
      </c>
      <c r="O632" s="116">
        <v>0</v>
      </c>
      <c r="P632" s="116">
        <v>0</v>
      </c>
      <c r="Q632" s="116">
        <v>0</v>
      </c>
      <c r="R632" s="459">
        <f>S632</f>
        <v>0</v>
      </c>
      <c r="S632" s="454">
        <v>0</v>
      </c>
      <c r="T632" s="115">
        <v>0</v>
      </c>
      <c r="U632" s="115">
        <v>0</v>
      </c>
      <c r="V632" s="115">
        <v>0</v>
      </c>
      <c r="W632" s="459">
        <f>X632</f>
        <v>0</v>
      </c>
      <c r="X632" s="454">
        <f>19123-8961-10162</f>
        <v>0</v>
      </c>
      <c r="Y632" s="115">
        <v>0</v>
      </c>
      <c r="Z632" s="115">
        <v>0</v>
      </c>
      <c r="AA632" s="115">
        <v>0</v>
      </c>
      <c r="AB632" s="459">
        <f>C632+H632+M632+R632+W632</f>
        <v>6998</v>
      </c>
    </row>
    <row r="633" spans="1:28" ht="15.75" customHeight="1" x14ac:dyDescent="0.2">
      <c r="A633" s="461"/>
      <c r="B633" s="118" t="s">
        <v>146</v>
      </c>
      <c r="C633" s="457"/>
      <c r="D633" s="455"/>
      <c r="E633" s="115"/>
      <c r="F633" s="115"/>
      <c r="G633" s="115"/>
      <c r="H633" s="457"/>
      <c r="I633" s="455"/>
      <c r="J633" s="115"/>
      <c r="K633" s="115"/>
      <c r="L633" s="115"/>
      <c r="M633" s="457"/>
      <c r="N633" s="455"/>
      <c r="O633" s="116"/>
      <c r="P633" s="116"/>
      <c r="Q633" s="116"/>
      <c r="R633" s="457"/>
      <c r="S633" s="455"/>
      <c r="T633" s="115"/>
      <c r="U633" s="115"/>
      <c r="V633" s="115"/>
      <c r="W633" s="457"/>
      <c r="X633" s="455"/>
      <c r="Y633" s="115"/>
      <c r="Z633" s="115"/>
      <c r="AA633" s="115"/>
      <c r="AB633" s="457"/>
    </row>
    <row r="634" spans="1:28" ht="15" customHeight="1" x14ac:dyDescent="0.2">
      <c r="A634" s="461"/>
      <c r="B634" s="119" t="s">
        <v>1001</v>
      </c>
      <c r="C634" s="457"/>
      <c r="D634" s="455"/>
      <c r="E634" s="115"/>
      <c r="F634" s="115"/>
      <c r="G634" s="115"/>
      <c r="H634" s="457"/>
      <c r="I634" s="455"/>
      <c r="J634" s="115"/>
      <c r="K634" s="115"/>
      <c r="L634" s="115"/>
      <c r="M634" s="457"/>
      <c r="N634" s="455"/>
      <c r="O634" s="116"/>
      <c r="P634" s="116"/>
      <c r="Q634" s="116"/>
      <c r="R634" s="457"/>
      <c r="S634" s="455"/>
      <c r="T634" s="115"/>
      <c r="U634" s="115"/>
      <c r="V634" s="115"/>
      <c r="W634" s="457"/>
      <c r="X634" s="455"/>
      <c r="Y634" s="115"/>
      <c r="Z634" s="115"/>
      <c r="AA634" s="115"/>
      <c r="AB634" s="457"/>
    </row>
    <row r="635" spans="1:28" ht="15.75" customHeight="1" x14ac:dyDescent="0.2">
      <c r="A635" s="461"/>
      <c r="B635" s="118" t="s">
        <v>138</v>
      </c>
      <c r="C635" s="457"/>
      <c r="D635" s="455"/>
      <c r="E635" s="127"/>
      <c r="F635" s="127"/>
      <c r="G635" s="127"/>
      <c r="H635" s="457"/>
      <c r="I635" s="455"/>
      <c r="J635" s="127"/>
      <c r="K635" s="127"/>
      <c r="L635" s="127"/>
      <c r="M635" s="457"/>
      <c r="N635" s="455"/>
      <c r="O635" s="138"/>
      <c r="P635" s="138"/>
      <c r="Q635" s="138"/>
      <c r="R635" s="457"/>
      <c r="S635" s="455"/>
      <c r="T635" s="127"/>
      <c r="U635" s="127"/>
      <c r="V635" s="127"/>
      <c r="W635" s="457"/>
      <c r="X635" s="455"/>
      <c r="Y635" s="127"/>
      <c r="Z635" s="127"/>
      <c r="AA635" s="127"/>
      <c r="AB635" s="457"/>
    </row>
    <row r="636" spans="1:28" ht="13.5" customHeight="1" x14ac:dyDescent="0.2">
      <c r="A636" s="461"/>
      <c r="B636" s="119" t="s">
        <v>1002</v>
      </c>
      <c r="C636" s="457"/>
      <c r="D636" s="455"/>
      <c r="E636" s="122"/>
      <c r="F636" s="122"/>
      <c r="G636" s="122"/>
      <c r="H636" s="457"/>
      <c r="I636" s="455"/>
      <c r="J636" s="122"/>
      <c r="K636" s="122"/>
      <c r="L636" s="122"/>
      <c r="M636" s="457"/>
      <c r="N636" s="455"/>
      <c r="O636" s="123"/>
      <c r="P636" s="123"/>
      <c r="Q636" s="123"/>
      <c r="R636" s="457"/>
      <c r="S636" s="455"/>
      <c r="T636" s="122"/>
      <c r="U636" s="122"/>
      <c r="V636" s="122"/>
      <c r="W636" s="457"/>
      <c r="X636" s="455"/>
      <c r="Y636" s="122"/>
      <c r="Z636" s="122"/>
      <c r="AA636" s="122"/>
      <c r="AB636" s="457"/>
    </row>
    <row r="637" spans="1:28" ht="18" customHeight="1" x14ac:dyDescent="0.2">
      <c r="A637" s="461"/>
      <c r="B637" s="119" t="s">
        <v>1003</v>
      </c>
      <c r="C637" s="457"/>
      <c r="D637" s="455"/>
      <c r="E637" s="115"/>
      <c r="F637" s="115"/>
      <c r="G637" s="115"/>
      <c r="H637" s="457"/>
      <c r="I637" s="455"/>
      <c r="J637" s="115"/>
      <c r="K637" s="115"/>
      <c r="L637" s="115"/>
      <c r="M637" s="457"/>
      <c r="N637" s="455"/>
      <c r="O637" s="116"/>
      <c r="P637" s="116"/>
      <c r="Q637" s="116"/>
      <c r="R637" s="457"/>
      <c r="S637" s="455"/>
      <c r="T637" s="115"/>
      <c r="U637" s="115"/>
      <c r="V637" s="115"/>
      <c r="W637" s="457"/>
      <c r="X637" s="455"/>
      <c r="Y637" s="115"/>
      <c r="Z637" s="115"/>
      <c r="AA637" s="115"/>
      <c r="AB637" s="457"/>
    </row>
    <row r="638" spans="1:28" ht="18" customHeight="1" x14ac:dyDescent="0.2">
      <c r="A638" s="461"/>
      <c r="B638" s="118" t="s">
        <v>308</v>
      </c>
      <c r="C638" s="457"/>
      <c r="D638" s="455"/>
      <c r="E638" s="115"/>
      <c r="F638" s="115"/>
      <c r="G638" s="115"/>
      <c r="H638" s="457"/>
      <c r="I638" s="455"/>
      <c r="J638" s="115"/>
      <c r="K638" s="115"/>
      <c r="L638" s="115"/>
      <c r="M638" s="457"/>
      <c r="N638" s="455"/>
      <c r="O638" s="116"/>
      <c r="P638" s="116"/>
      <c r="Q638" s="116"/>
      <c r="R638" s="457"/>
      <c r="S638" s="455"/>
      <c r="T638" s="115"/>
      <c r="U638" s="115"/>
      <c r="V638" s="115"/>
      <c r="W638" s="457"/>
      <c r="X638" s="455"/>
      <c r="Y638" s="115"/>
      <c r="Z638" s="115"/>
      <c r="AA638" s="115"/>
      <c r="AB638" s="457"/>
    </row>
    <row r="639" spans="1:28" ht="18" customHeight="1" x14ac:dyDescent="0.2">
      <c r="A639" s="461"/>
      <c r="B639" s="178" t="s">
        <v>1654</v>
      </c>
      <c r="C639" s="457"/>
      <c r="D639" s="455"/>
      <c r="E639" s="115"/>
      <c r="F639" s="115"/>
      <c r="G639" s="115"/>
      <c r="H639" s="457"/>
      <c r="I639" s="455"/>
      <c r="J639" s="115"/>
      <c r="K639" s="115"/>
      <c r="L639" s="115"/>
      <c r="M639" s="457"/>
      <c r="N639" s="455"/>
      <c r="O639" s="116"/>
      <c r="P639" s="116"/>
      <c r="Q639" s="116"/>
      <c r="R639" s="457"/>
      <c r="S639" s="455"/>
      <c r="T639" s="115"/>
      <c r="U639" s="115"/>
      <c r="V639" s="115"/>
      <c r="W639" s="457"/>
      <c r="X639" s="455"/>
      <c r="Y639" s="115"/>
      <c r="Z639" s="115"/>
      <c r="AA639" s="115"/>
      <c r="AB639" s="457"/>
    </row>
    <row r="640" spans="1:28" ht="18" customHeight="1" x14ac:dyDescent="0.2">
      <c r="A640" s="144" t="s">
        <v>441</v>
      </c>
      <c r="B640" s="145" t="s">
        <v>214</v>
      </c>
      <c r="C640" s="179">
        <f>SUM(D640:G640)</f>
        <v>1700</v>
      </c>
      <c r="D640" s="115">
        <v>1700</v>
      </c>
      <c r="E640" s="115"/>
      <c r="F640" s="115"/>
      <c r="G640" s="115"/>
      <c r="H640" s="179">
        <f>I640</f>
        <v>2742</v>
      </c>
      <c r="I640" s="115">
        <f>2000+147+411+184</f>
        <v>2742</v>
      </c>
      <c r="J640" s="115"/>
      <c r="K640" s="115"/>
      <c r="L640" s="115"/>
      <c r="M640" s="179">
        <f>N640</f>
        <v>2996</v>
      </c>
      <c r="N640" s="115">
        <f>2000+996</f>
        <v>2996</v>
      </c>
      <c r="O640" s="116"/>
      <c r="P640" s="116"/>
      <c r="Q640" s="116"/>
      <c r="R640" s="146">
        <f>S640</f>
        <v>5529</v>
      </c>
      <c r="S640" s="116">
        <f>2000+3529+1838-1838</f>
        <v>5529</v>
      </c>
      <c r="T640" s="116"/>
      <c r="U640" s="116"/>
      <c r="V640" s="116"/>
      <c r="W640" s="146">
        <f>X640</f>
        <v>0</v>
      </c>
      <c r="X640" s="116">
        <f>4500+1029+2742-8271</f>
        <v>0</v>
      </c>
      <c r="Y640" s="116"/>
      <c r="Z640" s="116"/>
      <c r="AA640" s="116"/>
      <c r="AB640" s="146">
        <f>R640+W640+C640+H640+M640</f>
        <v>12967</v>
      </c>
    </row>
    <row r="641" spans="1:28" ht="18" customHeight="1" x14ac:dyDescent="0.2">
      <c r="A641" s="144" t="s">
        <v>442</v>
      </c>
      <c r="B641" s="145" t="s">
        <v>1335</v>
      </c>
      <c r="C641" s="179">
        <f>SUM(D641:G641)</f>
        <v>0</v>
      </c>
      <c r="D641" s="115">
        <v>0</v>
      </c>
      <c r="E641" s="115">
        <v>0</v>
      </c>
      <c r="F641" s="115">
        <v>0</v>
      </c>
      <c r="G641" s="115">
        <v>0</v>
      </c>
      <c r="H641" s="179">
        <f>SUM(I641:L641)</f>
        <v>0</v>
      </c>
      <c r="I641" s="115">
        <v>0</v>
      </c>
      <c r="J641" s="115">
        <v>0</v>
      </c>
      <c r="K641" s="115">
        <v>0</v>
      </c>
      <c r="L641" s="115">
        <v>0</v>
      </c>
      <c r="M641" s="179">
        <f>SUM(N641:Q641)</f>
        <v>0</v>
      </c>
      <c r="N641" s="115">
        <v>0</v>
      </c>
      <c r="O641" s="116">
        <v>0</v>
      </c>
      <c r="P641" s="116">
        <v>0</v>
      </c>
      <c r="Q641" s="116">
        <v>0</v>
      </c>
      <c r="R641" s="146">
        <f>SUM(S641:V641)</f>
        <v>6896</v>
      </c>
      <c r="S641" s="116">
        <f>7370-474</f>
        <v>6896</v>
      </c>
      <c r="T641" s="116">
        <v>0</v>
      </c>
      <c r="U641" s="116">
        <v>0</v>
      </c>
      <c r="V641" s="116">
        <v>0</v>
      </c>
      <c r="W641" s="146">
        <f>SUM(X641:AA641)</f>
        <v>0</v>
      </c>
      <c r="X641" s="116">
        <v>0</v>
      </c>
      <c r="Y641" s="116">
        <v>0</v>
      </c>
      <c r="Z641" s="116">
        <v>0</v>
      </c>
      <c r="AA641" s="116">
        <v>0</v>
      </c>
      <c r="AB641" s="146">
        <f>C641+H641+M641+R641+W641</f>
        <v>6896</v>
      </c>
    </row>
    <row r="642" spans="1:28" ht="18" customHeight="1" x14ac:dyDescent="0.2">
      <c r="A642" s="144" t="s">
        <v>443</v>
      </c>
      <c r="B642" s="145" t="s">
        <v>49</v>
      </c>
      <c r="C642" s="179">
        <f>SUM(D642:G642)</f>
        <v>3594</v>
      </c>
      <c r="D642" s="115">
        <v>3594</v>
      </c>
      <c r="E642" s="115">
        <v>0</v>
      </c>
      <c r="F642" s="115">
        <v>0</v>
      </c>
      <c r="G642" s="115">
        <v>0</v>
      </c>
      <c r="H642" s="179">
        <f>SUM(I642:L642)</f>
        <v>3788</v>
      </c>
      <c r="I642" s="115">
        <f>4176-388</f>
        <v>3788</v>
      </c>
      <c r="J642" s="115">
        <v>0</v>
      </c>
      <c r="K642" s="115">
        <v>0</v>
      </c>
      <c r="L642" s="115">
        <v>0</v>
      </c>
      <c r="M642" s="179">
        <f>SUM(N642:Q642)</f>
        <v>5988</v>
      </c>
      <c r="N642" s="115">
        <f>4575-399+1812</f>
        <v>5988</v>
      </c>
      <c r="O642" s="116">
        <v>0</v>
      </c>
      <c r="P642" s="116">
        <v>0</v>
      </c>
      <c r="Q642" s="116">
        <v>0</v>
      </c>
      <c r="R642" s="146">
        <f>SUM(S642:V642)</f>
        <v>4666</v>
      </c>
      <c r="S642" s="116">
        <f>4342+1005-1608-95-536-617+2175</f>
        <v>4666</v>
      </c>
      <c r="T642" s="116">
        <v>0</v>
      </c>
      <c r="U642" s="116">
        <v>0</v>
      </c>
      <c r="V642" s="116">
        <v>0</v>
      </c>
      <c r="W642" s="146">
        <f>SUM(X642:AA642)</f>
        <v>951</v>
      </c>
      <c r="X642" s="116">
        <f>4176+166-1768+2935+303-5812+1200-249</f>
        <v>951</v>
      </c>
      <c r="Y642" s="116">
        <v>0</v>
      </c>
      <c r="Z642" s="116">
        <v>0</v>
      </c>
      <c r="AA642" s="116">
        <v>0</v>
      </c>
      <c r="AB642" s="146">
        <f>C642+H642+M642+R642+W642</f>
        <v>18987</v>
      </c>
    </row>
    <row r="643" spans="1:28" ht="18" customHeight="1" x14ac:dyDescent="0.2">
      <c r="A643" s="498" t="s">
        <v>444</v>
      </c>
      <c r="B643" s="119" t="s">
        <v>416</v>
      </c>
      <c r="C643" s="507">
        <f>SUM(D643:G643)</f>
        <v>0</v>
      </c>
      <c r="D643" s="454">
        <v>0</v>
      </c>
      <c r="E643" s="115">
        <v>0</v>
      </c>
      <c r="F643" s="115">
        <v>0</v>
      </c>
      <c r="G643" s="115">
        <v>0</v>
      </c>
      <c r="H643" s="459">
        <f>SUM(I643:L643)</f>
        <v>716</v>
      </c>
      <c r="I643" s="454">
        <f>1557-841</f>
        <v>716</v>
      </c>
      <c r="J643" s="115">
        <v>0</v>
      </c>
      <c r="K643" s="115">
        <v>0</v>
      </c>
      <c r="L643" s="115">
        <v>0</v>
      </c>
      <c r="M643" s="459">
        <f>SUM(N643:Q643)</f>
        <v>1049</v>
      </c>
      <c r="N643" s="454">
        <f>117+684-117-486+518+687+161+23+130-668</f>
        <v>1049</v>
      </c>
      <c r="O643" s="116">
        <v>0</v>
      </c>
      <c r="P643" s="116">
        <v>0</v>
      </c>
      <c r="Q643" s="116">
        <v>0</v>
      </c>
      <c r="R643" s="459">
        <f>SUM(S643:V643)</f>
        <v>5020</v>
      </c>
      <c r="S643" s="454">
        <f>716-113+4656-408+221-52</f>
        <v>5020</v>
      </c>
      <c r="T643" s="115">
        <v>0</v>
      </c>
      <c r="U643" s="115">
        <v>0</v>
      </c>
      <c r="V643" s="115">
        <v>0</v>
      </c>
      <c r="W643" s="459">
        <f>SUM(X643:AA643)</f>
        <v>32663</v>
      </c>
      <c r="X643" s="454">
        <f>1785+11900+10315+8331-205+537</f>
        <v>32663</v>
      </c>
      <c r="Y643" s="115">
        <v>0</v>
      </c>
      <c r="Z643" s="115">
        <v>0</v>
      </c>
      <c r="AA643" s="115">
        <v>0</v>
      </c>
      <c r="AB643" s="459">
        <f>C643+H643+M643+R643+W643</f>
        <v>39448</v>
      </c>
    </row>
    <row r="644" spans="1:28" ht="18" customHeight="1" x14ac:dyDescent="0.2">
      <c r="A644" s="461"/>
      <c r="B644" s="118" t="s">
        <v>138</v>
      </c>
      <c r="C644" s="457"/>
      <c r="D644" s="455"/>
      <c r="E644" s="115"/>
      <c r="F644" s="115"/>
      <c r="G644" s="115"/>
      <c r="H644" s="457"/>
      <c r="I644" s="455"/>
      <c r="J644" s="115"/>
      <c r="K644" s="115"/>
      <c r="L644" s="115"/>
      <c r="M644" s="457"/>
      <c r="N644" s="455"/>
      <c r="O644" s="116"/>
      <c r="P644" s="116"/>
      <c r="Q644" s="116"/>
      <c r="R644" s="457"/>
      <c r="S644" s="455"/>
      <c r="T644" s="115"/>
      <c r="U644" s="115"/>
      <c r="V644" s="115"/>
      <c r="W644" s="457"/>
      <c r="X644" s="455"/>
      <c r="Y644" s="115"/>
      <c r="Z644" s="115"/>
      <c r="AA644" s="115"/>
      <c r="AB644" s="457"/>
    </row>
    <row r="645" spans="1:28" ht="18" customHeight="1" x14ac:dyDescent="0.2">
      <c r="A645" s="461"/>
      <c r="B645" s="119" t="s">
        <v>1004</v>
      </c>
      <c r="C645" s="457"/>
      <c r="D645" s="455"/>
      <c r="E645" s="115"/>
      <c r="F645" s="115"/>
      <c r="G645" s="115"/>
      <c r="H645" s="457"/>
      <c r="I645" s="455"/>
      <c r="J645" s="115"/>
      <c r="K645" s="115"/>
      <c r="L645" s="115"/>
      <c r="M645" s="457"/>
      <c r="N645" s="455"/>
      <c r="O645" s="116"/>
      <c r="P645" s="116"/>
      <c r="Q645" s="116"/>
      <c r="R645" s="457"/>
      <c r="S645" s="455"/>
      <c r="T645" s="115"/>
      <c r="U645" s="115"/>
      <c r="V645" s="115"/>
      <c r="W645" s="457"/>
      <c r="X645" s="455"/>
      <c r="Y645" s="115"/>
      <c r="Z645" s="115"/>
      <c r="AA645" s="115"/>
      <c r="AB645" s="457"/>
    </row>
    <row r="646" spans="1:28" ht="18" customHeight="1" x14ac:dyDescent="0.2">
      <c r="A646" s="461"/>
      <c r="B646" s="119" t="s">
        <v>1005</v>
      </c>
      <c r="C646" s="457"/>
      <c r="D646" s="455"/>
      <c r="E646" s="115"/>
      <c r="F646" s="115"/>
      <c r="G646" s="115"/>
      <c r="H646" s="457"/>
      <c r="I646" s="455"/>
      <c r="J646" s="115"/>
      <c r="K646" s="115"/>
      <c r="L646" s="115"/>
      <c r="M646" s="457"/>
      <c r="N646" s="455"/>
      <c r="O646" s="116"/>
      <c r="P646" s="116"/>
      <c r="Q646" s="116"/>
      <c r="R646" s="457"/>
      <c r="S646" s="455"/>
      <c r="T646" s="115"/>
      <c r="U646" s="115"/>
      <c r="V646" s="115"/>
      <c r="W646" s="457"/>
      <c r="X646" s="455"/>
      <c r="Y646" s="115"/>
      <c r="Z646" s="115"/>
      <c r="AA646" s="115"/>
      <c r="AB646" s="457"/>
    </row>
    <row r="647" spans="1:28" ht="18" customHeight="1" x14ac:dyDescent="0.2">
      <c r="A647" s="461"/>
      <c r="B647" s="119" t="s">
        <v>1006</v>
      </c>
      <c r="C647" s="457"/>
      <c r="D647" s="455"/>
      <c r="E647" s="115"/>
      <c r="F647" s="115"/>
      <c r="G647" s="115"/>
      <c r="H647" s="457"/>
      <c r="I647" s="455"/>
      <c r="J647" s="115"/>
      <c r="K647" s="115"/>
      <c r="L647" s="115"/>
      <c r="M647" s="457"/>
      <c r="N647" s="455"/>
      <c r="O647" s="116"/>
      <c r="P647" s="116"/>
      <c r="Q647" s="116"/>
      <c r="R647" s="457"/>
      <c r="S647" s="455"/>
      <c r="T647" s="115"/>
      <c r="U647" s="115"/>
      <c r="V647" s="115"/>
      <c r="W647" s="457"/>
      <c r="X647" s="455"/>
      <c r="Y647" s="115"/>
      <c r="Z647" s="115"/>
      <c r="AA647" s="115"/>
      <c r="AB647" s="457"/>
    </row>
    <row r="648" spans="1:28" ht="18" customHeight="1" x14ac:dyDescent="0.2">
      <c r="A648" s="461"/>
      <c r="B648" s="119" t="s">
        <v>1007</v>
      </c>
      <c r="C648" s="457"/>
      <c r="D648" s="455"/>
      <c r="E648" s="115"/>
      <c r="F648" s="115"/>
      <c r="G648" s="115"/>
      <c r="H648" s="457"/>
      <c r="I648" s="455"/>
      <c r="J648" s="115"/>
      <c r="K648" s="115"/>
      <c r="L648" s="115"/>
      <c r="M648" s="457"/>
      <c r="N648" s="455"/>
      <c r="O648" s="116"/>
      <c r="P648" s="116"/>
      <c r="Q648" s="116"/>
      <c r="R648" s="457"/>
      <c r="S648" s="455"/>
      <c r="T648" s="115"/>
      <c r="U648" s="115"/>
      <c r="V648" s="115"/>
      <c r="W648" s="457"/>
      <c r="X648" s="455"/>
      <c r="Y648" s="115"/>
      <c r="Z648" s="115"/>
      <c r="AA648" s="115"/>
      <c r="AB648" s="457"/>
    </row>
    <row r="649" spans="1:28" ht="18" customHeight="1" x14ac:dyDescent="0.2">
      <c r="A649" s="461"/>
      <c r="B649" s="118" t="s">
        <v>308</v>
      </c>
      <c r="C649" s="457"/>
      <c r="D649" s="455"/>
      <c r="E649" s="115"/>
      <c r="F649" s="115"/>
      <c r="G649" s="115"/>
      <c r="H649" s="457"/>
      <c r="I649" s="455"/>
      <c r="J649" s="115"/>
      <c r="K649" s="115"/>
      <c r="L649" s="115"/>
      <c r="M649" s="457"/>
      <c r="N649" s="455"/>
      <c r="O649" s="116"/>
      <c r="P649" s="116"/>
      <c r="Q649" s="116"/>
      <c r="R649" s="457"/>
      <c r="S649" s="455"/>
      <c r="T649" s="115"/>
      <c r="U649" s="115"/>
      <c r="V649" s="115"/>
      <c r="W649" s="457"/>
      <c r="X649" s="455"/>
      <c r="Y649" s="115"/>
      <c r="Z649" s="115"/>
      <c r="AA649" s="115"/>
      <c r="AB649" s="457"/>
    </row>
    <row r="650" spans="1:28" ht="32.25" customHeight="1" x14ac:dyDescent="0.2">
      <c r="A650" s="461"/>
      <c r="B650" s="119" t="s">
        <v>1008</v>
      </c>
      <c r="C650" s="457"/>
      <c r="D650" s="455"/>
      <c r="E650" s="115"/>
      <c r="F650" s="115"/>
      <c r="G650" s="115"/>
      <c r="H650" s="457"/>
      <c r="I650" s="455"/>
      <c r="J650" s="115"/>
      <c r="K650" s="115"/>
      <c r="L650" s="115"/>
      <c r="M650" s="457"/>
      <c r="N650" s="455"/>
      <c r="O650" s="116"/>
      <c r="P650" s="116"/>
      <c r="Q650" s="116"/>
      <c r="R650" s="457"/>
      <c r="S650" s="455"/>
      <c r="T650" s="115"/>
      <c r="U650" s="115"/>
      <c r="V650" s="115"/>
      <c r="W650" s="457"/>
      <c r="X650" s="455"/>
      <c r="Y650" s="115"/>
      <c r="Z650" s="115"/>
      <c r="AA650" s="115"/>
      <c r="AB650" s="457"/>
    </row>
    <row r="651" spans="1:28" ht="33.75" customHeight="1" x14ac:dyDescent="0.2">
      <c r="A651" s="461"/>
      <c r="B651" s="119" t="s">
        <v>1009</v>
      </c>
      <c r="C651" s="457"/>
      <c r="D651" s="455"/>
      <c r="E651" s="115"/>
      <c r="F651" s="115"/>
      <c r="G651" s="115"/>
      <c r="H651" s="457"/>
      <c r="I651" s="455"/>
      <c r="J651" s="115"/>
      <c r="K651" s="115"/>
      <c r="L651" s="115"/>
      <c r="M651" s="457"/>
      <c r="N651" s="455"/>
      <c r="O651" s="116"/>
      <c r="P651" s="116"/>
      <c r="Q651" s="116"/>
      <c r="R651" s="457"/>
      <c r="S651" s="455"/>
      <c r="T651" s="115"/>
      <c r="U651" s="115"/>
      <c r="V651" s="115"/>
      <c r="W651" s="457"/>
      <c r="X651" s="455"/>
      <c r="Y651" s="115"/>
      <c r="Z651" s="115"/>
      <c r="AA651" s="115"/>
      <c r="AB651" s="457"/>
    </row>
    <row r="652" spans="1:28" ht="33.75" customHeight="1" x14ac:dyDescent="0.2">
      <c r="A652" s="461"/>
      <c r="B652" s="119" t="s">
        <v>1010</v>
      </c>
      <c r="C652" s="457"/>
      <c r="D652" s="455"/>
      <c r="E652" s="115"/>
      <c r="F652" s="115"/>
      <c r="G652" s="115"/>
      <c r="H652" s="457"/>
      <c r="I652" s="455"/>
      <c r="J652" s="115"/>
      <c r="K652" s="115"/>
      <c r="L652" s="115"/>
      <c r="M652" s="457"/>
      <c r="N652" s="455"/>
      <c r="O652" s="116"/>
      <c r="P652" s="116"/>
      <c r="Q652" s="116"/>
      <c r="R652" s="457"/>
      <c r="S652" s="455"/>
      <c r="T652" s="115"/>
      <c r="U652" s="115"/>
      <c r="V652" s="115"/>
      <c r="W652" s="457"/>
      <c r="X652" s="455"/>
      <c r="Y652" s="115"/>
      <c r="Z652" s="115"/>
      <c r="AA652" s="115"/>
      <c r="AB652" s="457"/>
    </row>
    <row r="653" spans="1:28" ht="18" customHeight="1" x14ac:dyDescent="0.2">
      <c r="A653" s="461"/>
      <c r="B653" s="118" t="s">
        <v>357</v>
      </c>
      <c r="C653" s="457"/>
      <c r="D653" s="455"/>
      <c r="E653" s="115"/>
      <c r="F653" s="115"/>
      <c r="G653" s="115"/>
      <c r="H653" s="457"/>
      <c r="I653" s="455"/>
      <c r="J653" s="115"/>
      <c r="K653" s="115"/>
      <c r="L653" s="115"/>
      <c r="M653" s="457"/>
      <c r="N653" s="455"/>
      <c r="O653" s="116"/>
      <c r="P653" s="116"/>
      <c r="Q653" s="116"/>
      <c r="R653" s="457"/>
      <c r="S653" s="455"/>
      <c r="T653" s="115"/>
      <c r="U653" s="115"/>
      <c r="V653" s="115"/>
      <c r="W653" s="457"/>
      <c r="X653" s="455"/>
      <c r="Y653" s="115"/>
      <c r="Z653" s="115"/>
      <c r="AA653" s="115"/>
      <c r="AB653" s="457"/>
    </row>
    <row r="654" spans="1:28" ht="18" customHeight="1" x14ac:dyDescent="0.2">
      <c r="A654" s="461"/>
      <c r="B654" s="119" t="s">
        <v>1011</v>
      </c>
      <c r="C654" s="457"/>
      <c r="D654" s="455"/>
      <c r="E654" s="122"/>
      <c r="F654" s="122"/>
      <c r="G654" s="122"/>
      <c r="H654" s="457"/>
      <c r="I654" s="455"/>
      <c r="J654" s="122"/>
      <c r="K654" s="122"/>
      <c r="L654" s="122"/>
      <c r="M654" s="457"/>
      <c r="N654" s="455"/>
      <c r="O654" s="123"/>
      <c r="P654" s="123"/>
      <c r="Q654" s="123"/>
      <c r="R654" s="457"/>
      <c r="S654" s="455"/>
      <c r="T654" s="122"/>
      <c r="U654" s="122"/>
      <c r="V654" s="122"/>
      <c r="W654" s="457"/>
      <c r="X654" s="455"/>
      <c r="Y654" s="122"/>
      <c r="Z654" s="122"/>
      <c r="AA654" s="122"/>
      <c r="AB654" s="457"/>
    </row>
    <row r="655" spans="1:28" ht="18" customHeight="1" x14ac:dyDescent="0.2">
      <c r="A655" s="461"/>
      <c r="B655" s="119" t="s">
        <v>1012</v>
      </c>
      <c r="C655" s="457"/>
      <c r="D655" s="455"/>
      <c r="E655" s="122"/>
      <c r="F655" s="122"/>
      <c r="G655" s="122"/>
      <c r="H655" s="457"/>
      <c r="I655" s="455"/>
      <c r="J655" s="122"/>
      <c r="K655" s="122"/>
      <c r="L655" s="122"/>
      <c r="M655" s="457"/>
      <c r="N655" s="455"/>
      <c r="O655" s="123"/>
      <c r="P655" s="123"/>
      <c r="Q655" s="123"/>
      <c r="R655" s="457"/>
      <c r="S655" s="455"/>
      <c r="T655" s="122"/>
      <c r="U655" s="122"/>
      <c r="V655" s="122"/>
      <c r="W655" s="457"/>
      <c r="X655" s="455"/>
      <c r="Y655" s="122"/>
      <c r="Z655" s="122"/>
      <c r="AA655" s="122"/>
      <c r="AB655" s="457"/>
    </row>
    <row r="656" spans="1:28" ht="18" customHeight="1" x14ac:dyDescent="0.2">
      <c r="A656" s="461"/>
      <c r="B656" s="119" t="s">
        <v>1013</v>
      </c>
      <c r="C656" s="457"/>
      <c r="D656" s="455"/>
      <c r="E656" s="122"/>
      <c r="F656" s="122"/>
      <c r="G656" s="122"/>
      <c r="H656" s="457"/>
      <c r="I656" s="455"/>
      <c r="J656" s="122"/>
      <c r="K656" s="122"/>
      <c r="L656" s="122"/>
      <c r="M656" s="457"/>
      <c r="N656" s="455"/>
      <c r="O656" s="123"/>
      <c r="P656" s="123"/>
      <c r="Q656" s="123"/>
      <c r="R656" s="457"/>
      <c r="S656" s="455"/>
      <c r="T656" s="122"/>
      <c r="U656" s="122"/>
      <c r="V656" s="122"/>
      <c r="W656" s="457"/>
      <c r="X656" s="455"/>
      <c r="Y656" s="122"/>
      <c r="Z656" s="122"/>
      <c r="AA656" s="122"/>
      <c r="AB656" s="457"/>
    </row>
    <row r="657" spans="1:28" ht="18" customHeight="1" x14ac:dyDescent="0.2">
      <c r="A657" s="461"/>
      <c r="B657" s="119" t="s">
        <v>1014</v>
      </c>
      <c r="C657" s="457"/>
      <c r="D657" s="455"/>
      <c r="E657" s="122"/>
      <c r="F657" s="122"/>
      <c r="G657" s="122"/>
      <c r="H657" s="457"/>
      <c r="I657" s="455"/>
      <c r="J657" s="122"/>
      <c r="K657" s="122"/>
      <c r="L657" s="122"/>
      <c r="M657" s="457"/>
      <c r="N657" s="455"/>
      <c r="O657" s="123"/>
      <c r="P657" s="123"/>
      <c r="Q657" s="123"/>
      <c r="R657" s="457"/>
      <c r="S657" s="455"/>
      <c r="T657" s="122"/>
      <c r="U657" s="122"/>
      <c r="V657" s="122"/>
      <c r="W657" s="457"/>
      <c r="X657" s="455"/>
      <c r="Y657" s="122"/>
      <c r="Z657" s="122"/>
      <c r="AA657" s="122"/>
      <c r="AB657" s="457"/>
    </row>
    <row r="658" spans="1:28" ht="18" customHeight="1" x14ac:dyDescent="0.2">
      <c r="A658" s="461"/>
      <c r="B658" s="119" t="s">
        <v>1015</v>
      </c>
      <c r="C658" s="457"/>
      <c r="D658" s="455"/>
      <c r="E658" s="122"/>
      <c r="F658" s="122"/>
      <c r="G658" s="122"/>
      <c r="H658" s="457"/>
      <c r="I658" s="455"/>
      <c r="J658" s="122"/>
      <c r="K658" s="122"/>
      <c r="L658" s="122"/>
      <c r="M658" s="457"/>
      <c r="N658" s="455"/>
      <c r="O658" s="123"/>
      <c r="P658" s="123"/>
      <c r="Q658" s="123"/>
      <c r="R658" s="457"/>
      <c r="S658" s="455"/>
      <c r="T658" s="122"/>
      <c r="U658" s="122"/>
      <c r="V658" s="122"/>
      <c r="W658" s="457"/>
      <c r="X658" s="455"/>
      <c r="Y658" s="122"/>
      <c r="Z658" s="122"/>
      <c r="AA658" s="122"/>
      <c r="AB658" s="457"/>
    </row>
    <row r="659" spans="1:28" ht="18" customHeight="1" x14ac:dyDescent="0.2">
      <c r="A659" s="461"/>
      <c r="B659" s="119" t="s">
        <v>1016</v>
      </c>
      <c r="C659" s="457"/>
      <c r="D659" s="455"/>
      <c r="E659" s="122"/>
      <c r="F659" s="122"/>
      <c r="G659" s="122"/>
      <c r="H659" s="457"/>
      <c r="I659" s="455"/>
      <c r="J659" s="122"/>
      <c r="K659" s="122"/>
      <c r="L659" s="122"/>
      <c r="M659" s="457"/>
      <c r="N659" s="455"/>
      <c r="O659" s="123"/>
      <c r="P659" s="123"/>
      <c r="Q659" s="123"/>
      <c r="R659" s="457"/>
      <c r="S659" s="455"/>
      <c r="T659" s="122"/>
      <c r="U659" s="122"/>
      <c r="V659" s="122"/>
      <c r="W659" s="457"/>
      <c r="X659" s="455"/>
      <c r="Y659" s="122"/>
      <c r="Z659" s="122"/>
      <c r="AA659" s="122"/>
      <c r="AB659" s="457"/>
    </row>
    <row r="660" spans="1:28" ht="18" customHeight="1" x14ac:dyDescent="0.2">
      <c r="A660" s="461"/>
      <c r="B660" s="119" t="s">
        <v>1017</v>
      </c>
      <c r="C660" s="457"/>
      <c r="D660" s="455"/>
      <c r="E660" s="122"/>
      <c r="F660" s="122"/>
      <c r="G660" s="122"/>
      <c r="H660" s="457"/>
      <c r="I660" s="455"/>
      <c r="J660" s="122"/>
      <c r="K660" s="122"/>
      <c r="L660" s="122"/>
      <c r="M660" s="457"/>
      <c r="N660" s="455"/>
      <c r="O660" s="123"/>
      <c r="P660" s="123"/>
      <c r="Q660" s="123"/>
      <c r="R660" s="457"/>
      <c r="S660" s="455"/>
      <c r="T660" s="122"/>
      <c r="U660" s="122"/>
      <c r="V660" s="122"/>
      <c r="W660" s="457"/>
      <c r="X660" s="455"/>
      <c r="Y660" s="122"/>
      <c r="Z660" s="122"/>
      <c r="AA660" s="122"/>
      <c r="AB660" s="457"/>
    </row>
    <row r="661" spans="1:28" ht="18" customHeight="1" x14ac:dyDescent="0.2">
      <c r="A661" s="461"/>
      <c r="B661" s="119" t="s">
        <v>1018</v>
      </c>
      <c r="C661" s="457"/>
      <c r="D661" s="455"/>
      <c r="E661" s="122"/>
      <c r="F661" s="122"/>
      <c r="G661" s="122"/>
      <c r="H661" s="457"/>
      <c r="I661" s="455"/>
      <c r="J661" s="122"/>
      <c r="K661" s="122"/>
      <c r="L661" s="122"/>
      <c r="M661" s="457"/>
      <c r="N661" s="455"/>
      <c r="O661" s="123"/>
      <c r="P661" s="123"/>
      <c r="Q661" s="123"/>
      <c r="R661" s="457"/>
      <c r="S661" s="455"/>
      <c r="T661" s="122"/>
      <c r="U661" s="122"/>
      <c r="V661" s="122"/>
      <c r="W661" s="457"/>
      <c r="X661" s="455"/>
      <c r="Y661" s="122"/>
      <c r="Z661" s="122"/>
      <c r="AA661" s="122"/>
      <c r="AB661" s="457"/>
    </row>
    <row r="662" spans="1:28" ht="36" customHeight="1" x14ac:dyDescent="0.2">
      <c r="A662" s="461"/>
      <c r="B662" s="119" t="s">
        <v>1019</v>
      </c>
      <c r="C662" s="457"/>
      <c r="D662" s="455"/>
      <c r="E662" s="122"/>
      <c r="F662" s="122"/>
      <c r="G662" s="122"/>
      <c r="H662" s="457"/>
      <c r="I662" s="455"/>
      <c r="J662" s="122"/>
      <c r="K662" s="122"/>
      <c r="L662" s="122"/>
      <c r="M662" s="457"/>
      <c r="N662" s="455"/>
      <c r="O662" s="123"/>
      <c r="P662" s="123"/>
      <c r="Q662" s="123"/>
      <c r="R662" s="457"/>
      <c r="S662" s="455"/>
      <c r="T662" s="122"/>
      <c r="U662" s="122"/>
      <c r="V662" s="122"/>
      <c r="W662" s="457"/>
      <c r="X662" s="455"/>
      <c r="Y662" s="122"/>
      <c r="Z662" s="122"/>
      <c r="AA662" s="122"/>
      <c r="AB662" s="457"/>
    </row>
    <row r="663" spans="1:28" ht="18" customHeight="1" x14ac:dyDescent="0.2">
      <c r="A663" s="461"/>
      <c r="B663" s="119" t="s">
        <v>1020</v>
      </c>
      <c r="C663" s="457"/>
      <c r="D663" s="455"/>
      <c r="E663" s="122"/>
      <c r="F663" s="122"/>
      <c r="G663" s="122"/>
      <c r="H663" s="457"/>
      <c r="I663" s="455"/>
      <c r="J663" s="122"/>
      <c r="K663" s="122"/>
      <c r="L663" s="122"/>
      <c r="M663" s="457"/>
      <c r="N663" s="455"/>
      <c r="O663" s="123"/>
      <c r="P663" s="123"/>
      <c r="Q663" s="123"/>
      <c r="R663" s="457"/>
      <c r="S663" s="455"/>
      <c r="T663" s="122"/>
      <c r="U663" s="122"/>
      <c r="V663" s="122"/>
      <c r="W663" s="457"/>
      <c r="X663" s="455"/>
      <c r="Y663" s="122"/>
      <c r="Z663" s="122"/>
      <c r="AA663" s="122"/>
      <c r="AB663" s="457"/>
    </row>
    <row r="664" spans="1:28" ht="18" customHeight="1" x14ac:dyDescent="0.2">
      <c r="A664" s="461"/>
      <c r="B664" s="119" t="s">
        <v>1622</v>
      </c>
      <c r="C664" s="457"/>
      <c r="D664" s="455"/>
      <c r="E664" s="122"/>
      <c r="F664" s="122"/>
      <c r="G664" s="122"/>
      <c r="H664" s="457"/>
      <c r="I664" s="455"/>
      <c r="J664" s="122"/>
      <c r="K664" s="122"/>
      <c r="L664" s="122"/>
      <c r="M664" s="457"/>
      <c r="N664" s="455"/>
      <c r="O664" s="123"/>
      <c r="P664" s="123"/>
      <c r="Q664" s="123"/>
      <c r="R664" s="457"/>
      <c r="S664" s="455"/>
      <c r="T664" s="122"/>
      <c r="U664" s="122"/>
      <c r="V664" s="122"/>
      <c r="W664" s="457"/>
      <c r="X664" s="455"/>
      <c r="Y664" s="122"/>
      <c r="Z664" s="122"/>
      <c r="AA664" s="122"/>
      <c r="AB664" s="457"/>
    </row>
    <row r="665" spans="1:28" ht="18" customHeight="1" x14ac:dyDescent="0.2">
      <c r="A665" s="461"/>
      <c r="B665" s="118" t="s">
        <v>394</v>
      </c>
      <c r="C665" s="457"/>
      <c r="D665" s="455"/>
      <c r="E665" s="122"/>
      <c r="F665" s="122"/>
      <c r="G665" s="122"/>
      <c r="H665" s="457"/>
      <c r="I665" s="455"/>
      <c r="J665" s="122"/>
      <c r="K665" s="122"/>
      <c r="L665" s="122"/>
      <c r="M665" s="457"/>
      <c r="N665" s="455"/>
      <c r="O665" s="123"/>
      <c r="P665" s="123"/>
      <c r="Q665" s="123"/>
      <c r="R665" s="457"/>
      <c r="S665" s="455"/>
      <c r="T665" s="122"/>
      <c r="U665" s="122"/>
      <c r="V665" s="122"/>
      <c r="W665" s="457"/>
      <c r="X665" s="455"/>
      <c r="Y665" s="122"/>
      <c r="Z665" s="122"/>
      <c r="AA665" s="122"/>
      <c r="AB665" s="457"/>
    </row>
    <row r="666" spans="1:28" ht="18" customHeight="1" x14ac:dyDescent="0.2">
      <c r="A666" s="461"/>
      <c r="B666" s="119" t="s">
        <v>1368</v>
      </c>
      <c r="C666" s="457"/>
      <c r="D666" s="455"/>
      <c r="E666" s="122"/>
      <c r="F666" s="122"/>
      <c r="G666" s="122"/>
      <c r="H666" s="457"/>
      <c r="I666" s="455"/>
      <c r="J666" s="122"/>
      <c r="K666" s="122"/>
      <c r="L666" s="122"/>
      <c r="M666" s="457"/>
      <c r="N666" s="455"/>
      <c r="O666" s="123"/>
      <c r="P666" s="123"/>
      <c r="Q666" s="123"/>
      <c r="R666" s="457"/>
      <c r="S666" s="455"/>
      <c r="T666" s="122"/>
      <c r="U666" s="122"/>
      <c r="V666" s="122"/>
      <c r="W666" s="457"/>
      <c r="X666" s="455"/>
      <c r="Y666" s="122"/>
      <c r="Z666" s="122"/>
      <c r="AA666" s="122"/>
      <c r="AB666" s="457"/>
    </row>
    <row r="667" spans="1:28" ht="18" customHeight="1" x14ac:dyDescent="0.2">
      <c r="A667" s="461"/>
      <c r="B667" s="119" t="s">
        <v>1369</v>
      </c>
      <c r="C667" s="457"/>
      <c r="D667" s="455"/>
      <c r="E667" s="122"/>
      <c r="F667" s="122"/>
      <c r="G667" s="122"/>
      <c r="H667" s="457"/>
      <c r="I667" s="455"/>
      <c r="J667" s="122"/>
      <c r="K667" s="122"/>
      <c r="L667" s="122"/>
      <c r="M667" s="457"/>
      <c r="N667" s="455"/>
      <c r="O667" s="123"/>
      <c r="P667" s="123"/>
      <c r="Q667" s="123"/>
      <c r="R667" s="457"/>
      <c r="S667" s="455"/>
      <c r="T667" s="122"/>
      <c r="U667" s="122"/>
      <c r="V667" s="122"/>
      <c r="W667" s="457"/>
      <c r="X667" s="455"/>
      <c r="Y667" s="122"/>
      <c r="Z667" s="122"/>
      <c r="AA667" s="122"/>
      <c r="AB667" s="457"/>
    </row>
    <row r="668" spans="1:28" ht="18" customHeight="1" x14ac:dyDescent="0.2">
      <c r="A668" s="461"/>
      <c r="B668" s="119" t="s">
        <v>1623</v>
      </c>
      <c r="C668" s="457"/>
      <c r="D668" s="455"/>
      <c r="E668" s="122"/>
      <c r="F668" s="122"/>
      <c r="G668" s="122"/>
      <c r="H668" s="457"/>
      <c r="I668" s="455"/>
      <c r="J668" s="122"/>
      <c r="K668" s="122"/>
      <c r="L668" s="122"/>
      <c r="M668" s="457"/>
      <c r="N668" s="455"/>
      <c r="O668" s="123"/>
      <c r="P668" s="123"/>
      <c r="Q668" s="123"/>
      <c r="R668" s="457"/>
      <c r="S668" s="455"/>
      <c r="T668" s="122"/>
      <c r="U668" s="122"/>
      <c r="V668" s="122"/>
      <c r="W668" s="457"/>
      <c r="X668" s="455"/>
      <c r="Y668" s="122"/>
      <c r="Z668" s="122"/>
      <c r="AA668" s="122"/>
      <c r="AB668" s="457"/>
    </row>
    <row r="669" spans="1:28" ht="18" customHeight="1" x14ac:dyDescent="0.2">
      <c r="A669" s="461"/>
      <c r="B669" s="119" t="s">
        <v>1478</v>
      </c>
      <c r="C669" s="457"/>
      <c r="D669" s="455"/>
      <c r="E669" s="122"/>
      <c r="F669" s="122"/>
      <c r="G669" s="122"/>
      <c r="H669" s="457"/>
      <c r="I669" s="455"/>
      <c r="J669" s="122"/>
      <c r="K669" s="122"/>
      <c r="L669" s="122"/>
      <c r="M669" s="457"/>
      <c r="N669" s="455"/>
      <c r="O669" s="123"/>
      <c r="P669" s="123"/>
      <c r="Q669" s="123"/>
      <c r="R669" s="457"/>
      <c r="S669" s="455"/>
      <c r="T669" s="122"/>
      <c r="U669" s="122"/>
      <c r="V669" s="122"/>
      <c r="W669" s="457"/>
      <c r="X669" s="455"/>
      <c r="Y669" s="122"/>
      <c r="Z669" s="122"/>
      <c r="AA669" s="122"/>
      <c r="AB669" s="457"/>
    </row>
    <row r="670" spans="1:28" ht="18" customHeight="1" x14ac:dyDescent="0.2">
      <c r="A670" s="461"/>
      <c r="B670" s="119" t="s">
        <v>1479</v>
      </c>
      <c r="C670" s="457"/>
      <c r="D670" s="455"/>
      <c r="E670" s="122"/>
      <c r="F670" s="122"/>
      <c r="G670" s="122"/>
      <c r="H670" s="457"/>
      <c r="I670" s="455"/>
      <c r="J670" s="122"/>
      <c r="K670" s="122"/>
      <c r="L670" s="122"/>
      <c r="M670" s="457"/>
      <c r="N670" s="455"/>
      <c r="O670" s="123"/>
      <c r="P670" s="123"/>
      <c r="Q670" s="123"/>
      <c r="R670" s="457"/>
      <c r="S670" s="455"/>
      <c r="T670" s="122"/>
      <c r="U670" s="122"/>
      <c r="V670" s="122"/>
      <c r="W670" s="457"/>
      <c r="X670" s="455"/>
      <c r="Y670" s="122"/>
      <c r="Z670" s="122"/>
      <c r="AA670" s="122"/>
      <c r="AB670" s="457"/>
    </row>
    <row r="671" spans="1:28" ht="18" customHeight="1" x14ac:dyDescent="0.2">
      <c r="A671" s="461"/>
      <c r="B671" s="119" t="s">
        <v>1480</v>
      </c>
      <c r="C671" s="457"/>
      <c r="D671" s="455"/>
      <c r="E671" s="122"/>
      <c r="F671" s="122"/>
      <c r="G671" s="122"/>
      <c r="H671" s="457"/>
      <c r="I671" s="455"/>
      <c r="J671" s="122"/>
      <c r="K671" s="122"/>
      <c r="L671" s="122"/>
      <c r="M671" s="457"/>
      <c r="N671" s="455"/>
      <c r="O671" s="123"/>
      <c r="P671" s="123"/>
      <c r="Q671" s="123"/>
      <c r="R671" s="457"/>
      <c r="S671" s="455"/>
      <c r="T671" s="122"/>
      <c r="U671" s="122"/>
      <c r="V671" s="122"/>
      <c r="W671" s="457"/>
      <c r="X671" s="455"/>
      <c r="Y671" s="122"/>
      <c r="Z671" s="122"/>
      <c r="AA671" s="122"/>
      <c r="AB671" s="457"/>
    </row>
    <row r="672" spans="1:28" ht="18" customHeight="1" x14ac:dyDescent="0.2">
      <c r="A672" s="461"/>
      <c r="B672" s="119" t="s">
        <v>1481</v>
      </c>
      <c r="C672" s="457"/>
      <c r="D672" s="455"/>
      <c r="E672" s="122"/>
      <c r="F672" s="122"/>
      <c r="G672" s="122"/>
      <c r="H672" s="457"/>
      <c r="I672" s="455"/>
      <c r="J672" s="122"/>
      <c r="K672" s="122"/>
      <c r="L672" s="122"/>
      <c r="M672" s="457"/>
      <c r="N672" s="455"/>
      <c r="O672" s="123"/>
      <c r="P672" s="123"/>
      <c r="Q672" s="123"/>
      <c r="R672" s="457"/>
      <c r="S672" s="455"/>
      <c r="T672" s="122"/>
      <c r="U672" s="122"/>
      <c r="V672" s="122"/>
      <c r="W672" s="457"/>
      <c r="X672" s="455"/>
      <c r="Y672" s="122"/>
      <c r="Z672" s="122"/>
      <c r="AA672" s="122"/>
      <c r="AB672" s="457"/>
    </row>
    <row r="673" spans="1:28" ht="18" customHeight="1" x14ac:dyDescent="0.2">
      <c r="A673" s="461"/>
      <c r="B673" s="119" t="s">
        <v>1482</v>
      </c>
      <c r="C673" s="457"/>
      <c r="D673" s="455"/>
      <c r="E673" s="122"/>
      <c r="F673" s="122"/>
      <c r="G673" s="122"/>
      <c r="H673" s="457"/>
      <c r="I673" s="455"/>
      <c r="J673" s="122"/>
      <c r="K673" s="122"/>
      <c r="L673" s="122"/>
      <c r="M673" s="457"/>
      <c r="N673" s="455"/>
      <c r="O673" s="123"/>
      <c r="P673" s="123"/>
      <c r="Q673" s="123"/>
      <c r="R673" s="457"/>
      <c r="S673" s="455"/>
      <c r="T673" s="122"/>
      <c r="U673" s="122"/>
      <c r="V673" s="122"/>
      <c r="W673" s="457"/>
      <c r="X673" s="455"/>
      <c r="Y673" s="122"/>
      <c r="Z673" s="122"/>
      <c r="AA673" s="122"/>
      <c r="AB673" s="457"/>
    </row>
    <row r="674" spans="1:28" ht="18" customHeight="1" x14ac:dyDescent="0.2">
      <c r="A674" s="461"/>
      <c r="B674" s="119" t="s">
        <v>1483</v>
      </c>
      <c r="C674" s="457"/>
      <c r="D674" s="455"/>
      <c r="E674" s="122"/>
      <c r="F674" s="122"/>
      <c r="G674" s="122"/>
      <c r="H674" s="457"/>
      <c r="I674" s="455"/>
      <c r="J674" s="122"/>
      <c r="K674" s="122"/>
      <c r="L674" s="122"/>
      <c r="M674" s="457"/>
      <c r="N674" s="455"/>
      <c r="O674" s="123"/>
      <c r="P674" s="123"/>
      <c r="Q674" s="123"/>
      <c r="R674" s="457"/>
      <c r="S674" s="455"/>
      <c r="T674" s="122"/>
      <c r="U674" s="122"/>
      <c r="V674" s="122"/>
      <c r="W674" s="457"/>
      <c r="X674" s="455"/>
      <c r="Y674" s="122"/>
      <c r="Z674" s="122"/>
      <c r="AA674" s="122"/>
      <c r="AB674" s="457"/>
    </row>
    <row r="675" spans="1:28" ht="18" customHeight="1" x14ac:dyDescent="0.2">
      <c r="A675" s="461"/>
      <c r="B675" s="119" t="s">
        <v>1484</v>
      </c>
      <c r="C675" s="457"/>
      <c r="D675" s="455"/>
      <c r="E675" s="122"/>
      <c r="F675" s="122"/>
      <c r="G675" s="122"/>
      <c r="H675" s="457"/>
      <c r="I675" s="455"/>
      <c r="J675" s="122"/>
      <c r="K675" s="122"/>
      <c r="L675" s="122"/>
      <c r="M675" s="457"/>
      <c r="N675" s="455"/>
      <c r="O675" s="123"/>
      <c r="P675" s="123"/>
      <c r="Q675" s="123"/>
      <c r="R675" s="457"/>
      <c r="S675" s="455"/>
      <c r="T675" s="122"/>
      <c r="U675" s="122"/>
      <c r="V675" s="122"/>
      <c r="W675" s="457"/>
      <c r="X675" s="455"/>
      <c r="Y675" s="122"/>
      <c r="Z675" s="122"/>
      <c r="AA675" s="122"/>
      <c r="AB675" s="457"/>
    </row>
    <row r="676" spans="1:28" ht="18" customHeight="1" x14ac:dyDescent="0.2">
      <c r="A676" s="461"/>
      <c r="B676" s="119" t="s">
        <v>1485</v>
      </c>
      <c r="C676" s="457"/>
      <c r="D676" s="455"/>
      <c r="E676" s="122"/>
      <c r="F676" s="122"/>
      <c r="G676" s="122"/>
      <c r="H676" s="457"/>
      <c r="I676" s="455"/>
      <c r="J676" s="122"/>
      <c r="K676" s="122"/>
      <c r="L676" s="122"/>
      <c r="M676" s="457"/>
      <c r="N676" s="455"/>
      <c r="O676" s="123"/>
      <c r="P676" s="123"/>
      <c r="Q676" s="123"/>
      <c r="R676" s="457"/>
      <c r="S676" s="455"/>
      <c r="T676" s="122"/>
      <c r="U676" s="122"/>
      <c r="V676" s="122"/>
      <c r="W676" s="457"/>
      <c r="X676" s="455"/>
      <c r="Y676" s="122"/>
      <c r="Z676" s="122"/>
      <c r="AA676" s="122"/>
      <c r="AB676" s="457"/>
    </row>
    <row r="677" spans="1:28" ht="18" customHeight="1" x14ac:dyDescent="0.2">
      <c r="A677" s="461"/>
      <c r="B677" s="119" t="s">
        <v>1486</v>
      </c>
      <c r="C677" s="457"/>
      <c r="D677" s="455"/>
      <c r="E677" s="122"/>
      <c r="F677" s="122"/>
      <c r="G677" s="122"/>
      <c r="H677" s="457"/>
      <c r="I677" s="455"/>
      <c r="J677" s="122"/>
      <c r="K677" s="122"/>
      <c r="L677" s="122"/>
      <c r="M677" s="457"/>
      <c r="N677" s="455"/>
      <c r="O677" s="123"/>
      <c r="P677" s="123"/>
      <c r="Q677" s="123"/>
      <c r="R677" s="457"/>
      <c r="S677" s="455"/>
      <c r="T677" s="122"/>
      <c r="U677" s="122"/>
      <c r="V677" s="122"/>
      <c r="W677" s="457"/>
      <c r="X677" s="455"/>
      <c r="Y677" s="122"/>
      <c r="Z677" s="122"/>
      <c r="AA677" s="122"/>
      <c r="AB677" s="457"/>
    </row>
    <row r="678" spans="1:28" ht="18" customHeight="1" x14ac:dyDescent="0.2">
      <c r="A678" s="461"/>
      <c r="B678" s="119" t="s">
        <v>1488</v>
      </c>
      <c r="C678" s="457"/>
      <c r="D678" s="455"/>
      <c r="E678" s="122"/>
      <c r="F678" s="122"/>
      <c r="G678" s="122"/>
      <c r="H678" s="457"/>
      <c r="I678" s="455"/>
      <c r="J678" s="122"/>
      <c r="K678" s="122"/>
      <c r="L678" s="122"/>
      <c r="M678" s="457"/>
      <c r="N678" s="455"/>
      <c r="O678" s="123"/>
      <c r="P678" s="123"/>
      <c r="Q678" s="123"/>
      <c r="R678" s="457"/>
      <c r="S678" s="455"/>
      <c r="T678" s="122"/>
      <c r="U678" s="122"/>
      <c r="V678" s="122"/>
      <c r="W678" s="457"/>
      <c r="X678" s="455"/>
      <c r="Y678" s="122"/>
      <c r="Z678" s="122"/>
      <c r="AA678" s="122"/>
      <c r="AB678" s="457"/>
    </row>
    <row r="679" spans="1:28" ht="18" customHeight="1" x14ac:dyDescent="0.2">
      <c r="A679" s="461"/>
      <c r="B679" s="119" t="s">
        <v>1487</v>
      </c>
      <c r="C679" s="457"/>
      <c r="D679" s="455"/>
      <c r="E679" s="122"/>
      <c r="F679" s="122"/>
      <c r="G679" s="122"/>
      <c r="H679" s="457"/>
      <c r="I679" s="455"/>
      <c r="J679" s="122"/>
      <c r="K679" s="122"/>
      <c r="L679" s="122"/>
      <c r="M679" s="457"/>
      <c r="N679" s="455"/>
      <c r="O679" s="123"/>
      <c r="P679" s="123"/>
      <c r="Q679" s="123"/>
      <c r="R679" s="457"/>
      <c r="S679" s="455"/>
      <c r="T679" s="122"/>
      <c r="U679" s="122"/>
      <c r="V679" s="122"/>
      <c r="W679" s="457"/>
      <c r="X679" s="455"/>
      <c r="Y679" s="122"/>
      <c r="Z679" s="122"/>
      <c r="AA679" s="122"/>
      <c r="AB679" s="457"/>
    </row>
    <row r="680" spans="1:28" ht="18" customHeight="1" x14ac:dyDescent="0.2">
      <c r="A680" s="461"/>
      <c r="B680" s="119" t="s">
        <v>1632</v>
      </c>
      <c r="C680" s="457"/>
      <c r="D680" s="455"/>
      <c r="E680" s="122"/>
      <c r="F680" s="122"/>
      <c r="G680" s="122"/>
      <c r="H680" s="457"/>
      <c r="I680" s="455"/>
      <c r="J680" s="122"/>
      <c r="K680" s="122"/>
      <c r="L680" s="122"/>
      <c r="M680" s="457"/>
      <c r="N680" s="455"/>
      <c r="O680" s="123"/>
      <c r="P680" s="123"/>
      <c r="Q680" s="123"/>
      <c r="R680" s="457"/>
      <c r="S680" s="455"/>
      <c r="T680" s="122"/>
      <c r="U680" s="122"/>
      <c r="V680" s="122"/>
      <c r="W680" s="457"/>
      <c r="X680" s="455"/>
      <c r="Y680" s="122"/>
      <c r="Z680" s="122"/>
      <c r="AA680" s="122"/>
      <c r="AB680" s="457"/>
    </row>
    <row r="681" spans="1:28" ht="18" customHeight="1" x14ac:dyDescent="0.2">
      <c r="A681" s="461"/>
      <c r="B681" s="119" t="s">
        <v>1489</v>
      </c>
      <c r="C681" s="457"/>
      <c r="D681" s="455"/>
      <c r="E681" s="122"/>
      <c r="F681" s="122"/>
      <c r="G681" s="122"/>
      <c r="H681" s="457"/>
      <c r="I681" s="455"/>
      <c r="J681" s="122"/>
      <c r="K681" s="122"/>
      <c r="L681" s="122"/>
      <c r="M681" s="457"/>
      <c r="N681" s="455"/>
      <c r="O681" s="123"/>
      <c r="P681" s="123"/>
      <c r="Q681" s="123"/>
      <c r="R681" s="457"/>
      <c r="S681" s="455"/>
      <c r="T681" s="122"/>
      <c r="U681" s="122"/>
      <c r="V681" s="122"/>
      <c r="W681" s="457"/>
      <c r="X681" s="455"/>
      <c r="Y681" s="122"/>
      <c r="Z681" s="122"/>
      <c r="AA681" s="122"/>
      <c r="AB681" s="457"/>
    </row>
    <row r="682" spans="1:28" ht="18" customHeight="1" x14ac:dyDescent="0.2">
      <c r="A682" s="461"/>
      <c r="B682" s="119" t="s">
        <v>1608</v>
      </c>
      <c r="C682" s="457"/>
      <c r="D682" s="455"/>
      <c r="E682" s="122"/>
      <c r="F682" s="122"/>
      <c r="G682" s="122"/>
      <c r="H682" s="457"/>
      <c r="I682" s="455"/>
      <c r="J682" s="122"/>
      <c r="K682" s="122"/>
      <c r="L682" s="122"/>
      <c r="M682" s="457"/>
      <c r="N682" s="455"/>
      <c r="O682" s="123"/>
      <c r="P682" s="123"/>
      <c r="Q682" s="123"/>
      <c r="R682" s="457"/>
      <c r="S682" s="455"/>
      <c r="T682" s="122"/>
      <c r="U682" s="122"/>
      <c r="V682" s="122"/>
      <c r="W682" s="457"/>
      <c r="X682" s="455"/>
      <c r="Y682" s="122"/>
      <c r="Z682" s="122"/>
      <c r="AA682" s="122"/>
      <c r="AB682" s="457"/>
    </row>
    <row r="683" spans="1:28" ht="18" customHeight="1" x14ac:dyDescent="0.2">
      <c r="A683" s="155"/>
      <c r="B683" s="119" t="s">
        <v>1634</v>
      </c>
      <c r="C683" s="126"/>
      <c r="D683" s="127"/>
      <c r="E683" s="122"/>
      <c r="F683" s="122"/>
      <c r="G683" s="122"/>
      <c r="H683" s="126"/>
      <c r="I683" s="127"/>
      <c r="J683" s="122"/>
      <c r="K683" s="122"/>
      <c r="L683" s="122"/>
      <c r="M683" s="126"/>
      <c r="N683" s="455"/>
      <c r="O683" s="123"/>
      <c r="P683" s="123"/>
      <c r="Q683" s="123"/>
      <c r="R683" s="126"/>
      <c r="S683" s="127"/>
      <c r="T683" s="122"/>
      <c r="U683" s="122"/>
      <c r="V683" s="122"/>
      <c r="W683" s="126"/>
      <c r="X683" s="127"/>
      <c r="Y683" s="122"/>
      <c r="Z683" s="122"/>
      <c r="AA683" s="122"/>
      <c r="AB683" s="126"/>
    </row>
    <row r="684" spans="1:28" ht="18" customHeight="1" x14ac:dyDescent="0.2">
      <c r="A684" s="155"/>
      <c r="B684" s="119" t="s">
        <v>1633</v>
      </c>
      <c r="C684" s="126"/>
      <c r="D684" s="127"/>
      <c r="E684" s="122"/>
      <c r="F684" s="122"/>
      <c r="G684" s="122"/>
      <c r="H684" s="126"/>
      <c r="I684" s="127"/>
      <c r="J684" s="122"/>
      <c r="K684" s="122"/>
      <c r="L684" s="122"/>
      <c r="M684" s="126"/>
      <c r="N684" s="455"/>
      <c r="O684" s="123"/>
      <c r="P684" s="123"/>
      <c r="Q684" s="123"/>
      <c r="R684" s="126"/>
      <c r="S684" s="127"/>
      <c r="T684" s="122"/>
      <c r="U684" s="122"/>
      <c r="V684" s="122"/>
      <c r="W684" s="126"/>
      <c r="X684" s="127"/>
      <c r="Y684" s="122"/>
      <c r="Z684" s="122"/>
      <c r="AA684" s="122"/>
      <c r="AB684" s="126"/>
    </row>
    <row r="685" spans="1:28" ht="18" customHeight="1" x14ac:dyDescent="0.2">
      <c r="A685" s="155"/>
      <c r="B685" s="119" t="s">
        <v>1635</v>
      </c>
      <c r="C685" s="126"/>
      <c r="D685" s="127"/>
      <c r="E685" s="122"/>
      <c r="F685" s="122"/>
      <c r="G685" s="122"/>
      <c r="H685" s="126"/>
      <c r="I685" s="127"/>
      <c r="J685" s="122"/>
      <c r="K685" s="122"/>
      <c r="L685" s="122"/>
      <c r="M685" s="126"/>
      <c r="N685" s="455"/>
      <c r="O685" s="123"/>
      <c r="P685" s="123"/>
      <c r="Q685" s="123"/>
      <c r="R685" s="126"/>
      <c r="S685" s="127"/>
      <c r="T685" s="122"/>
      <c r="U685" s="122"/>
      <c r="V685" s="122"/>
      <c r="W685" s="126"/>
      <c r="X685" s="127"/>
      <c r="Y685" s="122"/>
      <c r="Z685" s="122"/>
      <c r="AA685" s="122"/>
      <c r="AB685" s="126"/>
    </row>
    <row r="686" spans="1:28" ht="18" customHeight="1" x14ac:dyDescent="0.2">
      <c r="A686" s="155"/>
      <c r="B686" s="119" t="s">
        <v>1636</v>
      </c>
      <c r="C686" s="126"/>
      <c r="D686" s="127"/>
      <c r="E686" s="122"/>
      <c r="F686" s="122"/>
      <c r="G686" s="122"/>
      <c r="H686" s="126"/>
      <c r="I686" s="127"/>
      <c r="J686" s="122"/>
      <c r="K686" s="122"/>
      <c r="L686" s="122"/>
      <c r="M686" s="126"/>
      <c r="N686" s="455"/>
      <c r="O686" s="123"/>
      <c r="P686" s="123"/>
      <c r="Q686" s="123"/>
      <c r="R686" s="126"/>
      <c r="S686" s="127"/>
      <c r="T686" s="122"/>
      <c r="U686" s="122"/>
      <c r="V686" s="122"/>
      <c r="W686" s="126"/>
      <c r="X686" s="127"/>
      <c r="Y686" s="122"/>
      <c r="Z686" s="122"/>
      <c r="AA686" s="122"/>
      <c r="AB686" s="126"/>
    </row>
    <row r="687" spans="1:28" ht="18" customHeight="1" x14ac:dyDescent="0.2">
      <c r="A687" s="155"/>
      <c r="B687" s="119" t="s">
        <v>1637</v>
      </c>
      <c r="C687" s="126"/>
      <c r="D687" s="127"/>
      <c r="E687" s="122"/>
      <c r="F687" s="122"/>
      <c r="G687" s="122"/>
      <c r="H687" s="126"/>
      <c r="I687" s="127"/>
      <c r="J687" s="122"/>
      <c r="K687" s="122"/>
      <c r="L687" s="122"/>
      <c r="M687" s="126"/>
      <c r="N687" s="455"/>
      <c r="O687" s="123"/>
      <c r="P687" s="123"/>
      <c r="Q687" s="123"/>
      <c r="R687" s="126"/>
      <c r="S687" s="127"/>
      <c r="T687" s="122"/>
      <c r="U687" s="122"/>
      <c r="V687" s="122"/>
      <c r="W687" s="126"/>
      <c r="X687" s="127"/>
      <c r="Y687" s="122"/>
      <c r="Z687" s="122"/>
      <c r="AA687" s="122"/>
      <c r="AB687" s="126"/>
    </row>
    <row r="688" spans="1:28" ht="18" customHeight="1" x14ac:dyDescent="0.2">
      <c r="A688" s="155"/>
      <c r="B688" s="119" t="s">
        <v>1638</v>
      </c>
      <c r="C688" s="126"/>
      <c r="D688" s="127"/>
      <c r="E688" s="122"/>
      <c r="F688" s="122"/>
      <c r="G688" s="122"/>
      <c r="H688" s="126"/>
      <c r="I688" s="127"/>
      <c r="J688" s="122"/>
      <c r="K688" s="122"/>
      <c r="L688" s="122"/>
      <c r="M688" s="126"/>
      <c r="N688" s="455"/>
      <c r="O688" s="123"/>
      <c r="P688" s="123"/>
      <c r="Q688" s="123"/>
      <c r="R688" s="126"/>
      <c r="S688" s="127"/>
      <c r="T688" s="122"/>
      <c r="U688" s="122"/>
      <c r="V688" s="122"/>
      <c r="W688" s="126"/>
      <c r="X688" s="127"/>
      <c r="Y688" s="122"/>
      <c r="Z688" s="122"/>
      <c r="AA688" s="122"/>
      <c r="AB688" s="126"/>
    </row>
    <row r="689" spans="1:28" ht="18" customHeight="1" x14ac:dyDescent="0.2">
      <c r="A689" s="442"/>
      <c r="B689" s="119" t="s">
        <v>1669</v>
      </c>
      <c r="C689" s="441"/>
      <c r="D689" s="440"/>
      <c r="E689" s="439"/>
      <c r="F689" s="439"/>
      <c r="G689" s="439"/>
      <c r="H689" s="441"/>
      <c r="I689" s="440"/>
      <c r="J689" s="439"/>
      <c r="K689" s="439"/>
      <c r="L689" s="439"/>
      <c r="M689" s="441"/>
      <c r="N689" s="455"/>
      <c r="O689" s="443"/>
      <c r="P689" s="443"/>
      <c r="Q689" s="443"/>
      <c r="R689" s="441"/>
      <c r="S689" s="440"/>
      <c r="T689" s="439"/>
      <c r="U689" s="439"/>
      <c r="V689" s="439"/>
      <c r="W689" s="441"/>
      <c r="X689" s="440"/>
      <c r="Y689" s="439"/>
      <c r="Z689" s="439"/>
      <c r="AA689" s="439"/>
      <c r="AB689" s="441"/>
    </row>
    <row r="690" spans="1:28" ht="18" customHeight="1" x14ac:dyDescent="0.2">
      <c r="A690" s="155"/>
      <c r="B690" s="119" t="s">
        <v>1609</v>
      </c>
      <c r="C690" s="126"/>
      <c r="D690" s="127"/>
      <c r="E690" s="122"/>
      <c r="F690" s="122"/>
      <c r="G690" s="122"/>
      <c r="H690" s="126"/>
      <c r="I690" s="127"/>
      <c r="J690" s="122"/>
      <c r="K690" s="122"/>
      <c r="L690" s="122"/>
      <c r="M690" s="126"/>
      <c r="N690" s="455"/>
      <c r="O690" s="123"/>
      <c r="P690" s="123"/>
      <c r="Q690" s="123"/>
      <c r="R690" s="126"/>
      <c r="S690" s="127"/>
      <c r="T690" s="122"/>
      <c r="U690" s="122"/>
      <c r="V690" s="122"/>
      <c r="W690" s="126"/>
      <c r="X690" s="127"/>
      <c r="Y690" s="122"/>
      <c r="Z690" s="122"/>
      <c r="AA690" s="122"/>
      <c r="AB690" s="126"/>
    </row>
    <row r="691" spans="1:28" ht="31.5" customHeight="1" x14ac:dyDescent="0.2">
      <c r="A691" s="155"/>
      <c r="B691" s="119" t="s">
        <v>1610</v>
      </c>
      <c r="C691" s="126"/>
      <c r="D691" s="127"/>
      <c r="E691" s="122"/>
      <c r="F691" s="122"/>
      <c r="G691" s="122"/>
      <c r="H691" s="126"/>
      <c r="I691" s="127"/>
      <c r="J691" s="122"/>
      <c r="K691" s="122"/>
      <c r="L691" s="122"/>
      <c r="M691" s="126"/>
      <c r="N691" s="455"/>
      <c r="O691" s="123"/>
      <c r="P691" s="123"/>
      <c r="Q691" s="123"/>
      <c r="R691" s="126"/>
      <c r="S691" s="127"/>
      <c r="T691" s="122"/>
      <c r="U691" s="122"/>
      <c r="V691" s="122"/>
      <c r="W691" s="126"/>
      <c r="X691" s="127"/>
      <c r="Y691" s="122"/>
      <c r="Z691" s="122"/>
      <c r="AA691" s="122"/>
      <c r="AB691" s="126"/>
    </row>
    <row r="692" spans="1:28" ht="33" customHeight="1" x14ac:dyDescent="0.2">
      <c r="A692" s="155"/>
      <c r="B692" s="119" t="s">
        <v>1611</v>
      </c>
      <c r="C692" s="126"/>
      <c r="D692" s="127"/>
      <c r="E692" s="122"/>
      <c r="F692" s="122"/>
      <c r="G692" s="122"/>
      <c r="H692" s="126"/>
      <c r="I692" s="127"/>
      <c r="J692" s="122"/>
      <c r="K692" s="122"/>
      <c r="L692" s="122"/>
      <c r="M692" s="126"/>
      <c r="N692" s="455"/>
      <c r="O692" s="123"/>
      <c r="P692" s="123"/>
      <c r="Q692" s="123"/>
      <c r="R692" s="126"/>
      <c r="S692" s="127"/>
      <c r="T692" s="122"/>
      <c r="U692" s="122"/>
      <c r="V692" s="122"/>
      <c r="W692" s="126"/>
      <c r="X692" s="127"/>
      <c r="Y692" s="122"/>
      <c r="Z692" s="122"/>
      <c r="AA692" s="122"/>
      <c r="AB692" s="126"/>
    </row>
    <row r="693" spans="1:28" ht="22.5" customHeight="1" x14ac:dyDescent="0.2">
      <c r="A693" s="155"/>
      <c r="B693" s="119" t="s">
        <v>1612</v>
      </c>
      <c r="C693" s="126"/>
      <c r="D693" s="127"/>
      <c r="E693" s="122"/>
      <c r="F693" s="122"/>
      <c r="G693" s="122"/>
      <c r="H693" s="126"/>
      <c r="I693" s="127"/>
      <c r="J693" s="122"/>
      <c r="K693" s="122"/>
      <c r="L693" s="122"/>
      <c r="M693" s="126"/>
      <c r="N693" s="455"/>
      <c r="O693" s="123"/>
      <c r="P693" s="123"/>
      <c r="Q693" s="123"/>
      <c r="R693" s="126"/>
      <c r="S693" s="127"/>
      <c r="T693" s="122"/>
      <c r="U693" s="122"/>
      <c r="V693" s="122"/>
      <c r="W693" s="126"/>
      <c r="X693" s="127"/>
      <c r="Y693" s="122"/>
      <c r="Z693" s="122"/>
      <c r="AA693" s="122"/>
      <c r="AB693" s="126"/>
    </row>
    <row r="694" spans="1:28" ht="30" customHeight="1" x14ac:dyDescent="0.2">
      <c r="A694" s="155"/>
      <c r="B694" s="119" t="s">
        <v>1613</v>
      </c>
      <c r="C694" s="126"/>
      <c r="D694" s="127"/>
      <c r="E694" s="122"/>
      <c r="F694" s="122"/>
      <c r="G694" s="122"/>
      <c r="H694" s="126"/>
      <c r="I694" s="127"/>
      <c r="J694" s="122"/>
      <c r="K694" s="122"/>
      <c r="L694" s="122"/>
      <c r="M694" s="126"/>
      <c r="N694" s="455"/>
      <c r="O694" s="123"/>
      <c r="P694" s="123"/>
      <c r="Q694" s="123"/>
      <c r="R694" s="126"/>
      <c r="S694" s="127"/>
      <c r="T694" s="122"/>
      <c r="U694" s="122"/>
      <c r="V694" s="122"/>
      <c r="W694" s="126"/>
      <c r="X694" s="127"/>
      <c r="Y694" s="122"/>
      <c r="Z694" s="122"/>
      <c r="AA694" s="122"/>
      <c r="AB694" s="126"/>
    </row>
    <row r="695" spans="1:28" ht="32.25" customHeight="1" x14ac:dyDescent="0.2">
      <c r="A695" s="155"/>
      <c r="B695" s="119" t="s">
        <v>1614</v>
      </c>
      <c r="C695" s="126"/>
      <c r="D695" s="127"/>
      <c r="E695" s="122"/>
      <c r="F695" s="122"/>
      <c r="G695" s="122"/>
      <c r="H695" s="126"/>
      <c r="I695" s="127"/>
      <c r="J695" s="122"/>
      <c r="K695" s="122"/>
      <c r="L695" s="122"/>
      <c r="M695" s="126"/>
      <c r="N695" s="455"/>
      <c r="O695" s="123"/>
      <c r="P695" s="123"/>
      <c r="Q695" s="123"/>
      <c r="R695" s="126"/>
      <c r="S695" s="127"/>
      <c r="T695" s="122"/>
      <c r="U695" s="122"/>
      <c r="V695" s="122"/>
      <c r="W695" s="126"/>
      <c r="X695" s="127"/>
      <c r="Y695" s="122"/>
      <c r="Z695" s="122"/>
      <c r="AA695" s="122"/>
      <c r="AB695" s="126"/>
    </row>
    <row r="696" spans="1:28" ht="33" customHeight="1" x14ac:dyDescent="0.2">
      <c r="A696" s="155"/>
      <c r="B696" s="119" t="s">
        <v>1615</v>
      </c>
      <c r="C696" s="126"/>
      <c r="D696" s="127"/>
      <c r="E696" s="122"/>
      <c r="F696" s="122"/>
      <c r="G696" s="122"/>
      <c r="H696" s="126"/>
      <c r="I696" s="127"/>
      <c r="J696" s="122"/>
      <c r="K696" s="122"/>
      <c r="L696" s="122"/>
      <c r="M696" s="126"/>
      <c r="N696" s="455"/>
      <c r="O696" s="123"/>
      <c r="P696" s="123"/>
      <c r="Q696" s="123"/>
      <c r="R696" s="126"/>
      <c r="S696" s="127"/>
      <c r="T696" s="122"/>
      <c r="U696" s="122"/>
      <c r="V696" s="122"/>
      <c r="W696" s="126"/>
      <c r="X696" s="127"/>
      <c r="Y696" s="122"/>
      <c r="Z696" s="122"/>
      <c r="AA696" s="122"/>
      <c r="AB696" s="126"/>
    </row>
    <row r="697" spans="1:28" ht="18" customHeight="1" x14ac:dyDescent="0.2">
      <c r="A697" s="155"/>
      <c r="B697" s="119" t="s">
        <v>1616</v>
      </c>
      <c r="C697" s="126"/>
      <c r="D697" s="127"/>
      <c r="E697" s="122"/>
      <c r="F697" s="122"/>
      <c r="G697" s="122"/>
      <c r="H697" s="126"/>
      <c r="I697" s="127"/>
      <c r="J697" s="122"/>
      <c r="K697" s="122"/>
      <c r="L697" s="122"/>
      <c r="M697" s="126"/>
      <c r="N697" s="455"/>
      <c r="O697" s="123"/>
      <c r="P697" s="123"/>
      <c r="Q697" s="123"/>
      <c r="R697" s="126"/>
      <c r="S697" s="127"/>
      <c r="T697" s="122"/>
      <c r="U697" s="122"/>
      <c r="V697" s="122"/>
      <c r="W697" s="126"/>
      <c r="X697" s="127"/>
      <c r="Y697" s="122"/>
      <c r="Z697" s="122"/>
      <c r="AA697" s="122"/>
      <c r="AB697" s="126"/>
    </row>
    <row r="698" spans="1:28" ht="19.5" customHeight="1" x14ac:dyDescent="0.2">
      <c r="A698" s="155"/>
      <c r="B698" s="119" t="s">
        <v>1617</v>
      </c>
      <c r="C698" s="126"/>
      <c r="D698" s="127"/>
      <c r="E698" s="122"/>
      <c r="F698" s="122"/>
      <c r="G698" s="122"/>
      <c r="H698" s="126"/>
      <c r="I698" s="127"/>
      <c r="J698" s="122"/>
      <c r="K698" s="122"/>
      <c r="L698" s="122"/>
      <c r="M698" s="126"/>
      <c r="N698" s="455"/>
      <c r="O698" s="123"/>
      <c r="P698" s="123"/>
      <c r="Q698" s="123"/>
      <c r="R698" s="126"/>
      <c r="S698" s="127"/>
      <c r="T698" s="122"/>
      <c r="U698" s="122"/>
      <c r="V698" s="122"/>
      <c r="W698" s="126"/>
      <c r="X698" s="127"/>
      <c r="Y698" s="122"/>
      <c r="Z698" s="122"/>
      <c r="AA698" s="122"/>
      <c r="AB698" s="126"/>
    </row>
    <row r="699" spans="1:28" ht="18" customHeight="1" x14ac:dyDescent="0.2">
      <c r="A699" s="155"/>
      <c r="B699" s="119" t="s">
        <v>1618</v>
      </c>
      <c r="C699" s="126"/>
      <c r="D699" s="127"/>
      <c r="E699" s="122"/>
      <c r="F699" s="122"/>
      <c r="G699" s="122"/>
      <c r="H699" s="126"/>
      <c r="I699" s="127"/>
      <c r="J699" s="122"/>
      <c r="K699" s="122"/>
      <c r="L699" s="122"/>
      <c r="M699" s="126"/>
      <c r="N699" s="455"/>
      <c r="O699" s="123"/>
      <c r="P699" s="123"/>
      <c r="Q699" s="123"/>
      <c r="R699" s="126"/>
      <c r="S699" s="127"/>
      <c r="T699" s="122"/>
      <c r="U699" s="122"/>
      <c r="V699" s="122"/>
      <c r="W699" s="126"/>
      <c r="X699" s="127"/>
      <c r="Y699" s="122"/>
      <c r="Z699" s="122"/>
      <c r="AA699" s="122"/>
      <c r="AB699" s="126"/>
    </row>
    <row r="700" spans="1:28" ht="18.75" customHeight="1" x14ac:dyDescent="0.2">
      <c r="A700" s="155"/>
      <c r="B700" s="119" t="s">
        <v>1619</v>
      </c>
      <c r="C700" s="126"/>
      <c r="D700" s="127"/>
      <c r="E700" s="122"/>
      <c r="F700" s="122"/>
      <c r="G700" s="122"/>
      <c r="H700" s="126"/>
      <c r="I700" s="127"/>
      <c r="J700" s="122"/>
      <c r="K700" s="122"/>
      <c r="L700" s="122"/>
      <c r="M700" s="126"/>
      <c r="N700" s="455"/>
      <c r="O700" s="123"/>
      <c r="P700" s="123"/>
      <c r="Q700" s="123"/>
      <c r="R700" s="126"/>
      <c r="S700" s="127"/>
      <c r="T700" s="122"/>
      <c r="U700" s="122"/>
      <c r="V700" s="122"/>
      <c r="W700" s="126"/>
      <c r="X700" s="127"/>
      <c r="Y700" s="122"/>
      <c r="Z700" s="122"/>
      <c r="AA700" s="122"/>
      <c r="AB700" s="126"/>
    </row>
    <row r="701" spans="1:28" ht="20.25" customHeight="1" x14ac:dyDescent="0.2">
      <c r="A701" s="155"/>
      <c r="B701" s="119" t="s">
        <v>1620</v>
      </c>
      <c r="C701" s="126"/>
      <c r="D701" s="127"/>
      <c r="E701" s="122"/>
      <c r="F701" s="122"/>
      <c r="G701" s="122"/>
      <c r="H701" s="126"/>
      <c r="I701" s="127"/>
      <c r="J701" s="122"/>
      <c r="K701" s="122"/>
      <c r="L701" s="122"/>
      <c r="M701" s="126"/>
      <c r="N701" s="455"/>
      <c r="O701" s="123"/>
      <c r="P701" s="123"/>
      <c r="Q701" s="123"/>
      <c r="R701" s="126"/>
      <c r="S701" s="127"/>
      <c r="T701" s="122"/>
      <c r="U701" s="122"/>
      <c r="V701" s="122"/>
      <c r="W701" s="126"/>
      <c r="X701" s="127"/>
      <c r="Y701" s="122"/>
      <c r="Z701" s="122"/>
      <c r="AA701" s="122"/>
      <c r="AB701" s="126"/>
    </row>
    <row r="702" spans="1:28" ht="32.25" customHeight="1" x14ac:dyDescent="0.2">
      <c r="A702" s="155"/>
      <c r="B702" s="119" t="s">
        <v>1621</v>
      </c>
      <c r="C702" s="126"/>
      <c r="D702" s="127"/>
      <c r="E702" s="122"/>
      <c r="F702" s="122"/>
      <c r="G702" s="122"/>
      <c r="H702" s="126"/>
      <c r="I702" s="127"/>
      <c r="J702" s="122"/>
      <c r="K702" s="122"/>
      <c r="L702" s="122"/>
      <c r="M702" s="126"/>
      <c r="N702" s="455"/>
      <c r="O702" s="123"/>
      <c r="P702" s="123"/>
      <c r="Q702" s="123"/>
      <c r="R702" s="126"/>
      <c r="S702" s="127"/>
      <c r="T702" s="122"/>
      <c r="U702" s="122"/>
      <c r="V702" s="122"/>
      <c r="W702" s="126"/>
      <c r="X702" s="127"/>
      <c r="Y702" s="122"/>
      <c r="Z702" s="122"/>
      <c r="AA702" s="122"/>
      <c r="AB702" s="126"/>
    </row>
    <row r="703" spans="1:28" ht="21" customHeight="1" x14ac:dyDescent="0.2">
      <c r="A703" s="155"/>
      <c r="B703" s="119" t="s">
        <v>1639</v>
      </c>
      <c r="C703" s="126"/>
      <c r="D703" s="127"/>
      <c r="E703" s="122"/>
      <c r="F703" s="122"/>
      <c r="G703" s="122"/>
      <c r="H703" s="126"/>
      <c r="I703" s="127"/>
      <c r="J703" s="122"/>
      <c r="K703" s="122"/>
      <c r="L703" s="122"/>
      <c r="M703" s="126"/>
      <c r="N703" s="455"/>
      <c r="O703" s="123"/>
      <c r="P703" s="123"/>
      <c r="Q703" s="123"/>
      <c r="R703" s="126"/>
      <c r="S703" s="127"/>
      <c r="T703" s="122"/>
      <c r="U703" s="122"/>
      <c r="V703" s="122"/>
      <c r="W703" s="126"/>
      <c r="X703" s="127"/>
      <c r="Y703" s="122"/>
      <c r="Z703" s="122"/>
      <c r="AA703" s="122"/>
      <c r="AB703" s="126"/>
    </row>
    <row r="704" spans="1:28" ht="21" customHeight="1" x14ac:dyDescent="0.2">
      <c r="A704" s="155"/>
      <c r="B704" s="119" t="s">
        <v>1500</v>
      </c>
      <c r="C704" s="126"/>
      <c r="D704" s="127"/>
      <c r="E704" s="122"/>
      <c r="F704" s="122"/>
      <c r="G704" s="122"/>
      <c r="H704" s="126"/>
      <c r="I704" s="127"/>
      <c r="J704" s="122"/>
      <c r="K704" s="122"/>
      <c r="L704" s="122"/>
      <c r="M704" s="126"/>
      <c r="N704" s="455"/>
      <c r="O704" s="123"/>
      <c r="P704" s="123"/>
      <c r="Q704" s="123"/>
      <c r="R704" s="126"/>
      <c r="S704" s="127"/>
      <c r="T704" s="122"/>
      <c r="U704" s="122"/>
      <c r="V704" s="122"/>
      <c r="W704" s="126"/>
      <c r="X704" s="127"/>
      <c r="Y704" s="122"/>
      <c r="Z704" s="122"/>
      <c r="AA704" s="122"/>
      <c r="AB704" s="126"/>
    </row>
    <row r="705" spans="1:28" ht="29.25" customHeight="1" x14ac:dyDescent="0.2">
      <c r="A705" s="155"/>
      <c r="B705" s="119" t="s">
        <v>1624</v>
      </c>
      <c r="C705" s="126"/>
      <c r="D705" s="127"/>
      <c r="E705" s="122"/>
      <c r="F705" s="122"/>
      <c r="G705" s="122"/>
      <c r="H705" s="126"/>
      <c r="I705" s="127"/>
      <c r="J705" s="122"/>
      <c r="K705" s="122"/>
      <c r="L705" s="122"/>
      <c r="M705" s="126"/>
      <c r="N705" s="455"/>
      <c r="O705" s="123"/>
      <c r="P705" s="123"/>
      <c r="Q705" s="123"/>
      <c r="R705" s="126"/>
      <c r="S705" s="127"/>
      <c r="T705" s="122"/>
      <c r="U705" s="122"/>
      <c r="V705" s="122"/>
      <c r="W705" s="126"/>
      <c r="X705" s="127"/>
      <c r="Y705" s="122"/>
      <c r="Z705" s="122"/>
      <c r="AA705" s="122"/>
      <c r="AB705" s="126"/>
    </row>
    <row r="706" spans="1:28" ht="18" customHeight="1" x14ac:dyDescent="0.2">
      <c r="A706" s="460" t="s">
        <v>445</v>
      </c>
      <c r="B706" s="114" t="s">
        <v>597</v>
      </c>
      <c r="C706" s="459">
        <v>0</v>
      </c>
      <c r="D706" s="454">
        <v>0</v>
      </c>
      <c r="E706" s="115"/>
      <c r="F706" s="115"/>
      <c r="G706" s="115"/>
      <c r="H706" s="459">
        <f>SUM(I706+L706)</f>
        <v>314</v>
      </c>
      <c r="I706" s="454">
        <v>314</v>
      </c>
      <c r="J706" s="115"/>
      <c r="K706" s="115"/>
      <c r="L706" s="115"/>
      <c r="M706" s="459">
        <f>N706</f>
        <v>314</v>
      </c>
      <c r="N706" s="454">
        <v>314</v>
      </c>
      <c r="O706" s="116"/>
      <c r="P706" s="116"/>
      <c r="Q706" s="116"/>
      <c r="R706" s="459">
        <f>SUM(S706:V706)</f>
        <v>3317</v>
      </c>
      <c r="S706" s="454">
        <f>458+2386+1183-458-126-126</f>
        <v>3317</v>
      </c>
      <c r="T706" s="115"/>
      <c r="U706" s="115"/>
      <c r="V706" s="115"/>
      <c r="W706" s="459">
        <v>0</v>
      </c>
      <c r="X706" s="454">
        <v>0</v>
      </c>
      <c r="Y706" s="115"/>
      <c r="Z706" s="115"/>
      <c r="AA706" s="115"/>
      <c r="AB706" s="459">
        <f>C706+H706+M706+R706+W706</f>
        <v>3945</v>
      </c>
    </row>
    <row r="707" spans="1:28" ht="18" customHeight="1" x14ac:dyDescent="0.2">
      <c r="A707" s="461"/>
      <c r="B707" s="118" t="s">
        <v>562</v>
      </c>
      <c r="C707" s="457"/>
      <c r="D707" s="455"/>
      <c r="E707" s="115"/>
      <c r="F707" s="115"/>
      <c r="G707" s="115"/>
      <c r="H707" s="457"/>
      <c r="I707" s="455"/>
      <c r="J707" s="115"/>
      <c r="K707" s="115"/>
      <c r="L707" s="115"/>
      <c r="M707" s="457"/>
      <c r="N707" s="455"/>
      <c r="O707" s="116"/>
      <c r="P707" s="116"/>
      <c r="Q707" s="116"/>
      <c r="R707" s="457"/>
      <c r="S707" s="455"/>
      <c r="T707" s="115"/>
      <c r="U707" s="115"/>
      <c r="V707" s="115"/>
      <c r="W707" s="457"/>
      <c r="X707" s="455"/>
      <c r="Y707" s="115"/>
      <c r="Z707" s="115"/>
      <c r="AA707" s="115"/>
      <c r="AB707" s="457"/>
    </row>
    <row r="708" spans="1:28" ht="18" customHeight="1" x14ac:dyDescent="0.2">
      <c r="A708" s="461"/>
      <c r="B708" s="119" t="s">
        <v>1021</v>
      </c>
      <c r="C708" s="457"/>
      <c r="D708" s="455"/>
      <c r="E708" s="115"/>
      <c r="F708" s="115"/>
      <c r="G708" s="115"/>
      <c r="H708" s="457"/>
      <c r="I708" s="455"/>
      <c r="J708" s="115"/>
      <c r="K708" s="115"/>
      <c r="L708" s="115"/>
      <c r="M708" s="457"/>
      <c r="N708" s="455"/>
      <c r="O708" s="116"/>
      <c r="P708" s="116"/>
      <c r="Q708" s="116"/>
      <c r="R708" s="457"/>
      <c r="S708" s="455"/>
      <c r="T708" s="115"/>
      <c r="U708" s="115"/>
      <c r="V708" s="115"/>
      <c r="W708" s="457"/>
      <c r="X708" s="455"/>
      <c r="Y708" s="115"/>
      <c r="Z708" s="115"/>
      <c r="AA708" s="115"/>
      <c r="AB708" s="457"/>
    </row>
    <row r="709" spans="1:28" ht="18" customHeight="1" x14ac:dyDescent="0.2">
      <c r="A709" s="461"/>
      <c r="B709" s="118" t="s">
        <v>563</v>
      </c>
      <c r="C709" s="457"/>
      <c r="D709" s="455"/>
      <c r="E709" s="115"/>
      <c r="F709" s="115"/>
      <c r="G709" s="115"/>
      <c r="H709" s="457"/>
      <c r="I709" s="455"/>
      <c r="J709" s="115"/>
      <c r="K709" s="115"/>
      <c r="L709" s="115"/>
      <c r="M709" s="457"/>
      <c r="N709" s="455"/>
      <c r="O709" s="116"/>
      <c r="P709" s="116"/>
      <c r="Q709" s="116"/>
      <c r="R709" s="457"/>
      <c r="S709" s="455"/>
      <c r="T709" s="115"/>
      <c r="U709" s="115"/>
      <c r="V709" s="115"/>
      <c r="W709" s="457"/>
      <c r="X709" s="455"/>
      <c r="Y709" s="115"/>
      <c r="Z709" s="115"/>
      <c r="AA709" s="115"/>
      <c r="AB709" s="457"/>
    </row>
    <row r="710" spans="1:28" ht="18" customHeight="1" x14ac:dyDescent="0.2">
      <c r="A710" s="461"/>
      <c r="B710" s="119" t="s">
        <v>1640</v>
      </c>
      <c r="C710" s="457"/>
      <c r="D710" s="455"/>
      <c r="E710" s="115"/>
      <c r="F710" s="115"/>
      <c r="G710" s="115"/>
      <c r="H710" s="457"/>
      <c r="I710" s="455"/>
      <c r="J710" s="115"/>
      <c r="K710" s="115"/>
      <c r="L710" s="115"/>
      <c r="M710" s="457"/>
      <c r="N710" s="455"/>
      <c r="O710" s="116"/>
      <c r="P710" s="116"/>
      <c r="Q710" s="116"/>
      <c r="R710" s="457"/>
      <c r="S710" s="455"/>
      <c r="T710" s="115"/>
      <c r="U710" s="115"/>
      <c r="V710" s="115"/>
      <c r="W710" s="457"/>
      <c r="X710" s="455"/>
      <c r="Y710" s="115"/>
      <c r="Z710" s="115"/>
      <c r="AA710" s="115"/>
      <c r="AB710" s="457"/>
    </row>
    <row r="711" spans="1:28" ht="20.25" customHeight="1" x14ac:dyDescent="0.2">
      <c r="A711" s="460" t="s">
        <v>446</v>
      </c>
      <c r="B711" s="114" t="s">
        <v>393</v>
      </c>
      <c r="C711" s="459">
        <v>0</v>
      </c>
      <c r="D711" s="454">
        <v>0</v>
      </c>
      <c r="E711" s="115"/>
      <c r="F711" s="115"/>
      <c r="G711" s="115"/>
      <c r="H711" s="459">
        <f>SUM(I711+L711)</f>
        <v>2279</v>
      </c>
      <c r="I711" s="454">
        <v>2279</v>
      </c>
      <c r="J711" s="115"/>
      <c r="K711" s="115"/>
      <c r="L711" s="115"/>
      <c r="M711" s="459">
        <f>N711</f>
        <v>0</v>
      </c>
      <c r="N711" s="454">
        <v>0</v>
      </c>
      <c r="O711" s="116"/>
      <c r="P711" s="116"/>
      <c r="Q711" s="116"/>
      <c r="R711" s="459">
        <f>SUM(S711:V711)</f>
        <v>245</v>
      </c>
      <c r="S711" s="454">
        <f>456-209-2</f>
        <v>245</v>
      </c>
      <c r="T711" s="115"/>
      <c r="U711" s="115"/>
      <c r="V711" s="115"/>
      <c r="W711" s="459">
        <f>X711</f>
        <v>0</v>
      </c>
      <c r="X711" s="454">
        <f>5500-2226-3274</f>
        <v>0</v>
      </c>
      <c r="Y711" s="115"/>
      <c r="Z711" s="115"/>
      <c r="AA711" s="115"/>
      <c r="AB711" s="459">
        <f>C711+H711+M711+R711+W711</f>
        <v>2524</v>
      </c>
    </row>
    <row r="712" spans="1:28" ht="18" customHeight="1" x14ac:dyDescent="0.2">
      <c r="A712" s="461"/>
      <c r="B712" s="118" t="s">
        <v>138</v>
      </c>
      <c r="C712" s="457"/>
      <c r="D712" s="455"/>
      <c r="E712" s="115"/>
      <c r="F712" s="115"/>
      <c r="G712" s="115"/>
      <c r="H712" s="457"/>
      <c r="I712" s="455"/>
      <c r="J712" s="115"/>
      <c r="K712" s="115"/>
      <c r="L712" s="115"/>
      <c r="M712" s="457"/>
      <c r="N712" s="455"/>
      <c r="O712" s="116"/>
      <c r="P712" s="116"/>
      <c r="Q712" s="116"/>
      <c r="R712" s="457"/>
      <c r="S712" s="455"/>
      <c r="T712" s="115"/>
      <c r="U712" s="115"/>
      <c r="V712" s="115"/>
      <c r="W712" s="457"/>
      <c r="X712" s="455"/>
      <c r="Y712" s="115"/>
      <c r="Z712" s="115"/>
      <c r="AA712" s="115"/>
      <c r="AB712" s="457"/>
    </row>
    <row r="713" spans="1:28" ht="32.25" customHeight="1" x14ac:dyDescent="0.2">
      <c r="A713" s="461"/>
      <c r="B713" s="119" t="s">
        <v>1022</v>
      </c>
      <c r="C713" s="457"/>
      <c r="D713" s="455"/>
      <c r="E713" s="115"/>
      <c r="F713" s="115"/>
      <c r="G713" s="115"/>
      <c r="H713" s="457"/>
      <c r="I713" s="455"/>
      <c r="J713" s="115"/>
      <c r="K713" s="115"/>
      <c r="L713" s="115"/>
      <c r="M713" s="457"/>
      <c r="N713" s="455"/>
      <c r="O713" s="116"/>
      <c r="P713" s="116"/>
      <c r="Q713" s="116"/>
      <c r="R713" s="457"/>
      <c r="S713" s="455"/>
      <c r="T713" s="115"/>
      <c r="U713" s="115"/>
      <c r="V713" s="115"/>
      <c r="W713" s="457"/>
      <c r="X713" s="455"/>
      <c r="Y713" s="115"/>
      <c r="Z713" s="115"/>
      <c r="AA713" s="115"/>
      <c r="AB713" s="457"/>
    </row>
    <row r="714" spans="1:28" ht="18" customHeight="1" x14ac:dyDescent="0.2">
      <c r="A714" s="461"/>
      <c r="B714" s="119" t="s">
        <v>1023</v>
      </c>
      <c r="C714" s="457"/>
      <c r="D714" s="455"/>
      <c r="E714" s="115"/>
      <c r="F714" s="115"/>
      <c r="G714" s="115"/>
      <c r="H714" s="457"/>
      <c r="I714" s="455"/>
      <c r="J714" s="115"/>
      <c r="K714" s="115"/>
      <c r="L714" s="115"/>
      <c r="M714" s="457"/>
      <c r="N714" s="455"/>
      <c r="O714" s="116"/>
      <c r="P714" s="116"/>
      <c r="Q714" s="116"/>
      <c r="R714" s="457"/>
      <c r="S714" s="455"/>
      <c r="T714" s="115"/>
      <c r="U714" s="115"/>
      <c r="V714" s="115"/>
      <c r="W714" s="457"/>
      <c r="X714" s="455"/>
      <c r="Y714" s="115"/>
      <c r="Z714" s="115"/>
      <c r="AA714" s="115"/>
      <c r="AB714" s="457"/>
    </row>
    <row r="715" spans="1:28" ht="18" customHeight="1" x14ac:dyDescent="0.2">
      <c r="A715" s="461"/>
      <c r="B715" s="119" t="s">
        <v>1024</v>
      </c>
      <c r="C715" s="457"/>
      <c r="D715" s="455"/>
      <c r="E715" s="115"/>
      <c r="F715" s="115"/>
      <c r="G715" s="115"/>
      <c r="H715" s="457"/>
      <c r="I715" s="455"/>
      <c r="J715" s="115"/>
      <c r="K715" s="115"/>
      <c r="L715" s="115"/>
      <c r="M715" s="457"/>
      <c r="N715" s="455"/>
      <c r="O715" s="116"/>
      <c r="P715" s="116"/>
      <c r="Q715" s="116"/>
      <c r="R715" s="457"/>
      <c r="S715" s="455"/>
      <c r="T715" s="115"/>
      <c r="U715" s="115"/>
      <c r="V715" s="115"/>
      <c r="W715" s="457"/>
      <c r="X715" s="455"/>
      <c r="Y715" s="115"/>
      <c r="Z715" s="115"/>
      <c r="AA715" s="115"/>
      <c r="AB715" s="457"/>
    </row>
    <row r="716" spans="1:28" ht="36" customHeight="1" x14ac:dyDescent="0.2">
      <c r="A716" s="461"/>
      <c r="B716" s="119" t="s">
        <v>1025</v>
      </c>
      <c r="C716" s="457"/>
      <c r="D716" s="455"/>
      <c r="E716" s="115"/>
      <c r="F716" s="115"/>
      <c r="G716" s="115"/>
      <c r="H716" s="457"/>
      <c r="I716" s="455"/>
      <c r="J716" s="115"/>
      <c r="K716" s="115"/>
      <c r="L716" s="115"/>
      <c r="M716" s="457"/>
      <c r="N716" s="455"/>
      <c r="O716" s="116"/>
      <c r="P716" s="116"/>
      <c r="Q716" s="116"/>
      <c r="R716" s="457"/>
      <c r="S716" s="455"/>
      <c r="T716" s="115"/>
      <c r="U716" s="115"/>
      <c r="V716" s="115"/>
      <c r="W716" s="457"/>
      <c r="X716" s="455"/>
      <c r="Y716" s="115"/>
      <c r="Z716" s="115"/>
      <c r="AA716" s="115"/>
      <c r="AB716" s="457"/>
    </row>
    <row r="717" spans="1:28" ht="18" customHeight="1" x14ac:dyDescent="0.2">
      <c r="A717" s="461"/>
      <c r="B717" s="119" t="s">
        <v>1026</v>
      </c>
      <c r="C717" s="457"/>
      <c r="D717" s="455"/>
      <c r="E717" s="115"/>
      <c r="F717" s="115"/>
      <c r="G717" s="115"/>
      <c r="H717" s="457"/>
      <c r="I717" s="455"/>
      <c r="J717" s="115"/>
      <c r="K717" s="115"/>
      <c r="L717" s="115"/>
      <c r="M717" s="457"/>
      <c r="N717" s="455"/>
      <c r="O717" s="116"/>
      <c r="P717" s="116"/>
      <c r="Q717" s="116"/>
      <c r="R717" s="457"/>
      <c r="S717" s="455"/>
      <c r="T717" s="115"/>
      <c r="U717" s="115"/>
      <c r="V717" s="115"/>
      <c r="W717" s="457"/>
      <c r="X717" s="455"/>
      <c r="Y717" s="115"/>
      <c r="Z717" s="115"/>
      <c r="AA717" s="115"/>
      <c r="AB717" s="457"/>
    </row>
    <row r="718" spans="1:28" ht="33" customHeight="1" x14ac:dyDescent="0.2">
      <c r="A718" s="461"/>
      <c r="B718" s="119" t="s">
        <v>1027</v>
      </c>
      <c r="C718" s="457"/>
      <c r="D718" s="455"/>
      <c r="E718" s="115"/>
      <c r="F718" s="115"/>
      <c r="G718" s="115"/>
      <c r="H718" s="457"/>
      <c r="I718" s="455"/>
      <c r="J718" s="115"/>
      <c r="K718" s="115"/>
      <c r="L718" s="115"/>
      <c r="M718" s="457"/>
      <c r="N718" s="455"/>
      <c r="O718" s="116"/>
      <c r="P718" s="116"/>
      <c r="Q718" s="116"/>
      <c r="R718" s="457"/>
      <c r="S718" s="455"/>
      <c r="T718" s="115"/>
      <c r="U718" s="115"/>
      <c r="V718" s="115"/>
      <c r="W718" s="457"/>
      <c r="X718" s="455"/>
      <c r="Y718" s="115"/>
      <c r="Z718" s="115"/>
      <c r="AA718" s="115"/>
      <c r="AB718" s="457"/>
    </row>
    <row r="719" spans="1:28" ht="18" customHeight="1" x14ac:dyDescent="0.2">
      <c r="A719" s="461"/>
      <c r="B719" s="119" t="s">
        <v>1028</v>
      </c>
      <c r="C719" s="457"/>
      <c r="D719" s="455"/>
      <c r="E719" s="115"/>
      <c r="F719" s="115"/>
      <c r="G719" s="115"/>
      <c r="H719" s="457"/>
      <c r="I719" s="455"/>
      <c r="J719" s="115"/>
      <c r="K719" s="115"/>
      <c r="L719" s="115"/>
      <c r="M719" s="457"/>
      <c r="N719" s="455"/>
      <c r="O719" s="116"/>
      <c r="P719" s="116"/>
      <c r="Q719" s="116"/>
      <c r="R719" s="457"/>
      <c r="S719" s="455"/>
      <c r="T719" s="115"/>
      <c r="U719" s="115"/>
      <c r="V719" s="115"/>
      <c r="W719" s="457"/>
      <c r="X719" s="455"/>
      <c r="Y719" s="115"/>
      <c r="Z719" s="115"/>
      <c r="AA719" s="115"/>
      <c r="AB719" s="457"/>
    </row>
    <row r="720" spans="1:28" ht="18" customHeight="1" x14ac:dyDescent="0.2">
      <c r="A720" s="461"/>
      <c r="B720" s="119" t="s">
        <v>1029</v>
      </c>
      <c r="C720" s="457"/>
      <c r="D720" s="455"/>
      <c r="E720" s="115"/>
      <c r="F720" s="115"/>
      <c r="G720" s="115"/>
      <c r="H720" s="457"/>
      <c r="I720" s="455"/>
      <c r="J720" s="115"/>
      <c r="K720" s="115"/>
      <c r="L720" s="115"/>
      <c r="M720" s="457"/>
      <c r="N720" s="455"/>
      <c r="O720" s="116"/>
      <c r="P720" s="116"/>
      <c r="Q720" s="116"/>
      <c r="R720" s="457"/>
      <c r="S720" s="455"/>
      <c r="T720" s="115"/>
      <c r="U720" s="115"/>
      <c r="V720" s="115"/>
      <c r="W720" s="457"/>
      <c r="X720" s="455"/>
      <c r="Y720" s="115"/>
      <c r="Z720" s="115"/>
      <c r="AA720" s="115"/>
      <c r="AB720" s="457"/>
    </row>
    <row r="721" spans="1:28" ht="32.25" customHeight="1" x14ac:dyDescent="0.2">
      <c r="A721" s="461"/>
      <c r="B721" s="119" t="s">
        <v>1030</v>
      </c>
      <c r="C721" s="457"/>
      <c r="D721" s="455"/>
      <c r="E721" s="115"/>
      <c r="F721" s="115"/>
      <c r="G721" s="115"/>
      <c r="H721" s="457"/>
      <c r="I721" s="455"/>
      <c r="J721" s="115"/>
      <c r="K721" s="115"/>
      <c r="L721" s="115"/>
      <c r="M721" s="457"/>
      <c r="N721" s="455"/>
      <c r="O721" s="116"/>
      <c r="P721" s="116"/>
      <c r="Q721" s="116"/>
      <c r="R721" s="457"/>
      <c r="S721" s="455"/>
      <c r="T721" s="115"/>
      <c r="U721" s="115"/>
      <c r="V721" s="115"/>
      <c r="W721" s="457"/>
      <c r="X721" s="455"/>
      <c r="Y721" s="115"/>
      <c r="Z721" s="115"/>
      <c r="AA721" s="115"/>
      <c r="AB721" s="457"/>
    </row>
    <row r="722" spans="1:28" ht="18" customHeight="1" x14ac:dyDescent="0.2">
      <c r="A722" s="461"/>
      <c r="B722" s="118" t="s">
        <v>357</v>
      </c>
      <c r="C722" s="457"/>
      <c r="D722" s="455"/>
      <c r="E722" s="115"/>
      <c r="F722" s="115"/>
      <c r="G722" s="115"/>
      <c r="H722" s="457"/>
      <c r="I722" s="455"/>
      <c r="J722" s="115"/>
      <c r="K722" s="115"/>
      <c r="L722" s="115"/>
      <c r="M722" s="457"/>
      <c r="N722" s="455"/>
      <c r="O722" s="116"/>
      <c r="P722" s="116"/>
      <c r="Q722" s="116"/>
      <c r="R722" s="457"/>
      <c r="S722" s="455"/>
      <c r="T722" s="115"/>
      <c r="U722" s="115"/>
      <c r="V722" s="115"/>
      <c r="W722" s="457"/>
      <c r="X722" s="455"/>
      <c r="Y722" s="115"/>
      <c r="Z722" s="115"/>
      <c r="AA722" s="115"/>
      <c r="AB722" s="457"/>
    </row>
    <row r="723" spans="1:28" ht="41.25" customHeight="1" x14ac:dyDescent="0.2">
      <c r="A723" s="461"/>
      <c r="B723" s="119" t="s">
        <v>1031</v>
      </c>
      <c r="C723" s="457"/>
      <c r="D723" s="455"/>
      <c r="E723" s="115"/>
      <c r="F723" s="115"/>
      <c r="G723" s="115"/>
      <c r="H723" s="457"/>
      <c r="I723" s="455"/>
      <c r="J723" s="115"/>
      <c r="K723" s="115"/>
      <c r="L723" s="115"/>
      <c r="M723" s="457"/>
      <c r="N723" s="455"/>
      <c r="O723" s="116"/>
      <c r="P723" s="116"/>
      <c r="Q723" s="116"/>
      <c r="R723" s="457"/>
      <c r="S723" s="455"/>
      <c r="T723" s="115"/>
      <c r="U723" s="115"/>
      <c r="V723" s="115"/>
      <c r="W723" s="457"/>
      <c r="X723" s="455"/>
      <c r="Y723" s="115"/>
      <c r="Z723" s="115"/>
      <c r="AA723" s="115"/>
      <c r="AB723" s="457"/>
    </row>
    <row r="724" spans="1:28" ht="24.75" customHeight="1" x14ac:dyDescent="0.2">
      <c r="A724" s="462"/>
      <c r="B724" s="160" t="s">
        <v>1032</v>
      </c>
      <c r="C724" s="458"/>
      <c r="D724" s="456"/>
      <c r="E724" s="115"/>
      <c r="F724" s="115"/>
      <c r="G724" s="115"/>
      <c r="H724" s="458"/>
      <c r="I724" s="456"/>
      <c r="J724" s="115"/>
      <c r="K724" s="115"/>
      <c r="L724" s="115"/>
      <c r="M724" s="458"/>
      <c r="N724" s="456"/>
      <c r="O724" s="116"/>
      <c r="P724" s="116"/>
      <c r="Q724" s="116"/>
      <c r="R724" s="458"/>
      <c r="S724" s="456"/>
      <c r="T724" s="115"/>
      <c r="U724" s="115"/>
      <c r="V724" s="115"/>
      <c r="W724" s="458"/>
      <c r="X724" s="456"/>
      <c r="Y724" s="115"/>
      <c r="Z724" s="115"/>
      <c r="AA724" s="115"/>
      <c r="AB724" s="458"/>
    </row>
    <row r="725" spans="1:28" ht="19.5" customHeight="1" x14ac:dyDescent="0.2">
      <c r="A725" s="460" t="s">
        <v>447</v>
      </c>
      <c r="B725" s="180" t="s">
        <v>397</v>
      </c>
      <c r="C725" s="181">
        <v>0</v>
      </c>
      <c r="D725" s="454">
        <v>0</v>
      </c>
      <c r="E725" s="115"/>
      <c r="F725" s="115"/>
      <c r="G725" s="115"/>
      <c r="H725" s="459">
        <f>SUM(I725+L725)</f>
        <v>6496</v>
      </c>
      <c r="I725" s="454">
        <v>6496</v>
      </c>
      <c r="J725" s="115"/>
      <c r="K725" s="115"/>
      <c r="L725" s="115"/>
      <c r="M725" s="459">
        <f>N725</f>
        <v>4570</v>
      </c>
      <c r="N725" s="454">
        <f>3914+214+442</f>
        <v>4570</v>
      </c>
      <c r="O725" s="116"/>
      <c r="P725" s="116"/>
      <c r="Q725" s="116"/>
      <c r="R725" s="459">
        <f>SUM(S725:V725)</f>
        <v>3164</v>
      </c>
      <c r="S725" s="454">
        <f>1403+1255+539-227+227-33</f>
        <v>3164</v>
      </c>
      <c r="T725" s="115"/>
      <c r="U725" s="115"/>
      <c r="V725" s="115"/>
      <c r="W725" s="459">
        <f>X725</f>
        <v>1778</v>
      </c>
      <c r="X725" s="454">
        <f>2011-39-194</f>
        <v>1778</v>
      </c>
      <c r="Y725" s="115"/>
      <c r="Z725" s="115"/>
      <c r="AA725" s="115"/>
      <c r="AB725" s="459">
        <f>C725+H725+M725+R725+W725</f>
        <v>16008</v>
      </c>
    </row>
    <row r="726" spans="1:28" ht="18.75" customHeight="1" x14ac:dyDescent="0.2">
      <c r="A726" s="461"/>
      <c r="B726" s="182" t="s">
        <v>138</v>
      </c>
      <c r="C726" s="171"/>
      <c r="D726" s="455"/>
      <c r="E726" s="115"/>
      <c r="F726" s="115"/>
      <c r="G726" s="115"/>
      <c r="H726" s="457"/>
      <c r="I726" s="455"/>
      <c r="J726" s="115"/>
      <c r="K726" s="115"/>
      <c r="L726" s="115"/>
      <c r="M726" s="457"/>
      <c r="N726" s="455"/>
      <c r="O726" s="116"/>
      <c r="P726" s="116"/>
      <c r="Q726" s="116"/>
      <c r="R726" s="457"/>
      <c r="S726" s="455"/>
      <c r="T726" s="115"/>
      <c r="U726" s="115"/>
      <c r="V726" s="115"/>
      <c r="W726" s="457"/>
      <c r="X726" s="455"/>
      <c r="Y726" s="115"/>
      <c r="Z726" s="115"/>
      <c r="AA726" s="115"/>
      <c r="AB726" s="457"/>
    </row>
    <row r="727" spans="1:28" ht="24" customHeight="1" x14ac:dyDescent="0.2">
      <c r="A727" s="461"/>
      <c r="B727" s="168" t="s">
        <v>1033</v>
      </c>
      <c r="C727" s="171"/>
      <c r="D727" s="455"/>
      <c r="E727" s="115"/>
      <c r="F727" s="115"/>
      <c r="G727" s="115"/>
      <c r="H727" s="457"/>
      <c r="I727" s="455"/>
      <c r="J727" s="115"/>
      <c r="K727" s="115"/>
      <c r="L727" s="115"/>
      <c r="M727" s="457"/>
      <c r="N727" s="455"/>
      <c r="O727" s="116"/>
      <c r="P727" s="116"/>
      <c r="Q727" s="116"/>
      <c r="R727" s="457"/>
      <c r="S727" s="455"/>
      <c r="T727" s="115"/>
      <c r="U727" s="115"/>
      <c r="V727" s="115"/>
      <c r="W727" s="457"/>
      <c r="X727" s="455"/>
      <c r="Y727" s="115"/>
      <c r="Z727" s="115"/>
      <c r="AA727" s="115"/>
      <c r="AB727" s="457"/>
    </row>
    <row r="728" spans="1:28" ht="30.75" customHeight="1" x14ac:dyDescent="0.25">
      <c r="A728" s="461"/>
      <c r="B728" s="183" t="s">
        <v>1034</v>
      </c>
      <c r="C728" s="171"/>
      <c r="D728" s="455"/>
      <c r="E728" s="115"/>
      <c r="F728" s="115"/>
      <c r="G728" s="115"/>
      <c r="H728" s="457"/>
      <c r="I728" s="455"/>
      <c r="J728" s="115"/>
      <c r="K728" s="115"/>
      <c r="L728" s="115"/>
      <c r="M728" s="457"/>
      <c r="N728" s="455"/>
      <c r="O728" s="116"/>
      <c r="P728" s="116"/>
      <c r="Q728" s="116"/>
      <c r="R728" s="457"/>
      <c r="S728" s="455"/>
      <c r="T728" s="115"/>
      <c r="U728" s="115"/>
      <c r="V728" s="115"/>
      <c r="W728" s="457"/>
      <c r="X728" s="455"/>
      <c r="Y728" s="115"/>
      <c r="Z728" s="115"/>
      <c r="AA728" s="115"/>
      <c r="AB728" s="457"/>
    </row>
    <row r="729" spans="1:28" ht="18.75" customHeight="1" x14ac:dyDescent="0.25">
      <c r="A729" s="461"/>
      <c r="B729" s="184" t="s">
        <v>1035</v>
      </c>
      <c r="C729" s="171"/>
      <c r="D729" s="455"/>
      <c r="E729" s="115"/>
      <c r="F729" s="115"/>
      <c r="G729" s="115"/>
      <c r="H729" s="457"/>
      <c r="I729" s="455"/>
      <c r="J729" s="115"/>
      <c r="K729" s="115"/>
      <c r="L729" s="115"/>
      <c r="M729" s="457"/>
      <c r="N729" s="455"/>
      <c r="O729" s="116"/>
      <c r="P729" s="116"/>
      <c r="Q729" s="116"/>
      <c r="R729" s="457"/>
      <c r="S729" s="455"/>
      <c r="T729" s="115"/>
      <c r="U729" s="115"/>
      <c r="V729" s="115"/>
      <c r="W729" s="457"/>
      <c r="X729" s="455"/>
      <c r="Y729" s="115"/>
      <c r="Z729" s="115"/>
      <c r="AA729" s="115"/>
      <c r="AB729" s="457"/>
    </row>
    <row r="730" spans="1:28" ht="18.75" customHeight="1" x14ac:dyDescent="0.2">
      <c r="A730" s="461"/>
      <c r="B730" s="168" t="s">
        <v>1036</v>
      </c>
      <c r="C730" s="171"/>
      <c r="D730" s="455"/>
      <c r="E730" s="115"/>
      <c r="F730" s="115"/>
      <c r="G730" s="115"/>
      <c r="H730" s="457"/>
      <c r="I730" s="455"/>
      <c r="J730" s="115"/>
      <c r="K730" s="115"/>
      <c r="L730" s="115"/>
      <c r="M730" s="457"/>
      <c r="N730" s="455"/>
      <c r="O730" s="116"/>
      <c r="P730" s="116"/>
      <c r="Q730" s="116"/>
      <c r="R730" s="457"/>
      <c r="S730" s="455"/>
      <c r="T730" s="115"/>
      <c r="U730" s="115"/>
      <c r="V730" s="115"/>
      <c r="W730" s="457"/>
      <c r="X730" s="455"/>
      <c r="Y730" s="115"/>
      <c r="Z730" s="115"/>
      <c r="AA730" s="115"/>
      <c r="AB730" s="457"/>
    </row>
    <row r="731" spans="1:28" ht="18.75" customHeight="1" x14ac:dyDescent="0.2">
      <c r="A731" s="461"/>
      <c r="B731" s="168" t="s">
        <v>1037</v>
      </c>
      <c r="C731" s="171"/>
      <c r="D731" s="455"/>
      <c r="E731" s="115"/>
      <c r="F731" s="115"/>
      <c r="G731" s="115"/>
      <c r="H731" s="457"/>
      <c r="I731" s="455"/>
      <c r="J731" s="115"/>
      <c r="K731" s="115"/>
      <c r="L731" s="115"/>
      <c r="M731" s="457"/>
      <c r="N731" s="455"/>
      <c r="O731" s="116"/>
      <c r="P731" s="116"/>
      <c r="Q731" s="116"/>
      <c r="R731" s="457"/>
      <c r="S731" s="455"/>
      <c r="T731" s="115"/>
      <c r="U731" s="115"/>
      <c r="V731" s="115"/>
      <c r="W731" s="457"/>
      <c r="X731" s="455"/>
      <c r="Y731" s="115"/>
      <c r="Z731" s="115"/>
      <c r="AA731" s="115"/>
      <c r="AB731" s="457"/>
    </row>
    <row r="732" spans="1:28" ht="18.75" customHeight="1" x14ac:dyDescent="0.2">
      <c r="A732" s="461"/>
      <c r="B732" s="168" t="s">
        <v>1038</v>
      </c>
      <c r="C732" s="171"/>
      <c r="D732" s="455"/>
      <c r="E732" s="115"/>
      <c r="F732" s="115"/>
      <c r="G732" s="115"/>
      <c r="H732" s="457"/>
      <c r="I732" s="455"/>
      <c r="J732" s="115"/>
      <c r="K732" s="115"/>
      <c r="L732" s="115"/>
      <c r="M732" s="457"/>
      <c r="N732" s="455"/>
      <c r="O732" s="116"/>
      <c r="P732" s="116"/>
      <c r="Q732" s="116"/>
      <c r="R732" s="457"/>
      <c r="S732" s="455"/>
      <c r="T732" s="115"/>
      <c r="U732" s="115"/>
      <c r="V732" s="115"/>
      <c r="W732" s="457"/>
      <c r="X732" s="455"/>
      <c r="Y732" s="115"/>
      <c r="Z732" s="115"/>
      <c r="AA732" s="115"/>
      <c r="AB732" s="457"/>
    </row>
    <row r="733" spans="1:28" ht="18.75" customHeight="1" x14ac:dyDescent="0.2">
      <c r="A733" s="461"/>
      <c r="B733" s="168" t="s">
        <v>1039</v>
      </c>
      <c r="C733" s="171"/>
      <c r="D733" s="455"/>
      <c r="E733" s="115"/>
      <c r="F733" s="115"/>
      <c r="G733" s="115"/>
      <c r="H733" s="457"/>
      <c r="I733" s="455"/>
      <c r="J733" s="115"/>
      <c r="K733" s="115"/>
      <c r="L733" s="115"/>
      <c r="M733" s="457"/>
      <c r="N733" s="455"/>
      <c r="O733" s="116"/>
      <c r="P733" s="116"/>
      <c r="Q733" s="116"/>
      <c r="R733" s="457"/>
      <c r="S733" s="455"/>
      <c r="T733" s="115"/>
      <c r="U733" s="115"/>
      <c r="V733" s="115"/>
      <c r="W733" s="457"/>
      <c r="X733" s="455"/>
      <c r="Y733" s="115"/>
      <c r="Z733" s="115"/>
      <c r="AA733" s="115"/>
      <c r="AB733" s="457"/>
    </row>
    <row r="734" spans="1:28" ht="18.75" customHeight="1" x14ac:dyDescent="0.2">
      <c r="A734" s="461"/>
      <c r="B734" s="168" t="s">
        <v>1040</v>
      </c>
      <c r="C734" s="171"/>
      <c r="D734" s="455"/>
      <c r="E734" s="115"/>
      <c r="F734" s="115"/>
      <c r="G734" s="115"/>
      <c r="H734" s="457"/>
      <c r="I734" s="455"/>
      <c r="J734" s="115"/>
      <c r="K734" s="115"/>
      <c r="L734" s="115"/>
      <c r="M734" s="457"/>
      <c r="N734" s="455"/>
      <c r="O734" s="116"/>
      <c r="P734" s="116"/>
      <c r="Q734" s="116"/>
      <c r="R734" s="457"/>
      <c r="S734" s="455"/>
      <c r="T734" s="115"/>
      <c r="U734" s="115"/>
      <c r="V734" s="115"/>
      <c r="W734" s="457"/>
      <c r="X734" s="455"/>
      <c r="Y734" s="115"/>
      <c r="Z734" s="115"/>
      <c r="AA734" s="115"/>
      <c r="AB734" s="457"/>
    </row>
    <row r="735" spans="1:28" ht="18.75" customHeight="1" x14ac:dyDescent="0.2">
      <c r="A735" s="461"/>
      <c r="B735" s="168" t="s">
        <v>1041</v>
      </c>
      <c r="C735" s="171"/>
      <c r="D735" s="455"/>
      <c r="E735" s="115"/>
      <c r="F735" s="115"/>
      <c r="G735" s="115"/>
      <c r="H735" s="457"/>
      <c r="I735" s="455"/>
      <c r="J735" s="115"/>
      <c r="K735" s="115"/>
      <c r="L735" s="115"/>
      <c r="M735" s="457"/>
      <c r="N735" s="455"/>
      <c r="O735" s="116"/>
      <c r="P735" s="116"/>
      <c r="Q735" s="116"/>
      <c r="R735" s="457"/>
      <c r="S735" s="455"/>
      <c r="T735" s="115"/>
      <c r="U735" s="115"/>
      <c r="V735" s="115"/>
      <c r="W735" s="457"/>
      <c r="X735" s="455"/>
      <c r="Y735" s="115"/>
      <c r="Z735" s="115"/>
      <c r="AA735" s="115"/>
      <c r="AB735" s="457"/>
    </row>
    <row r="736" spans="1:28" ht="39.75" customHeight="1" x14ac:dyDescent="0.2">
      <c r="A736" s="461"/>
      <c r="B736" s="168" t="s">
        <v>1042</v>
      </c>
      <c r="C736" s="171"/>
      <c r="D736" s="455"/>
      <c r="E736" s="115"/>
      <c r="F736" s="115"/>
      <c r="G736" s="115"/>
      <c r="H736" s="457"/>
      <c r="I736" s="455"/>
      <c r="J736" s="115"/>
      <c r="K736" s="115"/>
      <c r="L736" s="115"/>
      <c r="M736" s="457"/>
      <c r="N736" s="455"/>
      <c r="O736" s="116"/>
      <c r="P736" s="116"/>
      <c r="Q736" s="116"/>
      <c r="R736" s="457"/>
      <c r="S736" s="455"/>
      <c r="T736" s="115"/>
      <c r="U736" s="115"/>
      <c r="V736" s="115"/>
      <c r="W736" s="457"/>
      <c r="X736" s="455"/>
      <c r="Y736" s="115"/>
      <c r="Z736" s="115"/>
      <c r="AA736" s="115"/>
      <c r="AB736" s="457"/>
    </row>
    <row r="737" spans="1:30" ht="18.75" customHeight="1" x14ac:dyDescent="0.2">
      <c r="A737" s="461"/>
      <c r="B737" s="168" t="s">
        <v>1043</v>
      </c>
      <c r="C737" s="171"/>
      <c r="D737" s="455"/>
      <c r="E737" s="115"/>
      <c r="F737" s="115"/>
      <c r="G737" s="115"/>
      <c r="H737" s="457"/>
      <c r="I737" s="455"/>
      <c r="J737" s="115"/>
      <c r="K737" s="115"/>
      <c r="L737" s="115"/>
      <c r="M737" s="457"/>
      <c r="N737" s="455"/>
      <c r="O737" s="116"/>
      <c r="P737" s="116"/>
      <c r="Q737" s="116"/>
      <c r="R737" s="457"/>
      <c r="S737" s="455"/>
      <c r="T737" s="115"/>
      <c r="U737" s="115"/>
      <c r="V737" s="115"/>
      <c r="W737" s="457"/>
      <c r="X737" s="455"/>
      <c r="Y737" s="115"/>
      <c r="Z737" s="115"/>
      <c r="AA737" s="115"/>
      <c r="AB737" s="457"/>
    </row>
    <row r="738" spans="1:30" ht="18.75" customHeight="1" x14ac:dyDescent="0.2">
      <c r="A738" s="461"/>
      <c r="B738" s="182" t="s">
        <v>308</v>
      </c>
      <c r="C738" s="171"/>
      <c r="D738" s="455"/>
      <c r="E738" s="115"/>
      <c r="F738" s="115"/>
      <c r="G738" s="115"/>
      <c r="H738" s="457"/>
      <c r="I738" s="455"/>
      <c r="J738" s="115"/>
      <c r="K738" s="115"/>
      <c r="L738" s="115"/>
      <c r="M738" s="457"/>
      <c r="N738" s="455"/>
      <c r="O738" s="116"/>
      <c r="P738" s="116"/>
      <c r="Q738" s="116"/>
      <c r="R738" s="457"/>
      <c r="S738" s="455"/>
      <c r="T738" s="115"/>
      <c r="U738" s="115"/>
      <c r="V738" s="115"/>
      <c r="W738" s="457"/>
      <c r="X738" s="455"/>
      <c r="Y738" s="115"/>
      <c r="Z738" s="115"/>
      <c r="AA738" s="115"/>
      <c r="AB738" s="457"/>
    </row>
    <row r="739" spans="1:30" ht="18.75" customHeight="1" x14ac:dyDescent="0.2">
      <c r="A739" s="461"/>
      <c r="B739" s="168" t="s">
        <v>1044</v>
      </c>
      <c r="C739" s="171"/>
      <c r="D739" s="455"/>
      <c r="E739" s="115"/>
      <c r="F739" s="115"/>
      <c r="G739" s="115"/>
      <c r="H739" s="457"/>
      <c r="I739" s="455"/>
      <c r="J739" s="115"/>
      <c r="K739" s="115"/>
      <c r="L739" s="115"/>
      <c r="M739" s="457"/>
      <c r="N739" s="455"/>
      <c r="O739" s="116"/>
      <c r="P739" s="116"/>
      <c r="Q739" s="116"/>
      <c r="R739" s="457"/>
      <c r="S739" s="455"/>
      <c r="T739" s="115"/>
      <c r="U739" s="115"/>
      <c r="V739" s="115"/>
      <c r="W739" s="457"/>
      <c r="X739" s="455"/>
      <c r="Y739" s="115"/>
      <c r="Z739" s="115"/>
      <c r="AA739" s="115"/>
      <c r="AB739" s="457"/>
    </row>
    <row r="740" spans="1:30" ht="24" customHeight="1" x14ac:dyDescent="0.2">
      <c r="A740" s="461"/>
      <c r="B740" s="119" t="s">
        <v>1045</v>
      </c>
      <c r="C740" s="171"/>
      <c r="D740" s="455"/>
      <c r="E740" s="115"/>
      <c r="F740" s="115"/>
      <c r="G740" s="115"/>
      <c r="H740" s="457"/>
      <c r="I740" s="455"/>
      <c r="J740" s="115"/>
      <c r="K740" s="115"/>
      <c r="L740" s="115"/>
      <c r="M740" s="457"/>
      <c r="N740" s="455"/>
      <c r="O740" s="116"/>
      <c r="P740" s="116"/>
      <c r="Q740" s="116"/>
      <c r="R740" s="457"/>
      <c r="S740" s="455"/>
      <c r="T740" s="115"/>
      <c r="U740" s="115"/>
      <c r="V740" s="115"/>
      <c r="W740" s="457"/>
      <c r="X740" s="455"/>
      <c r="Y740" s="115"/>
      <c r="Z740" s="115"/>
      <c r="AA740" s="115"/>
      <c r="AB740" s="457"/>
    </row>
    <row r="741" spans="1:30" ht="18.75" customHeight="1" x14ac:dyDescent="0.2">
      <c r="A741" s="461"/>
      <c r="B741" s="119" t="s">
        <v>1046</v>
      </c>
      <c r="C741" s="171"/>
      <c r="D741" s="455"/>
      <c r="E741" s="115"/>
      <c r="F741" s="115"/>
      <c r="G741" s="115"/>
      <c r="H741" s="457"/>
      <c r="I741" s="455"/>
      <c r="J741" s="115"/>
      <c r="K741" s="115"/>
      <c r="L741" s="115"/>
      <c r="M741" s="457"/>
      <c r="N741" s="455"/>
      <c r="O741" s="116"/>
      <c r="P741" s="116"/>
      <c r="Q741" s="116"/>
      <c r="R741" s="457"/>
      <c r="S741" s="455"/>
      <c r="T741" s="115"/>
      <c r="U741" s="115"/>
      <c r="V741" s="115"/>
      <c r="W741" s="457"/>
      <c r="X741" s="455"/>
      <c r="Y741" s="115"/>
      <c r="Z741" s="115"/>
      <c r="AA741" s="115"/>
      <c r="AB741" s="457"/>
    </row>
    <row r="742" spans="1:30" ht="18.75" customHeight="1" x14ac:dyDescent="0.2">
      <c r="A742" s="461"/>
      <c r="B742" s="119" t="s">
        <v>1047</v>
      </c>
      <c r="C742" s="457"/>
      <c r="D742" s="455"/>
      <c r="E742" s="115"/>
      <c r="F742" s="115"/>
      <c r="G742" s="115"/>
      <c r="H742" s="457"/>
      <c r="I742" s="455"/>
      <c r="J742" s="115"/>
      <c r="K742" s="115"/>
      <c r="L742" s="115"/>
      <c r="M742" s="457"/>
      <c r="N742" s="455"/>
      <c r="O742" s="116"/>
      <c r="P742" s="116"/>
      <c r="Q742" s="116"/>
      <c r="R742" s="457"/>
      <c r="S742" s="455"/>
      <c r="T742" s="115"/>
      <c r="U742" s="115"/>
      <c r="V742" s="115"/>
      <c r="W742" s="457"/>
      <c r="X742" s="455"/>
      <c r="Y742" s="115"/>
      <c r="Z742" s="115"/>
      <c r="AA742" s="115"/>
      <c r="AB742" s="457"/>
    </row>
    <row r="743" spans="1:30" ht="18.75" customHeight="1" x14ac:dyDescent="0.2">
      <c r="A743" s="461"/>
      <c r="B743" s="182" t="s">
        <v>357</v>
      </c>
      <c r="C743" s="457"/>
      <c r="D743" s="455"/>
      <c r="E743" s="115"/>
      <c r="F743" s="115"/>
      <c r="G743" s="115"/>
      <c r="H743" s="457"/>
      <c r="I743" s="455"/>
      <c r="J743" s="115"/>
      <c r="K743" s="115"/>
      <c r="L743" s="115"/>
      <c r="M743" s="457"/>
      <c r="N743" s="455"/>
      <c r="O743" s="116"/>
      <c r="P743" s="116"/>
      <c r="Q743" s="116"/>
      <c r="R743" s="457"/>
      <c r="S743" s="455"/>
      <c r="T743" s="115"/>
      <c r="U743" s="115"/>
      <c r="V743" s="115"/>
      <c r="W743" s="457"/>
      <c r="X743" s="455"/>
      <c r="Y743" s="115"/>
      <c r="Z743" s="115"/>
      <c r="AA743" s="115"/>
      <c r="AB743" s="457"/>
    </row>
    <row r="744" spans="1:30" ht="18.75" customHeight="1" x14ac:dyDescent="0.2">
      <c r="A744" s="461"/>
      <c r="B744" s="168" t="s">
        <v>1297</v>
      </c>
      <c r="C744" s="457"/>
      <c r="D744" s="455"/>
      <c r="E744" s="115"/>
      <c r="F744" s="115"/>
      <c r="G744" s="115"/>
      <c r="H744" s="457"/>
      <c r="I744" s="455"/>
      <c r="J744" s="115"/>
      <c r="K744" s="115"/>
      <c r="L744" s="115"/>
      <c r="M744" s="457"/>
      <c r="N744" s="455"/>
      <c r="O744" s="116"/>
      <c r="P744" s="116"/>
      <c r="Q744" s="116"/>
      <c r="R744" s="457"/>
      <c r="S744" s="455"/>
      <c r="T744" s="115"/>
      <c r="U744" s="115"/>
      <c r="V744" s="115"/>
      <c r="W744" s="457"/>
      <c r="X744" s="455"/>
      <c r="Y744" s="115"/>
      <c r="Z744" s="115"/>
      <c r="AA744" s="115"/>
      <c r="AB744" s="457"/>
    </row>
    <row r="745" spans="1:30" ht="18.75" customHeight="1" x14ac:dyDescent="0.2">
      <c r="A745" s="461"/>
      <c r="B745" s="168" t="s">
        <v>1298</v>
      </c>
      <c r="C745" s="457"/>
      <c r="D745" s="455"/>
      <c r="E745" s="115"/>
      <c r="F745" s="115"/>
      <c r="G745" s="115"/>
      <c r="H745" s="457"/>
      <c r="I745" s="455"/>
      <c r="J745" s="115"/>
      <c r="K745" s="115"/>
      <c r="L745" s="115"/>
      <c r="M745" s="457"/>
      <c r="N745" s="455"/>
      <c r="O745" s="116"/>
      <c r="P745" s="116"/>
      <c r="Q745" s="116"/>
      <c r="R745" s="457"/>
      <c r="S745" s="455"/>
      <c r="T745" s="115"/>
      <c r="U745" s="115"/>
      <c r="V745" s="115"/>
      <c r="W745" s="457"/>
      <c r="X745" s="455"/>
      <c r="Y745" s="115"/>
      <c r="Z745" s="115"/>
      <c r="AA745" s="115"/>
      <c r="AB745" s="457"/>
    </row>
    <row r="746" spans="1:30" ht="18.75" customHeight="1" x14ac:dyDescent="0.2">
      <c r="A746" s="461"/>
      <c r="B746" s="182" t="s">
        <v>394</v>
      </c>
      <c r="C746" s="457"/>
      <c r="D746" s="455"/>
      <c r="E746" s="115"/>
      <c r="F746" s="115"/>
      <c r="G746" s="115"/>
      <c r="H746" s="457"/>
      <c r="I746" s="455"/>
      <c r="J746" s="115"/>
      <c r="K746" s="115"/>
      <c r="L746" s="115"/>
      <c r="M746" s="457"/>
      <c r="N746" s="455"/>
      <c r="O746" s="116"/>
      <c r="P746" s="116"/>
      <c r="Q746" s="116"/>
      <c r="R746" s="457"/>
      <c r="S746" s="455"/>
      <c r="T746" s="115"/>
      <c r="U746" s="115"/>
      <c r="V746" s="115"/>
      <c r="W746" s="457"/>
      <c r="X746" s="455"/>
      <c r="Y746" s="115"/>
      <c r="Z746" s="115"/>
      <c r="AA746" s="115"/>
      <c r="AB746" s="457"/>
    </row>
    <row r="747" spans="1:30" ht="18.75" customHeight="1" x14ac:dyDescent="0.2">
      <c r="A747" s="462"/>
      <c r="B747" s="160" t="s">
        <v>1503</v>
      </c>
      <c r="C747" s="458"/>
      <c r="D747" s="456"/>
      <c r="E747" s="115"/>
      <c r="F747" s="115"/>
      <c r="G747" s="115"/>
      <c r="H747" s="458"/>
      <c r="I747" s="456"/>
      <c r="J747" s="115"/>
      <c r="K747" s="115"/>
      <c r="L747" s="115"/>
      <c r="M747" s="458"/>
      <c r="N747" s="456"/>
      <c r="O747" s="116"/>
      <c r="P747" s="116"/>
      <c r="Q747" s="116"/>
      <c r="R747" s="458"/>
      <c r="S747" s="456"/>
      <c r="T747" s="115"/>
      <c r="U747" s="115"/>
      <c r="V747" s="115"/>
      <c r="W747" s="458"/>
      <c r="X747" s="456"/>
      <c r="Y747" s="115"/>
      <c r="Z747" s="115"/>
      <c r="AA747" s="115"/>
      <c r="AB747" s="458"/>
    </row>
    <row r="748" spans="1:30" ht="18.75" customHeight="1" x14ac:dyDescent="0.2">
      <c r="A748" s="185" t="s">
        <v>15</v>
      </c>
      <c r="B748" s="471" t="s">
        <v>461</v>
      </c>
      <c r="C748" s="472"/>
      <c r="D748" s="472"/>
      <c r="E748" s="472"/>
      <c r="F748" s="472"/>
      <c r="G748" s="472"/>
      <c r="H748" s="472"/>
      <c r="I748" s="472"/>
      <c r="J748" s="472"/>
      <c r="K748" s="472"/>
      <c r="L748" s="472"/>
      <c r="M748" s="472"/>
      <c r="N748" s="472"/>
      <c r="O748" s="472"/>
      <c r="P748" s="472"/>
      <c r="Q748" s="472"/>
      <c r="R748" s="472"/>
      <c r="S748" s="472"/>
      <c r="T748" s="472"/>
      <c r="U748" s="472"/>
      <c r="V748" s="472"/>
      <c r="W748" s="472"/>
      <c r="X748" s="472"/>
      <c r="Y748" s="472"/>
      <c r="Z748" s="472"/>
      <c r="AA748" s="472"/>
      <c r="AB748" s="472"/>
      <c r="AC748" s="186"/>
      <c r="AD748" s="186"/>
    </row>
    <row r="749" spans="1:30" ht="18" customHeight="1" x14ac:dyDescent="0.2">
      <c r="A749" s="144" t="s">
        <v>125</v>
      </c>
      <c r="B749" s="145" t="s">
        <v>47</v>
      </c>
      <c r="C749" s="146">
        <f>D749+E749+F749+G749</f>
        <v>27036</v>
      </c>
      <c r="D749" s="116">
        <v>27036</v>
      </c>
      <c r="E749" s="116">
        <v>0</v>
      </c>
      <c r="F749" s="116">
        <v>0</v>
      </c>
      <c r="G749" s="116">
        <v>0</v>
      </c>
      <c r="H749" s="146">
        <f>I749+J749+K749+L749</f>
        <v>35037</v>
      </c>
      <c r="I749" s="116">
        <f>34053+19+526+786-411-184+388-1-139</f>
        <v>35037</v>
      </c>
      <c r="J749" s="116">
        <v>0</v>
      </c>
      <c r="K749" s="116">
        <v>0</v>
      </c>
      <c r="L749" s="116">
        <v>0</v>
      </c>
      <c r="M749" s="146">
        <f>N749+O749+P749+Q749</f>
        <v>44468</v>
      </c>
      <c r="N749" s="116">
        <f>32839+12411+642-2-121+130-1431</f>
        <v>44468</v>
      </c>
      <c r="O749" s="116">
        <v>0</v>
      </c>
      <c r="P749" s="116">
        <v>0</v>
      </c>
      <c r="Q749" s="116">
        <v>0</v>
      </c>
      <c r="R749" s="146">
        <f>S749+T749+U749+V749</f>
        <v>71296</v>
      </c>
      <c r="S749" s="116">
        <f>32839+12529+26553+3858+17024-16499-607-170+379+462-5212-571+711</f>
        <v>71296</v>
      </c>
      <c r="T749" s="116">
        <v>0</v>
      </c>
      <c r="U749" s="116">
        <v>0</v>
      </c>
      <c r="V749" s="116">
        <v>0</v>
      </c>
      <c r="W749" s="146">
        <f>X749+Y749+Z749+AA749</f>
        <v>71479</v>
      </c>
      <c r="X749" s="116">
        <f>26539+300+18529+1768+18371+1516+7202+5175-4577-2005-32+265-973+62-661</f>
        <v>71479</v>
      </c>
      <c r="Y749" s="116">
        <v>0</v>
      </c>
      <c r="Z749" s="116">
        <v>0</v>
      </c>
      <c r="AA749" s="116">
        <v>0</v>
      </c>
      <c r="AB749" s="146">
        <f>C749+H749+M749+R749+W749</f>
        <v>249316</v>
      </c>
    </row>
    <row r="750" spans="1:30" ht="18" customHeight="1" x14ac:dyDescent="0.2">
      <c r="A750" s="185" t="s">
        <v>1303</v>
      </c>
      <c r="B750" s="471" t="s">
        <v>1317</v>
      </c>
      <c r="C750" s="472"/>
      <c r="D750" s="472"/>
      <c r="E750" s="472"/>
      <c r="F750" s="472"/>
      <c r="G750" s="472"/>
      <c r="H750" s="472"/>
      <c r="I750" s="472"/>
      <c r="J750" s="472"/>
      <c r="K750" s="472"/>
      <c r="L750" s="472"/>
      <c r="M750" s="472"/>
      <c r="N750" s="472"/>
      <c r="O750" s="472"/>
      <c r="P750" s="472"/>
      <c r="Q750" s="472"/>
      <c r="R750" s="472"/>
      <c r="S750" s="472"/>
      <c r="T750" s="472"/>
      <c r="U750" s="472"/>
      <c r="V750" s="472"/>
      <c r="W750" s="472"/>
      <c r="X750" s="472"/>
      <c r="Y750" s="472"/>
      <c r="Z750" s="472"/>
      <c r="AA750" s="472"/>
      <c r="AB750" s="472"/>
    </row>
    <row r="751" spans="1:30" ht="34.5" customHeight="1" x14ac:dyDescent="0.2">
      <c r="A751" s="187" t="s">
        <v>1304</v>
      </c>
      <c r="B751" s="145" t="s">
        <v>1312</v>
      </c>
      <c r="C751" s="146">
        <v>0</v>
      </c>
      <c r="D751" s="116">
        <v>0</v>
      </c>
      <c r="E751" s="116"/>
      <c r="F751" s="116"/>
      <c r="G751" s="116"/>
      <c r="H751" s="146">
        <v>0</v>
      </c>
      <c r="I751" s="116">
        <v>0</v>
      </c>
      <c r="J751" s="116"/>
      <c r="K751" s="116"/>
      <c r="L751" s="116"/>
      <c r="M751" s="146">
        <v>0</v>
      </c>
      <c r="N751" s="116">
        <v>0</v>
      </c>
      <c r="O751" s="116"/>
      <c r="P751" s="116"/>
      <c r="Q751" s="116"/>
      <c r="R751" s="146">
        <v>0</v>
      </c>
      <c r="S751" s="116">
        <v>0</v>
      </c>
      <c r="T751" s="116"/>
      <c r="U751" s="116"/>
      <c r="V751" s="116"/>
      <c r="W751" s="146">
        <v>0</v>
      </c>
      <c r="X751" s="116">
        <v>0</v>
      </c>
      <c r="Y751" s="116"/>
      <c r="Z751" s="116"/>
      <c r="AA751" s="116"/>
      <c r="AB751" s="146">
        <v>0</v>
      </c>
    </row>
    <row r="752" spans="1:30" ht="48" customHeight="1" x14ac:dyDescent="0.2">
      <c r="A752" s="187" t="s">
        <v>1305</v>
      </c>
      <c r="B752" s="145" t="s">
        <v>1339</v>
      </c>
      <c r="C752" s="146">
        <v>0</v>
      </c>
      <c r="D752" s="116">
        <v>0</v>
      </c>
      <c r="E752" s="116"/>
      <c r="F752" s="116"/>
      <c r="G752" s="116"/>
      <c r="H752" s="146">
        <v>0</v>
      </c>
      <c r="I752" s="116">
        <v>0</v>
      </c>
      <c r="J752" s="116"/>
      <c r="K752" s="116"/>
      <c r="L752" s="116"/>
      <c r="M752" s="146">
        <v>0</v>
      </c>
      <c r="N752" s="116">
        <v>0</v>
      </c>
      <c r="O752" s="116"/>
      <c r="P752" s="116"/>
      <c r="Q752" s="116"/>
      <c r="R752" s="146">
        <v>0</v>
      </c>
      <c r="S752" s="116">
        <v>0</v>
      </c>
      <c r="T752" s="116"/>
      <c r="U752" s="116"/>
      <c r="V752" s="116"/>
      <c r="W752" s="146">
        <v>0</v>
      </c>
      <c r="X752" s="116">
        <v>0</v>
      </c>
      <c r="Y752" s="116"/>
      <c r="Z752" s="116"/>
      <c r="AA752" s="116"/>
      <c r="AB752" s="146">
        <v>0</v>
      </c>
    </row>
    <row r="753" spans="1:29" ht="35.25" customHeight="1" x14ac:dyDescent="0.2">
      <c r="A753" s="187" t="s">
        <v>1306</v>
      </c>
      <c r="B753" s="145" t="s">
        <v>1311</v>
      </c>
      <c r="C753" s="146">
        <v>0</v>
      </c>
      <c r="D753" s="116">
        <v>0</v>
      </c>
      <c r="E753" s="116"/>
      <c r="F753" s="116"/>
      <c r="G753" s="116"/>
      <c r="H753" s="146">
        <v>0</v>
      </c>
      <c r="I753" s="116">
        <v>0</v>
      </c>
      <c r="J753" s="116"/>
      <c r="K753" s="116"/>
      <c r="L753" s="116"/>
      <c r="M753" s="146">
        <v>0</v>
      </c>
      <c r="N753" s="116">
        <v>0</v>
      </c>
      <c r="O753" s="116"/>
      <c r="P753" s="116"/>
      <c r="Q753" s="116"/>
      <c r="R753" s="146">
        <v>0</v>
      </c>
      <c r="S753" s="116">
        <v>0</v>
      </c>
      <c r="T753" s="116"/>
      <c r="U753" s="116"/>
      <c r="V753" s="116"/>
      <c r="W753" s="146">
        <v>0</v>
      </c>
      <c r="X753" s="116">
        <v>0</v>
      </c>
      <c r="Y753" s="116"/>
      <c r="Z753" s="116"/>
      <c r="AA753" s="116"/>
      <c r="AB753" s="146">
        <v>0</v>
      </c>
    </row>
    <row r="754" spans="1:29" ht="19.5" customHeight="1" x14ac:dyDescent="0.2">
      <c r="A754" s="187" t="s">
        <v>1307</v>
      </c>
      <c r="B754" s="145" t="s">
        <v>1316</v>
      </c>
      <c r="C754" s="146">
        <v>0</v>
      </c>
      <c r="D754" s="116">
        <v>0</v>
      </c>
      <c r="E754" s="116"/>
      <c r="F754" s="116"/>
      <c r="G754" s="116"/>
      <c r="H754" s="146">
        <v>0</v>
      </c>
      <c r="I754" s="116">
        <v>0</v>
      </c>
      <c r="J754" s="116"/>
      <c r="K754" s="116"/>
      <c r="L754" s="116"/>
      <c r="M754" s="146">
        <v>0</v>
      </c>
      <c r="N754" s="116">
        <v>0</v>
      </c>
      <c r="O754" s="116"/>
      <c r="P754" s="116"/>
      <c r="Q754" s="116"/>
      <c r="R754" s="146">
        <v>0</v>
      </c>
      <c r="S754" s="116">
        <v>0</v>
      </c>
      <c r="T754" s="116"/>
      <c r="U754" s="116"/>
      <c r="V754" s="116"/>
      <c r="W754" s="146">
        <v>0</v>
      </c>
      <c r="X754" s="116">
        <v>0</v>
      </c>
      <c r="Y754" s="116"/>
      <c r="Z754" s="116"/>
      <c r="AA754" s="116"/>
      <c r="AB754" s="146">
        <v>0</v>
      </c>
    </row>
    <row r="755" spans="1:29" ht="21.75" customHeight="1" x14ac:dyDescent="0.2">
      <c r="A755" s="187" t="s">
        <v>1308</v>
      </c>
      <c r="B755" s="145" t="s">
        <v>1641</v>
      </c>
      <c r="C755" s="146">
        <v>0</v>
      </c>
      <c r="D755" s="116">
        <v>0</v>
      </c>
      <c r="E755" s="116"/>
      <c r="F755" s="116"/>
      <c r="G755" s="116"/>
      <c r="H755" s="146">
        <v>0</v>
      </c>
      <c r="I755" s="116">
        <v>0</v>
      </c>
      <c r="J755" s="116"/>
      <c r="K755" s="116"/>
      <c r="L755" s="116"/>
      <c r="M755" s="146">
        <v>0</v>
      </c>
      <c r="N755" s="116">
        <v>0</v>
      </c>
      <c r="O755" s="116"/>
      <c r="P755" s="116"/>
      <c r="Q755" s="116"/>
      <c r="R755" s="146">
        <v>0</v>
      </c>
      <c r="S755" s="116">
        <v>0</v>
      </c>
      <c r="T755" s="116"/>
      <c r="U755" s="116"/>
      <c r="V755" s="116"/>
      <c r="W755" s="146">
        <v>0</v>
      </c>
      <c r="X755" s="116">
        <v>0</v>
      </c>
      <c r="Y755" s="116"/>
      <c r="Z755" s="116"/>
      <c r="AA755" s="116"/>
      <c r="AB755" s="146">
        <v>0</v>
      </c>
    </row>
    <row r="756" spans="1:29" ht="21.75" customHeight="1" x14ac:dyDescent="0.2">
      <c r="A756" s="187" t="s">
        <v>1309</v>
      </c>
      <c r="B756" s="145" t="s">
        <v>1323</v>
      </c>
      <c r="C756" s="146">
        <v>0</v>
      </c>
      <c r="D756" s="116">
        <v>0</v>
      </c>
      <c r="E756" s="116"/>
      <c r="F756" s="116"/>
      <c r="G756" s="116"/>
      <c r="H756" s="146">
        <v>0</v>
      </c>
      <c r="I756" s="116">
        <v>0</v>
      </c>
      <c r="J756" s="116"/>
      <c r="K756" s="116"/>
      <c r="L756" s="116"/>
      <c r="M756" s="146">
        <v>0</v>
      </c>
      <c r="N756" s="116">
        <v>0</v>
      </c>
      <c r="O756" s="116"/>
      <c r="P756" s="116"/>
      <c r="Q756" s="116"/>
      <c r="R756" s="146">
        <v>0</v>
      </c>
      <c r="S756" s="116">
        <v>0</v>
      </c>
      <c r="T756" s="116"/>
      <c r="U756" s="116"/>
      <c r="V756" s="116"/>
      <c r="W756" s="146">
        <v>0</v>
      </c>
      <c r="X756" s="116">
        <v>0</v>
      </c>
      <c r="Y756" s="116"/>
      <c r="Z756" s="116"/>
      <c r="AA756" s="116"/>
      <c r="AB756" s="146">
        <v>0</v>
      </c>
    </row>
    <row r="757" spans="1:29" ht="31.5" customHeight="1" x14ac:dyDescent="0.2">
      <c r="A757" s="187" t="s">
        <v>1325</v>
      </c>
      <c r="B757" s="145" t="s">
        <v>1328</v>
      </c>
      <c r="C757" s="146">
        <v>0</v>
      </c>
      <c r="D757" s="116">
        <v>0</v>
      </c>
      <c r="E757" s="116"/>
      <c r="F757" s="116"/>
      <c r="G757" s="116"/>
      <c r="H757" s="146">
        <v>0</v>
      </c>
      <c r="I757" s="116">
        <v>0</v>
      </c>
      <c r="J757" s="116"/>
      <c r="K757" s="116"/>
      <c r="L757" s="116"/>
      <c r="M757" s="146">
        <v>0</v>
      </c>
      <c r="N757" s="116">
        <v>0</v>
      </c>
      <c r="O757" s="116"/>
      <c r="P757" s="116"/>
      <c r="Q757" s="116"/>
      <c r="R757" s="146">
        <v>0</v>
      </c>
      <c r="S757" s="116">
        <v>0</v>
      </c>
      <c r="T757" s="116"/>
      <c r="U757" s="116"/>
      <c r="V757" s="116"/>
      <c r="W757" s="146">
        <v>0</v>
      </c>
      <c r="X757" s="116">
        <v>0</v>
      </c>
      <c r="Y757" s="116"/>
      <c r="Z757" s="116"/>
      <c r="AA757" s="116"/>
      <c r="AB757" s="146">
        <v>0</v>
      </c>
    </row>
    <row r="758" spans="1:29" ht="33" customHeight="1" x14ac:dyDescent="0.2">
      <c r="A758" s="187" t="s">
        <v>1326</v>
      </c>
      <c r="B758" s="145" t="s">
        <v>1381</v>
      </c>
      <c r="C758" s="146">
        <v>0</v>
      </c>
      <c r="D758" s="116">
        <v>0</v>
      </c>
      <c r="E758" s="116"/>
      <c r="F758" s="116"/>
      <c r="G758" s="116"/>
      <c r="H758" s="146">
        <v>0</v>
      </c>
      <c r="I758" s="116">
        <v>0</v>
      </c>
      <c r="J758" s="116"/>
      <c r="K758" s="116"/>
      <c r="L758" s="116"/>
      <c r="M758" s="146">
        <v>0</v>
      </c>
      <c r="N758" s="116">
        <v>0</v>
      </c>
      <c r="O758" s="116"/>
      <c r="P758" s="116"/>
      <c r="Q758" s="116"/>
      <c r="R758" s="146">
        <v>0</v>
      </c>
      <c r="S758" s="116">
        <v>0</v>
      </c>
      <c r="T758" s="116"/>
      <c r="U758" s="116"/>
      <c r="V758" s="116"/>
      <c r="W758" s="146">
        <v>0</v>
      </c>
      <c r="X758" s="116">
        <v>0</v>
      </c>
      <c r="Y758" s="116"/>
      <c r="Z758" s="116"/>
      <c r="AA758" s="116"/>
      <c r="AB758" s="146">
        <v>0</v>
      </c>
    </row>
    <row r="759" spans="1:29" ht="18" customHeight="1" x14ac:dyDescent="0.2">
      <c r="A759" s="496" t="s">
        <v>551</v>
      </c>
      <c r="B759" s="499"/>
      <c r="C759" s="146">
        <f>C761</f>
        <v>173012</v>
      </c>
      <c r="D759" s="116">
        <f>D761</f>
        <v>173012</v>
      </c>
      <c r="E759" s="116">
        <v>0</v>
      </c>
      <c r="F759" s="116">
        <v>0</v>
      </c>
      <c r="G759" s="116">
        <v>0</v>
      </c>
      <c r="H759" s="146">
        <f>H761</f>
        <v>103854</v>
      </c>
      <c r="I759" s="146">
        <f>I761</f>
        <v>103854</v>
      </c>
      <c r="J759" s="116">
        <v>0</v>
      </c>
      <c r="K759" s="116">
        <v>0</v>
      </c>
      <c r="L759" s="116"/>
      <c r="M759" s="146">
        <f>M761-M760</f>
        <v>126062</v>
      </c>
      <c r="N759" s="116">
        <f>N761-N760</f>
        <v>126062</v>
      </c>
      <c r="O759" s="116"/>
      <c r="P759" s="116"/>
      <c r="Q759" s="116"/>
      <c r="R759" s="146">
        <f>SUM(R10:R749)</f>
        <v>208932</v>
      </c>
      <c r="S759" s="116">
        <f>S10+S34+S49+S153+S170+S215+S216+S244+S245+S248+S249+S263+S602+S618+S629+S632+S640+S641+S642+S643+S706+S711+S725+S749</f>
        <v>208932</v>
      </c>
      <c r="T759" s="116"/>
      <c r="U759" s="116"/>
      <c r="V759" s="116"/>
      <c r="W759" s="146">
        <f>SUM(W10:W749)</f>
        <v>289373</v>
      </c>
      <c r="X759" s="116">
        <f>X10+X34+X49+X153+X170+X216+X244+X245+X248+X249+X263+X602+X618+X629+X632+X640+X641+X642+X643+X706+X711+X725+X749</f>
        <v>289373</v>
      </c>
      <c r="Y759" s="116"/>
      <c r="Z759" s="116"/>
      <c r="AA759" s="116"/>
      <c r="AB759" s="146">
        <f>AB761-AB760</f>
        <v>901233</v>
      </c>
    </row>
    <row r="760" spans="1:29" ht="18" customHeight="1" x14ac:dyDescent="0.2">
      <c r="A760" s="494" t="s">
        <v>367</v>
      </c>
      <c r="B760" s="495"/>
      <c r="C760" s="116">
        <f>C762</f>
        <v>0</v>
      </c>
      <c r="D760" s="116">
        <v>0</v>
      </c>
      <c r="E760" s="116">
        <v>0</v>
      </c>
      <c r="F760" s="116">
        <v>0</v>
      </c>
      <c r="G760" s="116">
        <v>0</v>
      </c>
      <c r="H760" s="146">
        <f>H762</f>
        <v>0</v>
      </c>
      <c r="I760" s="116">
        <v>0</v>
      </c>
      <c r="J760" s="116">
        <v>0</v>
      </c>
      <c r="K760" s="116">
        <v>0</v>
      </c>
      <c r="L760" s="116"/>
      <c r="M760" s="146">
        <f>M215</f>
        <v>3417</v>
      </c>
      <c r="N760" s="116">
        <f>N215</f>
        <v>3417</v>
      </c>
      <c r="O760" s="116"/>
      <c r="P760" s="116"/>
      <c r="Q760" s="116"/>
      <c r="R760" s="146">
        <v>0</v>
      </c>
      <c r="S760" s="116">
        <v>0</v>
      </c>
      <c r="T760" s="116"/>
      <c r="U760" s="116"/>
      <c r="V760" s="116"/>
      <c r="W760" s="146">
        <v>0</v>
      </c>
      <c r="X760" s="116">
        <v>0</v>
      </c>
      <c r="Y760" s="116"/>
      <c r="Z760" s="116"/>
      <c r="AA760" s="116"/>
      <c r="AB760" s="146">
        <f>C760+H760+M760+R760+W760</f>
        <v>3417</v>
      </c>
    </row>
    <row r="761" spans="1:29" s="191" customFormat="1" ht="42" customHeight="1" x14ac:dyDescent="0.2">
      <c r="A761" s="496" t="s">
        <v>552</v>
      </c>
      <c r="B761" s="497"/>
      <c r="C761" s="188">
        <f t="shared" ref="C761:AA761" si="1">SUM(C10:C749)</f>
        <v>173012</v>
      </c>
      <c r="D761" s="188">
        <f t="shared" si="1"/>
        <v>173012</v>
      </c>
      <c r="E761" s="189">
        <f t="shared" si="1"/>
        <v>0</v>
      </c>
      <c r="F761" s="189">
        <f t="shared" si="1"/>
        <v>0</v>
      </c>
      <c r="G761" s="189">
        <f t="shared" si="1"/>
        <v>0</v>
      </c>
      <c r="H761" s="188">
        <f t="shared" si="1"/>
        <v>103854</v>
      </c>
      <c r="I761" s="189">
        <f t="shared" si="1"/>
        <v>103854</v>
      </c>
      <c r="J761" s="189">
        <f t="shared" si="1"/>
        <v>0</v>
      </c>
      <c r="K761" s="189">
        <f t="shared" si="1"/>
        <v>0</v>
      </c>
      <c r="L761" s="188">
        <f t="shared" si="1"/>
        <v>0</v>
      </c>
      <c r="M761" s="188">
        <f>SUM(M10:M749)</f>
        <v>129479</v>
      </c>
      <c r="N761" s="189">
        <f>SUM(N10:N749)</f>
        <v>129479</v>
      </c>
      <c r="O761" s="188">
        <f t="shared" si="1"/>
        <v>0</v>
      </c>
      <c r="P761" s="188">
        <f t="shared" si="1"/>
        <v>0</v>
      </c>
      <c r="Q761" s="188">
        <f t="shared" si="1"/>
        <v>0</v>
      </c>
      <c r="R761" s="188">
        <f t="shared" si="1"/>
        <v>208932</v>
      </c>
      <c r="S761" s="189">
        <f>S759+S760</f>
        <v>208932</v>
      </c>
      <c r="T761" s="188">
        <f t="shared" si="1"/>
        <v>0</v>
      </c>
      <c r="U761" s="188">
        <f t="shared" si="1"/>
        <v>0</v>
      </c>
      <c r="V761" s="188">
        <f t="shared" si="1"/>
        <v>0</v>
      </c>
      <c r="W761" s="188">
        <f>SUM(W10:W749)</f>
        <v>289373</v>
      </c>
      <c r="X761" s="189">
        <f>X759</f>
        <v>289373</v>
      </c>
      <c r="Y761" s="188">
        <f t="shared" si="1"/>
        <v>0</v>
      </c>
      <c r="Z761" s="188">
        <f t="shared" si="1"/>
        <v>0</v>
      </c>
      <c r="AA761" s="188">
        <f t="shared" si="1"/>
        <v>0</v>
      </c>
      <c r="AB761" s="188">
        <f>SUM(AB10:AB749)</f>
        <v>904650</v>
      </c>
      <c r="AC761" s="190"/>
    </row>
    <row r="762" spans="1:29" ht="16.149999999999999" customHeight="1" x14ac:dyDescent="0.2">
      <c r="A762" s="102"/>
      <c r="B762" s="192"/>
    </row>
    <row r="763" spans="1:29" ht="42" customHeight="1" x14ac:dyDescent="0.2">
      <c r="A763" s="102"/>
      <c r="B763" s="192"/>
      <c r="D763" s="193"/>
      <c r="E763" s="193"/>
      <c r="F763" s="193"/>
      <c r="G763" s="193"/>
      <c r="H763" s="194"/>
      <c r="I763" s="193"/>
    </row>
    <row r="764" spans="1:29" ht="42" customHeight="1" x14ac:dyDescent="0.2">
      <c r="A764" s="102"/>
      <c r="B764" s="192"/>
    </row>
    <row r="765" spans="1:29" ht="42" customHeight="1" x14ac:dyDescent="0.2">
      <c r="A765" s="102"/>
      <c r="B765" s="192"/>
    </row>
    <row r="766" spans="1:29" ht="42" customHeight="1" x14ac:dyDescent="0.2">
      <c r="A766" s="102"/>
      <c r="B766" s="192"/>
    </row>
    <row r="767" spans="1:29" ht="42" customHeight="1" x14ac:dyDescent="0.2">
      <c r="A767" s="102"/>
      <c r="B767" s="192"/>
    </row>
    <row r="768" spans="1:29" ht="42" customHeight="1" x14ac:dyDescent="0.2">
      <c r="A768" s="102"/>
      <c r="B768" s="192"/>
    </row>
    <row r="769" spans="1:28" ht="42" customHeight="1" x14ac:dyDescent="0.2">
      <c r="A769" s="102"/>
      <c r="B769" s="192"/>
    </row>
    <row r="770" spans="1:28" ht="42" customHeight="1" x14ac:dyDescent="0.2">
      <c r="A770" s="102"/>
      <c r="B770" s="192"/>
    </row>
    <row r="771" spans="1:28" ht="42" customHeight="1" x14ac:dyDescent="0.2">
      <c r="A771" s="102"/>
      <c r="B771" s="192"/>
      <c r="C771" s="94"/>
      <c r="H771" s="94"/>
      <c r="M771" s="94"/>
      <c r="R771" s="94"/>
      <c r="W771" s="94"/>
      <c r="AB771" s="94"/>
    </row>
    <row r="772" spans="1:28" ht="42" customHeight="1" x14ac:dyDescent="0.2">
      <c r="A772" s="102"/>
      <c r="B772" s="192"/>
      <c r="C772" s="94"/>
      <c r="H772" s="94"/>
      <c r="M772" s="94"/>
      <c r="R772" s="94"/>
      <c r="W772" s="94"/>
      <c r="AB772" s="94"/>
    </row>
    <row r="773" spans="1:28" ht="42" customHeight="1" x14ac:dyDescent="0.2">
      <c r="A773" s="102"/>
      <c r="B773" s="192"/>
      <c r="C773" s="94"/>
      <c r="H773" s="94"/>
      <c r="M773" s="94"/>
      <c r="R773" s="94"/>
      <c r="W773" s="94"/>
      <c r="AB773" s="94"/>
    </row>
    <row r="774" spans="1:28" ht="42" customHeight="1" x14ac:dyDescent="0.2">
      <c r="A774" s="102"/>
      <c r="B774" s="192"/>
      <c r="C774" s="94"/>
      <c r="H774" s="94"/>
      <c r="M774" s="94"/>
      <c r="R774" s="94"/>
      <c r="W774" s="94"/>
      <c r="AB774" s="94"/>
    </row>
    <row r="775" spans="1:28" ht="42" customHeight="1" x14ac:dyDescent="0.2">
      <c r="A775" s="102"/>
      <c r="B775" s="192"/>
      <c r="C775" s="94"/>
      <c r="H775" s="94"/>
      <c r="M775" s="94"/>
      <c r="R775" s="94"/>
      <c r="W775" s="94"/>
      <c r="AB775" s="94"/>
    </row>
    <row r="776" spans="1:28" ht="42" customHeight="1" x14ac:dyDescent="0.2">
      <c r="A776" s="102"/>
      <c r="B776" s="192"/>
      <c r="C776" s="94"/>
      <c r="H776" s="94"/>
      <c r="M776" s="94"/>
      <c r="R776" s="94"/>
      <c r="W776" s="94"/>
      <c r="AB776" s="94"/>
    </row>
    <row r="777" spans="1:28" ht="42" customHeight="1" x14ac:dyDescent="0.2">
      <c r="A777" s="102"/>
      <c r="B777" s="192"/>
      <c r="C777" s="94"/>
      <c r="H777" s="94"/>
      <c r="M777" s="94"/>
      <c r="R777" s="94"/>
      <c r="W777" s="94"/>
      <c r="AB777" s="94"/>
    </row>
    <row r="778" spans="1:28" ht="42" customHeight="1" x14ac:dyDescent="0.2">
      <c r="A778" s="102"/>
      <c r="B778" s="192"/>
      <c r="C778" s="94"/>
      <c r="H778" s="94"/>
      <c r="M778" s="94"/>
      <c r="R778" s="94"/>
      <c r="W778" s="94"/>
      <c r="AB778" s="94"/>
    </row>
    <row r="779" spans="1:28" ht="42" customHeight="1" x14ac:dyDescent="0.2">
      <c r="A779" s="102"/>
      <c r="B779" s="192"/>
      <c r="C779" s="94"/>
      <c r="H779" s="94"/>
      <c r="M779" s="94"/>
      <c r="R779" s="94"/>
      <c r="W779" s="94"/>
      <c r="AB779" s="94"/>
    </row>
    <row r="780" spans="1:28" ht="42" customHeight="1" x14ac:dyDescent="0.2">
      <c r="A780" s="102"/>
      <c r="B780" s="192"/>
      <c r="C780" s="94"/>
      <c r="H780" s="94"/>
      <c r="M780" s="94"/>
      <c r="R780" s="94"/>
      <c r="W780" s="94"/>
      <c r="AB780" s="94"/>
    </row>
    <row r="781" spans="1:28" ht="42" customHeight="1" x14ac:dyDescent="0.2">
      <c r="A781" s="102"/>
      <c r="B781" s="192"/>
      <c r="C781" s="94"/>
      <c r="H781" s="94"/>
      <c r="M781" s="94"/>
      <c r="R781" s="94"/>
      <c r="W781" s="94"/>
      <c r="AB781" s="94"/>
    </row>
    <row r="782" spans="1:28" ht="42" customHeight="1" x14ac:dyDescent="0.2">
      <c r="A782" s="102"/>
      <c r="B782" s="192"/>
      <c r="C782" s="94"/>
      <c r="H782" s="94"/>
      <c r="M782" s="94"/>
      <c r="R782" s="94"/>
      <c r="W782" s="94"/>
      <c r="AB782" s="94"/>
    </row>
    <row r="783" spans="1:28" ht="42" customHeight="1" x14ac:dyDescent="0.2">
      <c r="A783" s="102"/>
      <c r="B783" s="192"/>
      <c r="C783" s="94"/>
      <c r="H783" s="94"/>
      <c r="M783" s="94"/>
      <c r="R783" s="94"/>
      <c r="W783" s="94"/>
      <c r="AB783" s="94"/>
    </row>
    <row r="784" spans="1:28" ht="42" customHeight="1" x14ac:dyDescent="0.2">
      <c r="A784" s="102"/>
      <c r="B784" s="192"/>
      <c r="C784" s="94"/>
      <c r="H784" s="94"/>
      <c r="M784" s="94"/>
      <c r="R784" s="94"/>
      <c r="W784" s="94"/>
      <c r="AB784" s="94"/>
    </row>
    <row r="785" spans="1:28" ht="42" customHeight="1" x14ac:dyDescent="0.2">
      <c r="A785" s="102"/>
      <c r="B785" s="192"/>
      <c r="C785" s="94"/>
      <c r="H785" s="94"/>
      <c r="M785" s="94"/>
      <c r="R785" s="94"/>
      <c r="W785" s="94"/>
      <c r="AB785" s="94"/>
    </row>
    <row r="786" spans="1:28" ht="42" customHeight="1" x14ac:dyDescent="0.2">
      <c r="A786" s="102"/>
      <c r="B786" s="192"/>
      <c r="C786" s="94"/>
      <c r="H786" s="94"/>
      <c r="M786" s="94"/>
      <c r="R786" s="94"/>
      <c r="W786" s="94"/>
      <c r="AB786" s="94"/>
    </row>
    <row r="787" spans="1:28" ht="42" customHeight="1" x14ac:dyDescent="0.2">
      <c r="A787" s="102"/>
      <c r="B787" s="192"/>
      <c r="C787" s="94"/>
      <c r="H787" s="94"/>
      <c r="M787" s="94"/>
      <c r="R787" s="94"/>
      <c r="W787" s="94"/>
      <c r="AB787" s="94"/>
    </row>
    <row r="788" spans="1:28" ht="42" customHeight="1" x14ac:dyDescent="0.2">
      <c r="A788" s="102"/>
      <c r="B788" s="192"/>
      <c r="C788" s="94"/>
      <c r="H788" s="94"/>
      <c r="M788" s="94"/>
      <c r="R788" s="94"/>
      <c r="W788" s="94"/>
      <c r="AB788" s="94"/>
    </row>
    <row r="789" spans="1:28" ht="42" customHeight="1" x14ac:dyDescent="0.2">
      <c r="A789" s="102"/>
      <c r="B789" s="192"/>
      <c r="C789" s="94"/>
      <c r="H789" s="94"/>
      <c r="M789" s="94"/>
      <c r="R789" s="94"/>
      <c r="W789" s="94"/>
      <c r="AB789" s="94"/>
    </row>
    <row r="790" spans="1:28" ht="42" customHeight="1" x14ac:dyDescent="0.2">
      <c r="A790" s="102"/>
      <c r="B790" s="192"/>
      <c r="C790" s="94"/>
      <c r="H790" s="94"/>
      <c r="M790" s="94"/>
      <c r="R790" s="94"/>
      <c r="W790" s="94"/>
      <c r="AB790" s="94"/>
    </row>
    <row r="791" spans="1:28" ht="42" customHeight="1" x14ac:dyDescent="0.2">
      <c r="A791" s="102"/>
      <c r="B791" s="192"/>
      <c r="C791" s="94"/>
      <c r="H791" s="94"/>
      <c r="M791" s="94"/>
      <c r="R791" s="94"/>
      <c r="W791" s="94"/>
      <c r="AB791" s="94"/>
    </row>
    <row r="792" spans="1:28" ht="42" customHeight="1" x14ac:dyDescent="0.2">
      <c r="A792" s="102"/>
      <c r="B792" s="192"/>
      <c r="C792" s="94"/>
      <c r="H792" s="94"/>
      <c r="M792" s="94"/>
      <c r="R792" s="94"/>
      <c r="W792" s="94"/>
      <c r="AB792" s="94"/>
    </row>
    <row r="793" spans="1:28" ht="42" customHeight="1" x14ac:dyDescent="0.2">
      <c r="A793" s="102"/>
      <c r="B793" s="192"/>
      <c r="C793" s="94"/>
      <c r="H793" s="94"/>
      <c r="M793" s="94"/>
      <c r="R793" s="94"/>
      <c r="W793" s="94"/>
      <c r="AB793" s="94"/>
    </row>
    <row r="794" spans="1:28" ht="42" customHeight="1" x14ac:dyDescent="0.2">
      <c r="A794" s="102"/>
      <c r="B794" s="192"/>
      <c r="C794" s="94"/>
      <c r="H794" s="94"/>
      <c r="M794" s="94"/>
      <c r="R794" s="94"/>
      <c r="W794" s="94"/>
      <c r="AB794" s="94"/>
    </row>
    <row r="795" spans="1:28" ht="42" customHeight="1" x14ac:dyDescent="0.2">
      <c r="A795" s="102"/>
      <c r="B795" s="192"/>
      <c r="C795" s="94"/>
      <c r="H795" s="94"/>
      <c r="M795" s="94"/>
      <c r="R795" s="94"/>
      <c r="W795" s="94"/>
      <c r="AB795" s="94"/>
    </row>
    <row r="796" spans="1:28" ht="42" customHeight="1" x14ac:dyDescent="0.2">
      <c r="A796" s="102"/>
      <c r="B796" s="192"/>
      <c r="C796" s="94"/>
      <c r="H796" s="94"/>
      <c r="M796" s="94"/>
      <c r="R796" s="94"/>
      <c r="W796" s="94"/>
      <c r="AB796" s="94"/>
    </row>
    <row r="797" spans="1:28" ht="42" customHeight="1" x14ac:dyDescent="0.2">
      <c r="A797" s="102"/>
      <c r="B797" s="192"/>
      <c r="C797" s="94"/>
      <c r="H797" s="94"/>
      <c r="M797" s="94"/>
      <c r="R797" s="94"/>
      <c r="W797" s="94"/>
      <c r="AB797" s="94"/>
    </row>
    <row r="798" spans="1:28" ht="42" customHeight="1" x14ac:dyDescent="0.2">
      <c r="A798" s="102"/>
      <c r="B798" s="192"/>
      <c r="C798" s="94"/>
      <c r="H798" s="94"/>
      <c r="M798" s="94"/>
      <c r="R798" s="94"/>
      <c r="W798" s="94"/>
      <c r="AB798" s="94"/>
    </row>
    <row r="799" spans="1:28" ht="42" customHeight="1" x14ac:dyDescent="0.2">
      <c r="A799" s="102"/>
      <c r="B799" s="192"/>
      <c r="C799" s="94"/>
      <c r="H799" s="94"/>
      <c r="M799" s="94"/>
      <c r="R799" s="94"/>
      <c r="W799" s="94"/>
      <c r="AB799" s="94"/>
    </row>
    <row r="800" spans="1:28" ht="42" customHeight="1" x14ac:dyDescent="0.2">
      <c r="A800" s="102"/>
      <c r="B800" s="192"/>
      <c r="C800" s="94"/>
      <c r="H800" s="94"/>
      <c r="M800" s="94"/>
      <c r="R800" s="94"/>
      <c r="W800" s="94"/>
      <c r="AB800" s="94"/>
    </row>
    <row r="801" spans="1:28" ht="42" customHeight="1" x14ac:dyDescent="0.2">
      <c r="A801" s="102"/>
      <c r="B801" s="192"/>
      <c r="C801" s="94"/>
      <c r="H801" s="94"/>
      <c r="M801" s="94"/>
      <c r="R801" s="94"/>
      <c r="W801" s="94"/>
      <c r="AB801" s="94"/>
    </row>
    <row r="802" spans="1:28" ht="42" customHeight="1" x14ac:dyDescent="0.2">
      <c r="A802" s="102"/>
      <c r="B802" s="192"/>
      <c r="C802" s="94"/>
      <c r="H802" s="94"/>
      <c r="M802" s="94"/>
      <c r="R802" s="94"/>
      <c r="W802" s="94"/>
      <c r="AB802" s="94"/>
    </row>
    <row r="803" spans="1:28" ht="42" customHeight="1" x14ac:dyDescent="0.2">
      <c r="A803" s="102"/>
      <c r="B803" s="192"/>
      <c r="C803" s="94"/>
      <c r="H803" s="94"/>
      <c r="M803" s="94"/>
      <c r="R803" s="94"/>
      <c r="W803" s="94"/>
      <c r="AB803" s="94"/>
    </row>
    <row r="804" spans="1:28" ht="42" customHeight="1" x14ac:dyDescent="0.2">
      <c r="A804" s="102"/>
      <c r="B804" s="192"/>
      <c r="C804" s="94"/>
      <c r="H804" s="94"/>
      <c r="M804" s="94"/>
      <c r="R804" s="94"/>
      <c r="W804" s="94"/>
      <c r="AB804" s="94"/>
    </row>
    <row r="805" spans="1:28" ht="42" customHeight="1" x14ac:dyDescent="0.2">
      <c r="A805" s="102"/>
      <c r="B805" s="192"/>
      <c r="C805" s="94"/>
      <c r="H805" s="94"/>
      <c r="M805" s="94"/>
      <c r="R805" s="94"/>
      <c r="W805" s="94"/>
      <c r="AB805" s="94"/>
    </row>
    <row r="806" spans="1:28" ht="42" customHeight="1" x14ac:dyDescent="0.2">
      <c r="A806" s="102"/>
      <c r="B806" s="192"/>
      <c r="C806" s="94"/>
      <c r="H806" s="94"/>
      <c r="M806" s="94"/>
      <c r="R806" s="94"/>
      <c r="W806" s="94"/>
      <c r="AB806" s="94"/>
    </row>
    <row r="807" spans="1:28" ht="42" customHeight="1" x14ac:dyDescent="0.2">
      <c r="A807" s="102"/>
      <c r="B807" s="192"/>
      <c r="C807" s="94"/>
      <c r="H807" s="94"/>
      <c r="M807" s="94"/>
      <c r="R807" s="94"/>
      <c r="W807" s="94"/>
      <c r="AB807" s="94"/>
    </row>
    <row r="808" spans="1:28" ht="42" customHeight="1" x14ac:dyDescent="0.2">
      <c r="A808" s="102"/>
      <c r="B808" s="192"/>
      <c r="C808" s="94"/>
      <c r="H808" s="94"/>
      <c r="M808" s="94"/>
      <c r="R808" s="94"/>
      <c r="W808" s="94"/>
      <c r="AB808" s="94"/>
    </row>
    <row r="809" spans="1:28" ht="42" customHeight="1" x14ac:dyDescent="0.2">
      <c r="A809" s="102"/>
      <c r="B809" s="192"/>
      <c r="C809" s="94"/>
      <c r="H809" s="94"/>
      <c r="M809" s="94"/>
      <c r="R809" s="94"/>
      <c r="W809" s="94"/>
      <c r="AB809" s="94"/>
    </row>
    <row r="810" spans="1:28" ht="42" customHeight="1" x14ac:dyDescent="0.2">
      <c r="A810" s="102"/>
      <c r="B810" s="192"/>
      <c r="C810" s="94"/>
      <c r="H810" s="94"/>
      <c r="M810" s="94"/>
      <c r="R810" s="94"/>
      <c r="W810" s="94"/>
      <c r="AB810" s="94"/>
    </row>
    <row r="811" spans="1:28" ht="42" customHeight="1" x14ac:dyDescent="0.2">
      <c r="A811" s="102"/>
      <c r="B811" s="192"/>
      <c r="C811" s="94"/>
      <c r="H811" s="94"/>
      <c r="M811" s="94"/>
      <c r="R811" s="94"/>
      <c r="W811" s="94"/>
      <c r="AB811" s="94"/>
    </row>
    <row r="812" spans="1:28" ht="42" customHeight="1" x14ac:dyDescent="0.2">
      <c r="A812" s="102"/>
      <c r="B812" s="192"/>
      <c r="C812" s="94"/>
      <c r="H812" s="94"/>
      <c r="M812" s="94"/>
      <c r="R812" s="94"/>
      <c r="W812" s="94"/>
      <c r="AB812" s="94"/>
    </row>
    <row r="813" spans="1:28" ht="42" customHeight="1" x14ac:dyDescent="0.2">
      <c r="A813" s="102"/>
      <c r="B813" s="192"/>
      <c r="C813" s="94"/>
      <c r="H813" s="94"/>
      <c r="M813" s="94"/>
      <c r="R813" s="94"/>
      <c r="W813" s="94"/>
      <c r="AB813" s="94"/>
    </row>
    <row r="814" spans="1:28" ht="42" customHeight="1" x14ac:dyDescent="0.2">
      <c r="A814" s="102"/>
      <c r="B814" s="192"/>
      <c r="C814" s="94"/>
      <c r="H814" s="94"/>
      <c r="M814" s="94"/>
      <c r="R814" s="94"/>
      <c r="W814" s="94"/>
      <c r="AB814" s="94"/>
    </row>
    <row r="815" spans="1:28" ht="42" customHeight="1" x14ac:dyDescent="0.2">
      <c r="A815" s="102"/>
      <c r="B815" s="192"/>
      <c r="C815" s="94"/>
      <c r="H815" s="94"/>
      <c r="M815" s="94"/>
      <c r="R815" s="94"/>
      <c r="W815" s="94"/>
      <c r="AB815" s="94"/>
    </row>
    <row r="816" spans="1:28" ht="42" customHeight="1" x14ac:dyDescent="0.2">
      <c r="A816" s="102"/>
      <c r="B816" s="192"/>
      <c r="C816" s="94"/>
      <c r="H816" s="94"/>
      <c r="M816" s="94"/>
      <c r="R816" s="94"/>
      <c r="W816" s="94"/>
      <c r="AB816" s="94"/>
    </row>
    <row r="817" spans="1:28" ht="42" customHeight="1" x14ac:dyDescent="0.2">
      <c r="A817" s="102"/>
      <c r="B817" s="192"/>
      <c r="C817" s="94"/>
      <c r="H817" s="94"/>
      <c r="M817" s="94"/>
      <c r="R817" s="94"/>
      <c r="W817" s="94"/>
      <c r="AB817" s="94"/>
    </row>
    <row r="818" spans="1:28" ht="42" customHeight="1" x14ac:dyDescent="0.2">
      <c r="A818" s="102"/>
      <c r="B818" s="192"/>
      <c r="C818" s="94"/>
      <c r="H818" s="94"/>
      <c r="M818" s="94"/>
      <c r="R818" s="94"/>
      <c r="W818" s="94"/>
      <c r="AB818" s="94"/>
    </row>
    <row r="819" spans="1:28" ht="42" customHeight="1" x14ac:dyDescent="0.2">
      <c r="A819" s="102"/>
      <c r="B819" s="192"/>
      <c r="C819" s="94"/>
      <c r="H819" s="94"/>
      <c r="M819" s="94"/>
      <c r="R819" s="94"/>
      <c r="W819" s="94"/>
      <c r="AB819" s="94"/>
    </row>
    <row r="820" spans="1:28" ht="42" customHeight="1" x14ac:dyDescent="0.2">
      <c r="A820" s="102"/>
      <c r="B820" s="192"/>
      <c r="C820" s="94"/>
      <c r="H820" s="94"/>
      <c r="M820" s="94"/>
      <c r="R820" s="94"/>
      <c r="W820" s="94"/>
      <c r="AB820" s="94"/>
    </row>
    <row r="821" spans="1:28" ht="42" customHeight="1" x14ac:dyDescent="0.2">
      <c r="A821" s="102"/>
      <c r="B821" s="192"/>
      <c r="C821" s="94"/>
      <c r="H821" s="94"/>
      <c r="M821" s="94"/>
      <c r="R821" s="94"/>
      <c r="W821" s="94"/>
      <c r="AB821" s="94"/>
    </row>
    <row r="822" spans="1:28" ht="42" customHeight="1" x14ac:dyDescent="0.2">
      <c r="A822" s="102"/>
      <c r="B822" s="192"/>
      <c r="C822" s="94"/>
      <c r="H822" s="94"/>
      <c r="M822" s="94"/>
      <c r="R822" s="94"/>
      <c r="W822" s="94"/>
      <c r="AB822" s="94"/>
    </row>
    <row r="823" spans="1:28" ht="42" customHeight="1" x14ac:dyDescent="0.2">
      <c r="A823" s="102"/>
      <c r="B823" s="192"/>
      <c r="C823" s="94"/>
      <c r="H823" s="94"/>
      <c r="M823" s="94"/>
      <c r="R823" s="94"/>
      <c r="W823" s="94"/>
      <c r="AB823" s="94"/>
    </row>
    <row r="824" spans="1:28" ht="42" customHeight="1" x14ac:dyDescent="0.2">
      <c r="A824" s="102"/>
      <c r="B824" s="192"/>
      <c r="C824" s="94"/>
      <c r="H824" s="94"/>
      <c r="M824" s="94"/>
      <c r="R824" s="94"/>
      <c r="W824" s="94"/>
      <c r="AB824" s="94"/>
    </row>
    <row r="825" spans="1:28" ht="42" customHeight="1" x14ac:dyDescent="0.2">
      <c r="A825" s="102"/>
      <c r="B825" s="192"/>
      <c r="C825" s="94"/>
      <c r="H825" s="94"/>
      <c r="M825" s="94"/>
      <c r="R825" s="94"/>
      <c r="W825" s="94"/>
      <c r="AB825" s="94"/>
    </row>
    <row r="826" spans="1:28" ht="42" customHeight="1" x14ac:dyDescent="0.2">
      <c r="A826" s="102"/>
      <c r="B826" s="192"/>
      <c r="C826" s="94"/>
      <c r="H826" s="94"/>
      <c r="M826" s="94"/>
      <c r="R826" s="94"/>
      <c r="W826" s="94"/>
      <c r="AB826" s="94"/>
    </row>
    <row r="827" spans="1:28" ht="42" customHeight="1" x14ac:dyDescent="0.2">
      <c r="A827" s="102"/>
      <c r="B827" s="192"/>
      <c r="C827" s="94"/>
      <c r="H827" s="94"/>
      <c r="M827" s="94"/>
      <c r="R827" s="94"/>
      <c r="W827" s="94"/>
      <c r="AB827" s="94"/>
    </row>
    <row r="828" spans="1:28" ht="42" customHeight="1" x14ac:dyDescent="0.2">
      <c r="A828" s="102"/>
      <c r="B828" s="192"/>
      <c r="C828" s="94"/>
      <c r="H828" s="94"/>
      <c r="M828" s="94"/>
      <c r="R828" s="94"/>
      <c r="W828" s="94"/>
      <c r="AB828" s="94"/>
    </row>
    <row r="829" spans="1:28" ht="42" customHeight="1" x14ac:dyDescent="0.2">
      <c r="A829" s="102"/>
      <c r="B829" s="192"/>
      <c r="C829" s="94"/>
      <c r="H829" s="94"/>
      <c r="M829" s="94"/>
      <c r="R829" s="94"/>
      <c r="W829" s="94"/>
      <c r="AB829" s="94"/>
    </row>
    <row r="830" spans="1:28" ht="42" customHeight="1" x14ac:dyDescent="0.2">
      <c r="A830" s="102"/>
      <c r="B830" s="192"/>
      <c r="C830" s="94"/>
      <c r="H830" s="94"/>
      <c r="M830" s="94"/>
      <c r="R830" s="94"/>
      <c r="W830" s="94"/>
      <c r="AB830" s="94"/>
    </row>
    <row r="831" spans="1:28" ht="42" customHeight="1" x14ac:dyDescent="0.2">
      <c r="A831" s="102"/>
      <c r="B831" s="192"/>
      <c r="C831" s="94"/>
      <c r="H831" s="94"/>
      <c r="M831" s="94"/>
      <c r="R831" s="94"/>
      <c r="W831" s="94"/>
      <c r="AB831" s="94"/>
    </row>
    <row r="832" spans="1:28" ht="42" customHeight="1" x14ac:dyDescent="0.2">
      <c r="A832" s="102"/>
      <c r="B832" s="192"/>
      <c r="C832" s="94"/>
      <c r="H832" s="94"/>
      <c r="M832" s="94"/>
      <c r="R832" s="94"/>
      <c r="W832" s="94"/>
      <c r="AB832" s="94"/>
    </row>
    <row r="833" spans="1:28" ht="42" customHeight="1" x14ac:dyDescent="0.2">
      <c r="A833" s="102"/>
      <c r="B833" s="192"/>
      <c r="C833" s="94"/>
      <c r="H833" s="94"/>
      <c r="M833" s="94"/>
      <c r="R833" s="94"/>
      <c r="W833" s="94"/>
      <c r="AB833" s="94"/>
    </row>
    <row r="834" spans="1:28" ht="42" customHeight="1" x14ac:dyDescent="0.2">
      <c r="A834" s="102"/>
      <c r="B834" s="192"/>
      <c r="C834" s="94"/>
      <c r="H834" s="94"/>
      <c r="M834" s="94"/>
      <c r="R834" s="94"/>
      <c r="W834" s="94"/>
      <c r="AB834" s="94"/>
    </row>
    <row r="835" spans="1:28" ht="42" customHeight="1" x14ac:dyDescent="0.2">
      <c r="A835" s="102"/>
      <c r="B835" s="192"/>
      <c r="C835" s="94"/>
      <c r="H835" s="94"/>
      <c r="M835" s="94"/>
      <c r="R835" s="94"/>
      <c r="W835" s="94"/>
      <c r="AB835" s="94"/>
    </row>
    <row r="836" spans="1:28" ht="42" customHeight="1" x14ac:dyDescent="0.2">
      <c r="A836" s="102"/>
      <c r="B836" s="192"/>
      <c r="C836" s="94"/>
      <c r="H836" s="94"/>
      <c r="M836" s="94"/>
      <c r="R836" s="94"/>
      <c r="W836" s="94"/>
      <c r="AB836" s="94"/>
    </row>
    <row r="837" spans="1:28" ht="42" customHeight="1" x14ac:dyDescent="0.2">
      <c r="A837" s="102"/>
      <c r="B837" s="192"/>
      <c r="C837" s="94"/>
      <c r="H837" s="94"/>
      <c r="M837" s="94"/>
      <c r="R837" s="94"/>
      <c r="W837" s="94"/>
      <c r="AB837" s="94"/>
    </row>
  </sheetData>
  <mergeCells count="317">
    <mergeCell ref="I316:I363"/>
    <mergeCell ref="I643:I682"/>
    <mergeCell ref="R414:R601"/>
    <mergeCell ref="S414:S601"/>
    <mergeCell ref="H364:H413"/>
    <mergeCell ref="N629:N631"/>
    <mergeCell ref="AB706:AB710"/>
    <mergeCell ref="X364:X413"/>
    <mergeCell ref="AB364:AB413"/>
    <mergeCell ref="W643:W682"/>
    <mergeCell ref="AB316:AB363"/>
    <mergeCell ref="S316:S363"/>
    <mergeCell ref="M608:M617"/>
    <mergeCell ref="M316:M363"/>
    <mergeCell ref="N316:N363"/>
    <mergeCell ref="R316:R363"/>
    <mergeCell ref="X602:X606"/>
    <mergeCell ref="AB602:AB606"/>
    <mergeCell ref="W316:W363"/>
    <mergeCell ref="X316:X363"/>
    <mergeCell ref="M643:M682"/>
    <mergeCell ref="N608:N617"/>
    <mergeCell ref="R608:R617"/>
    <mergeCell ref="S643:S682"/>
    <mergeCell ref="I414:I601"/>
    <mergeCell ref="A364:A413"/>
    <mergeCell ref="C364:C413"/>
    <mergeCell ref="D364:D413"/>
    <mergeCell ref="I364:I413"/>
    <mergeCell ref="A602:A606"/>
    <mergeCell ref="S608:S617"/>
    <mergeCell ref="W608:W617"/>
    <mergeCell ref="N602:N606"/>
    <mergeCell ref="R602:R606"/>
    <mergeCell ref="M364:M413"/>
    <mergeCell ref="N364:N413"/>
    <mergeCell ref="R364:R413"/>
    <mergeCell ref="S364:S413"/>
    <mergeCell ref="W364:W413"/>
    <mergeCell ref="C316:C363"/>
    <mergeCell ref="D316:D363"/>
    <mergeCell ref="H316:H363"/>
    <mergeCell ref="A414:A601"/>
    <mergeCell ref="C602:C606"/>
    <mergeCell ref="D602:D606"/>
    <mergeCell ref="C414:C601"/>
    <mergeCell ref="D414:D601"/>
    <mergeCell ref="H414:H601"/>
    <mergeCell ref="A263:A268"/>
    <mergeCell ref="C263:C268"/>
    <mergeCell ref="D263:D268"/>
    <mergeCell ref="A269:A315"/>
    <mergeCell ref="A706:A710"/>
    <mergeCell ref="R706:R710"/>
    <mergeCell ref="C706:C710"/>
    <mergeCell ref="D706:D710"/>
    <mergeCell ref="H706:H710"/>
    <mergeCell ref="I706:I710"/>
    <mergeCell ref="M706:M710"/>
    <mergeCell ref="N706:N710"/>
    <mergeCell ref="C643:C682"/>
    <mergeCell ref="D643:D682"/>
    <mergeCell ref="H643:H682"/>
    <mergeCell ref="R269:R315"/>
    <mergeCell ref="M269:M315"/>
    <mergeCell ref="A608:A617"/>
    <mergeCell ref="C608:C617"/>
    <mergeCell ref="I602:I606"/>
    <mergeCell ref="M602:M606"/>
    <mergeCell ref="A618:A626"/>
    <mergeCell ref="I608:I617"/>
    <mergeCell ref="A316:A363"/>
    <mergeCell ref="W706:W710"/>
    <mergeCell ref="C632:C639"/>
    <mergeCell ref="D632:D639"/>
    <mergeCell ref="H632:H639"/>
    <mergeCell ref="I632:I639"/>
    <mergeCell ref="M632:M639"/>
    <mergeCell ref="N632:N639"/>
    <mergeCell ref="R632:R639"/>
    <mergeCell ref="S632:S639"/>
    <mergeCell ref="X249:X261"/>
    <mergeCell ref="AB249:AB261"/>
    <mergeCell ref="C249:C261"/>
    <mergeCell ref="D249:D261"/>
    <mergeCell ref="H249:H261"/>
    <mergeCell ref="S263:S268"/>
    <mergeCell ref="W269:W315"/>
    <mergeCell ref="X269:X315"/>
    <mergeCell ref="AB269:AB315"/>
    <mergeCell ref="I249:I261"/>
    <mergeCell ref="M249:M261"/>
    <mergeCell ref="H263:H268"/>
    <mergeCell ref="C269:C315"/>
    <mergeCell ref="D269:D315"/>
    <mergeCell ref="I269:I315"/>
    <mergeCell ref="N249:N261"/>
    <mergeCell ref="R249:R261"/>
    <mergeCell ref="S249:S261"/>
    <mergeCell ref="W249:W261"/>
    <mergeCell ref="H269:H315"/>
    <mergeCell ref="A761:B761"/>
    <mergeCell ref="B748:AB748"/>
    <mergeCell ref="AB643:AB682"/>
    <mergeCell ref="X643:X682"/>
    <mergeCell ref="A643:A682"/>
    <mergeCell ref="AB618:AB626"/>
    <mergeCell ref="H629:H631"/>
    <mergeCell ref="I629:I631"/>
    <mergeCell ref="R629:R631"/>
    <mergeCell ref="S629:S631"/>
    <mergeCell ref="W629:W631"/>
    <mergeCell ref="X629:X631"/>
    <mergeCell ref="AB629:AB631"/>
    <mergeCell ref="A759:B759"/>
    <mergeCell ref="R643:R682"/>
    <mergeCell ref="A711:A724"/>
    <mergeCell ref="C711:C724"/>
    <mergeCell ref="D711:D724"/>
    <mergeCell ref="H711:H724"/>
    <mergeCell ref="I711:I724"/>
    <mergeCell ref="M711:M724"/>
    <mergeCell ref="N711:N724"/>
    <mergeCell ref="R711:R724"/>
    <mergeCell ref="X711:X724"/>
    <mergeCell ref="A760:B760"/>
    <mergeCell ref="A629:A631"/>
    <mergeCell ref="C629:C631"/>
    <mergeCell ref="A216:A233"/>
    <mergeCell ref="W245:W247"/>
    <mergeCell ref="X245:X247"/>
    <mergeCell ref="W170:W178"/>
    <mergeCell ref="X170:X178"/>
    <mergeCell ref="C216:C233"/>
    <mergeCell ref="D216:D233"/>
    <mergeCell ref="H216:H233"/>
    <mergeCell ref="I216:I233"/>
    <mergeCell ref="M216:M233"/>
    <mergeCell ref="N216:N233"/>
    <mergeCell ref="R216:R233"/>
    <mergeCell ref="S216:S233"/>
    <mergeCell ref="W216:W233"/>
    <mergeCell ref="X216:X233"/>
    <mergeCell ref="C245:C247"/>
    <mergeCell ref="D245:D247"/>
    <mergeCell ref="H245:H247"/>
    <mergeCell ref="I245:I247"/>
    <mergeCell ref="M245:M247"/>
    <mergeCell ref="N245:N247"/>
    <mergeCell ref="S170:S178"/>
    <mergeCell ref="A49:A57"/>
    <mergeCell ref="I49:I57"/>
    <mergeCell ref="A179:A193"/>
    <mergeCell ref="C179:C193"/>
    <mergeCell ref="D179:D193"/>
    <mergeCell ref="H179:H193"/>
    <mergeCell ref="I179:I193"/>
    <mergeCell ref="A245:A247"/>
    <mergeCell ref="A58:A117"/>
    <mergeCell ref="I58:I117"/>
    <mergeCell ref="C153:C169"/>
    <mergeCell ref="D153:D169"/>
    <mergeCell ref="S153:S169"/>
    <mergeCell ref="A34:A48"/>
    <mergeCell ref="A153:A169"/>
    <mergeCell ref="I118:I137"/>
    <mergeCell ref="C118:C137"/>
    <mergeCell ref="D118:D137"/>
    <mergeCell ref="H118:H137"/>
    <mergeCell ref="R245:R247"/>
    <mergeCell ref="B9:AB9"/>
    <mergeCell ref="C34:C45"/>
    <mergeCell ref="D34:D45"/>
    <mergeCell ref="C10:C33"/>
    <mergeCell ref="H10:H33"/>
    <mergeCell ref="I34:I45"/>
    <mergeCell ref="D10:D33"/>
    <mergeCell ref="H153:H169"/>
    <mergeCell ref="I153:I169"/>
    <mergeCell ref="S34:S45"/>
    <mergeCell ref="D58:D117"/>
    <mergeCell ref="N58:N117"/>
    <mergeCell ref="R58:R117"/>
    <mergeCell ref="S58:S117"/>
    <mergeCell ref="R153:R169"/>
    <mergeCell ref="M153:M169"/>
    <mergeCell ref="N153:N169"/>
    <mergeCell ref="C5:G5"/>
    <mergeCell ref="R49:R57"/>
    <mergeCell ref="S49:S57"/>
    <mergeCell ref="A118:A137"/>
    <mergeCell ref="A170:A178"/>
    <mergeCell ref="C170:C178"/>
    <mergeCell ref="D170:D178"/>
    <mergeCell ref="H170:H178"/>
    <mergeCell ref="I170:I178"/>
    <mergeCell ref="M170:M178"/>
    <mergeCell ref="N170:N178"/>
    <mergeCell ref="R170:R178"/>
    <mergeCell ref="A8:AB8"/>
    <mergeCell ref="A4:A6"/>
    <mergeCell ref="B4:B6"/>
    <mergeCell ref="C4:AA4"/>
    <mergeCell ref="A10:A33"/>
    <mergeCell ref="I10:I33"/>
    <mergeCell ref="M10:M33"/>
    <mergeCell ref="S10:S33"/>
    <mergeCell ref="W10:W33"/>
    <mergeCell ref="N10:N33"/>
    <mergeCell ref="R10:R33"/>
    <mergeCell ref="W58:W117"/>
    <mergeCell ref="W1:AB1"/>
    <mergeCell ref="W2:AB2"/>
    <mergeCell ref="M5:Q5"/>
    <mergeCell ref="R5:V5"/>
    <mergeCell ref="W5:AA5"/>
    <mergeCell ref="AB153:AB169"/>
    <mergeCell ref="B3:AB3"/>
    <mergeCell ref="X10:X33"/>
    <mergeCell ref="AB10:AB33"/>
    <mergeCell ref="AB4:AB6"/>
    <mergeCell ref="C49:C57"/>
    <mergeCell ref="D49:D57"/>
    <mergeCell ref="H49:H57"/>
    <mergeCell ref="M49:M57"/>
    <mergeCell ref="N49:N57"/>
    <mergeCell ref="H5:L5"/>
    <mergeCell ref="X49:X57"/>
    <mergeCell ref="AB49:AB57"/>
    <mergeCell ref="AB34:AB45"/>
    <mergeCell ref="M34:M45"/>
    <mergeCell ref="H34:H45"/>
    <mergeCell ref="H58:H117"/>
    <mergeCell ref="W34:W48"/>
    <mergeCell ref="C58:C117"/>
    <mergeCell ref="B750:AB750"/>
    <mergeCell ref="X414:X601"/>
    <mergeCell ref="AB414:AB601"/>
    <mergeCell ref="D618:D626"/>
    <mergeCell ref="H618:H626"/>
    <mergeCell ref="I618:I626"/>
    <mergeCell ref="M618:M626"/>
    <mergeCell ref="N618:N626"/>
    <mergeCell ref="R618:R626"/>
    <mergeCell ref="S618:S626"/>
    <mergeCell ref="W618:W626"/>
    <mergeCell ref="X608:X617"/>
    <mergeCell ref="X618:X626"/>
    <mergeCell ref="AB608:AB617"/>
    <mergeCell ref="S602:S606"/>
    <mergeCell ref="W602:W606"/>
    <mergeCell ref="X706:X710"/>
    <mergeCell ref="W414:W601"/>
    <mergeCell ref="D629:D631"/>
    <mergeCell ref="M629:M631"/>
    <mergeCell ref="W711:W724"/>
    <mergeCell ref="S711:S724"/>
    <mergeCell ref="AB711:AB724"/>
    <mergeCell ref="H608:H617"/>
    <mergeCell ref="AB170:AB178"/>
    <mergeCell ref="M58:M117"/>
    <mergeCell ref="X34:X48"/>
    <mergeCell ref="W179:W193"/>
    <mergeCell ref="X179:X193"/>
    <mergeCell ref="AB179:AB193"/>
    <mergeCell ref="X153:X169"/>
    <mergeCell ref="M118:M137"/>
    <mergeCell ref="N118:N137"/>
    <mergeCell ref="R118:R137"/>
    <mergeCell ref="S118:S137"/>
    <mergeCell ref="W118:W137"/>
    <mergeCell ref="X118:X137"/>
    <mergeCell ref="AB118:AB137"/>
    <mergeCell ref="M179:M193"/>
    <mergeCell ref="N179:N193"/>
    <mergeCell ref="R179:R193"/>
    <mergeCell ref="S179:S193"/>
    <mergeCell ref="X58:X117"/>
    <mergeCell ref="AB58:AB117"/>
    <mergeCell ref="W49:W57"/>
    <mergeCell ref="N34:N45"/>
    <mergeCell ref="R34:R45"/>
    <mergeCell ref="W153:W169"/>
    <mergeCell ref="A632:A639"/>
    <mergeCell ref="W632:W639"/>
    <mergeCell ref="X632:X639"/>
    <mergeCell ref="AB632:AB639"/>
    <mergeCell ref="A725:A747"/>
    <mergeCell ref="W725:W747"/>
    <mergeCell ref="X725:X747"/>
    <mergeCell ref="AB725:AB747"/>
    <mergeCell ref="AB216:AB233"/>
    <mergeCell ref="S245:S247"/>
    <mergeCell ref="H602:H606"/>
    <mergeCell ref="C618:C626"/>
    <mergeCell ref="D608:D617"/>
    <mergeCell ref="AB245:AB247"/>
    <mergeCell ref="W263:W268"/>
    <mergeCell ref="X263:X268"/>
    <mergeCell ref="AB263:AB268"/>
    <mergeCell ref="S269:S315"/>
    <mergeCell ref="B262:AB262"/>
    <mergeCell ref="I263:I268"/>
    <mergeCell ref="M263:M268"/>
    <mergeCell ref="N263:N268"/>
    <mergeCell ref="R263:R268"/>
    <mergeCell ref="N269:N315"/>
    <mergeCell ref="D725:D747"/>
    <mergeCell ref="C742:C747"/>
    <mergeCell ref="H725:H747"/>
    <mergeCell ref="I725:I747"/>
    <mergeCell ref="M725:M747"/>
    <mergeCell ref="N725:N747"/>
    <mergeCell ref="R725:R747"/>
    <mergeCell ref="S725:S747"/>
    <mergeCell ref="N643:N705"/>
    <mergeCell ref="S706:S710"/>
  </mergeCells>
  <printOptions horizontalCentered="1"/>
  <pageMargins left="0.19685039370078741" right="0.19685039370078741" top="0.62992125984251968" bottom="0.59055118110236227" header="0.19685039370078741" footer="0.15748031496062992"/>
  <pageSetup paperSize="8" scale="54" firstPageNumber="6" fitToHeight="0" orientation="landscape" useFirstPageNumber="1" r:id="rId1"/>
  <headerFooter alignWithMargins="0">
    <oddHeader>&amp;C&amp;P</oddHeader>
  </headerFooter>
  <rowBreaks count="13" manualBreakCount="13">
    <brk id="41" max="27" man="1"/>
    <brk id="80" max="27" man="1"/>
    <brk id="124" max="27" man="1"/>
    <brk id="171" max="27" man="1"/>
    <brk id="260" max="27" man="1"/>
    <brk id="307" max="27" man="1"/>
    <brk id="356" max="27" man="1"/>
    <brk id="407" max="27" man="1"/>
    <brk id="461" max="27" man="1"/>
    <brk id="514" max="27" man="1"/>
    <brk id="568" max="27" man="1"/>
    <brk id="618" max="27" man="1"/>
    <brk id="703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312"/>
  <sheetViews>
    <sheetView showRuler="0" view="pageBreakPreview" zoomScale="80" zoomScaleNormal="79" zoomScaleSheetLayoutView="80" zoomScalePageLayoutView="70" workbookViewId="0">
      <pane ySplit="6" topLeftCell="A220" activePane="bottomLeft" state="frozen"/>
      <selection pane="bottomLeft" activeCell="M12" sqref="M12"/>
    </sheetView>
  </sheetViews>
  <sheetFormatPr defaultColWidth="8.7109375" defaultRowHeight="12.75" outlineLevelRow="1" x14ac:dyDescent="0.2"/>
  <cols>
    <col min="1" max="1" width="11" style="307" customWidth="1"/>
    <col min="2" max="2" width="26.28515625" style="94" customWidth="1"/>
    <col min="3" max="3" width="10.28515625" style="308" customWidth="1"/>
    <col min="4" max="4" width="13.5703125" style="309" customWidth="1"/>
    <col min="5" max="5" width="7.7109375" style="309" customWidth="1"/>
    <col min="6" max="6" width="13.28515625" style="309" customWidth="1"/>
    <col min="7" max="7" width="9.5703125" style="309" customWidth="1"/>
    <col min="8" max="8" width="11.140625" style="309" customWidth="1"/>
    <col min="9" max="9" width="10.140625" style="309" customWidth="1"/>
    <col min="10" max="10" width="9" style="309" customWidth="1"/>
    <col min="11" max="11" width="11" style="96" customWidth="1"/>
    <col min="12" max="12" width="8.85546875" style="96" customWidth="1"/>
    <col min="13" max="13" width="10.85546875" style="102" customWidth="1"/>
    <col min="14" max="14" width="11" style="102" customWidth="1"/>
    <col min="15" max="15" width="7.5703125" style="313" customWidth="1"/>
    <col min="16" max="16" width="10.85546875" style="314" customWidth="1"/>
    <col min="17" max="17" width="9" style="314" customWidth="1"/>
    <col min="18" max="18" width="10.85546875" style="102" customWidth="1"/>
    <col min="19" max="19" width="12.85546875" style="102" customWidth="1"/>
    <col min="20" max="20" width="7.7109375" style="313" customWidth="1"/>
    <col min="21" max="21" width="12.7109375" style="314" customWidth="1"/>
    <col min="22" max="22" width="9.85546875" style="314" customWidth="1"/>
    <col min="23" max="23" width="12.5703125" style="102" customWidth="1"/>
    <col min="24" max="24" width="10.7109375" style="102" customWidth="1"/>
    <col min="25" max="25" width="9.140625" style="313" customWidth="1"/>
    <col min="26" max="26" width="11" style="314" customWidth="1"/>
    <col min="27" max="27" width="9.7109375" style="102" customWidth="1"/>
    <col min="28" max="28" width="10.85546875" style="102" customWidth="1"/>
    <col min="29" max="29" width="10.140625" style="102" customWidth="1"/>
    <col min="30" max="30" width="14.28515625" style="94" bestFit="1" customWidth="1"/>
    <col min="31" max="31" width="14.7109375" style="94" customWidth="1"/>
    <col min="32" max="32" width="10.85546875" style="94" bestFit="1" customWidth="1"/>
    <col min="33" max="16384" width="8.7109375" style="94"/>
  </cols>
  <sheetData>
    <row r="1" spans="1:29" ht="85.15" customHeight="1" x14ac:dyDescent="0.2">
      <c r="A1" s="195"/>
      <c r="B1" s="186"/>
      <c r="C1" s="196"/>
      <c r="D1" s="186"/>
      <c r="E1" s="196"/>
      <c r="F1" s="186"/>
      <c r="G1" s="186"/>
      <c r="H1" s="186"/>
      <c r="I1" s="186"/>
      <c r="J1" s="196"/>
      <c r="K1" s="186"/>
      <c r="L1" s="186"/>
      <c r="M1" s="186"/>
      <c r="N1" s="186"/>
      <c r="O1" s="196"/>
      <c r="P1" s="186"/>
      <c r="Q1" s="186"/>
      <c r="R1" s="186"/>
      <c r="S1" s="186"/>
      <c r="T1" s="196"/>
      <c r="U1" s="186"/>
      <c r="V1" s="186"/>
      <c r="W1" s="186"/>
      <c r="X1" s="186"/>
      <c r="Y1" s="104"/>
      <c r="Z1" s="474" t="s">
        <v>1661</v>
      </c>
      <c r="AA1" s="474"/>
      <c r="AB1" s="474"/>
      <c r="AC1" s="474"/>
    </row>
    <row r="2" spans="1:29" ht="101.25" customHeight="1" x14ac:dyDescent="0.2">
      <c r="A2" s="195"/>
      <c r="B2" s="186"/>
      <c r="C2" s="196"/>
      <c r="D2" s="186"/>
      <c r="E2" s="196"/>
      <c r="F2" s="186"/>
      <c r="G2" s="186"/>
      <c r="H2" s="186"/>
      <c r="I2" s="186"/>
      <c r="J2" s="196"/>
      <c r="K2" s="186"/>
      <c r="L2" s="186"/>
      <c r="M2" s="186"/>
      <c r="N2" s="186"/>
      <c r="O2" s="196"/>
      <c r="P2" s="186"/>
      <c r="Q2" s="186"/>
      <c r="R2" s="186"/>
      <c r="S2" s="186"/>
      <c r="T2" s="196"/>
      <c r="U2" s="186"/>
      <c r="V2" s="186"/>
      <c r="W2" s="186"/>
      <c r="X2" s="186"/>
      <c r="Y2" s="104"/>
      <c r="Z2" s="512" t="s">
        <v>386</v>
      </c>
      <c r="AA2" s="512"/>
      <c r="AB2" s="512"/>
      <c r="AC2" s="512"/>
    </row>
    <row r="3" spans="1:29" ht="74.25" customHeight="1" x14ac:dyDescent="0.3">
      <c r="A3" s="517" t="s">
        <v>1287</v>
      </c>
      <c r="B3" s="518"/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  <c r="S3" s="518"/>
      <c r="T3" s="518"/>
      <c r="U3" s="518"/>
      <c r="V3" s="518"/>
      <c r="W3" s="518"/>
      <c r="X3" s="518"/>
      <c r="Y3" s="518"/>
      <c r="Z3" s="518"/>
      <c r="AA3" s="518"/>
      <c r="AB3" s="518"/>
      <c r="AC3" s="518"/>
    </row>
    <row r="4" spans="1:29" s="197" customFormat="1" ht="15.6" customHeight="1" x14ac:dyDescent="0.2">
      <c r="A4" s="521" t="s">
        <v>612</v>
      </c>
      <c r="B4" s="514" t="s">
        <v>0</v>
      </c>
      <c r="C4" s="516" t="s">
        <v>186</v>
      </c>
      <c r="D4" s="516" t="s">
        <v>158</v>
      </c>
      <c r="E4" s="519" t="s">
        <v>13</v>
      </c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  <c r="R4" s="520"/>
      <c r="S4" s="520"/>
      <c r="T4" s="520"/>
      <c r="U4" s="520"/>
      <c r="V4" s="520"/>
      <c r="W4" s="520"/>
      <c r="X4" s="520"/>
      <c r="Y4" s="520"/>
      <c r="Z4" s="520"/>
      <c r="AA4" s="520"/>
      <c r="AB4" s="520"/>
      <c r="AC4" s="520"/>
    </row>
    <row r="5" spans="1:29" s="105" customFormat="1" ht="27.4" customHeight="1" x14ac:dyDescent="0.2">
      <c r="A5" s="521"/>
      <c r="B5" s="514"/>
      <c r="C5" s="516"/>
      <c r="D5" s="516"/>
      <c r="E5" s="515" t="s">
        <v>20</v>
      </c>
      <c r="F5" s="515"/>
      <c r="G5" s="515"/>
      <c r="H5" s="515"/>
      <c r="I5" s="515"/>
      <c r="J5" s="513" t="s">
        <v>21</v>
      </c>
      <c r="K5" s="513"/>
      <c r="L5" s="513"/>
      <c r="M5" s="513"/>
      <c r="N5" s="513"/>
      <c r="O5" s="513" t="s">
        <v>22</v>
      </c>
      <c r="P5" s="513"/>
      <c r="Q5" s="513"/>
      <c r="R5" s="513"/>
      <c r="S5" s="513"/>
      <c r="T5" s="513" t="s">
        <v>23</v>
      </c>
      <c r="U5" s="513"/>
      <c r="V5" s="513"/>
      <c r="W5" s="513"/>
      <c r="X5" s="513"/>
      <c r="Y5" s="513" t="s">
        <v>24</v>
      </c>
      <c r="Z5" s="513"/>
      <c r="AA5" s="513"/>
      <c r="AB5" s="513"/>
      <c r="AC5" s="513"/>
    </row>
    <row r="6" spans="1:29" s="105" customFormat="1" ht="64.150000000000006" customHeight="1" x14ac:dyDescent="0.2">
      <c r="A6" s="521"/>
      <c r="B6" s="514"/>
      <c r="C6" s="516"/>
      <c r="D6" s="516"/>
      <c r="E6" s="198" t="s">
        <v>186</v>
      </c>
      <c r="F6" s="107" t="s">
        <v>4</v>
      </c>
      <c r="G6" s="107" t="s">
        <v>159</v>
      </c>
      <c r="H6" s="199" t="s">
        <v>5</v>
      </c>
      <c r="I6" s="200" t="s">
        <v>12</v>
      </c>
      <c r="J6" s="198" t="s">
        <v>186</v>
      </c>
      <c r="K6" s="107" t="s">
        <v>4</v>
      </c>
      <c r="L6" s="107" t="s">
        <v>159</v>
      </c>
      <c r="M6" s="200" t="s">
        <v>5</v>
      </c>
      <c r="N6" s="200" t="s">
        <v>12</v>
      </c>
      <c r="O6" s="198" t="s">
        <v>186</v>
      </c>
      <c r="P6" s="107" t="s">
        <v>4</v>
      </c>
      <c r="Q6" s="107" t="s">
        <v>159</v>
      </c>
      <c r="R6" s="200" t="s">
        <v>5</v>
      </c>
      <c r="S6" s="200" t="s">
        <v>12</v>
      </c>
      <c r="T6" s="198" t="s">
        <v>186</v>
      </c>
      <c r="U6" s="107" t="s">
        <v>4</v>
      </c>
      <c r="V6" s="107" t="s">
        <v>159</v>
      </c>
      <c r="W6" s="200" t="s">
        <v>5</v>
      </c>
      <c r="X6" s="200" t="s">
        <v>12</v>
      </c>
      <c r="Y6" s="198" t="s">
        <v>186</v>
      </c>
      <c r="Z6" s="107" t="s">
        <v>4</v>
      </c>
      <c r="AA6" s="107" t="s">
        <v>159</v>
      </c>
      <c r="AB6" s="200" t="s">
        <v>160</v>
      </c>
      <c r="AC6" s="200" t="s">
        <v>31</v>
      </c>
    </row>
    <row r="7" spans="1:29" ht="22.35" customHeight="1" x14ac:dyDescent="0.2">
      <c r="A7" s="201">
        <v>1</v>
      </c>
      <c r="B7" s="202">
        <v>2</v>
      </c>
      <c r="C7" s="201">
        <v>3</v>
      </c>
      <c r="D7" s="201">
        <v>4</v>
      </c>
      <c r="E7" s="201">
        <v>5</v>
      </c>
      <c r="F7" s="201">
        <v>6</v>
      </c>
      <c r="G7" s="201">
        <v>7</v>
      </c>
      <c r="H7" s="201">
        <v>8</v>
      </c>
      <c r="I7" s="201">
        <v>9</v>
      </c>
      <c r="J7" s="201">
        <v>10</v>
      </c>
      <c r="K7" s="201">
        <v>11</v>
      </c>
      <c r="L7" s="201">
        <v>12</v>
      </c>
      <c r="M7" s="203">
        <v>13</v>
      </c>
      <c r="N7" s="203">
        <v>14</v>
      </c>
      <c r="O7" s="203">
        <v>15</v>
      </c>
      <c r="P7" s="203">
        <v>16</v>
      </c>
      <c r="Q7" s="203">
        <v>17</v>
      </c>
      <c r="R7" s="203">
        <v>18</v>
      </c>
      <c r="S7" s="203">
        <v>19</v>
      </c>
      <c r="T7" s="203">
        <v>20</v>
      </c>
      <c r="U7" s="203">
        <v>21</v>
      </c>
      <c r="V7" s="203">
        <v>22</v>
      </c>
      <c r="W7" s="203">
        <v>23</v>
      </c>
      <c r="X7" s="203">
        <v>24</v>
      </c>
      <c r="Y7" s="203">
        <v>25</v>
      </c>
      <c r="Z7" s="203">
        <v>26</v>
      </c>
      <c r="AA7" s="203">
        <v>27</v>
      </c>
      <c r="AB7" s="203">
        <v>28</v>
      </c>
      <c r="AC7" s="203">
        <v>29</v>
      </c>
    </row>
    <row r="8" spans="1:29" s="100" customFormat="1" ht="60.75" customHeight="1" x14ac:dyDescent="0.2">
      <c r="A8" s="481" t="s">
        <v>1048</v>
      </c>
      <c r="B8" s="482"/>
      <c r="C8" s="482"/>
      <c r="D8" s="482"/>
      <c r="E8" s="482"/>
      <c r="F8" s="482"/>
      <c r="G8" s="482"/>
      <c r="H8" s="482"/>
      <c r="I8" s="482"/>
      <c r="J8" s="482"/>
      <c r="K8" s="482"/>
      <c r="L8" s="482"/>
      <c r="M8" s="482"/>
      <c r="N8" s="482"/>
      <c r="O8" s="482"/>
      <c r="P8" s="482"/>
      <c r="Q8" s="482"/>
      <c r="R8" s="482"/>
      <c r="S8" s="482"/>
      <c r="T8" s="482"/>
      <c r="U8" s="482"/>
      <c r="V8" s="482"/>
      <c r="W8" s="482"/>
      <c r="X8" s="482"/>
      <c r="Y8" s="482"/>
      <c r="Z8" s="482"/>
      <c r="AA8" s="482"/>
      <c r="AB8" s="482"/>
      <c r="AC8" s="483"/>
    </row>
    <row r="9" spans="1:29" s="100" customFormat="1" ht="53.25" customHeight="1" x14ac:dyDescent="0.2">
      <c r="A9" s="111" t="s">
        <v>2</v>
      </c>
      <c r="B9" s="466" t="s">
        <v>1049</v>
      </c>
      <c r="C9" s="467"/>
      <c r="D9" s="467"/>
      <c r="E9" s="467"/>
      <c r="F9" s="467"/>
      <c r="G9" s="467"/>
      <c r="H9" s="467"/>
      <c r="I9" s="467"/>
      <c r="J9" s="467"/>
      <c r="K9" s="467"/>
      <c r="L9" s="467"/>
      <c r="M9" s="467"/>
      <c r="N9" s="467"/>
      <c r="O9" s="467"/>
      <c r="P9" s="467"/>
      <c r="Q9" s="467"/>
      <c r="R9" s="467"/>
      <c r="S9" s="467"/>
      <c r="T9" s="467"/>
      <c r="U9" s="467"/>
      <c r="V9" s="467"/>
      <c r="W9" s="467"/>
      <c r="X9" s="467"/>
      <c r="Y9" s="467"/>
      <c r="Z9" s="467"/>
      <c r="AA9" s="467"/>
      <c r="AB9" s="467"/>
      <c r="AC9" s="468"/>
    </row>
    <row r="10" spans="1:29" ht="34.5" customHeight="1" x14ac:dyDescent="0.2">
      <c r="A10" s="111" t="s">
        <v>464</v>
      </c>
      <c r="B10" s="466" t="s">
        <v>1051</v>
      </c>
      <c r="C10" s="467"/>
      <c r="D10" s="467"/>
      <c r="E10" s="467"/>
      <c r="F10" s="467"/>
      <c r="G10" s="467"/>
      <c r="H10" s="467"/>
      <c r="I10" s="467"/>
      <c r="J10" s="467"/>
      <c r="K10" s="467"/>
      <c r="L10" s="467"/>
      <c r="M10" s="467"/>
      <c r="N10" s="467"/>
      <c r="O10" s="467"/>
      <c r="P10" s="467"/>
      <c r="Q10" s="467"/>
      <c r="R10" s="467"/>
      <c r="S10" s="467"/>
      <c r="T10" s="467"/>
      <c r="U10" s="467"/>
      <c r="V10" s="467"/>
      <c r="W10" s="467"/>
      <c r="X10" s="467"/>
      <c r="Y10" s="467"/>
      <c r="Z10" s="467"/>
      <c r="AA10" s="467"/>
      <c r="AB10" s="467"/>
      <c r="AC10" s="468"/>
    </row>
    <row r="11" spans="1:29" s="96" customFormat="1" ht="91.15" customHeight="1" x14ac:dyDescent="0.2">
      <c r="A11" s="204" t="s">
        <v>1202</v>
      </c>
      <c r="B11" s="205" t="s">
        <v>161</v>
      </c>
      <c r="C11" s="206">
        <f>E11+J11+O11+T11+Y11</f>
        <v>0</v>
      </c>
      <c r="D11" s="207">
        <f>F11+K11+P11+U11+Z11</f>
        <v>0</v>
      </c>
      <c r="E11" s="206">
        <f t="shared" ref="E11:AC11" si="0">E12+E13+E14</f>
        <v>0</v>
      </c>
      <c r="F11" s="207">
        <f t="shared" si="0"/>
        <v>0</v>
      </c>
      <c r="G11" s="207">
        <f t="shared" si="0"/>
        <v>0</v>
      </c>
      <c r="H11" s="207">
        <f t="shared" si="0"/>
        <v>0</v>
      </c>
      <c r="I11" s="207">
        <f t="shared" si="0"/>
        <v>0</v>
      </c>
      <c r="J11" s="206">
        <f>J12+J13+J14</f>
        <v>0</v>
      </c>
      <c r="K11" s="207">
        <f t="shared" si="0"/>
        <v>0</v>
      </c>
      <c r="L11" s="207">
        <f t="shared" si="0"/>
        <v>0</v>
      </c>
      <c r="M11" s="207">
        <f t="shared" si="0"/>
        <v>0</v>
      </c>
      <c r="N11" s="207">
        <f>N12+N13+N14</f>
        <v>0</v>
      </c>
      <c r="O11" s="206">
        <f t="shared" si="0"/>
        <v>0</v>
      </c>
      <c r="P11" s="207">
        <f t="shared" si="0"/>
        <v>0</v>
      </c>
      <c r="Q11" s="207">
        <f t="shared" si="0"/>
        <v>0</v>
      </c>
      <c r="R11" s="207">
        <f t="shared" si="0"/>
        <v>0</v>
      </c>
      <c r="S11" s="207">
        <f t="shared" si="0"/>
        <v>0</v>
      </c>
      <c r="T11" s="206">
        <f t="shared" si="0"/>
        <v>0</v>
      </c>
      <c r="U11" s="207">
        <f>U12+U13+U14</f>
        <v>0</v>
      </c>
      <c r="V11" s="207">
        <f t="shared" si="0"/>
        <v>0</v>
      </c>
      <c r="W11" s="207">
        <f t="shared" si="0"/>
        <v>0</v>
      </c>
      <c r="X11" s="207">
        <f t="shared" si="0"/>
        <v>0</v>
      </c>
      <c r="Y11" s="206">
        <f t="shared" si="0"/>
        <v>0</v>
      </c>
      <c r="Z11" s="207">
        <f t="shared" si="0"/>
        <v>0</v>
      </c>
      <c r="AA11" s="207">
        <f t="shared" si="0"/>
        <v>0</v>
      </c>
      <c r="AB11" s="207">
        <f t="shared" si="0"/>
        <v>0</v>
      </c>
      <c r="AC11" s="207">
        <f t="shared" si="0"/>
        <v>0</v>
      </c>
    </row>
    <row r="12" spans="1:29" s="96" customFormat="1" ht="85.15" customHeight="1" outlineLevel="1" x14ac:dyDescent="0.2">
      <c r="A12" s="208" t="s">
        <v>1200</v>
      </c>
      <c r="B12" s="209" t="s">
        <v>162</v>
      </c>
      <c r="C12" s="210">
        <f t="shared" ref="C12:C16" si="1">E12+J12+O12+T12+Y12</f>
        <v>0</v>
      </c>
      <c r="D12" s="211">
        <f t="shared" ref="D12:D13" si="2">F12+K12+P12+U12+Z12</f>
        <v>0</v>
      </c>
      <c r="E12" s="210">
        <v>0</v>
      </c>
      <c r="F12" s="211">
        <v>0</v>
      </c>
      <c r="G12" s="211">
        <v>0</v>
      </c>
      <c r="H12" s="211">
        <v>0</v>
      </c>
      <c r="I12" s="211">
        <v>0</v>
      </c>
      <c r="J12" s="212">
        <v>0</v>
      </c>
      <c r="K12" s="211">
        <f>SUM(L12:N12)</f>
        <v>0</v>
      </c>
      <c r="L12" s="211">
        <v>0</v>
      </c>
      <c r="M12" s="213">
        <v>0</v>
      </c>
      <c r="N12" s="213">
        <f>7196-7196</f>
        <v>0</v>
      </c>
      <c r="O12" s="212">
        <f>0.58-0.58</f>
        <v>0</v>
      </c>
      <c r="P12" s="211">
        <f>Q12+R12+S12</f>
        <v>0</v>
      </c>
      <c r="Q12" s="213">
        <v>0</v>
      </c>
      <c r="R12" s="213">
        <v>0</v>
      </c>
      <c r="S12" s="213">
        <f>6622-6622</f>
        <v>0</v>
      </c>
      <c r="T12" s="212">
        <v>0</v>
      </c>
      <c r="U12" s="211">
        <f>W12+X12+V12</f>
        <v>0</v>
      </c>
      <c r="V12" s="213">
        <v>0</v>
      </c>
      <c r="W12" s="213">
        <f>110232-110232</f>
        <v>0</v>
      </c>
      <c r="X12" s="213">
        <f>13606-13606</f>
        <v>0</v>
      </c>
      <c r="Y12" s="212">
        <v>0</v>
      </c>
      <c r="Z12" s="211">
        <f>AB12+AC12+AA12</f>
        <v>0</v>
      </c>
      <c r="AA12" s="213">
        <v>0</v>
      </c>
      <c r="AB12" s="213">
        <v>0</v>
      </c>
      <c r="AC12" s="213">
        <v>0</v>
      </c>
    </row>
    <row r="13" spans="1:29" s="96" customFormat="1" ht="101.45" customHeight="1" outlineLevel="1" x14ac:dyDescent="0.2">
      <c r="A13" s="208" t="s">
        <v>1201</v>
      </c>
      <c r="B13" s="209" t="s">
        <v>163</v>
      </c>
      <c r="C13" s="210">
        <f t="shared" si="1"/>
        <v>0</v>
      </c>
      <c r="D13" s="211">
        <f t="shared" si="2"/>
        <v>0</v>
      </c>
      <c r="E13" s="210">
        <v>0</v>
      </c>
      <c r="F13" s="211">
        <f>H13+I13</f>
        <v>0</v>
      </c>
      <c r="G13" s="211">
        <v>0</v>
      </c>
      <c r="H13" s="211">
        <v>0</v>
      </c>
      <c r="I13" s="211">
        <v>0</v>
      </c>
      <c r="J13" s="212">
        <v>0</v>
      </c>
      <c r="K13" s="211">
        <f>SUM(L13:N13)</f>
        <v>0</v>
      </c>
      <c r="L13" s="211">
        <v>0</v>
      </c>
      <c r="M13" s="213">
        <v>0</v>
      </c>
      <c r="N13" s="213">
        <v>0</v>
      </c>
      <c r="O13" s="212">
        <v>0</v>
      </c>
      <c r="P13" s="211">
        <f>R13+S13</f>
        <v>0</v>
      </c>
      <c r="Q13" s="213">
        <v>0</v>
      </c>
      <c r="R13" s="213">
        <v>0</v>
      </c>
      <c r="S13" s="213">
        <v>0</v>
      </c>
      <c r="T13" s="212">
        <v>0</v>
      </c>
      <c r="U13" s="211">
        <f>W13+X13</f>
        <v>0</v>
      </c>
      <c r="V13" s="213">
        <v>0</v>
      </c>
      <c r="W13" s="213">
        <v>0</v>
      </c>
      <c r="X13" s="213">
        <f>1954-71-52-1831</f>
        <v>0</v>
      </c>
      <c r="Y13" s="212">
        <v>0</v>
      </c>
      <c r="Z13" s="211">
        <f>AB13+AC13</f>
        <v>0</v>
      </c>
      <c r="AA13" s="213">
        <v>0</v>
      </c>
      <c r="AB13" s="213">
        <v>0</v>
      </c>
      <c r="AC13" s="213">
        <v>0</v>
      </c>
    </row>
    <row r="14" spans="1:29" s="96" customFormat="1" ht="99.6" customHeight="1" outlineLevel="1" x14ac:dyDescent="0.2">
      <c r="A14" s="208" t="s">
        <v>1203</v>
      </c>
      <c r="B14" s="209" t="s">
        <v>164</v>
      </c>
      <c r="C14" s="210">
        <f t="shared" si="1"/>
        <v>0</v>
      </c>
      <c r="D14" s="211">
        <f>F14+K14+P14+U14+Z14</f>
        <v>0</v>
      </c>
      <c r="E14" s="210">
        <v>0</v>
      </c>
      <c r="F14" s="211">
        <v>0</v>
      </c>
      <c r="G14" s="211">
        <v>0</v>
      </c>
      <c r="H14" s="211">
        <v>0</v>
      </c>
      <c r="I14" s="211">
        <v>0</v>
      </c>
      <c r="J14" s="212">
        <v>0</v>
      </c>
      <c r="K14" s="211">
        <f>SUM(L14:N14)</f>
        <v>0</v>
      </c>
      <c r="L14" s="211">
        <v>0</v>
      </c>
      <c r="M14" s="213">
        <v>0</v>
      </c>
      <c r="N14" s="213">
        <v>0</v>
      </c>
      <c r="O14" s="212">
        <v>0</v>
      </c>
      <c r="P14" s="211">
        <f>R14+S14</f>
        <v>0</v>
      </c>
      <c r="Q14" s="213">
        <v>0</v>
      </c>
      <c r="R14" s="213">
        <v>0</v>
      </c>
      <c r="S14" s="213">
        <v>0</v>
      </c>
      <c r="T14" s="212">
        <v>0</v>
      </c>
      <c r="U14" s="211">
        <f>W14+X14</f>
        <v>0</v>
      </c>
      <c r="V14" s="213">
        <v>0</v>
      </c>
      <c r="W14" s="213">
        <v>0</v>
      </c>
      <c r="X14" s="213">
        <v>0</v>
      </c>
      <c r="Y14" s="212">
        <v>0</v>
      </c>
      <c r="Z14" s="211">
        <f>AB14+AC14</f>
        <v>0</v>
      </c>
      <c r="AA14" s="213">
        <v>0</v>
      </c>
      <c r="AB14" s="213">
        <v>0</v>
      </c>
      <c r="AC14" s="213">
        <v>0</v>
      </c>
    </row>
    <row r="15" spans="1:29" s="96" customFormat="1" ht="53.25" customHeight="1" x14ac:dyDescent="0.2">
      <c r="A15" s="204" t="s">
        <v>1204</v>
      </c>
      <c r="B15" s="205" t="s">
        <v>201</v>
      </c>
      <c r="C15" s="206">
        <f>E15+J15+O15+T15+Y15</f>
        <v>0</v>
      </c>
      <c r="D15" s="207">
        <f t="shared" ref="D15:D20" si="3">F15+K15+P15+U15+Z15</f>
        <v>0</v>
      </c>
      <c r="E15" s="206">
        <v>0</v>
      </c>
      <c r="F15" s="207">
        <v>0</v>
      </c>
      <c r="G15" s="207">
        <v>0</v>
      </c>
      <c r="H15" s="207">
        <v>0</v>
      </c>
      <c r="I15" s="207">
        <v>0</v>
      </c>
      <c r="J15" s="214">
        <v>0</v>
      </c>
      <c r="K15" s="207">
        <f t="shared" ref="K15:K20" si="4">SUM(L15:N15)</f>
        <v>0</v>
      </c>
      <c r="L15" s="207">
        <v>0</v>
      </c>
      <c r="M15" s="207">
        <v>0</v>
      </c>
      <c r="N15" s="207">
        <v>0</v>
      </c>
      <c r="O15" s="214">
        <v>0</v>
      </c>
      <c r="P15" s="207">
        <f t="shared" ref="P15:P20" si="5">R15+S15</f>
        <v>0</v>
      </c>
      <c r="Q15" s="207">
        <v>0</v>
      </c>
      <c r="R15" s="207">
        <v>0</v>
      </c>
      <c r="S15" s="207">
        <v>0</v>
      </c>
      <c r="T15" s="214">
        <v>0</v>
      </c>
      <c r="U15" s="207">
        <f t="shared" ref="U15:U20" si="6">W15+X15</f>
        <v>0</v>
      </c>
      <c r="V15" s="207">
        <v>0</v>
      </c>
      <c r="W15" s="207">
        <v>0</v>
      </c>
      <c r="X15" s="207">
        <v>0</v>
      </c>
      <c r="Y15" s="214">
        <v>0</v>
      </c>
      <c r="Z15" s="207">
        <f t="shared" ref="Z15:Z20" si="7">AB15+AC15</f>
        <v>0</v>
      </c>
      <c r="AA15" s="207">
        <v>0</v>
      </c>
      <c r="AB15" s="207">
        <v>0</v>
      </c>
      <c r="AC15" s="207">
        <v>0</v>
      </c>
    </row>
    <row r="16" spans="1:29" s="96" customFormat="1" ht="73.900000000000006" customHeight="1" x14ac:dyDescent="0.2">
      <c r="A16" s="204" t="s">
        <v>1205</v>
      </c>
      <c r="B16" s="205" t="s">
        <v>26</v>
      </c>
      <c r="C16" s="206">
        <f t="shared" si="1"/>
        <v>0</v>
      </c>
      <c r="D16" s="207">
        <f t="shared" si="3"/>
        <v>0</v>
      </c>
      <c r="E16" s="206">
        <v>0</v>
      </c>
      <c r="F16" s="207">
        <v>0</v>
      </c>
      <c r="G16" s="207">
        <v>0</v>
      </c>
      <c r="H16" s="207">
        <v>0</v>
      </c>
      <c r="I16" s="207">
        <v>0</v>
      </c>
      <c r="J16" s="214">
        <v>0</v>
      </c>
      <c r="K16" s="207">
        <f t="shared" si="4"/>
        <v>0</v>
      </c>
      <c r="L16" s="207">
        <v>0</v>
      </c>
      <c r="M16" s="207">
        <v>0</v>
      </c>
      <c r="N16" s="207">
        <v>0</v>
      </c>
      <c r="O16" s="214">
        <v>0</v>
      </c>
      <c r="P16" s="207">
        <f t="shared" si="5"/>
        <v>0</v>
      </c>
      <c r="Q16" s="207">
        <v>0</v>
      </c>
      <c r="R16" s="207">
        <v>0</v>
      </c>
      <c r="S16" s="207">
        <v>0</v>
      </c>
      <c r="T16" s="214">
        <v>0</v>
      </c>
      <c r="U16" s="207">
        <f t="shared" si="6"/>
        <v>0</v>
      </c>
      <c r="V16" s="207">
        <v>0</v>
      </c>
      <c r="W16" s="207">
        <v>0</v>
      </c>
      <c r="X16" s="207">
        <v>0</v>
      </c>
      <c r="Y16" s="214">
        <v>0</v>
      </c>
      <c r="Z16" s="207">
        <f t="shared" si="7"/>
        <v>0</v>
      </c>
      <c r="AA16" s="207">
        <v>0</v>
      </c>
      <c r="AB16" s="207">
        <v>0</v>
      </c>
      <c r="AC16" s="207">
        <v>0</v>
      </c>
    </row>
    <row r="17" spans="1:29" s="96" customFormat="1" ht="90" customHeight="1" x14ac:dyDescent="0.2">
      <c r="A17" s="204" t="s">
        <v>1206</v>
      </c>
      <c r="B17" s="215" t="s">
        <v>27</v>
      </c>
      <c r="C17" s="206">
        <f>E17+J17+O17++T17+Y17</f>
        <v>0</v>
      </c>
      <c r="D17" s="207">
        <f t="shared" si="3"/>
        <v>0</v>
      </c>
      <c r="E17" s="206">
        <v>0</v>
      </c>
      <c r="F17" s="207">
        <v>0</v>
      </c>
      <c r="G17" s="207">
        <v>0</v>
      </c>
      <c r="H17" s="207">
        <v>0</v>
      </c>
      <c r="I17" s="207">
        <v>0</v>
      </c>
      <c r="J17" s="214">
        <v>0</v>
      </c>
      <c r="K17" s="207">
        <f t="shared" si="4"/>
        <v>0</v>
      </c>
      <c r="L17" s="207">
        <v>0</v>
      </c>
      <c r="M17" s="207">
        <v>0</v>
      </c>
      <c r="N17" s="207">
        <v>0</v>
      </c>
      <c r="O17" s="214">
        <v>0</v>
      </c>
      <c r="P17" s="207">
        <f t="shared" si="5"/>
        <v>0</v>
      </c>
      <c r="Q17" s="207">
        <v>0</v>
      </c>
      <c r="R17" s="207">
        <v>0</v>
      </c>
      <c r="S17" s="207">
        <v>0</v>
      </c>
      <c r="T17" s="214">
        <v>0</v>
      </c>
      <c r="U17" s="207">
        <f t="shared" si="6"/>
        <v>0</v>
      </c>
      <c r="V17" s="207">
        <v>0</v>
      </c>
      <c r="W17" s="207">
        <v>0</v>
      </c>
      <c r="X17" s="207">
        <v>0</v>
      </c>
      <c r="Y17" s="214">
        <v>0</v>
      </c>
      <c r="Z17" s="207">
        <f t="shared" si="7"/>
        <v>0</v>
      </c>
      <c r="AA17" s="207">
        <v>0</v>
      </c>
      <c r="AB17" s="207">
        <v>0</v>
      </c>
      <c r="AC17" s="207">
        <v>0</v>
      </c>
    </row>
    <row r="18" spans="1:29" ht="83.45" customHeight="1" x14ac:dyDescent="0.2">
      <c r="A18" s="204" t="s">
        <v>465</v>
      </c>
      <c r="B18" s="215" t="s">
        <v>40</v>
      </c>
      <c r="C18" s="206">
        <f>E18+J18+O18++T18+Y18</f>
        <v>0</v>
      </c>
      <c r="D18" s="207">
        <f t="shared" si="3"/>
        <v>0</v>
      </c>
      <c r="E18" s="206">
        <v>0</v>
      </c>
      <c r="F18" s="207">
        <v>0</v>
      </c>
      <c r="G18" s="207">
        <v>0</v>
      </c>
      <c r="H18" s="207">
        <v>0</v>
      </c>
      <c r="I18" s="207">
        <v>0</v>
      </c>
      <c r="J18" s="214">
        <v>0</v>
      </c>
      <c r="K18" s="207">
        <f t="shared" si="4"/>
        <v>0</v>
      </c>
      <c r="L18" s="207">
        <v>0</v>
      </c>
      <c r="M18" s="207">
        <v>0</v>
      </c>
      <c r="N18" s="207">
        <v>0</v>
      </c>
      <c r="O18" s="214">
        <v>0</v>
      </c>
      <c r="P18" s="207">
        <f t="shared" si="5"/>
        <v>0</v>
      </c>
      <c r="Q18" s="207">
        <v>0</v>
      </c>
      <c r="R18" s="207">
        <v>0</v>
      </c>
      <c r="S18" s="207">
        <v>0</v>
      </c>
      <c r="T18" s="214">
        <v>0</v>
      </c>
      <c r="U18" s="207">
        <f t="shared" si="6"/>
        <v>0</v>
      </c>
      <c r="V18" s="207">
        <v>0</v>
      </c>
      <c r="W18" s="207">
        <v>0</v>
      </c>
      <c r="X18" s="207">
        <v>0</v>
      </c>
      <c r="Y18" s="214">
        <v>0</v>
      </c>
      <c r="Z18" s="207">
        <f t="shared" si="7"/>
        <v>0</v>
      </c>
      <c r="AA18" s="207">
        <v>0</v>
      </c>
      <c r="AB18" s="207">
        <v>0</v>
      </c>
      <c r="AC18" s="207">
        <v>0</v>
      </c>
    </row>
    <row r="19" spans="1:29" ht="64.150000000000006" customHeight="1" x14ac:dyDescent="0.2">
      <c r="A19" s="204" t="s">
        <v>1207</v>
      </c>
      <c r="B19" s="215" t="s">
        <v>28</v>
      </c>
      <c r="C19" s="206">
        <f t="shared" ref="C19" si="8">E19+J19+O19+T19+Y19</f>
        <v>0</v>
      </c>
      <c r="D19" s="207">
        <f t="shared" si="3"/>
        <v>0</v>
      </c>
      <c r="E19" s="206">
        <v>0</v>
      </c>
      <c r="F19" s="207">
        <v>0</v>
      </c>
      <c r="G19" s="207">
        <v>0</v>
      </c>
      <c r="H19" s="207">
        <v>0</v>
      </c>
      <c r="I19" s="207">
        <v>0</v>
      </c>
      <c r="J19" s="214">
        <v>0</v>
      </c>
      <c r="K19" s="207">
        <f t="shared" si="4"/>
        <v>0</v>
      </c>
      <c r="L19" s="207">
        <v>0</v>
      </c>
      <c r="M19" s="207">
        <v>0</v>
      </c>
      <c r="N19" s="207">
        <v>0</v>
      </c>
      <c r="O19" s="214">
        <v>0</v>
      </c>
      <c r="P19" s="207">
        <f t="shared" si="5"/>
        <v>0</v>
      </c>
      <c r="Q19" s="207">
        <v>0</v>
      </c>
      <c r="R19" s="207">
        <v>0</v>
      </c>
      <c r="S19" s="207">
        <v>0</v>
      </c>
      <c r="T19" s="214">
        <v>0</v>
      </c>
      <c r="U19" s="207">
        <f t="shared" si="6"/>
        <v>0</v>
      </c>
      <c r="V19" s="207">
        <v>0</v>
      </c>
      <c r="W19" s="207">
        <v>0</v>
      </c>
      <c r="X19" s="207">
        <v>0</v>
      </c>
      <c r="Y19" s="214">
        <v>0</v>
      </c>
      <c r="Z19" s="207">
        <f t="shared" si="7"/>
        <v>0</v>
      </c>
      <c r="AA19" s="207">
        <v>0</v>
      </c>
      <c r="AB19" s="207">
        <v>0</v>
      </c>
      <c r="AC19" s="207">
        <v>0</v>
      </c>
    </row>
    <row r="20" spans="1:29" ht="51" customHeight="1" x14ac:dyDescent="0.2">
      <c r="A20" s="204" t="s">
        <v>1208</v>
      </c>
      <c r="B20" s="215" t="s">
        <v>37</v>
      </c>
      <c r="C20" s="206">
        <f>E20+J20+O20+T20+Y20</f>
        <v>0</v>
      </c>
      <c r="D20" s="207">
        <f t="shared" si="3"/>
        <v>0</v>
      </c>
      <c r="E20" s="206">
        <v>0</v>
      </c>
      <c r="F20" s="207">
        <v>0</v>
      </c>
      <c r="G20" s="207">
        <v>0</v>
      </c>
      <c r="H20" s="207">
        <v>0</v>
      </c>
      <c r="I20" s="207">
        <v>0</v>
      </c>
      <c r="J20" s="214">
        <v>0</v>
      </c>
      <c r="K20" s="207">
        <f t="shared" si="4"/>
        <v>0</v>
      </c>
      <c r="L20" s="207">
        <v>0</v>
      </c>
      <c r="M20" s="207">
        <v>0</v>
      </c>
      <c r="N20" s="207">
        <v>0</v>
      </c>
      <c r="O20" s="214">
        <v>0</v>
      </c>
      <c r="P20" s="207">
        <f t="shared" si="5"/>
        <v>0</v>
      </c>
      <c r="Q20" s="207">
        <v>0</v>
      </c>
      <c r="R20" s="207">
        <v>0</v>
      </c>
      <c r="S20" s="207">
        <v>0</v>
      </c>
      <c r="T20" s="214">
        <v>0</v>
      </c>
      <c r="U20" s="207">
        <f t="shared" si="6"/>
        <v>0</v>
      </c>
      <c r="V20" s="207">
        <v>0</v>
      </c>
      <c r="W20" s="207">
        <v>0</v>
      </c>
      <c r="X20" s="207">
        <v>0</v>
      </c>
      <c r="Y20" s="214">
        <v>0</v>
      </c>
      <c r="Z20" s="207">
        <f t="shared" si="7"/>
        <v>0</v>
      </c>
      <c r="AA20" s="207">
        <v>0</v>
      </c>
      <c r="AB20" s="207">
        <v>0</v>
      </c>
      <c r="AC20" s="207">
        <v>0</v>
      </c>
    </row>
    <row r="21" spans="1:29" s="96" customFormat="1" ht="39" customHeight="1" outlineLevel="1" x14ac:dyDescent="0.2">
      <c r="A21" s="204" t="s">
        <v>1209</v>
      </c>
      <c r="B21" s="215" t="s">
        <v>197</v>
      </c>
      <c r="C21" s="206">
        <f t="shared" ref="C21:AC21" si="9">C22</f>
        <v>0.96799999999999997</v>
      </c>
      <c r="D21" s="207">
        <f t="shared" si="9"/>
        <v>198590</v>
      </c>
      <c r="E21" s="206">
        <f t="shared" si="9"/>
        <v>0</v>
      </c>
      <c r="F21" s="207">
        <f t="shared" si="9"/>
        <v>87629</v>
      </c>
      <c r="G21" s="207">
        <f t="shared" si="9"/>
        <v>0</v>
      </c>
      <c r="H21" s="207">
        <f t="shared" si="9"/>
        <v>83058</v>
      </c>
      <c r="I21" s="207">
        <f t="shared" si="9"/>
        <v>4571</v>
      </c>
      <c r="J21" s="206">
        <f t="shared" si="9"/>
        <v>0</v>
      </c>
      <c r="K21" s="207">
        <f t="shared" si="9"/>
        <v>291</v>
      </c>
      <c r="L21" s="207">
        <f t="shared" si="9"/>
        <v>0</v>
      </c>
      <c r="M21" s="207">
        <f t="shared" si="9"/>
        <v>0</v>
      </c>
      <c r="N21" s="207">
        <f t="shared" si="9"/>
        <v>291</v>
      </c>
      <c r="O21" s="206">
        <f t="shared" si="9"/>
        <v>0</v>
      </c>
      <c r="P21" s="207">
        <f t="shared" si="9"/>
        <v>67626</v>
      </c>
      <c r="Q21" s="207">
        <f t="shared" si="9"/>
        <v>0</v>
      </c>
      <c r="R21" s="207">
        <f t="shared" si="9"/>
        <v>64161</v>
      </c>
      <c r="S21" s="207">
        <f t="shared" si="9"/>
        <v>3465</v>
      </c>
      <c r="T21" s="206">
        <f t="shared" si="9"/>
        <v>0.96799999999999997</v>
      </c>
      <c r="U21" s="207">
        <f t="shared" si="9"/>
        <v>43044</v>
      </c>
      <c r="V21" s="207">
        <f t="shared" si="9"/>
        <v>0</v>
      </c>
      <c r="W21" s="207">
        <f t="shared" si="9"/>
        <v>40792</v>
      </c>
      <c r="X21" s="207">
        <f t="shared" si="9"/>
        <v>2252</v>
      </c>
      <c r="Y21" s="206">
        <f t="shared" si="9"/>
        <v>0</v>
      </c>
      <c r="Z21" s="207">
        <f t="shared" si="9"/>
        <v>0</v>
      </c>
      <c r="AA21" s="207">
        <f t="shared" si="9"/>
        <v>0</v>
      </c>
      <c r="AB21" s="207">
        <f t="shared" si="9"/>
        <v>0</v>
      </c>
      <c r="AC21" s="207">
        <f t="shared" si="9"/>
        <v>0</v>
      </c>
    </row>
    <row r="22" spans="1:29" ht="31.5" customHeight="1" outlineLevel="1" x14ac:dyDescent="0.2">
      <c r="A22" s="208" t="s">
        <v>1210</v>
      </c>
      <c r="B22" s="216" t="s">
        <v>197</v>
      </c>
      <c r="C22" s="210">
        <f>E22+J22+O22+T22+Y22</f>
        <v>0.96799999999999997</v>
      </c>
      <c r="D22" s="211">
        <f>F22+K22+P22+U22+Z22</f>
        <v>198590</v>
      </c>
      <c r="E22" s="210">
        <v>0</v>
      </c>
      <c r="F22" s="211">
        <f>G22+H22+I22</f>
        <v>87629</v>
      </c>
      <c r="G22" s="211">
        <v>0</v>
      </c>
      <c r="H22" s="211">
        <v>83058</v>
      </c>
      <c r="I22" s="211">
        <v>4571</v>
      </c>
      <c r="J22" s="210">
        <v>0</v>
      </c>
      <c r="K22" s="211">
        <f t="shared" ref="K22:K27" si="10">L22+M22+N22</f>
        <v>291</v>
      </c>
      <c r="L22" s="211">
        <v>0</v>
      </c>
      <c r="M22" s="211">
        <f>47204-41693-5511</f>
        <v>0</v>
      </c>
      <c r="N22" s="211">
        <f>2485-2194</f>
        <v>291</v>
      </c>
      <c r="O22" s="210">
        <v>0</v>
      </c>
      <c r="P22" s="211">
        <f>Q22+R22+S22</f>
        <v>67626</v>
      </c>
      <c r="Q22" s="211">
        <v>0</v>
      </c>
      <c r="R22" s="213">
        <f>47048+17113</f>
        <v>64161</v>
      </c>
      <c r="S22" s="213">
        <f>2476+88+901</f>
        <v>3465</v>
      </c>
      <c r="T22" s="212">
        <v>0.96799999999999997</v>
      </c>
      <c r="U22" s="211">
        <f>V22+W22+X22</f>
        <v>43044</v>
      </c>
      <c r="V22" s="211">
        <v>0</v>
      </c>
      <c r="W22" s="213">
        <v>40792</v>
      </c>
      <c r="X22" s="213">
        <v>2252</v>
      </c>
      <c r="Y22" s="212">
        <v>0</v>
      </c>
      <c r="Z22" s="211">
        <v>0</v>
      </c>
      <c r="AA22" s="213">
        <v>0</v>
      </c>
      <c r="AB22" s="213">
        <v>0</v>
      </c>
      <c r="AC22" s="213">
        <v>0</v>
      </c>
    </row>
    <row r="23" spans="1:29" s="96" customFormat="1" ht="71.25" customHeight="1" outlineLevel="1" x14ac:dyDescent="0.2">
      <c r="A23" s="204" t="s">
        <v>1211</v>
      </c>
      <c r="B23" s="215" t="s">
        <v>198</v>
      </c>
      <c r="C23" s="206">
        <f>C24</f>
        <v>1.5</v>
      </c>
      <c r="D23" s="207">
        <f>F23+K23+P23+U23+Z23</f>
        <v>174852</v>
      </c>
      <c r="E23" s="206">
        <f t="shared" ref="E23:J23" si="11">E24</f>
        <v>1.5</v>
      </c>
      <c r="F23" s="207">
        <f>F24</f>
        <v>167820</v>
      </c>
      <c r="G23" s="207">
        <f t="shared" si="11"/>
        <v>126793</v>
      </c>
      <c r="H23" s="207">
        <f t="shared" si="11"/>
        <v>38250</v>
      </c>
      <c r="I23" s="207">
        <f t="shared" si="11"/>
        <v>2777</v>
      </c>
      <c r="J23" s="206">
        <f t="shared" si="11"/>
        <v>0</v>
      </c>
      <c r="K23" s="207">
        <f t="shared" si="10"/>
        <v>7032</v>
      </c>
      <c r="L23" s="207">
        <v>0</v>
      </c>
      <c r="M23" s="207">
        <f t="shared" ref="M23:AC23" si="12">M24</f>
        <v>0</v>
      </c>
      <c r="N23" s="207">
        <f t="shared" si="12"/>
        <v>7032</v>
      </c>
      <c r="O23" s="206">
        <f t="shared" si="12"/>
        <v>0</v>
      </c>
      <c r="P23" s="207">
        <f>Q23+R23+S23</f>
        <v>0</v>
      </c>
      <c r="Q23" s="207">
        <v>0</v>
      </c>
      <c r="R23" s="207">
        <f t="shared" si="12"/>
        <v>0</v>
      </c>
      <c r="S23" s="207">
        <f t="shared" si="12"/>
        <v>0</v>
      </c>
      <c r="T23" s="206">
        <f t="shared" si="12"/>
        <v>0</v>
      </c>
      <c r="U23" s="207">
        <f t="shared" si="12"/>
        <v>0</v>
      </c>
      <c r="V23" s="207">
        <v>0</v>
      </c>
      <c r="W23" s="207">
        <f t="shared" si="12"/>
        <v>0</v>
      </c>
      <c r="X23" s="207">
        <f t="shared" si="12"/>
        <v>0</v>
      </c>
      <c r="Y23" s="206">
        <f t="shared" si="12"/>
        <v>0</v>
      </c>
      <c r="Z23" s="207">
        <f t="shared" si="12"/>
        <v>0</v>
      </c>
      <c r="AA23" s="207">
        <v>0</v>
      </c>
      <c r="AB23" s="207">
        <f t="shared" si="12"/>
        <v>0</v>
      </c>
      <c r="AC23" s="207">
        <f t="shared" si="12"/>
        <v>0</v>
      </c>
    </row>
    <row r="24" spans="1:29" ht="63" customHeight="1" outlineLevel="1" x14ac:dyDescent="0.2">
      <c r="A24" s="208" t="s">
        <v>1212</v>
      </c>
      <c r="B24" s="216" t="s">
        <v>198</v>
      </c>
      <c r="C24" s="210">
        <f>E24</f>
        <v>1.5</v>
      </c>
      <c r="D24" s="211">
        <f>F24+K24+P24+U24+Z24</f>
        <v>174852</v>
      </c>
      <c r="E24" s="210">
        <v>1.5</v>
      </c>
      <c r="F24" s="211">
        <f>G24+H24+I24</f>
        <v>167820</v>
      </c>
      <c r="G24" s="211">
        <v>126793</v>
      </c>
      <c r="H24" s="211">
        <v>38250</v>
      </c>
      <c r="I24" s="211">
        <v>2777</v>
      </c>
      <c r="J24" s="210">
        <v>0</v>
      </c>
      <c r="K24" s="211">
        <f t="shared" si="10"/>
        <v>7032</v>
      </c>
      <c r="L24" s="211">
        <v>0</v>
      </c>
      <c r="M24" s="211">
        <v>0</v>
      </c>
      <c r="N24" s="211">
        <f>7002+30</f>
        <v>7032</v>
      </c>
      <c r="O24" s="210">
        <v>0</v>
      </c>
      <c r="P24" s="207">
        <f t="shared" ref="P24:P25" si="13">Q24+R24+S24</f>
        <v>0</v>
      </c>
      <c r="Q24" s="211">
        <v>0</v>
      </c>
      <c r="R24" s="213">
        <v>0</v>
      </c>
      <c r="S24" s="213">
        <v>0</v>
      </c>
      <c r="T24" s="212">
        <v>0</v>
      </c>
      <c r="U24" s="211">
        <v>0</v>
      </c>
      <c r="V24" s="211">
        <v>0</v>
      </c>
      <c r="W24" s="213">
        <v>0</v>
      </c>
      <c r="X24" s="213">
        <v>0</v>
      </c>
      <c r="Y24" s="212">
        <v>0</v>
      </c>
      <c r="Z24" s="211">
        <v>0</v>
      </c>
      <c r="AA24" s="213">
        <v>0</v>
      </c>
      <c r="AB24" s="213">
        <v>0</v>
      </c>
      <c r="AC24" s="213">
        <v>0</v>
      </c>
    </row>
    <row r="25" spans="1:29" s="96" customFormat="1" ht="43.15" customHeight="1" outlineLevel="1" x14ac:dyDescent="0.2">
      <c r="A25" s="204" t="s">
        <v>1213</v>
      </c>
      <c r="B25" s="215" t="s">
        <v>307</v>
      </c>
      <c r="C25" s="206">
        <f>E25</f>
        <v>0</v>
      </c>
      <c r="D25" s="207">
        <f t="shared" ref="D25:D30" si="14">F25+K25+P25+U25+Z25</f>
        <v>0</v>
      </c>
      <c r="E25" s="206">
        <v>0</v>
      </c>
      <c r="F25" s="207">
        <f>G25+H25+I25</f>
        <v>0</v>
      </c>
      <c r="G25" s="207">
        <v>0</v>
      </c>
      <c r="H25" s="207">
        <v>0</v>
      </c>
      <c r="I25" s="207">
        <v>0</v>
      </c>
      <c r="J25" s="206">
        <v>0</v>
      </c>
      <c r="K25" s="207">
        <f t="shared" si="10"/>
        <v>0</v>
      </c>
      <c r="L25" s="207">
        <v>0</v>
      </c>
      <c r="M25" s="207">
        <v>0</v>
      </c>
      <c r="N25" s="207">
        <v>0</v>
      </c>
      <c r="O25" s="206">
        <v>0</v>
      </c>
      <c r="P25" s="207">
        <f t="shared" si="13"/>
        <v>0</v>
      </c>
      <c r="Q25" s="207">
        <v>0</v>
      </c>
      <c r="R25" s="217">
        <v>0</v>
      </c>
      <c r="S25" s="217">
        <f>5000-5000</f>
        <v>0</v>
      </c>
      <c r="T25" s="214">
        <v>0</v>
      </c>
      <c r="U25" s="207">
        <f>V25+W25+X25</f>
        <v>0</v>
      </c>
      <c r="V25" s="207">
        <v>0</v>
      </c>
      <c r="W25" s="217">
        <v>0</v>
      </c>
      <c r="X25" s="217">
        <f>5000-5000</f>
        <v>0</v>
      </c>
      <c r="Y25" s="214">
        <v>0</v>
      </c>
      <c r="Z25" s="207">
        <v>0</v>
      </c>
      <c r="AA25" s="217">
        <v>0</v>
      </c>
      <c r="AB25" s="217">
        <v>0</v>
      </c>
      <c r="AC25" s="217">
        <v>0</v>
      </c>
    </row>
    <row r="26" spans="1:29" s="96" customFormat="1" ht="132" customHeight="1" outlineLevel="1" x14ac:dyDescent="0.2">
      <c r="A26" s="204" t="s">
        <v>1214</v>
      </c>
      <c r="B26" s="215" t="s">
        <v>225</v>
      </c>
      <c r="C26" s="206">
        <f>E26+J26</f>
        <v>0</v>
      </c>
      <c r="D26" s="207">
        <f t="shared" si="14"/>
        <v>0</v>
      </c>
      <c r="E26" s="206">
        <v>0</v>
      </c>
      <c r="F26" s="207">
        <f>G26+H26+I26</f>
        <v>0</v>
      </c>
      <c r="G26" s="207">
        <v>0</v>
      </c>
      <c r="H26" s="207">
        <v>0</v>
      </c>
      <c r="I26" s="207">
        <v>0</v>
      </c>
      <c r="J26" s="206">
        <v>0</v>
      </c>
      <c r="K26" s="207">
        <f t="shared" si="10"/>
        <v>0</v>
      </c>
      <c r="L26" s="207">
        <v>0</v>
      </c>
      <c r="M26" s="207">
        <v>0</v>
      </c>
      <c r="N26" s="207">
        <v>0</v>
      </c>
      <c r="O26" s="206">
        <v>0</v>
      </c>
      <c r="P26" s="207">
        <f>Q26+R26+S26</f>
        <v>0</v>
      </c>
      <c r="Q26" s="207">
        <v>0</v>
      </c>
      <c r="R26" s="217">
        <v>0</v>
      </c>
      <c r="S26" s="217">
        <v>0</v>
      </c>
      <c r="T26" s="214">
        <v>0</v>
      </c>
      <c r="U26" s="207">
        <v>0</v>
      </c>
      <c r="V26" s="207">
        <v>0</v>
      </c>
      <c r="W26" s="217">
        <v>0</v>
      </c>
      <c r="X26" s="217">
        <v>0</v>
      </c>
      <c r="Y26" s="214">
        <v>0</v>
      </c>
      <c r="Z26" s="207">
        <v>0</v>
      </c>
      <c r="AA26" s="217">
        <v>0</v>
      </c>
      <c r="AB26" s="217">
        <v>0</v>
      </c>
      <c r="AC26" s="217">
        <v>0</v>
      </c>
    </row>
    <row r="27" spans="1:29" s="96" customFormat="1" ht="130.5" customHeight="1" outlineLevel="1" x14ac:dyDescent="0.2">
      <c r="A27" s="204" t="s">
        <v>1215</v>
      </c>
      <c r="B27" s="215" t="s">
        <v>226</v>
      </c>
      <c r="C27" s="206">
        <f>E27+J27</f>
        <v>0</v>
      </c>
      <c r="D27" s="207">
        <f t="shared" si="14"/>
        <v>0</v>
      </c>
      <c r="E27" s="206">
        <v>0</v>
      </c>
      <c r="F27" s="207">
        <f>G27+H27+I27</f>
        <v>0</v>
      </c>
      <c r="G27" s="207">
        <v>0</v>
      </c>
      <c r="H27" s="207">
        <v>0</v>
      </c>
      <c r="I27" s="207">
        <v>0</v>
      </c>
      <c r="J27" s="206">
        <v>0</v>
      </c>
      <c r="K27" s="207">
        <f t="shared" si="10"/>
        <v>0</v>
      </c>
      <c r="L27" s="207">
        <v>0</v>
      </c>
      <c r="M27" s="207">
        <v>0</v>
      </c>
      <c r="N27" s="207">
        <v>0</v>
      </c>
      <c r="O27" s="206">
        <v>0</v>
      </c>
      <c r="P27" s="207">
        <f>Q27+R27+S27</f>
        <v>0</v>
      </c>
      <c r="Q27" s="207">
        <v>0</v>
      </c>
      <c r="R27" s="217">
        <v>0</v>
      </c>
      <c r="S27" s="217">
        <v>0</v>
      </c>
      <c r="T27" s="214">
        <v>0</v>
      </c>
      <c r="U27" s="207">
        <v>0</v>
      </c>
      <c r="V27" s="207">
        <v>0</v>
      </c>
      <c r="W27" s="217">
        <v>0</v>
      </c>
      <c r="X27" s="217">
        <v>0</v>
      </c>
      <c r="Y27" s="214">
        <v>0</v>
      </c>
      <c r="Z27" s="207">
        <v>0</v>
      </c>
      <c r="AA27" s="217">
        <v>0</v>
      </c>
      <c r="AB27" s="217">
        <v>0</v>
      </c>
      <c r="AC27" s="217">
        <v>0</v>
      </c>
    </row>
    <row r="28" spans="1:29" s="96" customFormat="1" ht="57.6" customHeight="1" outlineLevel="1" x14ac:dyDescent="0.2">
      <c r="A28" s="204" t="s">
        <v>1216</v>
      </c>
      <c r="B28" s="215" t="s">
        <v>281</v>
      </c>
      <c r="C28" s="206">
        <f>E28</f>
        <v>0.6</v>
      </c>
      <c r="D28" s="207">
        <f>F28+K28+P28+U28+Z28</f>
        <v>67025</v>
      </c>
      <c r="E28" s="204">
        <f>E29+E30</f>
        <v>0.6</v>
      </c>
      <c r="F28" s="207">
        <f>F29+F30+F31</f>
        <v>66016</v>
      </c>
      <c r="G28" s="207">
        <f>G29+G30+G31</f>
        <v>0</v>
      </c>
      <c r="H28" s="207">
        <f>H29+H30+H31</f>
        <v>60962</v>
      </c>
      <c r="I28" s="207">
        <f>I29+I30+I31</f>
        <v>5054</v>
      </c>
      <c r="J28" s="206">
        <v>0</v>
      </c>
      <c r="K28" s="207">
        <f>K29+K30+K31</f>
        <v>1009</v>
      </c>
      <c r="L28" s="207">
        <f>L29+L30+L31</f>
        <v>0</v>
      </c>
      <c r="M28" s="207">
        <f>M29+M30+M31</f>
        <v>0</v>
      </c>
      <c r="N28" s="207">
        <f>N29+N30+N31</f>
        <v>1009</v>
      </c>
      <c r="O28" s="206">
        <v>0</v>
      </c>
      <c r="P28" s="207">
        <f t="shared" ref="P28:AC28" si="15">P29+P30</f>
        <v>0</v>
      </c>
      <c r="Q28" s="207">
        <f t="shared" si="15"/>
        <v>0</v>
      </c>
      <c r="R28" s="207">
        <f t="shared" si="15"/>
        <v>0</v>
      </c>
      <c r="S28" s="207">
        <f t="shared" si="15"/>
        <v>0</v>
      </c>
      <c r="T28" s="214">
        <v>0</v>
      </c>
      <c r="U28" s="207">
        <f t="shared" si="15"/>
        <v>0</v>
      </c>
      <c r="V28" s="207">
        <f t="shared" si="15"/>
        <v>0</v>
      </c>
      <c r="W28" s="207">
        <f t="shared" si="15"/>
        <v>0</v>
      </c>
      <c r="X28" s="207">
        <f t="shared" si="15"/>
        <v>0</v>
      </c>
      <c r="Y28" s="214">
        <v>0</v>
      </c>
      <c r="Z28" s="207">
        <f>Z29+Z30</f>
        <v>0</v>
      </c>
      <c r="AA28" s="207">
        <f t="shared" si="15"/>
        <v>0</v>
      </c>
      <c r="AB28" s="207">
        <f t="shared" si="15"/>
        <v>0</v>
      </c>
      <c r="AC28" s="207">
        <f t="shared" si="15"/>
        <v>0</v>
      </c>
    </row>
    <row r="29" spans="1:29" ht="54" customHeight="1" outlineLevel="1" x14ac:dyDescent="0.2">
      <c r="A29" s="208" t="s">
        <v>1217</v>
      </c>
      <c r="B29" s="216" t="s">
        <v>281</v>
      </c>
      <c r="C29" s="210">
        <f>E29</f>
        <v>0.6</v>
      </c>
      <c r="D29" s="211">
        <f t="shared" si="14"/>
        <v>64036</v>
      </c>
      <c r="E29" s="210">
        <v>0.6</v>
      </c>
      <c r="F29" s="211">
        <f>G29+H29+I29</f>
        <v>64036</v>
      </c>
      <c r="G29" s="211">
        <v>0</v>
      </c>
      <c r="H29" s="211">
        <v>60962</v>
      </c>
      <c r="I29" s="211">
        <v>3074</v>
      </c>
      <c r="J29" s="210">
        <v>0</v>
      </c>
      <c r="K29" s="211">
        <v>0</v>
      </c>
      <c r="L29" s="211">
        <v>0</v>
      </c>
      <c r="M29" s="211">
        <v>0</v>
      </c>
      <c r="N29" s="211">
        <v>0</v>
      </c>
      <c r="O29" s="210">
        <v>0</v>
      </c>
      <c r="P29" s="211">
        <v>0</v>
      </c>
      <c r="Q29" s="211">
        <v>0</v>
      </c>
      <c r="R29" s="213">
        <v>0</v>
      </c>
      <c r="S29" s="213">
        <v>0</v>
      </c>
      <c r="T29" s="212">
        <v>0</v>
      </c>
      <c r="U29" s="211">
        <v>0</v>
      </c>
      <c r="V29" s="211">
        <v>0</v>
      </c>
      <c r="W29" s="213">
        <v>0</v>
      </c>
      <c r="X29" s="213">
        <v>0</v>
      </c>
      <c r="Y29" s="212">
        <v>0</v>
      </c>
      <c r="Z29" s="211">
        <v>0</v>
      </c>
      <c r="AA29" s="213">
        <v>0</v>
      </c>
      <c r="AB29" s="213">
        <v>0</v>
      </c>
      <c r="AC29" s="213">
        <v>0</v>
      </c>
    </row>
    <row r="30" spans="1:29" ht="79.150000000000006" customHeight="1" outlineLevel="1" x14ac:dyDescent="0.2">
      <c r="A30" s="208" t="s">
        <v>1218</v>
      </c>
      <c r="B30" s="216" t="s">
        <v>304</v>
      </c>
      <c r="C30" s="210">
        <f>E30</f>
        <v>0</v>
      </c>
      <c r="D30" s="211">
        <f t="shared" si="14"/>
        <v>1980</v>
      </c>
      <c r="E30" s="210">
        <v>0</v>
      </c>
      <c r="F30" s="211">
        <f>G30+H30+I30</f>
        <v>1980</v>
      </c>
      <c r="G30" s="211">
        <v>0</v>
      </c>
      <c r="H30" s="211">
        <v>0</v>
      </c>
      <c r="I30" s="211">
        <v>1980</v>
      </c>
      <c r="J30" s="210">
        <v>0</v>
      </c>
      <c r="K30" s="211">
        <v>0</v>
      </c>
      <c r="L30" s="211">
        <v>0</v>
      </c>
      <c r="M30" s="211">
        <v>0</v>
      </c>
      <c r="N30" s="211">
        <v>0</v>
      </c>
      <c r="O30" s="210">
        <v>0</v>
      </c>
      <c r="P30" s="211">
        <v>0</v>
      </c>
      <c r="Q30" s="211">
        <v>0</v>
      </c>
      <c r="R30" s="213">
        <v>0</v>
      </c>
      <c r="S30" s="213">
        <v>0</v>
      </c>
      <c r="T30" s="212">
        <v>0</v>
      </c>
      <c r="U30" s="211">
        <v>0</v>
      </c>
      <c r="V30" s="211">
        <v>0</v>
      </c>
      <c r="W30" s="213">
        <v>0</v>
      </c>
      <c r="X30" s="213">
        <v>0</v>
      </c>
      <c r="Y30" s="212">
        <v>0</v>
      </c>
      <c r="Z30" s="211">
        <v>0</v>
      </c>
      <c r="AA30" s="213">
        <v>0</v>
      </c>
      <c r="AB30" s="213">
        <v>0</v>
      </c>
      <c r="AC30" s="213">
        <v>0</v>
      </c>
    </row>
    <row r="31" spans="1:29" ht="88.5" customHeight="1" outlineLevel="1" x14ac:dyDescent="0.2">
      <c r="A31" s="208" t="s">
        <v>1219</v>
      </c>
      <c r="B31" s="216" t="s">
        <v>383</v>
      </c>
      <c r="C31" s="210">
        <f>E31</f>
        <v>0</v>
      </c>
      <c r="D31" s="211">
        <f>F31+K31+P31+U31+Z31</f>
        <v>1009</v>
      </c>
      <c r="E31" s="210">
        <v>0</v>
      </c>
      <c r="F31" s="211">
        <f>G31+H31+I31</f>
        <v>0</v>
      </c>
      <c r="G31" s="211">
        <v>0</v>
      </c>
      <c r="H31" s="211">
        <v>0</v>
      </c>
      <c r="I31" s="211">
        <v>0</v>
      </c>
      <c r="J31" s="210">
        <v>0</v>
      </c>
      <c r="K31" s="211">
        <f>L31+M31+N31</f>
        <v>1009</v>
      </c>
      <c r="L31" s="211">
        <v>0</v>
      </c>
      <c r="M31" s="211">
        <v>0</v>
      </c>
      <c r="N31" s="211">
        <v>1009</v>
      </c>
      <c r="O31" s="210">
        <v>0</v>
      </c>
      <c r="P31" s="211">
        <v>0</v>
      </c>
      <c r="Q31" s="211">
        <v>0</v>
      </c>
      <c r="R31" s="213">
        <v>0</v>
      </c>
      <c r="S31" s="213">
        <v>0</v>
      </c>
      <c r="T31" s="212">
        <v>0</v>
      </c>
      <c r="U31" s="211">
        <v>0</v>
      </c>
      <c r="V31" s="211">
        <v>0</v>
      </c>
      <c r="W31" s="213">
        <v>0</v>
      </c>
      <c r="X31" s="213">
        <v>0</v>
      </c>
      <c r="Y31" s="212">
        <v>0</v>
      </c>
      <c r="Z31" s="211">
        <v>0</v>
      </c>
      <c r="AA31" s="213">
        <v>0</v>
      </c>
      <c r="AB31" s="213">
        <v>0</v>
      </c>
      <c r="AC31" s="213">
        <v>0</v>
      </c>
    </row>
    <row r="32" spans="1:29" ht="88.5" customHeight="1" outlineLevel="1" x14ac:dyDescent="0.2">
      <c r="A32" s="204" t="s">
        <v>1220</v>
      </c>
      <c r="B32" s="215" t="s">
        <v>543</v>
      </c>
      <c r="C32" s="206">
        <v>0</v>
      </c>
      <c r="D32" s="207">
        <f>F32+K32+P32+U32+Z32</f>
        <v>0</v>
      </c>
      <c r="E32" s="206">
        <v>0</v>
      </c>
      <c r="F32" s="207">
        <f>G32+H32+I32</f>
        <v>0</v>
      </c>
      <c r="G32" s="207">
        <v>0</v>
      </c>
      <c r="H32" s="207">
        <v>0</v>
      </c>
      <c r="I32" s="207">
        <v>0</v>
      </c>
      <c r="J32" s="206">
        <v>0</v>
      </c>
      <c r="K32" s="207">
        <f>L32+M32+N32</f>
        <v>0</v>
      </c>
      <c r="L32" s="207">
        <v>0</v>
      </c>
      <c r="M32" s="207">
        <v>0</v>
      </c>
      <c r="N32" s="207">
        <v>0</v>
      </c>
      <c r="O32" s="206">
        <v>0</v>
      </c>
      <c r="P32" s="207">
        <f>Q32+R32+S32</f>
        <v>0</v>
      </c>
      <c r="Q32" s="207">
        <v>0</v>
      </c>
      <c r="R32" s="207">
        <v>0</v>
      </c>
      <c r="S32" s="207">
        <v>0</v>
      </c>
      <c r="T32" s="214">
        <v>0</v>
      </c>
      <c r="U32" s="207">
        <f>V32+W32+X32</f>
        <v>0</v>
      </c>
      <c r="V32" s="207">
        <v>0</v>
      </c>
      <c r="W32" s="207">
        <v>0</v>
      </c>
      <c r="X32" s="207">
        <v>0</v>
      </c>
      <c r="Y32" s="214">
        <v>0</v>
      </c>
      <c r="Z32" s="207">
        <f>AA32+AB32+AC32</f>
        <v>0</v>
      </c>
      <c r="AA32" s="207">
        <v>0</v>
      </c>
      <c r="AB32" s="207">
        <v>0</v>
      </c>
      <c r="AC32" s="207">
        <v>0</v>
      </c>
    </row>
    <row r="33" spans="1:30" s="223" customFormat="1" ht="40.5" customHeight="1" x14ac:dyDescent="0.2">
      <c r="A33" s="218"/>
      <c r="B33" s="219" t="s">
        <v>466</v>
      </c>
      <c r="C33" s="220">
        <f t="shared" ref="C33:R33" si="16">C11+C16+C17+C18+C19+C20+C21+C23+C15+C25+C26+C27+C28+C32</f>
        <v>3.0680000000000001</v>
      </c>
      <c r="D33" s="221">
        <f t="shared" si="16"/>
        <v>440467</v>
      </c>
      <c r="E33" s="220">
        <f t="shared" si="16"/>
        <v>2.1</v>
      </c>
      <c r="F33" s="221">
        <f t="shared" si="16"/>
        <v>321465</v>
      </c>
      <c r="G33" s="221">
        <f t="shared" si="16"/>
        <v>126793</v>
      </c>
      <c r="H33" s="221">
        <f t="shared" si="16"/>
        <v>182270</v>
      </c>
      <c r="I33" s="221">
        <f t="shared" si="16"/>
        <v>12402</v>
      </c>
      <c r="J33" s="220">
        <f t="shared" si="16"/>
        <v>0</v>
      </c>
      <c r="K33" s="221">
        <f t="shared" si="16"/>
        <v>8332</v>
      </c>
      <c r="L33" s="221">
        <f t="shared" si="16"/>
        <v>0</v>
      </c>
      <c r="M33" s="221">
        <f t="shared" si="16"/>
        <v>0</v>
      </c>
      <c r="N33" s="221">
        <f t="shared" si="16"/>
        <v>8332</v>
      </c>
      <c r="O33" s="222">
        <f t="shared" si="16"/>
        <v>0</v>
      </c>
      <c r="P33" s="221">
        <f t="shared" si="16"/>
        <v>67626</v>
      </c>
      <c r="Q33" s="221">
        <f t="shared" si="16"/>
        <v>0</v>
      </c>
      <c r="R33" s="221">
        <f t="shared" si="16"/>
        <v>64161</v>
      </c>
      <c r="S33" s="221">
        <f>S11+S16+S17+S18+S19+S20+S21+S23+S15+S25+S26+S27+S32</f>
        <v>3465</v>
      </c>
      <c r="T33" s="220">
        <f>T11+T16+T17+T18+T19+T20+T21+T23+T15+T25+T26+T27+T28+T32</f>
        <v>0.96799999999999997</v>
      </c>
      <c r="U33" s="221">
        <f>V33+W33+X33</f>
        <v>43044</v>
      </c>
      <c r="V33" s="221">
        <f>V11+V16+V17+V18+V19+V20+V21+V23+V15+V25+V26+V27+V28+V32</f>
        <v>0</v>
      </c>
      <c r="W33" s="221">
        <f>W11+W16+W17+W18+W19+W20+W21+W23+W15+W25+W26+W27+W28+W32</f>
        <v>40792</v>
      </c>
      <c r="X33" s="221">
        <f>X11+X16+X17+X18+X19+X20+X21+X23+X15+X25+X26+X27+X28+X32</f>
        <v>2252</v>
      </c>
      <c r="Y33" s="220">
        <f>Y11+Y15+Y16+Y17+Y18+Y19+Y20+Y21+Y23+Y25+Y26+Y27+Y28+Y32</f>
        <v>0</v>
      </c>
      <c r="Z33" s="221">
        <f>Z11+Z16+Z17+Z18+Z19+Z20+Z21+Z23+Z15+Z25+Z26+Z27+Z28+Z32</f>
        <v>0</v>
      </c>
      <c r="AA33" s="221">
        <f>AA11+AA16+AA17+AA18+AA19+AA20+AA21+AA23+AA15+AA25+AA26+AA27+AA28+AA32</f>
        <v>0</v>
      </c>
      <c r="AB33" s="221">
        <f>AB11+AB16+AB17+AB18+AB19+AB20+AB21+AB23+AB15+AB25+AB26+AB27+AB28+AB32</f>
        <v>0</v>
      </c>
      <c r="AC33" s="221">
        <f>AC11+AC16+AC17+AC18+AC19+AC20+AC21+AC23+AC15+AC25+AC26+AC27+AC28+AC32</f>
        <v>0</v>
      </c>
    </row>
    <row r="34" spans="1:30" ht="40.5" customHeight="1" x14ac:dyDescent="0.2">
      <c r="A34" s="224" t="s">
        <v>36</v>
      </c>
      <c r="B34" s="530" t="s">
        <v>1050</v>
      </c>
      <c r="C34" s="531"/>
      <c r="D34" s="531"/>
      <c r="E34" s="531"/>
      <c r="F34" s="531"/>
      <c r="G34" s="531"/>
      <c r="H34" s="531"/>
      <c r="I34" s="531"/>
      <c r="J34" s="531"/>
      <c r="K34" s="531"/>
      <c r="L34" s="531"/>
      <c r="M34" s="531"/>
      <c r="N34" s="531"/>
      <c r="O34" s="531"/>
      <c r="P34" s="531"/>
      <c r="Q34" s="531"/>
      <c r="R34" s="531"/>
      <c r="S34" s="531"/>
      <c r="T34" s="531"/>
      <c r="U34" s="531"/>
      <c r="V34" s="531"/>
      <c r="W34" s="531"/>
      <c r="X34" s="531"/>
      <c r="Y34" s="531"/>
      <c r="Z34" s="531"/>
      <c r="AA34" s="531"/>
      <c r="AB34" s="531"/>
      <c r="AC34" s="532"/>
    </row>
    <row r="35" spans="1:30" s="96" customFormat="1" ht="112.15" customHeight="1" outlineLevel="1" x14ac:dyDescent="0.2">
      <c r="A35" s="204" t="s">
        <v>467</v>
      </c>
      <c r="B35" s="225" t="s">
        <v>41</v>
      </c>
      <c r="C35" s="206">
        <f t="shared" ref="C35:C36" si="17">E35+J35+O35+Y35+T35</f>
        <v>0</v>
      </c>
      <c r="D35" s="207">
        <f t="shared" ref="D35:D37" si="18">F35+K35+P35+Z35+U35</f>
        <v>0</v>
      </c>
      <c r="E35" s="206">
        <v>0</v>
      </c>
      <c r="F35" s="217">
        <f>G35+H35+I35</f>
        <v>0</v>
      </c>
      <c r="G35" s="207">
        <v>0</v>
      </c>
      <c r="H35" s="207">
        <v>0</v>
      </c>
      <c r="I35" s="207">
        <v>0</v>
      </c>
      <c r="J35" s="206">
        <v>0</v>
      </c>
      <c r="K35" s="207">
        <f>N35+M35+L35</f>
        <v>0</v>
      </c>
      <c r="L35" s="207">
        <v>0</v>
      </c>
      <c r="M35" s="207">
        <v>0</v>
      </c>
      <c r="N35" s="207">
        <v>0</v>
      </c>
      <c r="O35" s="206">
        <v>0</v>
      </c>
      <c r="P35" s="217">
        <f t="shared" ref="P35:P37" si="19">S35+R35+Q35</f>
        <v>0</v>
      </c>
      <c r="Q35" s="207">
        <v>0</v>
      </c>
      <c r="R35" s="207">
        <v>0</v>
      </c>
      <c r="S35" s="207">
        <v>0</v>
      </c>
      <c r="T35" s="206">
        <v>0</v>
      </c>
      <c r="U35" s="217">
        <f t="shared" ref="U35:U37" si="20">V35+W35+X35</f>
        <v>0</v>
      </c>
      <c r="V35" s="207">
        <v>0</v>
      </c>
      <c r="W35" s="207">
        <v>0</v>
      </c>
      <c r="X35" s="207">
        <v>0</v>
      </c>
      <c r="Y35" s="206">
        <v>0</v>
      </c>
      <c r="Z35" s="207">
        <f>AC35+AB35+AA35</f>
        <v>0</v>
      </c>
      <c r="AA35" s="207">
        <v>0</v>
      </c>
      <c r="AB35" s="207">
        <v>0</v>
      </c>
      <c r="AC35" s="207">
        <v>0</v>
      </c>
    </row>
    <row r="36" spans="1:30" s="96" customFormat="1" ht="105" customHeight="1" outlineLevel="1" x14ac:dyDescent="0.2">
      <c r="A36" s="204" t="s">
        <v>468</v>
      </c>
      <c r="B36" s="225" t="s">
        <v>122</v>
      </c>
      <c r="C36" s="206">
        <f t="shared" si="17"/>
        <v>0</v>
      </c>
      <c r="D36" s="207">
        <f t="shared" si="18"/>
        <v>0</v>
      </c>
      <c r="E36" s="206">
        <v>0</v>
      </c>
      <c r="F36" s="217">
        <f>G36+H36+I36</f>
        <v>0</v>
      </c>
      <c r="G36" s="207">
        <v>0</v>
      </c>
      <c r="H36" s="207">
        <v>0</v>
      </c>
      <c r="I36" s="207">
        <v>0</v>
      </c>
      <c r="J36" s="206">
        <v>0</v>
      </c>
      <c r="K36" s="207">
        <f t="shared" ref="K36:K37" si="21">N36+M36+L36</f>
        <v>0</v>
      </c>
      <c r="L36" s="207">
        <v>0</v>
      </c>
      <c r="M36" s="207">
        <v>0</v>
      </c>
      <c r="N36" s="207">
        <v>0</v>
      </c>
      <c r="O36" s="206">
        <v>0</v>
      </c>
      <c r="P36" s="217">
        <f t="shared" si="19"/>
        <v>0</v>
      </c>
      <c r="Q36" s="207">
        <v>0</v>
      </c>
      <c r="R36" s="207">
        <v>0</v>
      </c>
      <c r="S36" s="207">
        <v>0</v>
      </c>
      <c r="T36" s="206">
        <v>0</v>
      </c>
      <c r="U36" s="217">
        <f t="shared" si="20"/>
        <v>0</v>
      </c>
      <c r="V36" s="207">
        <v>0</v>
      </c>
      <c r="W36" s="207">
        <v>0</v>
      </c>
      <c r="X36" s="207">
        <v>0</v>
      </c>
      <c r="Y36" s="206">
        <v>0</v>
      </c>
      <c r="Z36" s="207">
        <f t="shared" ref="Z36:Z37" si="22">AC36+AB36+AA36</f>
        <v>0</v>
      </c>
      <c r="AA36" s="207">
        <v>0</v>
      </c>
      <c r="AB36" s="207">
        <v>0</v>
      </c>
      <c r="AC36" s="207">
        <v>0</v>
      </c>
    </row>
    <row r="37" spans="1:30" s="96" customFormat="1" ht="122.25" customHeight="1" outlineLevel="1" x14ac:dyDescent="0.2">
      <c r="A37" s="204" t="s">
        <v>469</v>
      </c>
      <c r="B37" s="225" t="s">
        <v>613</v>
      </c>
      <c r="C37" s="206">
        <f>E37+J37+O37+Y37+T37</f>
        <v>0</v>
      </c>
      <c r="D37" s="207">
        <f t="shared" si="18"/>
        <v>0</v>
      </c>
      <c r="E37" s="206">
        <v>0</v>
      </c>
      <c r="F37" s="217">
        <f t="shared" ref="F37" si="23">G37+H37+I37</f>
        <v>0</v>
      </c>
      <c r="G37" s="207">
        <v>0</v>
      </c>
      <c r="H37" s="207">
        <v>0</v>
      </c>
      <c r="I37" s="207">
        <v>0</v>
      </c>
      <c r="J37" s="206">
        <v>0</v>
      </c>
      <c r="K37" s="207">
        <f t="shared" si="21"/>
        <v>0</v>
      </c>
      <c r="L37" s="207">
        <v>0</v>
      </c>
      <c r="M37" s="207">
        <v>0</v>
      </c>
      <c r="N37" s="207">
        <v>0</v>
      </c>
      <c r="O37" s="206">
        <v>0</v>
      </c>
      <c r="P37" s="217">
        <f t="shared" si="19"/>
        <v>0</v>
      </c>
      <c r="Q37" s="207">
        <v>0</v>
      </c>
      <c r="R37" s="207">
        <v>0</v>
      </c>
      <c r="S37" s="207">
        <v>0</v>
      </c>
      <c r="T37" s="206">
        <v>0</v>
      </c>
      <c r="U37" s="217">
        <f t="shared" si="20"/>
        <v>0</v>
      </c>
      <c r="V37" s="207">
        <v>0</v>
      </c>
      <c r="W37" s="207">
        <v>0</v>
      </c>
      <c r="X37" s="207">
        <v>0</v>
      </c>
      <c r="Y37" s="206">
        <v>0</v>
      </c>
      <c r="Z37" s="207">
        <f t="shared" si="22"/>
        <v>0</v>
      </c>
      <c r="AA37" s="207">
        <v>0</v>
      </c>
      <c r="AB37" s="207">
        <v>0</v>
      </c>
      <c r="AC37" s="207">
        <v>0</v>
      </c>
    </row>
    <row r="38" spans="1:30" s="96" customFormat="1" ht="79.5" customHeight="1" outlineLevel="1" x14ac:dyDescent="0.2">
      <c r="A38" s="204" t="s">
        <v>470</v>
      </c>
      <c r="B38" s="225" t="s">
        <v>305</v>
      </c>
      <c r="C38" s="206">
        <f t="shared" ref="C38:D40" si="24">E38+J38+O38+T38+Y38</f>
        <v>2</v>
      </c>
      <c r="D38" s="207">
        <f>F38+K38+P38+U38+Z38</f>
        <v>184170</v>
      </c>
      <c r="E38" s="214">
        <v>1</v>
      </c>
      <c r="F38" s="217">
        <f>G38+H38+I38</f>
        <v>66560</v>
      </c>
      <c r="G38" s="217">
        <f>G39+G40</f>
        <v>0</v>
      </c>
      <c r="H38" s="217">
        <f>H39+H40</f>
        <v>62060</v>
      </c>
      <c r="I38" s="217">
        <f>I39+I40</f>
        <v>4500</v>
      </c>
      <c r="J38" s="206">
        <v>0</v>
      </c>
      <c r="K38" s="207">
        <f>K39+K40</f>
        <v>0</v>
      </c>
      <c r="L38" s="207">
        <f>L39+L40</f>
        <v>0</v>
      </c>
      <c r="M38" s="207">
        <f>M39+M40</f>
        <v>0</v>
      </c>
      <c r="N38" s="207">
        <f>N39+N40</f>
        <v>0</v>
      </c>
      <c r="O38" s="214">
        <f>O39+O40</f>
        <v>1</v>
      </c>
      <c r="P38" s="217">
        <f>S38+R38+Q38</f>
        <v>117610</v>
      </c>
      <c r="Q38" s="217">
        <v>0</v>
      </c>
      <c r="R38" s="217">
        <f>R39+R40+R41</f>
        <v>110000</v>
      </c>
      <c r="S38" s="217">
        <f>S39+S40+S41</f>
        <v>7610</v>
      </c>
      <c r="T38" s="214">
        <v>0</v>
      </c>
      <c r="U38" s="217">
        <f>V38+W38+X38</f>
        <v>0</v>
      </c>
      <c r="V38" s="217">
        <v>0</v>
      </c>
      <c r="W38" s="217">
        <v>0</v>
      </c>
      <c r="X38" s="217">
        <v>0</v>
      </c>
      <c r="Y38" s="214">
        <v>0</v>
      </c>
      <c r="Z38" s="217">
        <v>0</v>
      </c>
      <c r="AA38" s="217">
        <v>0</v>
      </c>
      <c r="AB38" s="217">
        <v>0</v>
      </c>
      <c r="AC38" s="217">
        <v>0</v>
      </c>
    </row>
    <row r="39" spans="1:30" ht="79.5" customHeight="1" outlineLevel="1" x14ac:dyDescent="0.2">
      <c r="A39" s="208" t="s">
        <v>471</v>
      </c>
      <c r="B39" s="226" t="s">
        <v>305</v>
      </c>
      <c r="C39" s="210">
        <f t="shared" si="24"/>
        <v>2</v>
      </c>
      <c r="D39" s="211">
        <f t="shared" si="24"/>
        <v>180619</v>
      </c>
      <c r="E39" s="212">
        <v>1</v>
      </c>
      <c r="F39" s="213">
        <f>G39+H39+I39</f>
        <v>65189</v>
      </c>
      <c r="G39" s="213">
        <v>0</v>
      </c>
      <c r="H39" s="213">
        <f>62060</f>
        <v>62060</v>
      </c>
      <c r="I39" s="213">
        <v>3129</v>
      </c>
      <c r="J39" s="210">
        <v>0</v>
      </c>
      <c r="K39" s="211">
        <f>L39+M39+N39</f>
        <v>0</v>
      </c>
      <c r="L39" s="211">
        <v>0</v>
      </c>
      <c r="M39" s="213">
        <f>61000-33953-27047</f>
        <v>0</v>
      </c>
      <c r="N39" s="213">
        <f>3756-2091-1665</f>
        <v>0</v>
      </c>
      <c r="O39" s="212">
        <v>1</v>
      </c>
      <c r="P39" s="213">
        <f>S39+R39</f>
        <v>115430</v>
      </c>
      <c r="Q39" s="213">
        <v>0</v>
      </c>
      <c r="R39" s="213">
        <v>108735</v>
      </c>
      <c r="S39" s="213">
        <v>6695</v>
      </c>
      <c r="T39" s="212">
        <v>0</v>
      </c>
      <c r="U39" s="213">
        <f>V39+W39+X39</f>
        <v>0</v>
      </c>
      <c r="V39" s="213">
        <v>0</v>
      </c>
      <c r="W39" s="213">
        <v>0</v>
      </c>
      <c r="X39" s="213">
        <v>0</v>
      </c>
      <c r="Y39" s="212">
        <v>0</v>
      </c>
      <c r="Z39" s="213">
        <v>0</v>
      </c>
      <c r="AA39" s="213">
        <v>0</v>
      </c>
      <c r="AB39" s="213">
        <v>0</v>
      </c>
      <c r="AC39" s="213">
        <v>0</v>
      </c>
    </row>
    <row r="40" spans="1:30" ht="93" customHeight="1" outlineLevel="1" x14ac:dyDescent="0.2">
      <c r="A40" s="208" t="s">
        <v>472</v>
      </c>
      <c r="B40" s="226" t="s">
        <v>312</v>
      </c>
      <c r="C40" s="210">
        <f t="shared" si="24"/>
        <v>0</v>
      </c>
      <c r="D40" s="211">
        <f t="shared" si="24"/>
        <v>2208</v>
      </c>
      <c r="E40" s="212">
        <v>0</v>
      </c>
      <c r="F40" s="213">
        <f>G40+H40+I40</f>
        <v>1371</v>
      </c>
      <c r="G40" s="213">
        <v>0</v>
      </c>
      <c r="H40" s="213">
        <v>0</v>
      </c>
      <c r="I40" s="213">
        <v>1371</v>
      </c>
      <c r="J40" s="210">
        <v>0</v>
      </c>
      <c r="K40" s="211">
        <v>0</v>
      </c>
      <c r="L40" s="211">
        <v>0</v>
      </c>
      <c r="M40" s="213">
        <v>0</v>
      </c>
      <c r="N40" s="213">
        <v>0</v>
      </c>
      <c r="O40" s="212">
        <v>0</v>
      </c>
      <c r="P40" s="213">
        <f>Q40+R40+S40</f>
        <v>837</v>
      </c>
      <c r="Q40" s="213">
        <v>0</v>
      </c>
      <c r="R40" s="213">
        <v>0</v>
      </c>
      <c r="S40" s="213">
        <f>1366+836-1365</f>
        <v>837</v>
      </c>
      <c r="T40" s="212">
        <v>0</v>
      </c>
      <c r="U40" s="213">
        <v>0</v>
      </c>
      <c r="V40" s="213">
        <v>0</v>
      </c>
      <c r="W40" s="213">
        <v>0</v>
      </c>
      <c r="X40" s="213">
        <v>0</v>
      </c>
      <c r="Y40" s="212">
        <v>0</v>
      </c>
      <c r="Z40" s="213">
        <v>0</v>
      </c>
      <c r="AA40" s="213">
        <v>0</v>
      </c>
      <c r="AB40" s="213">
        <v>0</v>
      </c>
      <c r="AC40" s="213">
        <v>0</v>
      </c>
    </row>
    <row r="41" spans="1:30" ht="27" customHeight="1" outlineLevel="1" x14ac:dyDescent="0.2">
      <c r="A41" s="208"/>
      <c r="B41" s="226" t="s">
        <v>206</v>
      </c>
      <c r="C41" s="210">
        <f>E41+J41+O41+T41+Y41</f>
        <v>0</v>
      </c>
      <c r="D41" s="211">
        <f>F41+K41+P41+U41+Z41</f>
        <v>1343</v>
      </c>
      <c r="E41" s="212">
        <v>0</v>
      </c>
      <c r="F41" s="213">
        <f>G41+H41+I41</f>
        <v>0</v>
      </c>
      <c r="G41" s="213">
        <v>0</v>
      </c>
      <c r="H41" s="213">
        <v>0</v>
      </c>
      <c r="I41" s="213">
        <v>0</v>
      </c>
      <c r="J41" s="210">
        <v>0</v>
      </c>
      <c r="K41" s="211">
        <f>L41+M41+N41</f>
        <v>0</v>
      </c>
      <c r="L41" s="211">
        <v>0</v>
      </c>
      <c r="M41" s="213">
        <f>35662-35662</f>
        <v>0</v>
      </c>
      <c r="N41" s="213">
        <v>0</v>
      </c>
      <c r="O41" s="212">
        <v>0</v>
      </c>
      <c r="P41" s="213">
        <f>Q41+R41+S41</f>
        <v>1343</v>
      </c>
      <c r="Q41" s="213">
        <v>0</v>
      </c>
      <c r="R41" s="213">
        <v>1265</v>
      </c>
      <c r="S41" s="213">
        <v>78</v>
      </c>
      <c r="T41" s="212">
        <v>0</v>
      </c>
      <c r="U41" s="213">
        <v>0</v>
      </c>
      <c r="V41" s="213">
        <v>0</v>
      </c>
      <c r="W41" s="213">
        <v>0</v>
      </c>
      <c r="X41" s="213">
        <v>0</v>
      </c>
      <c r="Y41" s="212">
        <v>0</v>
      </c>
      <c r="Z41" s="213">
        <v>0</v>
      </c>
      <c r="AA41" s="213">
        <v>0</v>
      </c>
      <c r="AB41" s="213">
        <v>0</v>
      </c>
      <c r="AC41" s="208">
        <v>0</v>
      </c>
    </row>
    <row r="42" spans="1:30" s="96" customFormat="1" ht="106.5" customHeight="1" outlineLevel="1" x14ac:dyDescent="0.2">
      <c r="A42" s="204" t="s">
        <v>473</v>
      </c>
      <c r="B42" s="225" t="s">
        <v>345</v>
      </c>
      <c r="C42" s="206">
        <f>E42+J42+O42+T42+Y42</f>
        <v>0.99299999999999999</v>
      </c>
      <c r="D42" s="207">
        <f>F42+K42+P42+U42+Z42</f>
        <v>222522</v>
      </c>
      <c r="E42" s="214">
        <v>0</v>
      </c>
      <c r="F42" s="217">
        <f>G42+H42+I42</f>
        <v>0</v>
      </c>
      <c r="G42" s="217">
        <v>0</v>
      </c>
      <c r="H42" s="217">
        <v>0</v>
      </c>
      <c r="I42" s="217">
        <v>0</v>
      </c>
      <c r="J42" s="206">
        <f>0.45-0.42</f>
        <v>3.0000000000000027E-2</v>
      </c>
      <c r="K42" s="207">
        <f>L42+M42+N42</f>
        <v>2196</v>
      </c>
      <c r="L42" s="207">
        <v>0</v>
      </c>
      <c r="M42" s="217">
        <f>35662-35662</f>
        <v>0</v>
      </c>
      <c r="N42" s="217">
        <v>2196</v>
      </c>
      <c r="O42" s="214">
        <v>0.96299999999999997</v>
      </c>
      <c r="P42" s="217">
        <f>Q42+R42+S42</f>
        <v>219169</v>
      </c>
      <c r="Q42" s="217">
        <v>0</v>
      </c>
      <c r="R42" s="217">
        <f>0+196000+1952</f>
        <v>197952</v>
      </c>
      <c r="S42" s="217">
        <f>8048+360+5272+7537</f>
        <v>21217</v>
      </c>
      <c r="T42" s="214">
        <v>0</v>
      </c>
      <c r="U42" s="221">
        <f>V42+W42+X42</f>
        <v>1157</v>
      </c>
      <c r="V42" s="217">
        <v>0</v>
      </c>
      <c r="W42" s="217">
        <f>14769-14769</f>
        <v>0</v>
      </c>
      <c r="X42" s="217">
        <f>747+410</f>
        <v>1157</v>
      </c>
      <c r="Y42" s="214">
        <v>0</v>
      </c>
      <c r="Z42" s="217">
        <v>0</v>
      </c>
      <c r="AA42" s="217">
        <v>0</v>
      </c>
      <c r="AB42" s="217">
        <v>0</v>
      </c>
      <c r="AC42" s="217">
        <v>0</v>
      </c>
    </row>
    <row r="43" spans="1:30" s="96" customFormat="1" ht="36" customHeight="1" outlineLevel="1" x14ac:dyDescent="0.2">
      <c r="A43" s="204"/>
      <c r="B43" s="227" t="s">
        <v>370</v>
      </c>
      <c r="C43" s="206">
        <v>0</v>
      </c>
      <c r="D43" s="207">
        <v>0</v>
      </c>
      <c r="E43" s="214">
        <v>0</v>
      </c>
      <c r="F43" s="217">
        <v>0</v>
      </c>
      <c r="G43" s="217">
        <v>0</v>
      </c>
      <c r="H43" s="217">
        <v>0</v>
      </c>
      <c r="I43" s="217">
        <v>0</v>
      </c>
      <c r="J43" s="206">
        <v>0</v>
      </c>
      <c r="K43" s="207">
        <v>0</v>
      </c>
      <c r="L43" s="207">
        <v>0</v>
      </c>
      <c r="M43" s="217">
        <v>0</v>
      </c>
      <c r="N43" s="217">
        <v>0</v>
      </c>
      <c r="O43" s="214">
        <v>0</v>
      </c>
      <c r="P43" s="217">
        <v>0</v>
      </c>
      <c r="Q43" s="217">
        <v>0</v>
      </c>
      <c r="R43" s="217">
        <v>0</v>
      </c>
      <c r="S43" s="217">
        <v>0</v>
      </c>
      <c r="T43" s="214">
        <v>0</v>
      </c>
      <c r="U43" s="221">
        <v>0</v>
      </c>
      <c r="V43" s="217">
        <v>0</v>
      </c>
      <c r="W43" s="217">
        <v>0</v>
      </c>
      <c r="X43" s="217">
        <v>0</v>
      </c>
      <c r="Y43" s="214">
        <v>0</v>
      </c>
      <c r="Z43" s="217">
        <f>AA43+AB43+AC43</f>
        <v>23106</v>
      </c>
      <c r="AA43" s="217">
        <v>0</v>
      </c>
      <c r="AB43" s="217">
        <v>0</v>
      </c>
      <c r="AC43" s="217">
        <v>23106</v>
      </c>
    </row>
    <row r="44" spans="1:30" s="231" customFormat="1" ht="42" customHeight="1" x14ac:dyDescent="0.2">
      <c r="A44" s="228"/>
      <c r="B44" s="229" t="s">
        <v>474</v>
      </c>
      <c r="C44" s="220">
        <f t="shared" ref="C44:S44" si="25">C35+C36+C37+C38+C42</f>
        <v>2.9929999999999999</v>
      </c>
      <c r="D44" s="221">
        <f t="shared" si="25"/>
        <v>406692</v>
      </c>
      <c r="E44" s="220">
        <f t="shared" si="25"/>
        <v>1</v>
      </c>
      <c r="F44" s="221">
        <f t="shared" si="25"/>
        <v>66560</v>
      </c>
      <c r="G44" s="221">
        <f t="shared" si="25"/>
        <v>0</v>
      </c>
      <c r="H44" s="221">
        <f t="shared" si="25"/>
        <v>62060</v>
      </c>
      <c r="I44" s="221">
        <f t="shared" si="25"/>
        <v>4500</v>
      </c>
      <c r="J44" s="220">
        <f t="shared" si="25"/>
        <v>3.0000000000000027E-2</v>
      </c>
      <c r="K44" s="221">
        <f t="shared" si="25"/>
        <v>2196</v>
      </c>
      <c r="L44" s="221">
        <f t="shared" si="25"/>
        <v>0</v>
      </c>
      <c r="M44" s="221">
        <f t="shared" si="25"/>
        <v>0</v>
      </c>
      <c r="N44" s="221">
        <f t="shared" si="25"/>
        <v>2196</v>
      </c>
      <c r="O44" s="220">
        <f t="shared" si="25"/>
        <v>1.9630000000000001</v>
      </c>
      <c r="P44" s="221">
        <f t="shared" si="25"/>
        <v>336779</v>
      </c>
      <c r="Q44" s="221">
        <f t="shared" si="25"/>
        <v>0</v>
      </c>
      <c r="R44" s="221">
        <f t="shared" si="25"/>
        <v>307952</v>
      </c>
      <c r="S44" s="221">
        <f t="shared" si="25"/>
        <v>28827</v>
      </c>
      <c r="T44" s="220">
        <f>T35+Y36+Y37+T38+T42</f>
        <v>0</v>
      </c>
      <c r="U44" s="221">
        <f>U35+U36+U37+U38+U42</f>
        <v>1157</v>
      </c>
      <c r="V44" s="221">
        <f>V35+AA36+AA37+V38+V42</f>
        <v>0</v>
      </c>
      <c r="W44" s="221">
        <f t="shared" ref="W44:AC44" si="26">W35+W36+W37+W38+W42</f>
        <v>0</v>
      </c>
      <c r="X44" s="221">
        <f t="shared" si="26"/>
        <v>1157</v>
      </c>
      <c r="Y44" s="220">
        <f t="shared" si="26"/>
        <v>0</v>
      </c>
      <c r="Z44" s="221">
        <f>Z35+Z36+Z37+Z38+Z42</f>
        <v>0</v>
      </c>
      <c r="AA44" s="221">
        <f t="shared" si="26"/>
        <v>0</v>
      </c>
      <c r="AB44" s="221">
        <f t="shared" si="26"/>
        <v>0</v>
      </c>
      <c r="AC44" s="221">
        <f t="shared" si="26"/>
        <v>0</v>
      </c>
      <c r="AD44" s="230"/>
    </row>
    <row r="45" spans="1:30" s="233" customFormat="1" ht="29.45" customHeight="1" x14ac:dyDescent="0.2">
      <c r="A45" s="232" t="s">
        <v>124</v>
      </c>
      <c r="B45" s="523" t="s">
        <v>475</v>
      </c>
      <c r="C45" s="524"/>
      <c r="D45" s="524"/>
      <c r="E45" s="524"/>
      <c r="F45" s="524"/>
      <c r="G45" s="524"/>
      <c r="H45" s="524"/>
      <c r="I45" s="524"/>
      <c r="J45" s="524"/>
      <c r="K45" s="524"/>
      <c r="L45" s="524"/>
      <c r="M45" s="524"/>
      <c r="N45" s="524"/>
      <c r="O45" s="524"/>
      <c r="P45" s="524"/>
      <c r="Q45" s="524"/>
      <c r="R45" s="524"/>
      <c r="S45" s="524"/>
      <c r="T45" s="524"/>
      <c r="U45" s="524"/>
      <c r="V45" s="524"/>
      <c r="W45" s="524"/>
      <c r="X45" s="524"/>
      <c r="Y45" s="524"/>
      <c r="Z45" s="524"/>
      <c r="AA45" s="524"/>
      <c r="AB45" s="524"/>
      <c r="AC45" s="525"/>
    </row>
    <row r="46" spans="1:30" s="233" customFormat="1" ht="163.5" customHeight="1" outlineLevel="1" x14ac:dyDescent="0.2">
      <c r="A46" s="234" t="s">
        <v>1221</v>
      </c>
      <c r="B46" s="235" t="s">
        <v>121</v>
      </c>
      <c r="C46" s="87">
        <v>0</v>
      </c>
      <c r="D46" s="88">
        <f t="shared" ref="D46:D53" si="27">F46+K46+P46+U46+Z46</f>
        <v>21758</v>
      </c>
      <c r="E46" s="210">
        <v>0</v>
      </c>
      <c r="F46" s="211">
        <f>I46</f>
        <v>5316</v>
      </c>
      <c r="G46" s="211">
        <v>0</v>
      </c>
      <c r="H46" s="211">
        <v>0</v>
      </c>
      <c r="I46" s="211">
        <f>5960-644</f>
        <v>5316</v>
      </c>
      <c r="J46" s="87">
        <v>0</v>
      </c>
      <c r="K46" s="88">
        <f t="shared" ref="K46:K51" si="28">L46+M46+N46</f>
        <v>5316</v>
      </c>
      <c r="L46" s="88">
        <v>0</v>
      </c>
      <c r="M46" s="236">
        <v>0</v>
      </c>
      <c r="N46" s="88">
        <v>5316</v>
      </c>
      <c r="O46" s="87">
        <v>0</v>
      </c>
      <c r="P46" s="88">
        <f>Q46+R46+S46</f>
        <v>5315</v>
      </c>
      <c r="Q46" s="88">
        <v>0</v>
      </c>
      <c r="R46" s="236">
        <v>0</v>
      </c>
      <c r="S46" s="88">
        <v>5315</v>
      </c>
      <c r="T46" s="237">
        <v>0</v>
      </c>
      <c r="U46" s="236">
        <f>V46+W46+X46</f>
        <v>5811</v>
      </c>
      <c r="V46" s="236">
        <v>0</v>
      </c>
      <c r="W46" s="236">
        <v>0</v>
      </c>
      <c r="X46" s="236">
        <f>5315+496</f>
        <v>5811</v>
      </c>
      <c r="Y46" s="237">
        <v>0</v>
      </c>
      <c r="Z46" s="236">
        <v>0</v>
      </c>
      <c r="AA46" s="236">
        <v>0</v>
      </c>
      <c r="AB46" s="236">
        <v>0</v>
      </c>
      <c r="AC46" s="236">
        <v>0</v>
      </c>
      <c r="AD46" s="238"/>
    </row>
    <row r="47" spans="1:30" s="233" customFormat="1" ht="133.5" customHeight="1" outlineLevel="1" x14ac:dyDescent="0.2">
      <c r="A47" s="234" t="s">
        <v>1222</v>
      </c>
      <c r="B47" s="235" t="s">
        <v>123</v>
      </c>
      <c r="C47" s="87">
        <v>0</v>
      </c>
      <c r="D47" s="88">
        <f t="shared" si="27"/>
        <v>16702</v>
      </c>
      <c r="E47" s="210">
        <v>0</v>
      </c>
      <c r="F47" s="211">
        <f>I47</f>
        <v>4685</v>
      </c>
      <c r="G47" s="211">
        <v>0</v>
      </c>
      <c r="H47" s="211">
        <v>0</v>
      </c>
      <c r="I47" s="211">
        <v>4685</v>
      </c>
      <c r="J47" s="87">
        <v>0</v>
      </c>
      <c r="K47" s="88">
        <f t="shared" si="28"/>
        <v>0</v>
      </c>
      <c r="L47" s="88">
        <v>0</v>
      </c>
      <c r="M47" s="236">
        <v>0</v>
      </c>
      <c r="N47" s="88">
        <v>0</v>
      </c>
      <c r="O47" s="87">
        <v>0</v>
      </c>
      <c r="P47" s="88">
        <f>Q47+R47+S47</f>
        <v>4685</v>
      </c>
      <c r="Q47" s="88">
        <v>0</v>
      </c>
      <c r="R47" s="236">
        <v>0</v>
      </c>
      <c r="S47" s="88">
        <v>4685</v>
      </c>
      <c r="T47" s="237">
        <v>0</v>
      </c>
      <c r="U47" s="236">
        <f>V47+W47+X47</f>
        <v>7332</v>
      </c>
      <c r="V47" s="236">
        <v>0</v>
      </c>
      <c r="W47" s="236">
        <v>0</v>
      </c>
      <c r="X47" s="236">
        <f>4685+71+2576</f>
        <v>7332</v>
      </c>
      <c r="Y47" s="237">
        <v>0</v>
      </c>
      <c r="Z47" s="236">
        <v>0</v>
      </c>
      <c r="AA47" s="236">
        <v>0</v>
      </c>
      <c r="AB47" s="236">
        <v>0</v>
      </c>
      <c r="AC47" s="236">
        <v>0</v>
      </c>
      <c r="AD47" s="238"/>
    </row>
    <row r="48" spans="1:30" s="233" customFormat="1" ht="93" customHeight="1" outlineLevel="1" x14ac:dyDescent="0.2">
      <c r="A48" s="234" t="s">
        <v>1223</v>
      </c>
      <c r="B48" s="235" t="s">
        <v>614</v>
      </c>
      <c r="C48" s="210">
        <f>E48+J48+O48++Y48+T48</f>
        <v>0.1</v>
      </c>
      <c r="D48" s="88">
        <f>F48+K48+P48+U48+Z48</f>
        <v>0</v>
      </c>
      <c r="E48" s="210">
        <f>1-1</f>
        <v>0</v>
      </c>
      <c r="F48" s="211">
        <f>I48</f>
        <v>0</v>
      </c>
      <c r="G48" s="211">
        <v>0</v>
      </c>
      <c r="H48" s="211">
        <v>0</v>
      </c>
      <c r="I48" s="211">
        <v>0</v>
      </c>
      <c r="J48" s="87">
        <v>0</v>
      </c>
      <c r="K48" s="88">
        <f t="shared" si="28"/>
        <v>0</v>
      </c>
      <c r="L48" s="88">
        <v>0</v>
      </c>
      <c r="M48" s="236">
        <v>0</v>
      </c>
      <c r="N48" s="88">
        <v>0</v>
      </c>
      <c r="O48" s="87">
        <v>0</v>
      </c>
      <c r="P48" s="88">
        <f>Q48+R48+S48</f>
        <v>0</v>
      </c>
      <c r="Q48" s="88">
        <v>0</v>
      </c>
      <c r="R48" s="236">
        <v>0</v>
      </c>
      <c r="S48" s="88">
        <f>324-324</f>
        <v>0</v>
      </c>
      <c r="T48" s="237">
        <v>0</v>
      </c>
      <c r="U48" s="236">
        <f t="shared" ref="U48:U49" si="29">V48+W48+X48</f>
        <v>0</v>
      </c>
      <c r="V48" s="236">
        <v>0</v>
      </c>
      <c r="W48" s="236">
        <v>0</v>
      </c>
      <c r="X48" s="236">
        <v>0</v>
      </c>
      <c r="Y48" s="237">
        <v>0.1</v>
      </c>
      <c r="Z48" s="236">
        <f t="shared" ref="Z48:Z70" si="30">AA48+AB48+AC48</f>
        <v>0</v>
      </c>
      <c r="AA48" s="236">
        <v>0</v>
      </c>
      <c r="AB48" s="236">
        <v>0</v>
      </c>
      <c r="AC48" s="236">
        <f>8452-427-8025</f>
        <v>0</v>
      </c>
      <c r="AD48" s="238"/>
    </row>
    <row r="49" spans="1:30" ht="121.5" customHeight="1" outlineLevel="1" x14ac:dyDescent="0.2">
      <c r="A49" s="234" t="s">
        <v>1224</v>
      </c>
      <c r="B49" s="226" t="s">
        <v>391</v>
      </c>
      <c r="C49" s="210">
        <f t="shared" ref="C49:C70" si="31">E49+J49+O49++Y49+T49</f>
        <v>0</v>
      </c>
      <c r="D49" s="88">
        <f t="shared" si="27"/>
        <v>53</v>
      </c>
      <c r="E49" s="212">
        <v>0</v>
      </c>
      <c r="F49" s="213">
        <v>0</v>
      </c>
      <c r="G49" s="213">
        <v>0</v>
      </c>
      <c r="H49" s="213">
        <v>0</v>
      </c>
      <c r="I49" s="213">
        <v>0</v>
      </c>
      <c r="J49" s="210">
        <v>0</v>
      </c>
      <c r="K49" s="88">
        <f t="shared" si="28"/>
        <v>53</v>
      </c>
      <c r="L49" s="211">
        <v>0</v>
      </c>
      <c r="M49" s="213">
        <v>0</v>
      </c>
      <c r="N49" s="213">
        <v>53</v>
      </c>
      <c r="O49" s="212">
        <v>0</v>
      </c>
      <c r="P49" s="213">
        <f>S49</f>
        <v>0</v>
      </c>
      <c r="Q49" s="213">
        <v>0</v>
      </c>
      <c r="R49" s="213">
        <v>0</v>
      </c>
      <c r="S49" s="213">
        <v>0</v>
      </c>
      <c r="T49" s="212">
        <v>0</v>
      </c>
      <c r="U49" s="236">
        <f t="shared" si="29"/>
        <v>0</v>
      </c>
      <c r="V49" s="211">
        <v>0</v>
      </c>
      <c r="W49" s="211">
        <v>0</v>
      </c>
      <c r="X49" s="211">
        <v>0</v>
      </c>
      <c r="Y49" s="212">
        <v>0</v>
      </c>
      <c r="Z49" s="236">
        <f t="shared" si="30"/>
        <v>0</v>
      </c>
      <c r="AA49" s="213">
        <v>0</v>
      </c>
      <c r="AB49" s="213">
        <v>0</v>
      </c>
      <c r="AC49" s="213">
        <v>0</v>
      </c>
    </row>
    <row r="50" spans="1:30" s="233" customFormat="1" ht="135.75" customHeight="1" outlineLevel="1" x14ac:dyDescent="0.2">
      <c r="A50" s="234" t="s">
        <v>1225</v>
      </c>
      <c r="B50" s="239" t="s">
        <v>1440</v>
      </c>
      <c r="C50" s="210">
        <f t="shared" si="31"/>
        <v>0</v>
      </c>
      <c r="D50" s="88">
        <f t="shared" si="27"/>
        <v>11840</v>
      </c>
      <c r="E50" s="210">
        <v>0</v>
      </c>
      <c r="F50" s="211">
        <f>I50</f>
        <v>0</v>
      </c>
      <c r="G50" s="211">
        <v>0</v>
      </c>
      <c r="H50" s="211">
        <v>0</v>
      </c>
      <c r="I50" s="211">
        <v>0</v>
      </c>
      <c r="J50" s="87">
        <v>0</v>
      </c>
      <c r="K50" s="88">
        <f t="shared" si="28"/>
        <v>0</v>
      </c>
      <c r="L50" s="88">
        <v>0</v>
      </c>
      <c r="M50" s="236">
        <v>0</v>
      </c>
      <c r="N50" s="88">
        <v>0</v>
      </c>
      <c r="O50" s="87">
        <v>0</v>
      </c>
      <c r="P50" s="88">
        <f>S50</f>
        <v>0</v>
      </c>
      <c r="Q50" s="88">
        <v>0</v>
      </c>
      <c r="R50" s="236">
        <v>0</v>
      </c>
      <c r="S50" s="88">
        <f>4887-4887</f>
        <v>0</v>
      </c>
      <c r="T50" s="237">
        <v>0</v>
      </c>
      <c r="U50" s="236">
        <f>V50+W50+X50</f>
        <v>5920</v>
      </c>
      <c r="V50" s="236">
        <v>0</v>
      </c>
      <c r="W50" s="236">
        <v>0</v>
      </c>
      <c r="X50" s="236">
        <f>6358-196-79-163</f>
        <v>5920</v>
      </c>
      <c r="Y50" s="237">
        <v>0</v>
      </c>
      <c r="Z50" s="236">
        <f t="shared" si="30"/>
        <v>5920</v>
      </c>
      <c r="AA50" s="236">
        <v>0</v>
      </c>
      <c r="AB50" s="236">
        <v>0</v>
      </c>
      <c r="AC50" s="236">
        <v>5920</v>
      </c>
      <c r="AD50" s="238"/>
    </row>
    <row r="51" spans="1:30" s="233" customFormat="1" ht="132.75" customHeight="1" outlineLevel="1" x14ac:dyDescent="0.2">
      <c r="A51" s="234" t="s">
        <v>1226</v>
      </c>
      <c r="B51" s="239" t="s">
        <v>1351</v>
      </c>
      <c r="C51" s="210">
        <f t="shared" si="31"/>
        <v>0</v>
      </c>
      <c r="D51" s="88">
        <f t="shared" si="27"/>
        <v>0</v>
      </c>
      <c r="E51" s="210">
        <v>0</v>
      </c>
      <c r="F51" s="211">
        <v>0</v>
      </c>
      <c r="G51" s="211">
        <v>0</v>
      </c>
      <c r="H51" s="211">
        <v>0</v>
      </c>
      <c r="I51" s="211">
        <v>0</v>
      </c>
      <c r="J51" s="87">
        <v>0</v>
      </c>
      <c r="K51" s="88">
        <f t="shared" si="28"/>
        <v>0</v>
      </c>
      <c r="L51" s="88">
        <v>0</v>
      </c>
      <c r="M51" s="236">
        <v>0</v>
      </c>
      <c r="N51" s="88">
        <v>0</v>
      </c>
      <c r="O51" s="87">
        <v>0</v>
      </c>
      <c r="P51" s="88">
        <v>0</v>
      </c>
      <c r="Q51" s="88">
        <v>0</v>
      </c>
      <c r="R51" s="236">
        <v>0</v>
      </c>
      <c r="S51" s="88">
        <v>0</v>
      </c>
      <c r="T51" s="237">
        <v>0</v>
      </c>
      <c r="U51" s="236">
        <v>0</v>
      </c>
      <c r="V51" s="236">
        <v>0</v>
      </c>
      <c r="W51" s="236">
        <v>0</v>
      </c>
      <c r="X51" s="236">
        <v>0</v>
      </c>
      <c r="Y51" s="237">
        <v>0</v>
      </c>
      <c r="Z51" s="236">
        <f t="shared" si="30"/>
        <v>0</v>
      </c>
      <c r="AA51" s="236">
        <v>0</v>
      </c>
      <c r="AB51" s="236">
        <v>0</v>
      </c>
      <c r="AC51" s="236">
        <f>3528-515-3013</f>
        <v>0</v>
      </c>
      <c r="AD51" s="238"/>
    </row>
    <row r="52" spans="1:30" s="233" customFormat="1" ht="117.75" customHeight="1" outlineLevel="1" x14ac:dyDescent="0.2">
      <c r="A52" s="234" t="s">
        <v>1227</v>
      </c>
      <c r="B52" s="239" t="s">
        <v>603</v>
      </c>
      <c r="C52" s="210">
        <f t="shared" si="31"/>
        <v>0</v>
      </c>
      <c r="D52" s="88">
        <f t="shared" si="27"/>
        <v>0</v>
      </c>
      <c r="E52" s="210">
        <v>0</v>
      </c>
      <c r="F52" s="211">
        <f>I52</f>
        <v>0</v>
      </c>
      <c r="G52" s="211">
        <v>0</v>
      </c>
      <c r="H52" s="211">
        <v>0</v>
      </c>
      <c r="I52" s="211">
        <v>0</v>
      </c>
      <c r="J52" s="87">
        <v>0</v>
      </c>
      <c r="K52" s="88">
        <f t="shared" ref="K52:K59" si="32">L52+M52+N52</f>
        <v>0</v>
      </c>
      <c r="L52" s="88">
        <v>0</v>
      </c>
      <c r="M52" s="236">
        <v>0</v>
      </c>
      <c r="N52" s="88">
        <v>0</v>
      </c>
      <c r="O52" s="87">
        <v>0</v>
      </c>
      <c r="P52" s="88">
        <f>S52</f>
        <v>0</v>
      </c>
      <c r="Q52" s="88">
        <v>0</v>
      </c>
      <c r="R52" s="236">
        <v>0</v>
      </c>
      <c r="S52" s="88">
        <v>0</v>
      </c>
      <c r="T52" s="237">
        <v>0</v>
      </c>
      <c r="U52" s="236">
        <f t="shared" ref="U52:U71" si="33">V52+W52+X52</f>
        <v>0</v>
      </c>
      <c r="V52" s="236">
        <v>0</v>
      </c>
      <c r="W52" s="236">
        <v>0</v>
      </c>
      <c r="X52" s="236">
        <f>5991-5991</f>
        <v>0</v>
      </c>
      <c r="Y52" s="237">
        <v>0</v>
      </c>
      <c r="Z52" s="236">
        <f t="shared" si="30"/>
        <v>0</v>
      </c>
      <c r="AA52" s="236">
        <v>0</v>
      </c>
      <c r="AB52" s="236">
        <v>0</v>
      </c>
      <c r="AC52" s="236">
        <f>4957-490-4467</f>
        <v>0</v>
      </c>
      <c r="AD52" s="238"/>
    </row>
    <row r="53" spans="1:30" s="233" customFormat="1" ht="119.25" customHeight="1" outlineLevel="1" x14ac:dyDescent="0.2">
      <c r="A53" s="234" t="s">
        <v>1228</v>
      </c>
      <c r="B53" s="239" t="s">
        <v>571</v>
      </c>
      <c r="C53" s="210">
        <f t="shared" si="31"/>
        <v>0</v>
      </c>
      <c r="D53" s="88">
        <f t="shared" si="27"/>
        <v>6900</v>
      </c>
      <c r="E53" s="210">
        <v>0</v>
      </c>
      <c r="F53" s="211">
        <v>0</v>
      </c>
      <c r="G53" s="211">
        <v>0</v>
      </c>
      <c r="H53" s="211">
        <v>0</v>
      </c>
      <c r="I53" s="211">
        <v>0</v>
      </c>
      <c r="J53" s="87">
        <v>0</v>
      </c>
      <c r="K53" s="88">
        <f t="shared" si="32"/>
        <v>0</v>
      </c>
      <c r="L53" s="88">
        <v>0</v>
      </c>
      <c r="M53" s="236">
        <v>0</v>
      </c>
      <c r="N53" s="88">
        <v>0</v>
      </c>
      <c r="O53" s="87">
        <v>0</v>
      </c>
      <c r="P53" s="88">
        <f>S53</f>
        <v>0</v>
      </c>
      <c r="Q53" s="88">
        <v>0</v>
      </c>
      <c r="R53" s="236">
        <v>0</v>
      </c>
      <c r="S53" s="88">
        <v>0</v>
      </c>
      <c r="T53" s="237">
        <v>0</v>
      </c>
      <c r="U53" s="236">
        <f t="shared" si="33"/>
        <v>6900</v>
      </c>
      <c r="V53" s="236">
        <v>0</v>
      </c>
      <c r="W53" s="236">
        <v>0</v>
      </c>
      <c r="X53" s="236">
        <v>6900</v>
      </c>
      <c r="Y53" s="237">
        <v>0</v>
      </c>
      <c r="Z53" s="236">
        <f t="shared" si="30"/>
        <v>0</v>
      </c>
      <c r="AA53" s="236">
        <v>0</v>
      </c>
      <c r="AB53" s="236">
        <v>0</v>
      </c>
      <c r="AC53" s="236">
        <v>0</v>
      </c>
      <c r="AD53" s="238"/>
    </row>
    <row r="54" spans="1:30" s="233" customFormat="1" ht="145.5" customHeight="1" outlineLevel="1" x14ac:dyDescent="0.2">
      <c r="A54" s="234" t="s">
        <v>1229</v>
      </c>
      <c r="B54" s="239" t="s">
        <v>309</v>
      </c>
      <c r="C54" s="210">
        <f t="shared" si="31"/>
        <v>0</v>
      </c>
      <c r="D54" s="88">
        <f t="shared" ref="D54:D75" si="34">F54+K54+P54+U54+Z54</f>
        <v>10340</v>
      </c>
      <c r="E54" s="210">
        <v>0</v>
      </c>
      <c r="F54" s="211">
        <f t="shared" ref="F54:F70" si="35">G54+H54+I54</f>
        <v>6871</v>
      </c>
      <c r="G54" s="211">
        <v>0</v>
      </c>
      <c r="H54" s="211">
        <v>0</v>
      </c>
      <c r="I54" s="211">
        <v>6871</v>
      </c>
      <c r="J54" s="87">
        <v>0</v>
      </c>
      <c r="K54" s="88">
        <f>L54+M54+N54</f>
        <v>3469</v>
      </c>
      <c r="L54" s="88">
        <v>0</v>
      </c>
      <c r="M54" s="236">
        <v>0</v>
      </c>
      <c r="N54" s="88">
        <f>3361+108</f>
        <v>3469</v>
      </c>
      <c r="O54" s="87">
        <v>0</v>
      </c>
      <c r="P54" s="88">
        <f t="shared" ref="P54:P75" si="36">Q54+R54+S54</f>
        <v>0</v>
      </c>
      <c r="Q54" s="88">
        <v>0</v>
      </c>
      <c r="R54" s="236">
        <v>0</v>
      </c>
      <c r="S54" s="88">
        <v>0</v>
      </c>
      <c r="T54" s="237">
        <v>0</v>
      </c>
      <c r="U54" s="236">
        <f t="shared" si="33"/>
        <v>0</v>
      </c>
      <c r="V54" s="236">
        <v>0</v>
      </c>
      <c r="W54" s="236">
        <v>0</v>
      </c>
      <c r="X54" s="236">
        <v>0</v>
      </c>
      <c r="Y54" s="237">
        <v>0</v>
      </c>
      <c r="Z54" s="236">
        <f t="shared" si="30"/>
        <v>0</v>
      </c>
      <c r="AA54" s="236">
        <v>0</v>
      </c>
      <c r="AB54" s="236">
        <v>0</v>
      </c>
      <c r="AC54" s="236">
        <v>0</v>
      </c>
      <c r="AD54" s="238"/>
    </row>
    <row r="55" spans="1:30" s="233" customFormat="1" ht="73.5" customHeight="1" outlineLevel="1" x14ac:dyDescent="0.2">
      <c r="A55" s="234" t="s">
        <v>1230</v>
      </c>
      <c r="B55" s="239" t="s">
        <v>573</v>
      </c>
      <c r="C55" s="210">
        <f t="shared" si="31"/>
        <v>0.34</v>
      </c>
      <c r="D55" s="88">
        <f t="shared" si="34"/>
        <v>0</v>
      </c>
      <c r="E55" s="210">
        <v>0</v>
      </c>
      <c r="F55" s="211">
        <f t="shared" si="35"/>
        <v>0</v>
      </c>
      <c r="G55" s="211">
        <v>0</v>
      </c>
      <c r="H55" s="211">
        <v>0</v>
      </c>
      <c r="I55" s="211">
        <v>0</v>
      </c>
      <c r="J55" s="87">
        <v>0</v>
      </c>
      <c r="K55" s="88">
        <f t="shared" si="32"/>
        <v>0</v>
      </c>
      <c r="L55" s="88">
        <v>0</v>
      </c>
      <c r="M55" s="236">
        <v>0</v>
      </c>
      <c r="N55" s="88">
        <v>0</v>
      </c>
      <c r="O55" s="87">
        <v>0</v>
      </c>
      <c r="P55" s="88">
        <f t="shared" si="36"/>
        <v>0</v>
      </c>
      <c r="Q55" s="88">
        <v>0</v>
      </c>
      <c r="R55" s="236">
        <v>0</v>
      </c>
      <c r="S55" s="88">
        <v>0</v>
      </c>
      <c r="T55" s="237">
        <v>0</v>
      </c>
      <c r="U55" s="236">
        <f t="shared" si="33"/>
        <v>0</v>
      </c>
      <c r="V55" s="236">
        <v>0</v>
      </c>
      <c r="W55" s="236">
        <v>0</v>
      </c>
      <c r="X55" s="236">
        <v>0</v>
      </c>
      <c r="Y55" s="237">
        <v>0.34</v>
      </c>
      <c r="Z55" s="236">
        <f t="shared" si="30"/>
        <v>0</v>
      </c>
      <c r="AA55" s="236">
        <v>0</v>
      </c>
      <c r="AB55" s="236">
        <v>0</v>
      </c>
      <c r="AC55" s="236">
        <f>3639-3639</f>
        <v>0</v>
      </c>
      <c r="AD55" s="238"/>
    </row>
    <row r="56" spans="1:30" s="233" customFormat="1" ht="165.75" customHeight="1" outlineLevel="1" x14ac:dyDescent="0.2">
      <c r="A56" s="234" t="s">
        <v>1231</v>
      </c>
      <c r="B56" s="239" t="s">
        <v>202</v>
      </c>
      <c r="C56" s="210">
        <f t="shared" si="31"/>
        <v>0</v>
      </c>
      <c r="D56" s="88">
        <f t="shared" si="34"/>
        <v>3016</v>
      </c>
      <c r="E56" s="210">
        <v>0</v>
      </c>
      <c r="F56" s="211">
        <f t="shared" si="35"/>
        <v>1512</v>
      </c>
      <c r="G56" s="211">
        <v>0</v>
      </c>
      <c r="H56" s="211">
        <v>0</v>
      </c>
      <c r="I56" s="211">
        <v>1512</v>
      </c>
      <c r="J56" s="87">
        <v>0</v>
      </c>
      <c r="K56" s="88">
        <f t="shared" si="32"/>
        <v>1504</v>
      </c>
      <c r="L56" s="88">
        <v>0</v>
      </c>
      <c r="M56" s="236">
        <v>0</v>
      </c>
      <c r="N56" s="88">
        <v>1504</v>
      </c>
      <c r="O56" s="87">
        <v>0</v>
      </c>
      <c r="P56" s="88">
        <f t="shared" si="36"/>
        <v>0</v>
      </c>
      <c r="Q56" s="88">
        <v>0</v>
      </c>
      <c r="R56" s="236">
        <v>0</v>
      </c>
      <c r="S56" s="88">
        <v>0</v>
      </c>
      <c r="T56" s="237">
        <v>0</v>
      </c>
      <c r="U56" s="236">
        <f t="shared" si="33"/>
        <v>0</v>
      </c>
      <c r="V56" s="236">
        <v>0</v>
      </c>
      <c r="W56" s="236">
        <v>0</v>
      </c>
      <c r="X56" s="236">
        <v>0</v>
      </c>
      <c r="Y56" s="237">
        <v>0</v>
      </c>
      <c r="Z56" s="236">
        <f t="shared" si="30"/>
        <v>0</v>
      </c>
      <c r="AA56" s="236">
        <v>0</v>
      </c>
      <c r="AB56" s="236">
        <v>0</v>
      </c>
      <c r="AC56" s="236">
        <v>0</v>
      </c>
      <c r="AD56" s="238"/>
    </row>
    <row r="57" spans="1:30" s="233" customFormat="1" ht="75" customHeight="1" outlineLevel="1" x14ac:dyDescent="0.2">
      <c r="A57" s="234" t="s">
        <v>1232</v>
      </c>
      <c r="B57" s="239" t="s">
        <v>203</v>
      </c>
      <c r="C57" s="210">
        <f t="shared" si="31"/>
        <v>0</v>
      </c>
      <c r="D57" s="88">
        <f t="shared" si="34"/>
        <v>1100</v>
      </c>
      <c r="E57" s="210">
        <v>0</v>
      </c>
      <c r="F57" s="211">
        <f t="shared" si="35"/>
        <v>1100</v>
      </c>
      <c r="G57" s="211">
        <v>0</v>
      </c>
      <c r="H57" s="211">
        <v>0</v>
      </c>
      <c r="I57" s="211">
        <v>1100</v>
      </c>
      <c r="J57" s="87">
        <v>0</v>
      </c>
      <c r="K57" s="88">
        <f t="shared" si="32"/>
        <v>0</v>
      </c>
      <c r="L57" s="88">
        <v>0</v>
      </c>
      <c r="M57" s="236">
        <v>0</v>
      </c>
      <c r="N57" s="88">
        <v>0</v>
      </c>
      <c r="O57" s="87">
        <v>0</v>
      </c>
      <c r="P57" s="88">
        <f t="shared" si="36"/>
        <v>0</v>
      </c>
      <c r="Q57" s="88">
        <v>0</v>
      </c>
      <c r="R57" s="236">
        <v>0</v>
      </c>
      <c r="S57" s="88">
        <v>0</v>
      </c>
      <c r="T57" s="237">
        <v>0</v>
      </c>
      <c r="U57" s="236">
        <f t="shared" si="33"/>
        <v>0</v>
      </c>
      <c r="V57" s="236">
        <v>0</v>
      </c>
      <c r="W57" s="236">
        <v>0</v>
      </c>
      <c r="X57" s="236">
        <v>0</v>
      </c>
      <c r="Y57" s="237">
        <v>0</v>
      </c>
      <c r="Z57" s="236">
        <f t="shared" si="30"/>
        <v>0</v>
      </c>
      <c r="AA57" s="236">
        <v>0</v>
      </c>
      <c r="AB57" s="236">
        <v>0</v>
      </c>
      <c r="AC57" s="236">
        <v>0</v>
      </c>
      <c r="AD57" s="238"/>
    </row>
    <row r="58" spans="1:30" s="233" customFormat="1" ht="110.45" customHeight="1" outlineLevel="1" x14ac:dyDescent="0.2">
      <c r="A58" s="234" t="s">
        <v>1233</v>
      </c>
      <c r="B58" s="239" t="s">
        <v>227</v>
      </c>
      <c r="C58" s="210">
        <f t="shared" si="31"/>
        <v>0</v>
      </c>
      <c r="D58" s="88">
        <f t="shared" si="34"/>
        <v>18791</v>
      </c>
      <c r="E58" s="210">
        <v>0</v>
      </c>
      <c r="F58" s="211">
        <f t="shared" si="35"/>
        <v>6923</v>
      </c>
      <c r="G58" s="211">
        <v>0</v>
      </c>
      <c r="H58" s="211">
        <v>6590</v>
      </c>
      <c r="I58" s="211">
        <v>333</v>
      </c>
      <c r="J58" s="87">
        <v>0</v>
      </c>
      <c r="K58" s="88">
        <f t="shared" si="32"/>
        <v>6357</v>
      </c>
      <c r="L58" s="88">
        <v>0</v>
      </c>
      <c r="M58" s="236">
        <v>0</v>
      </c>
      <c r="N58" s="88">
        <v>6357</v>
      </c>
      <c r="O58" s="87">
        <v>0</v>
      </c>
      <c r="P58" s="88">
        <f t="shared" si="36"/>
        <v>5511</v>
      </c>
      <c r="Q58" s="88">
        <v>0</v>
      </c>
      <c r="R58" s="236">
        <v>0</v>
      </c>
      <c r="S58" s="88">
        <f>7211-1700</f>
        <v>5511</v>
      </c>
      <c r="T58" s="237">
        <v>0</v>
      </c>
      <c r="U58" s="236">
        <f t="shared" si="33"/>
        <v>0</v>
      </c>
      <c r="V58" s="236">
        <v>0</v>
      </c>
      <c r="W58" s="236">
        <v>0</v>
      </c>
      <c r="X58" s="236">
        <v>0</v>
      </c>
      <c r="Y58" s="237">
        <v>0</v>
      </c>
      <c r="Z58" s="236">
        <f t="shared" si="30"/>
        <v>0</v>
      </c>
      <c r="AA58" s="236">
        <v>0</v>
      </c>
      <c r="AB58" s="236">
        <v>0</v>
      </c>
      <c r="AC58" s="236">
        <v>0</v>
      </c>
      <c r="AD58" s="238"/>
    </row>
    <row r="59" spans="1:30" s="233" customFormat="1" ht="236.45" customHeight="1" outlineLevel="1" x14ac:dyDescent="0.2">
      <c r="A59" s="234" t="s">
        <v>1234</v>
      </c>
      <c r="B59" s="239" t="s">
        <v>228</v>
      </c>
      <c r="C59" s="210">
        <f t="shared" si="31"/>
        <v>0</v>
      </c>
      <c r="D59" s="88">
        <f t="shared" si="34"/>
        <v>778</v>
      </c>
      <c r="E59" s="210">
        <v>0</v>
      </c>
      <c r="F59" s="211">
        <f t="shared" si="35"/>
        <v>778</v>
      </c>
      <c r="G59" s="211">
        <v>0</v>
      </c>
      <c r="H59" s="211">
        <v>0</v>
      </c>
      <c r="I59" s="211">
        <v>778</v>
      </c>
      <c r="J59" s="87">
        <v>0</v>
      </c>
      <c r="K59" s="88">
        <f t="shared" si="32"/>
        <v>0</v>
      </c>
      <c r="L59" s="88">
        <v>0</v>
      </c>
      <c r="M59" s="236">
        <v>0</v>
      </c>
      <c r="N59" s="88">
        <v>0</v>
      </c>
      <c r="O59" s="87">
        <v>0</v>
      </c>
      <c r="P59" s="88">
        <f t="shared" si="36"/>
        <v>0</v>
      </c>
      <c r="Q59" s="88">
        <v>0</v>
      </c>
      <c r="R59" s="236">
        <v>0</v>
      </c>
      <c r="S59" s="88">
        <v>0</v>
      </c>
      <c r="T59" s="237">
        <v>0</v>
      </c>
      <c r="U59" s="236">
        <f t="shared" si="33"/>
        <v>0</v>
      </c>
      <c r="V59" s="236">
        <v>0</v>
      </c>
      <c r="W59" s="236">
        <v>0</v>
      </c>
      <c r="X59" s="236">
        <v>0</v>
      </c>
      <c r="Y59" s="237">
        <v>0</v>
      </c>
      <c r="Z59" s="236">
        <f t="shared" si="30"/>
        <v>0</v>
      </c>
      <c r="AA59" s="236">
        <v>0</v>
      </c>
      <c r="AB59" s="236">
        <v>0</v>
      </c>
      <c r="AC59" s="236">
        <v>0</v>
      </c>
      <c r="AD59" s="238"/>
    </row>
    <row r="60" spans="1:30" s="233" customFormat="1" ht="116.25" customHeight="1" outlineLevel="1" x14ac:dyDescent="0.2">
      <c r="A60" s="234" t="s">
        <v>1235</v>
      </c>
      <c r="B60" s="239" t="s">
        <v>276</v>
      </c>
      <c r="C60" s="210">
        <f t="shared" si="31"/>
        <v>0</v>
      </c>
      <c r="D60" s="88">
        <f t="shared" si="34"/>
        <v>4370</v>
      </c>
      <c r="E60" s="210">
        <v>0</v>
      </c>
      <c r="F60" s="211">
        <f t="shared" si="35"/>
        <v>4370</v>
      </c>
      <c r="G60" s="211">
        <v>0</v>
      </c>
      <c r="H60" s="211">
        <v>4160</v>
      </c>
      <c r="I60" s="211">
        <v>210</v>
      </c>
      <c r="J60" s="87">
        <v>0</v>
      </c>
      <c r="K60" s="88">
        <f t="shared" ref="K60:K65" si="37">L60+M60+N60</f>
        <v>0</v>
      </c>
      <c r="L60" s="88">
        <v>0</v>
      </c>
      <c r="M60" s="236">
        <v>0</v>
      </c>
      <c r="N60" s="88">
        <v>0</v>
      </c>
      <c r="O60" s="87">
        <v>0</v>
      </c>
      <c r="P60" s="88">
        <f t="shared" si="36"/>
        <v>0</v>
      </c>
      <c r="Q60" s="88">
        <v>0</v>
      </c>
      <c r="R60" s="236">
        <v>0</v>
      </c>
      <c r="S60" s="88">
        <v>0</v>
      </c>
      <c r="T60" s="237">
        <v>0</v>
      </c>
      <c r="U60" s="236">
        <f t="shared" si="33"/>
        <v>0</v>
      </c>
      <c r="V60" s="236">
        <v>0</v>
      </c>
      <c r="W60" s="236">
        <v>0</v>
      </c>
      <c r="X60" s="236">
        <v>0</v>
      </c>
      <c r="Y60" s="237">
        <v>0</v>
      </c>
      <c r="Z60" s="236">
        <f t="shared" si="30"/>
        <v>0</v>
      </c>
      <c r="AA60" s="236">
        <v>0</v>
      </c>
      <c r="AB60" s="236">
        <v>0</v>
      </c>
      <c r="AC60" s="236">
        <v>0</v>
      </c>
      <c r="AD60" s="238"/>
    </row>
    <row r="61" spans="1:30" s="233" customFormat="1" ht="109.5" customHeight="1" outlineLevel="1" x14ac:dyDescent="0.2">
      <c r="A61" s="234" t="s">
        <v>1236</v>
      </c>
      <c r="B61" s="239" t="s">
        <v>277</v>
      </c>
      <c r="C61" s="210">
        <f t="shared" si="31"/>
        <v>0</v>
      </c>
      <c r="D61" s="88">
        <f t="shared" si="34"/>
        <v>4081</v>
      </c>
      <c r="E61" s="210">
        <v>0</v>
      </c>
      <c r="F61" s="211">
        <f t="shared" si="35"/>
        <v>4081</v>
      </c>
      <c r="G61" s="211">
        <v>0</v>
      </c>
      <c r="H61" s="211">
        <v>3885</v>
      </c>
      <c r="I61" s="211">
        <v>196</v>
      </c>
      <c r="J61" s="87">
        <v>0</v>
      </c>
      <c r="K61" s="88">
        <f t="shared" si="37"/>
        <v>0</v>
      </c>
      <c r="L61" s="88">
        <v>0</v>
      </c>
      <c r="M61" s="236">
        <v>0</v>
      </c>
      <c r="N61" s="88">
        <v>0</v>
      </c>
      <c r="O61" s="87">
        <v>0</v>
      </c>
      <c r="P61" s="88">
        <f t="shared" si="36"/>
        <v>0</v>
      </c>
      <c r="Q61" s="88">
        <v>0</v>
      </c>
      <c r="R61" s="236">
        <v>0</v>
      </c>
      <c r="S61" s="88">
        <v>0</v>
      </c>
      <c r="T61" s="237">
        <v>0</v>
      </c>
      <c r="U61" s="236">
        <f t="shared" si="33"/>
        <v>0</v>
      </c>
      <c r="V61" s="236">
        <v>0</v>
      </c>
      <c r="W61" s="236">
        <v>0</v>
      </c>
      <c r="X61" s="236">
        <v>0</v>
      </c>
      <c r="Y61" s="237">
        <v>0</v>
      </c>
      <c r="Z61" s="236">
        <f t="shared" si="30"/>
        <v>0</v>
      </c>
      <c r="AA61" s="236">
        <v>0</v>
      </c>
      <c r="AB61" s="236">
        <v>0</v>
      </c>
      <c r="AC61" s="236">
        <v>0</v>
      </c>
      <c r="AD61" s="238"/>
    </row>
    <row r="62" spans="1:30" s="233" customFormat="1" ht="95.25" customHeight="1" outlineLevel="1" x14ac:dyDescent="0.2">
      <c r="A62" s="234" t="s">
        <v>1237</v>
      </c>
      <c r="B62" s="239" t="s">
        <v>278</v>
      </c>
      <c r="C62" s="210">
        <f t="shared" si="31"/>
        <v>0</v>
      </c>
      <c r="D62" s="88">
        <f t="shared" si="34"/>
        <v>1786</v>
      </c>
      <c r="E62" s="210">
        <v>0</v>
      </c>
      <c r="F62" s="211">
        <f t="shared" si="35"/>
        <v>1786</v>
      </c>
      <c r="G62" s="211">
        <v>0</v>
      </c>
      <c r="H62" s="211">
        <v>1700</v>
      </c>
      <c r="I62" s="211">
        <v>86</v>
      </c>
      <c r="J62" s="87">
        <v>0</v>
      </c>
      <c r="K62" s="88">
        <f t="shared" si="37"/>
        <v>0</v>
      </c>
      <c r="L62" s="88">
        <v>0</v>
      </c>
      <c r="M62" s="236">
        <v>0</v>
      </c>
      <c r="N62" s="88">
        <v>0</v>
      </c>
      <c r="O62" s="87">
        <v>0</v>
      </c>
      <c r="P62" s="88">
        <f t="shared" si="36"/>
        <v>0</v>
      </c>
      <c r="Q62" s="88">
        <v>0</v>
      </c>
      <c r="R62" s="236">
        <v>0</v>
      </c>
      <c r="S62" s="88">
        <v>0</v>
      </c>
      <c r="T62" s="237">
        <v>0</v>
      </c>
      <c r="U62" s="236">
        <f t="shared" si="33"/>
        <v>0</v>
      </c>
      <c r="V62" s="236">
        <v>0</v>
      </c>
      <c r="W62" s="236">
        <v>0</v>
      </c>
      <c r="X62" s="236">
        <v>0</v>
      </c>
      <c r="Y62" s="237">
        <v>0</v>
      </c>
      <c r="Z62" s="236">
        <f t="shared" si="30"/>
        <v>0</v>
      </c>
      <c r="AA62" s="236">
        <v>0</v>
      </c>
      <c r="AB62" s="236">
        <v>0</v>
      </c>
      <c r="AC62" s="236">
        <v>0</v>
      </c>
      <c r="AD62" s="238"/>
    </row>
    <row r="63" spans="1:30" s="233" customFormat="1" ht="105.6" customHeight="1" outlineLevel="1" x14ac:dyDescent="0.2">
      <c r="A63" s="234" t="s">
        <v>1238</v>
      </c>
      <c r="B63" s="239" t="s">
        <v>331</v>
      </c>
      <c r="C63" s="210">
        <f t="shared" si="31"/>
        <v>0</v>
      </c>
      <c r="D63" s="88">
        <f t="shared" si="34"/>
        <v>3041</v>
      </c>
      <c r="E63" s="210">
        <v>0</v>
      </c>
      <c r="F63" s="211">
        <f t="shared" si="35"/>
        <v>3041</v>
      </c>
      <c r="G63" s="211">
        <v>0</v>
      </c>
      <c r="H63" s="211">
        <v>0</v>
      </c>
      <c r="I63" s="211">
        <v>3041</v>
      </c>
      <c r="J63" s="87">
        <v>0</v>
      </c>
      <c r="K63" s="88">
        <f t="shared" si="37"/>
        <v>0</v>
      </c>
      <c r="L63" s="88">
        <v>0</v>
      </c>
      <c r="M63" s="236">
        <v>0</v>
      </c>
      <c r="N63" s="88">
        <v>0</v>
      </c>
      <c r="O63" s="87">
        <v>0</v>
      </c>
      <c r="P63" s="88">
        <f t="shared" si="36"/>
        <v>0</v>
      </c>
      <c r="Q63" s="88">
        <v>0</v>
      </c>
      <c r="R63" s="236">
        <v>0</v>
      </c>
      <c r="S63" s="88">
        <v>0</v>
      </c>
      <c r="T63" s="237">
        <v>0</v>
      </c>
      <c r="U63" s="236">
        <f t="shared" si="33"/>
        <v>0</v>
      </c>
      <c r="V63" s="236">
        <v>0</v>
      </c>
      <c r="W63" s="236">
        <v>0</v>
      </c>
      <c r="X63" s="236">
        <v>0</v>
      </c>
      <c r="Y63" s="237">
        <v>0</v>
      </c>
      <c r="Z63" s="236">
        <f t="shared" si="30"/>
        <v>0</v>
      </c>
      <c r="AA63" s="236">
        <v>0</v>
      </c>
      <c r="AB63" s="236">
        <v>0</v>
      </c>
      <c r="AC63" s="236">
        <v>0</v>
      </c>
      <c r="AD63" s="238"/>
    </row>
    <row r="64" spans="1:30" s="233" customFormat="1" ht="93.75" customHeight="1" outlineLevel="1" x14ac:dyDescent="0.2">
      <c r="A64" s="234" t="s">
        <v>1239</v>
      </c>
      <c r="B64" s="239" t="s">
        <v>332</v>
      </c>
      <c r="C64" s="210">
        <f t="shared" si="31"/>
        <v>0</v>
      </c>
      <c r="D64" s="88">
        <f t="shared" si="34"/>
        <v>3893</v>
      </c>
      <c r="E64" s="210">
        <v>0</v>
      </c>
      <c r="F64" s="211">
        <f t="shared" si="35"/>
        <v>3893</v>
      </c>
      <c r="G64" s="211">
        <v>0</v>
      </c>
      <c r="H64" s="211">
        <v>0</v>
      </c>
      <c r="I64" s="211">
        <f>3893</f>
        <v>3893</v>
      </c>
      <c r="J64" s="87">
        <v>0</v>
      </c>
      <c r="K64" s="88">
        <f t="shared" si="37"/>
        <v>0</v>
      </c>
      <c r="L64" s="88">
        <v>0</v>
      </c>
      <c r="M64" s="236">
        <v>0</v>
      </c>
      <c r="N64" s="88">
        <v>0</v>
      </c>
      <c r="O64" s="87">
        <v>0</v>
      </c>
      <c r="P64" s="88">
        <f t="shared" si="36"/>
        <v>0</v>
      </c>
      <c r="Q64" s="88">
        <v>0</v>
      </c>
      <c r="R64" s="236">
        <v>0</v>
      </c>
      <c r="S64" s="88">
        <v>0</v>
      </c>
      <c r="T64" s="237">
        <v>0</v>
      </c>
      <c r="U64" s="236">
        <f t="shared" si="33"/>
        <v>0</v>
      </c>
      <c r="V64" s="236">
        <v>0</v>
      </c>
      <c r="W64" s="236">
        <v>0</v>
      </c>
      <c r="X64" s="236">
        <v>0</v>
      </c>
      <c r="Y64" s="237">
        <v>0</v>
      </c>
      <c r="Z64" s="236">
        <f t="shared" si="30"/>
        <v>0</v>
      </c>
      <c r="AA64" s="236">
        <v>0</v>
      </c>
      <c r="AB64" s="236">
        <v>0</v>
      </c>
      <c r="AC64" s="236">
        <v>0</v>
      </c>
      <c r="AD64" s="238"/>
    </row>
    <row r="65" spans="1:31" s="233" customFormat="1" ht="72" customHeight="1" outlineLevel="1" x14ac:dyDescent="0.2">
      <c r="A65" s="234" t="s">
        <v>1240</v>
      </c>
      <c r="B65" s="239" t="s">
        <v>352</v>
      </c>
      <c r="C65" s="210">
        <f t="shared" si="31"/>
        <v>0</v>
      </c>
      <c r="D65" s="88">
        <f t="shared" si="34"/>
        <v>263</v>
      </c>
      <c r="E65" s="210">
        <v>0</v>
      </c>
      <c r="F65" s="211">
        <f t="shared" si="35"/>
        <v>0</v>
      </c>
      <c r="G65" s="211">
        <v>0</v>
      </c>
      <c r="H65" s="211">
        <v>0</v>
      </c>
      <c r="I65" s="211">
        <v>0</v>
      </c>
      <c r="J65" s="87">
        <v>0</v>
      </c>
      <c r="K65" s="88">
        <f t="shared" si="37"/>
        <v>263</v>
      </c>
      <c r="L65" s="88">
        <v>0</v>
      </c>
      <c r="M65" s="236">
        <v>0</v>
      </c>
      <c r="N65" s="88">
        <v>263</v>
      </c>
      <c r="O65" s="87">
        <v>0</v>
      </c>
      <c r="P65" s="88">
        <f t="shared" si="36"/>
        <v>0</v>
      </c>
      <c r="Q65" s="88">
        <v>0</v>
      </c>
      <c r="R65" s="236">
        <v>0</v>
      </c>
      <c r="S65" s="88">
        <v>0</v>
      </c>
      <c r="T65" s="237">
        <v>0</v>
      </c>
      <c r="U65" s="236">
        <f t="shared" si="33"/>
        <v>0</v>
      </c>
      <c r="V65" s="236">
        <v>0</v>
      </c>
      <c r="W65" s="236">
        <v>0</v>
      </c>
      <c r="X65" s="236">
        <v>0</v>
      </c>
      <c r="Y65" s="237">
        <v>0</v>
      </c>
      <c r="Z65" s="236">
        <f t="shared" si="30"/>
        <v>0</v>
      </c>
      <c r="AA65" s="236">
        <v>0</v>
      </c>
      <c r="AB65" s="236">
        <v>0</v>
      </c>
      <c r="AC65" s="236">
        <v>0</v>
      </c>
      <c r="AD65" s="238"/>
    </row>
    <row r="66" spans="1:31" s="233" customFormat="1" ht="69.75" customHeight="1" outlineLevel="1" x14ac:dyDescent="0.2">
      <c r="A66" s="234" t="s">
        <v>1242</v>
      </c>
      <c r="B66" s="239" t="s">
        <v>354</v>
      </c>
      <c r="C66" s="210">
        <f t="shared" si="31"/>
        <v>0</v>
      </c>
      <c r="D66" s="88">
        <f t="shared" si="34"/>
        <v>0</v>
      </c>
      <c r="E66" s="210">
        <v>0</v>
      </c>
      <c r="F66" s="211">
        <f t="shared" si="35"/>
        <v>0</v>
      </c>
      <c r="G66" s="211">
        <v>0</v>
      </c>
      <c r="H66" s="211">
        <v>0</v>
      </c>
      <c r="I66" s="211">
        <v>0</v>
      </c>
      <c r="J66" s="87">
        <v>0</v>
      </c>
      <c r="K66" s="88">
        <f>SUM(L66:N66)</f>
        <v>0</v>
      </c>
      <c r="L66" s="88">
        <v>0</v>
      </c>
      <c r="M66" s="236">
        <v>0</v>
      </c>
      <c r="N66" s="88">
        <f>2016-1236-780</f>
        <v>0</v>
      </c>
      <c r="O66" s="87">
        <v>0</v>
      </c>
      <c r="P66" s="88">
        <f t="shared" si="36"/>
        <v>0</v>
      </c>
      <c r="Q66" s="88">
        <v>0</v>
      </c>
      <c r="R66" s="236">
        <v>0</v>
      </c>
      <c r="S66" s="88">
        <f>1366-1366</f>
        <v>0</v>
      </c>
      <c r="T66" s="237">
        <v>0</v>
      </c>
      <c r="U66" s="236">
        <f t="shared" si="33"/>
        <v>0</v>
      </c>
      <c r="V66" s="236">
        <v>0</v>
      </c>
      <c r="W66" s="236">
        <v>0</v>
      </c>
      <c r="X66" s="236">
        <v>0</v>
      </c>
      <c r="Y66" s="237">
        <v>0</v>
      </c>
      <c r="Z66" s="236">
        <f t="shared" si="30"/>
        <v>0</v>
      </c>
      <c r="AA66" s="236">
        <v>0</v>
      </c>
      <c r="AB66" s="236">
        <v>0</v>
      </c>
      <c r="AC66" s="236">
        <f>25870-25870</f>
        <v>0</v>
      </c>
      <c r="AD66" s="238"/>
    </row>
    <row r="67" spans="1:31" s="233" customFormat="1" ht="119.25" customHeight="1" outlineLevel="1" x14ac:dyDescent="0.2">
      <c r="A67" s="234" t="s">
        <v>1241</v>
      </c>
      <c r="B67" s="239" t="s">
        <v>1293</v>
      </c>
      <c r="C67" s="210">
        <f t="shared" si="31"/>
        <v>0</v>
      </c>
      <c r="D67" s="88">
        <f t="shared" si="34"/>
        <v>79</v>
      </c>
      <c r="E67" s="210">
        <v>0</v>
      </c>
      <c r="F67" s="211">
        <f t="shared" si="35"/>
        <v>0</v>
      </c>
      <c r="G67" s="211">
        <v>0</v>
      </c>
      <c r="H67" s="211">
        <v>0</v>
      </c>
      <c r="I67" s="211">
        <v>0</v>
      </c>
      <c r="J67" s="87">
        <v>0</v>
      </c>
      <c r="K67" s="88">
        <f>SUM(L67:N67)</f>
        <v>0</v>
      </c>
      <c r="L67" s="88">
        <v>0</v>
      </c>
      <c r="M67" s="236">
        <v>0</v>
      </c>
      <c r="N67" s="88">
        <f>476-476</f>
        <v>0</v>
      </c>
      <c r="O67" s="87">
        <v>0</v>
      </c>
      <c r="P67" s="88">
        <f t="shared" si="36"/>
        <v>0</v>
      </c>
      <c r="Q67" s="88">
        <v>0</v>
      </c>
      <c r="R67" s="236">
        <v>0</v>
      </c>
      <c r="S67" s="88">
        <v>0</v>
      </c>
      <c r="T67" s="237">
        <v>0</v>
      </c>
      <c r="U67" s="236">
        <f t="shared" si="33"/>
        <v>79</v>
      </c>
      <c r="V67" s="236">
        <v>0</v>
      </c>
      <c r="W67" s="236">
        <v>0</v>
      </c>
      <c r="X67" s="236">
        <v>79</v>
      </c>
      <c r="Y67" s="237">
        <v>0</v>
      </c>
      <c r="Z67" s="236">
        <f t="shared" si="30"/>
        <v>0</v>
      </c>
      <c r="AA67" s="236">
        <v>0</v>
      </c>
      <c r="AB67" s="236">
        <v>0</v>
      </c>
      <c r="AC67" s="236">
        <v>0</v>
      </c>
      <c r="AD67" s="238"/>
    </row>
    <row r="68" spans="1:31" s="233" customFormat="1" ht="86.25" customHeight="1" outlineLevel="1" x14ac:dyDescent="0.2">
      <c r="A68" s="234" t="s">
        <v>476</v>
      </c>
      <c r="B68" s="239" t="s">
        <v>572</v>
      </c>
      <c r="C68" s="210">
        <f t="shared" si="31"/>
        <v>0</v>
      </c>
      <c r="D68" s="88">
        <f t="shared" si="34"/>
        <v>0</v>
      </c>
      <c r="E68" s="210">
        <v>0</v>
      </c>
      <c r="F68" s="211">
        <f t="shared" si="35"/>
        <v>0</v>
      </c>
      <c r="G68" s="211">
        <v>0</v>
      </c>
      <c r="H68" s="211">
        <v>0</v>
      </c>
      <c r="I68" s="211">
        <v>0</v>
      </c>
      <c r="J68" s="87">
        <v>0</v>
      </c>
      <c r="K68" s="88">
        <f>SUM(L68:N68)</f>
        <v>0</v>
      </c>
      <c r="L68" s="88">
        <v>0</v>
      </c>
      <c r="M68" s="236">
        <v>0</v>
      </c>
      <c r="N68" s="88">
        <f>476-476</f>
        <v>0</v>
      </c>
      <c r="O68" s="87">
        <v>0</v>
      </c>
      <c r="P68" s="88">
        <f t="shared" si="36"/>
        <v>0</v>
      </c>
      <c r="Q68" s="88">
        <v>0</v>
      </c>
      <c r="R68" s="236">
        <v>0</v>
      </c>
      <c r="S68" s="88">
        <f>1752-836-916</f>
        <v>0</v>
      </c>
      <c r="T68" s="237">
        <v>0</v>
      </c>
      <c r="U68" s="236">
        <f t="shared" si="33"/>
        <v>0</v>
      </c>
      <c r="V68" s="236">
        <v>0</v>
      </c>
      <c r="W68" s="236">
        <v>0</v>
      </c>
      <c r="X68" s="236">
        <v>0</v>
      </c>
      <c r="Y68" s="237">
        <v>0</v>
      </c>
      <c r="Z68" s="236">
        <f t="shared" si="30"/>
        <v>0</v>
      </c>
      <c r="AA68" s="236">
        <v>0</v>
      </c>
      <c r="AB68" s="236">
        <v>0</v>
      </c>
      <c r="AC68" s="236">
        <f>9040-9040</f>
        <v>0</v>
      </c>
      <c r="AD68" s="238"/>
    </row>
    <row r="69" spans="1:31" s="233" customFormat="1" ht="108" customHeight="1" outlineLevel="1" x14ac:dyDescent="0.2">
      <c r="A69" s="234" t="s">
        <v>1243</v>
      </c>
      <c r="B69" s="239" t="s">
        <v>507</v>
      </c>
      <c r="C69" s="210">
        <f>E69+J69+O69++Y69+T69</f>
        <v>0.1</v>
      </c>
      <c r="D69" s="88">
        <f t="shared" si="34"/>
        <v>0</v>
      </c>
      <c r="E69" s="210">
        <v>0</v>
      </c>
      <c r="F69" s="211">
        <f t="shared" si="35"/>
        <v>0</v>
      </c>
      <c r="G69" s="211">
        <f>H69+I69+J69</f>
        <v>0</v>
      </c>
      <c r="H69" s="211">
        <f>I69+J69+K69</f>
        <v>0</v>
      </c>
      <c r="I69" s="211">
        <f>J69+K69+L69</f>
        <v>0</v>
      </c>
      <c r="J69" s="87">
        <v>0</v>
      </c>
      <c r="K69" s="88">
        <f>SUM(L69:N69)</f>
        <v>0</v>
      </c>
      <c r="L69" s="88">
        <f>SUM(M69:O69)</f>
        <v>0</v>
      </c>
      <c r="M69" s="88">
        <f>SUM(N69:P69)</f>
        <v>0</v>
      </c>
      <c r="N69" s="88">
        <f>SUM(O69:Q69)</f>
        <v>0</v>
      </c>
      <c r="O69" s="87">
        <v>0</v>
      </c>
      <c r="P69" s="88">
        <f t="shared" si="36"/>
        <v>0</v>
      </c>
      <c r="Q69" s="88">
        <v>0</v>
      </c>
      <c r="R69" s="236">
        <v>0</v>
      </c>
      <c r="S69" s="88">
        <v>0</v>
      </c>
      <c r="T69" s="237">
        <v>0.1</v>
      </c>
      <c r="U69" s="236">
        <f t="shared" si="33"/>
        <v>0</v>
      </c>
      <c r="V69" s="236">
        <v>0</v>
      </c>
      <c r="W69" s="236">
        <v>0</v>
      </c>
      <c r="X69" s="236">
        <f>295+29-324</f>
        <v>0</v>
      </c>
      <c r="Y69" s="237">
        <v>0</v>
      </c>
      <c r="Z69" s="236">
        <f t="shared" si="30"/>
        <v>0</v>
      </c>
      <c r="AA69" s="236">
        <v>0</v>
      </c>
      <c r="AB69" s="236">
        <v>0</v>
      </c>
      <c r="AC69" s="236">
        <v>0</v>
      </c>
      <c r="AD69" s="238"/>
    </row>
    <row r="70" spans="1:31" s="233" customFormat="1" ht="94.5" customHeight="1" outlineLevel="1" x14ac:dyDescent="0.2">
      <c r="A70" s="234" t="s">
        <v>1244</v>
      </c>
      <c r="B70" s="239" t="s">
        <v>524</v>
      </c>
      <c r="C70" s="210">
        <f t="shared" si="31"/>
        <v>2.1</v>
      </c>
      <c r="D70" s="88">
        <f t="shared" si="34"/>
        <v>13518</v>
      </c>
      <c r="E70" s="210">
        <v>0</v>
      </c>
      <c r="F70" s="211">
        <f t="shared" si="35"/>
        <v>0</v>
      </c>
      <c r="G70" s="211">
        <v>0</v>
      </c>
      <c r="H70" s="211">
        <v>0</v>
      </c>
      <c r="I70" s="211">
        <v>0</v>
      </c>
      <c r="J70" s="87">
        <v>0</v>
      </c>
      <c r="K70" s="88">
        <v>0</v>
      </c>
      <c r="L70" s="88">
        <v>0</v>
      </c>
      <c r="M70" s="88">
        <v>0</v>
      </c>
      <c r="N70" s="88">
        <v>0</v>
      </c>
      <c r="O70" s="87">
        <v>0</v>
      </c>
      <c r="P70" s="88">
        <f t="shared" si="36"/>
        <v>0</v>
      </c>
      <c r="Q70" s="88">
        <v>0</v>
      </c>
      <c r="R70" s="88">
        <v>0</v>
      </c>
      <c r="S70" s="88">
        <v>0</v>
      </c>
      <c r="T70" s="237">
        <v>2.1</v>
      </c>
      <c r="U70" s="236">
        <f t="shared" si="33"/>
        <v>9051</v>
      </c>
      <c r="V70" s="236">
        <v>0</v>
      </c>
      <c r="W70" s="236">
        <v>0</v>
      </c>
      <c r="X70" s="236">
        <f>3391+1716-641+4585</f>
        <v>9051</v>
      </c>
      <c r="Y70" s="237">
        <v>0</v>
      </c>
      <c r="Z70" s="236">
        <f t="shared" si="30"/>
        <v>4467</v>
      </c>
      <c r="AA70" s="236">
        <v>0</v>
      </c>
      <c r="AB70" s="236">
        <v>0</v>
      </c>
      <c r="AC70" s="236">
        <f>4957-490</f>
        <v>4467</v>
      </c>
      <c r="AD70" s="238"/>
    </row>
    <row r="71" spans="1:31" s="233" customFormat="1" ht="127.5" customHeight="1" outlineLevel="1" x14ac:dyDescent="0.2">
      <c r="A71" s="234" t="s">
        <v>1245</v>
      </c>
      <c r="B71" s="235" t="s">
        <v>1441</v>
      </c>
      <c r="C71" s="87">
        <f>E71+J71+O71+T71+Y71</f>
        <v>0</v>
      </c>
      <c r="D71" s="88">
        <f t="shared" si="34"/>
        <v>3863</v>
      </c>
      <c r="E71" s="210">
        <v>0</v>
      </c>
      <c r="F71" s="211">
        <v>0</v>
      </c>
      <c r="G71" s="211">
        <v>0</v>
      </c>
      <c r="H71" s="211">
        <v>0</v>
      </c>
      <c r="I71" s="211">
        <v>0</v>
      </c>
      <c r="J71" s="87">
        <v>0</v>
      </c>
      <c r="K71" s="88">
        <f>L71+M71+N71</f>
        <v>0</v>
      </c>
      <c r="L71" s="88">
        <v>0</v>
      </c>
      <c r="M71" s="88">
        <v>0</v>
      </c>
      <c r="N71" s="88">
        <v>0</v>
      </c>
      <c r="O71" s="87">
        <v>0</v>
      </c>
      <c r="P71" s="88">
        <f t="shared" si="36"/>
        <v>0</v>
      </c>
      <c r="Q71" s="88">
        <v>0</v>
      </c>
      <c r="R71" s="88">
        <v>0</v>
      </c>
      <c r="S71" s="88">
        <f>592+235+222-1049</f>
        <v>0</v>
      </c>
      <c r="T71" s="237">
        <v>0</v>
      </c>
      <c r="U71" s="236">
        <f t="shared" si="33"/>
        <v>0</v>
      </c>
      <c r="V71" s="236">
        <v>0</v>
      </c>
      <c r="W71" s="236">
        <v>0</v>
      </c>
      <c r="X71" s="236">
        <f>3315-3315</f>
        <v>0</v>
      </c>
      <c r="Y71" s="87">
        <v>0</v>
      </c>
      <c r="Z71" s="88">
        <f>AA71+AC71</f>
        <v>3863</v>
      </c>
      <c r="AA71" s="88">
        <v>0</v>
      </c>
      <c r="AB71" s="88">
        <v>0</v>
      </c>
      <c r="AC71" s="88">
        <f>4066-203</f>
        <v>3863</v>
      </c>
      <c r="AD71" s="238"/>
    </row>
    <row r="72" spans="1:31" s="233" customFormat="1" ht="96" customHeight="1" outlineLevel="1" x14ac:dyDescent="0.2">
      <c r="A72" s="234" t="s">
        <v>1246</v>
      </c>
      <c r="B72" s="235" t="s">
        <v>564</v>
      </c>
      <c r="C72" s="87">
        <f>E72+J72+O72+T72+Y72</f>
        <v>0.03</v>
      </c>
      <c r="D72" s="88">
        <f t="shared" si="34"/>
        <v>3600</v>
      </c>
      <c r="E72" s="210">
        <v>0</v>
      </c>
      <c r="F72" s="211">
        <v>0</v>
      </c>
      <c r="G72" s="211">
        <v>0</v>
      </c>
      <c r="H72" s="211">
        <v>0</v>
      </c>
      <c r="I72" s="211">
        <v>0</v>
      </c>
      <c r="J72" s="87">
        <v>0</v>
      </c>
      <c r="K72" s="88">
        <v>0</v>
      </c>
      <c r="L72" s="88">
        <v>0</v>
      </c>
      <c r="M72" s="88">
        <v>0</v>
      </c>
      <c r="N72" s="88">
        <v>0</v>
      </c>
      <c r="O72" s="87">
        <v>0</v>
      </c>
      <c r="P72" s="88">
        <v>0</v>
      </c>
      <c r="Q72" s="88">
        <v>0</v>
      </c>
      <c r="R72" s="88">
        <v>0</v>
      </c>
      <c r="S72" s="88">
        <v>0</v>
      </c>
      <c r="T72" s="237">
        <v>0.03</v>
      </c>
      <c r="U72" s="236">
        <f>SUM(V72:X72)</f>
        <v>1800</v>
      </c>
      <c r="V72" s="236">
        <v>0</v>
      </c>
      <c r="W72" s="236">
        <v>0</v>
      </c>
      <c r="X72" s="236">
        <f>2663-120-743</f>
        <v>1800</v>
      </c>
      <c r="Y72" s="87">
        <v>0</v>
      </c>
      <c r="Z72" s="88">
        <f>AA72+AC72</f>
        <v>1800</v>
      </c>
      <c r="AA72" s="88">
        <v>0</v>
      </c>
      <c r="AB72" s="88">
        <v>0</v>
      </c>
      <c r="AC72" s="88">
        <v>1800</v>
      </c>
      <c r="AD72" s="238"/>
    </row>
    <row r="73" spans="1:31" s="233" customFormat="1" ht="96" customHeight="1" outlineLevel="1" x14ac:dyDescent="0.2">
      <c r="A73" s="234" t="s">
        <v>1247</v>
      </c>
      <c r="B73" s="235" t="s">
        <v>1442</v>
      </c>
      <c r="C73" s="87">
        <f>E73+J73+O73+T73+Y73</f>
        <v>0</v>
      </c>
      <c r="D73" s="88">
        <f t="shared" si="34"/>
        <v>4700</v>
      </c>
      <c r="E73" s="210">
        <v>0</v>
      </c>
      <c r="F73" s="211">
        <v>0</v>
      </c>
      <c r="G73" s="211">
        <v>0</v>
      </c>
      <c r="H73" s="211">
        <v>0</v>
      </c>
      <c r="I73" s="211">
        <v>0</v>
      </c>
      <c r="J73" s="87">
        <v>0</v>
      </c>
      <c r="K73" s="88">
        <v>0</v>
      </c>
      <c r="L73" s="88">
        <v>0</v>
      </c>
      <c r="M73" s="88">
        <v>0</v>
      </c>
      <c r="N73" s="88">
        <v>0</v>
      </c>
      <c r="O73" s="87">
        <v>0</v>
      </c>
      <c r="P73" s="88">
        <v>0</v>
      </c>
      <c r="Q73" s="88">
        <v>0</v>
      </c>
      <c r="R73" s="88">
        <v>0</v>
      </c>
      <c r="S73" s="88">
        <v>0</v>
      </c>
      <c r="T73" s="237">
        <v>0</v>
      </c>
      <c r="U73" s="236">
        <f>SUM(V73:X73)</f>
        <v>0</v>
      </c>
      <c r="V73" s="236">
        <v>0</v>
      </c>
      <c r="W73" s="236">
        <v>0</v>
      </c>
      <c r="X73" s="236">
        <v>0</v>
      </c>
      <c r="Y73" s="87">
        <v>0</v>
      </c>
      <c r="Z73" s="88">
        <f>AA73+AC73</f>
        <v>4700</v>
      </c>
      <c r="AA73" s="88">
        <v>0</v>
      </c>
      <c r="AB73" s="88">
        <v>0</v>
      </c>
      <c r="AC73" s="88">
        <f>7548-2848</f>
        <v>4700</v>
      </c>
      <c r="AD73" s="238"/>
    </row>
    <row r="74" spans="1:31" s="233" customFormat="1" ht="210" customHeight="1" outlineLevel="1" x14ac:dyDescent="0.2">
      <c r="A74" s="234" t="s">
        <v>1659</v>
      </c>
      <c r="B74" s="235" t="s">
        <v>1660</v>
      </c>
      <c r="C74" s="87">
        <v>0</v>
      </c>
      <c r="D74" s="88">
        <f t="shared" si="34"/>
        <v>515</v>
      </c>
      <c r="E74" s="210">
        <v>0</v>
      </c>
      <c r="F74" s="211">
        <v>0</v>
      </c>
      <c r="G74" s="211">
        <v>0</v>
      </c>
      <c r="H74" s="211">
        <v>0</v>
      </c>
      <c r="I74" s="211">
        <v>0</v>
      </c>
      <c r="J74" s="87">
        <v>0</v>
      </c>
      <c r="K74" s="88">
        <v>0</v>
      </c>
      <c r="L74" s="88">
        <v>0</v>
      </c>
      <c r="M74" s="88">
        <v>0</v>
      </c>
      <c r="N74" s="88">
        <v>0</v>
      </c>
      <c r="O74" s="87">
        <v>0</v>
      </c>
      <c r="P74" s="88">
        <v>0</v>
      </c>
      <c r="Q74" s="88">
        <v>0</v>
      </c>
      <c r="R74" s="88">
        <v>0</v>
      </c>
      <c r="S74" s="88">
        <v>0</v>
      </c>
      <c r="T74" s="237">
        <v>0</v>
      </c>
      <c r="U74" s="236">
        <f>SUM(V74:X74)</f>
        <v>0</v>
      </c>
      <c r="V74" s="236">
        <v>0</v>
      </c>
      <c r="W74" s="236">
        <v>0</v>
      </c>
      <c r="X74" s="236">
        <v>0</v>
      </c>
      <c r="Y74" s="87">
        <v>0</v>
      </c>
      <c r="Z74" s="88">
        <f>AA74+AC74</f>
        <v>515</v>
      </c>
      <c r="AA74" s="88">
        <v>0</v>
      </c>
      <c r="AB74" s="88">
        <v>0</v>
      </c>
      <c r="AC74" s="88">
        <v>515</v>
      </c>
      <c r="AD74" s="238"/>
    </row>
    <row r="75" spans="1:31" s="233" customFormat="1" ht="31.5" customHeight="1" outlineLevel="1" x14ac:dyDescent="0.2">
      <c r="A75" s="234"/>
      <c r="B75" s="227" t="s">
        <v>370</v>
      </c>
      <c r="C75" s="87">
        <v>0</v>
      </c>
      <c r="D75" s="88">
        <f t="shared" si="34"/>
        <v>2572</v>
      </c>
      <c r="E75" s="210">
        <v>0</v>
      </c>
      <c r="F75" s="211">
        <f>G75+H75+I75</f>
        <v>988</v>
      </c>
      <c r="G75" s="211">
        <v>0</v>
      </c>
      <c r="H75" s="211">
        <v>0</v>
      </c>
      <c r="I75" s="211">
        <v>988</v>
      </c>
      <c r="J75" s="87">
        <v>0</v>
      </c>
      <c r="K75" s="88">
        <f>L75+M75+N75</f>
        <v>1584</v>
      </c>
      <c r="L75" s="88">
        <v>0</v>
      </c>
      <c r="M75" s="236">
        <v>0</v>
      </c>
      <c r="N75" s="88">
        <v>1584</v>
      </c>
      <c r="O75" s="87">
        <v>0</v>
      </c>
      <c r="P75" s="88">
        <f t="shared" si="36"/>
        <v>0</v>
      </c>
      <c r="Q75" s="88">
        <v>0</v>
      </c>
      <c r="R75" s="236">
        <v>0</v>
      </c>
      <c r="S75" s="88">
        <v>0</v>
      </c>
      <c r="T75" s="237">
        <v>0</v>
      </c>
      <c r="U75" s="236">
        <f>V75+W75+X75</f>
        <v>0</v>
      </c>
      <c r="V75" s="236">
        <v>0</v>
      </c>
      <c r="W75" s="236">
        <v>0</v>
      </c>
      <c r="X75" s="236">
        <v>0</v>
      </c>
      <c r="Y75" s="237">
        <v>0</v>
      </c>
      <c r="Z75" s="236">
        <f>AA75+AB75+AC75</f>
        <v>0</v>
      </c>
      <c r="AA75" s="236">
        <v>0</v>
      </c>
      <c r="AB75" s="236">
        <v>0</v>
      </c>
      <c r="AC75" s="236">
        <v>0</v>
      </c>
      <c r="AD75" s="238"/>
    </row>
    <row r="76" spans="1:31" s="233" customFormat="1" ht="91.15" customHeight="1" x14ac:dyDescent="0.2">
      <c r="A76" s="240"/>
      <c r="B76" s="241" t="s">
        <v>477</v>
      </c>
      <c r="C76" s="242">
        <f>SUM(C46:C71)</f>
        <v>2.64</v>
      </c>
      <c r="D76" s="243">
        <f>SUM(D46:D73)</f>
        <v>134472</v>
      </c>
      <c r="E76" s="242">
        <f t="shared" ref="E76:T76" si="38">SUM(E46:E71)</f>
        <v>0</v>
      </c>
      <c r="F76" s="243">
        <f t="shared" si="38"/>
        <v>44356</v>
      </c>
      <c r="G76" s="243">
        <f t="shared" si="38"/>
        <v>0</v>
      </c>
      <c r="H76" s="243">
        <f t="shared" si="38"/>
        <v>16335</v>
      </c>
      <c r="I76" s="243">
        <f t="shared" si="38"/>
        <v>28021</v>
      </c>
      <c r="J76" s="242">
        <f t="shared" si="38"/>
        <v>0</v>
      </c>
      <c r="K76" s="243">
        <f t="shared" si="38"/>
        <v>16962</v>
      </c>
      <c r="L76" s="243">
        <f t="shared" si="38"/>
        <v>0</v>
      </c>
      <c r="M76" s="243">
        <f t="shared" si="38"/>
        <v>0</v>
      </c>
      <c r="N76" s="243">
        <f t="shared" si="38"/>
        <v>16962</v>
      </c>
      <c r="O76" s="242">
        <f t="shared" si="38"/>
        <v>0</v>
      </c>
      <c r="P76" s="243">
        <f t="shared" si="38"/>
        <v>15511</v>
      </c>
      <c r="Q76" s="243">
        <f t="shared" si="38"/>
        <v>0</v>
      </c>
      <c r="R76" s="243">
        <f t="shared" si="38"/>
        <v>0</v>
      </c>
      <c r="S76" s="243">
        <f t="shared" si="38"/>
        <v>15511</v>
      </c>
      <c r="T76" s="242">
        <f t="shared" si="38"/>
        <v>2.2000000000000002</v>
      </c>
      <c r="U76" s="243">
        <f>SUM(U46:U75)</f>
        <v>36893</v>
      </c>
      <c r="V76" s="243">
        <f>SUM(V46:V71)</f>
        <v>0</v>
      </c>
      <c r="W76" s="243">
        <f>SUM(W46:W71)</f>
        <v>0</v>
      </c>
      <c r="X76" s="243">
        <f>SUM(X46:X75)</f>
        <v>36893</v>
      </c>
      <c r="Y76" s="242">
        <f>SUM(Y46:Y71)</f>
        <v>0.44000000000000006</v>
      </c>
      <c r="Z76" s="243">
        <f>SUM(Z46:Z75)</f>
        <v>21265</v>
      </c>
      <c r="AA76" s="243">
        <f>SUM(AA46:AA71)</f>
        <v>0</v>
      </c>
      <c r="AB76" s="243">
        <f>SUM(AB46:AB71)</f>
        <v>0</v>
      </c>
      <c r="AC76" s="243">
        <f>SUM(AC46:AC75)</f>
        <v>21265</v>
      </c>
      <c r="AD76" s="238"/>
      <c r="AE76" s="238"/>
    </row>
    <row r="77" spans="1:31" s="233" customFormat="1" ht="45" customHeight="1" x14ac:dyDescent="0.2">
      <c r="A77" s="232" t="s">
        <v>429</v>
      </c>
      <c r="B77" s="523" t="s">
        <v>1052</v>
      </c>
      <c r="C77" s="524"/>
      <c r="D77" s="524"/>
      <c r="E77" s="524"/>
      <c r="F77" s="524"/>
      <c r="G77" s="524"/>
      <c r="H77" s="524"/>
      <c r="I77" s="524"/>
      <c r="J77" s="524"/>
      <c r="K77" s="524"/>
      <c r="L77" s="524"/>
      <c r="M77" s="524"/>
      <c r="N77" s="524"/>
      <c r="O77" s="524"/>
      <c r="P77" s="524"/>
      <c r="Q77" s="524"/>
      <c r="R77" s="524"/>
      <c r="S77" s="524"/>
      <c r="T77" s="524"/>
      <c r="U77" s="524"/>
      <c r="V77" s="524"/>
      <c r="W77" s="524"/>
      <c r="X77" s="524"/>
      <c r="Y77" s="524"/>
      <c r="Z77" s="524"/>
      <c r="AA77" s="524"/>
      <c r="AB77" s="524"/>
      <c r="AC77" s="525"/>
      <c r="AD77" s="238"/>
    </row>
    <row r="78" spans="1:31" s="233" customFormat="1" ht="95.25" customHeight="1" outlineLevel="1" x14ac:dyDescent="0.2">
      <c r="A78" s="208" t="s">
        <v>1248</v>
      </c>
      <c r="B78" s="235" t="s">
        <v>6</v>
      </c>
      <c r="C78" s="87">
        <f>E78+J78+O78+Y78+T78</f>
        <v>0</v>
      </c>
      <c r="D78" s="211">
        <f>F78+K78+P78+Z78+U78</f>
        <v>0</v>
      </c>
      <c r="E78" s="210">
        <v>0</v>
      </c>
      <c r="F78" s="211">
        <v>0</v>
      </c>
      <c r="G78" s="211">
        <v>0</v>
      </c>
      <c r="H78" s="211">
        <v>0</v>
      </c>
      <c r="I78" s="211">
        <v>0</v>
      </c>
      <c r="J78" s="87">
        <v>0</v>
      </c>
      <c r="K78" s="189">
        <f>SUM(L78:N78)</f>
        <v>0</v>
      </c>
      <c r="L78" s="88">
        <v>0</v>
      </c>
      <c r="M78" s="88">
        <v>0</v>
      </c>
      <c r="N78" s="88">
        <v>0</v>
      </c>
      <c r="O78" s="87">
        <v>0</v>
      </c>
      <c r="P78" s="88">
        <f>SUM(Q78:S78)</f>
        <v>0</v>
      </c>
      <c r="Q78" s="88">
        <v>0</v>
      </c>
      <c r="R78" s="88">
        <v>0</v>
      </c>
      <c r="S78" s="88">
        <v>0</v>
      </c>
      <c r="T78" s="87">
        <v>0</v>
      </c>
      <c r="U78" s="88">
        <f>SUM(V78:X78)</f>
        <v>0</v>
      </c>
      <c r="V78" s="88">
        <v>0</v>
      </c>
      <c r="W78" s="88">
        <v>0</v>
      </c>
      <c r="X78" s="88">
        <v>0</v>
      </c>
      <c r="Y78" s="237">
        <v>0</v>
      </c>
      <c r="Z78" s="236">
        <f t="shared" ref="Z78:Z83" si="39">AA78+AB78+AC78</f>
        <v>0</v>
      </c>
      <c r="AA78" s="236">
        <v>0</v>
      </c>
      <c r="AB78" s="236">
        <v>0</v>
      </c>
      <c r="AC78" s="236">
        <v>0</v>
      </c>
    </row>
    <row r="79" spans="1:31" s="233" customFormat="1" ht="65.45" customHeight="1" outlineLevel="1" x14ac:dyDescent="0.2">
      <c r="A79" s="208" t="s">
        <v>1249</v>
      </c>
      <c r="B79" s="235" t="s">
        <v>34</v>
      </c>
      <c r="C79" s="87">
        <f>E79+J79+O79+Y79+T79</f>
        <v>0</v>
      </c>
      <c r="D79" s="211">
        <f t="shared" ref="D79:D88" si="40">F79+K79+P79+Z79+U79</f>
        <v>0</v>
      </c>
      <c r="E79" s="210">
        <v>0</v>
      </c>
      <c r="F79" s="211">
        <v>0</v>
      </c>
      <c r="G79" s="211">
        <v>0</v>
      </c>
      <c r="H79" s="211">
        <v>0</v>
      </c>
      <c r="I79" s="211">
        <v>0</v>
      </c>
      <c r="J79" s="87">
        <v>0</v>
      </c>
      <c r="K79" s="189">
        <f t="shared" ref="K79:K84" si="41">SUM(L79:N79)</f>
        <v>0</v>
      </c>
      <c r="L79" s="88">
        <v>0</v>
      </c>
      <c r="M79" s="88">
        <v>0</v>
      </c>
      <c r="N79" s="88">
        <v>0</v>
      </c>
      <c r="O79" s="87">
        <v>0</v>
      </c>
      <c r="P79" s="88">
        <v>0</v>
      </c>
      <c r="Q79" s="88">
        <v>0</v>
      </c>
      <c r="R79" s="88">
        <v>0</v>
      </c>
      <c r="S79" s="88">
        <v>0</v>
      </c>
      <c r="T79" s="87">
        <v>0</v>
      </c>
      <c r="U79" s="88">
        <f t="shared" ref="U79:U90" si="42">SUM(V79:X79)</f>
        <v>0</v>
      </c>
      <c r="V79" s="88">
        <v>0</v>
      </c>
      <c r="W79" s="88">
        <v>0</v>
      </c>
      <c r="X79" s="88">
        <v>0</v>
      </c>
      <c r="Y79" s="237">
        <v>0</v>
      </c>
      <c r="Z79" s="236">
        <f t="shared" si="39"/>
        <v>0</v>
      </c>
      <c r="AA79" s="236">
        <v>0</v>
      </c>
      <c r="AB79" s="236">
        <v>0</v>
      </c>
      <c r="AC79" s="236">
        <v>0</v>
      </c>
    </row>
    <row r="80" spans="1:31" s="233" customFormat="1" ht="90.6" customHeight="1" outlineLevel="1" x14ac:dyDescent="0.2">
      <c r="A80" s="208" t="s">
        <v>1250</v>
      </c>
      <c r="B80" s="235" t="s">
        <v>35</v>
      </c>
      <c r="C80" s="87">
        <f>E80+J80+O80+Y80+T80</f>
        <v>0</v>
      </c>
      <c r="D80" s="211">
        <f t="shared" si="40"/>
        <v>0</v>
      </c>
      <c r="E80" s="210">
        <v>0</v>
      </c>
      <c r="F80" s="211">
        <v>0</v>
      </c>
      <c r="G80" s="211">
        <v>0</v>
      </c>
      <c r="H80" s="211">
        <v>0</v>
      </c>
      <c r="I80" s="211">
        <v>0</v>
      </c>
      <c r="J80" s="87">
        <v>0</v>
      </c>
      <c r="K80" s="189">
        <v>0</v>
      </c>
      <c r="L80" s="88">
        <v>0</v>
      </c>
      <c r="M80" s="88">
        <v>0</v>
      </c>
      <c r="N80" s="88">
        <v>0</v>
      </c>
      <c r="O80" s="87">
        <v>0</v>
      </c>
      <c r="P80" s="88">
        <v>0</v>
      </c>
      <c r="Q80" s="88">
        <v>0</v>
      </c>
      <c r="R80" s="88">
        <v>0</v>
      </c>
      <c r="S80" s="88">
        <v>0</v>
      </c>
      <c r="T80" s="87">
        <v>0</v>
      </c>
      <c r="U80" s="88">
        <f t="shared" si="42"/>
        <v>0</v>
      </c>
      <c r="V80" s="88">
        <v>0</v>
      </c>
      <c r="W80" s="88">
        <v>0</v>
      </c>
      <c r="X80" s="88">
        <v>0</v>
      </c>
      <c r="Y80" s="237">
        <v>0</v>
      </c>
      <c r="Z80" s="236">
        <f t="shared" si="39"/>
        <v>0</v>
      </c>
      <c r="AA80" s="236">
        <v>0</v>
      </c>
      <c r="AB80" s="236">
        <v>0</v>
      </c>
      <c r="AC80" s="236">
        <v>0</v>
      </c>
    </row>
    <row r="81" spans="1:29" s="233" customFormat="1" ht="60" customHeight="1" outlineLevel="1" x14ac:dyDescent="0.2">
      <c r="A81" s="208" t="s">
        <v>1251</v>
      </c>
      <c r="B81" s="235" t="s">
        <v>165</v>
      </c>
      <c r="C81" s="87">
        <f t="shared" ref="C81:C96" si="43">E81+J81+O81+T81+Y81</f>
        <v>0</v>
      </c>
      <c r="D81" s="211">
        <f t="shared" si="40"/>
        <v>0</v>
      </c>
      <c r="E81" s="210">
        <v>0</v>
      </c>
      <c r="F81" s="211">
        <v>0</v>
      </c>
      <c r="G81" s="211">
        <v>0</v>
      </c>
      <c r="H81" s="211">
        <v>0</v>
      </c>
      <c r="I81" s="211">
        <v>0</v>
      </c>
      <c r="J81" s="87">
        <v>0</v>
      </c>
      <c r="K81" s="189">
        <v>0</v>
      </c>
      <c r="L81" s="88">
        <v>0</v>
      </c>
      <c r="M81" s="88">
        <v>0</v>
      </c>
      <c r="N81" s="88">
        <v>0</v>
      </c>
      <c r="O81" s="87">
        <v>0</v>
      </c>
      <c r="P81" s="88">
        <v>0</v>
      </c>
      <c r="Q81" s="88">
        <v>0</v>
      </c>
      <c r="R81" s="88">
        <v>0</v>
      </c>
      <c r="S81" s="88">
        <v>0</v>
      </c>
      <c r="T81" s="237">
        <v>0</v>
      </c>
      <c r="U81" s="88">
        <f t="shared" si="42"/>
        <v>0</v>
      </c>
      <c r="V81" s="236">
        <v>0</v>
      </c>
      <c r="W81" s="236">
        <v>0</v>
      </c>
      <c r="X81" s="236">
        <v>0</v>
      </c>
      <c r="Y81" s="237">
        <v>0</v>
      </c>
      <c r="Z81" s="236">
        <f t="shared" si="39"/>
        <v>0</v>
      </c>
      <c r="AA81" s="236">
        <v>0</v>
      </c>
      <c r="AB81" s="88">
        <v>0</v>
      </c>
      <c r="AC81" s="236">
        <v>0</v>
      </c>
    </row>
    <row r="82" spans="1:29" s="233" customFormat="1" ht="98.45" customHeight="1" outlineLevel="1" x14ac:dyDescent="0.2">
      <c r="A82" s="208" t="s">
        <v>1252</v>
      </c>
      <c r="B82" s="235" t="s">
        <v>166</v>
      </c>
      <c r="C82" s="87">
        <f t="shared" si="43"/>
        <v>0</v>
      </c>
      <c r="D82" s="211">
        <f t="shared" si="40"/>
        <v>0</v>
      </c>
      <c r="E82" s="210">
        <v>0</v>
      </c>
      <c r="F82" s="211">
        <v>0</v>
      </c>
      <c r="G82" s="211">
        <v>0</v>
      </c>
      <c r="H82" s="211">
        <v>0</v>
      </c>
      <c r="I82" s="211">
        <v>0</v>
      </c>
      <c r="J82" s="87">
        <v>0</v>
      </c>
      <c r="K82" s="189">
        <f t="shared" si="41"/>
        <v>0</v>
      </c>
      <c r="L82" s="88">
        <v>0</v>
      </c>
      <c r="M82" s="88">
        <v>0</v>
      </c>
      <c r="N82" s="88">
        <v>0</v>
      </c>
      <c r="O82" s="87">
        <v>0</v>
      </c>
      <c r="P82" s="88">
        <v>0</v>
      </c>
      <c r="Q82" s="88">
        <v>0</v>
      </c>
      <c r="R82" s="88">
        <v>0</v>
      </c>
      <c r="S82" s="88">
        <v>0</v>
      </c>
      <c r="T82" s="237">
        <v>0</v>
      </c>
      <c r="U82" s="88">
        <f t="shared" si="42"/>
        <v>0</v>
      </c>
      <c r="V82" s="236">
        <v>0</v>
      </c>
      <c r="W82" s="236">
        <v>0</v>
      </c>
      <c r="X82" s="236">
        <v>0</v>
      </c>
      <c r="Y82" s="237">
        <v>0</v>
      </c>
      <c r="Z82" s="236">
        <f t="shared" si="39"/>
        <v>0</v>
      </c>
      <c r="AA82" s="236">
        <v>0</v>
      </c>
      <c r="AB82" s="88">
        <v>0</v>
      </c>
      <c r="AC82" s="236">
        <v>0</v>
      </c>
    </row>
    <row r="83" spans="1:29" s="233" customFormat="1" ht="60" customHeight="1" outlineLevel="1" x14ac:dyDescent="0.2">
      <c r="A83" s="208" t="s">
        <v>1253</v>
      </c>
      <c r="B83" s="235" t="s">
        <v>616</v>
      </c>
      <c r="C83" s="87">
        <f t="shared" si="43"/>
        <v>0</v>
      </c>
      <c r="D83" s="211">
        <f t="shared" si="40"/>
        <v>0</v>
      </c>
      <c r="E83" s="210">
        <v>0</v>
      </c>
      <c r="F83" s="211">
        <v>0</v>
      </c>
      <c r="G83" s="211">
        <v>0</v>
      </c>
      <c r="H83" s="211">
        <v>0</v>
      </c>
      <c r="I83" s="211">
        <v>0</v>
      </c>
      <c r="J83" s="87">
        <v>0</v>
      </c>
      <c r="K83" s="189">
        <f t="shared" si="41"/>
        <v>0</v>
      </c>
      <c r="L83" s="88">
        <v>0</v>
      </c>
      <c r="M83" s="88">
        <v>0</v>
      </c>
      <c r="N83" s="88">
        <v>0</v>
      </c>
      <c r="O83" s="87">
        <v>0</v>
      </c>
      <c r="P83" s="88">
        <v>0</v>
      </c>
      <c r="Q83" s="88">
        <v>0</v>
      </c>
      <c r="R83" s="88">
        <v>0</v>
      </c>
      <c r="S83" s="88">
        <v>0</v>
      </c>
      <c r="T83" s="237">
        <v>0</v>
      </c>
      <c r="U83" s="88">
        <f t="shared" si="42"/>
        <v>0</v>
      </c>
      <c r="V83" s="236">
        <v>0</v>
      </c>
      <c r="W83" s="236">
        <v>0</v>
      </c>
      <c r="X83" s="236">
        <v>0</v>
      </c>
      <c r="Y83" s="237">
        <v>0</v>
      </c>
      <c r="Z83" s="236">
        <f t="shared" si="39"/>
        <v>0</v>
      </c>
      <c r="AA83" s="236">
        <v>0</v>
      </c>
      <c r="AB83" s="88">
        <v>0</v>
      </c>
      <c r="AC83" s="236">
        <v>0</v>
      </c>
    </row>
    <row r="84" spans="1:29" s="233" customFormat="1" ht="82.9" customHeight="1" outlineLevel="1" x14ac:dyDescent="0.2">
      <c r="A84" s="208" t="s">
        <v>1254</v>
      </c>
      <c r="B84" s="235" t="s">
        <v>615</v>
      </c>
      <c r="C84" s="87">
        <f t="shared" si="43"/>
        <v>0</v>
      </c>
      <c r="D84" s="211">
        <f t="shared" si="40"/>
        <v>0</v>
      </c>
      <c r="E84" s="210">
        <v>0</v>
      </c>
      <c r="F84" s="211">
        <v>0</v>
      </c>
      <c r="G84" s="211">
        <v>0</v>
      </c>
      <c r="H84" s="211">
        <v>0</v>
      </c>
      <c r="I84" s="211">
        <v>0</v>
      </c>
      <c r="J84" s="87">
        <v>0</v>
      </c>
      <c r="K84" s="189">
        <f t="shared" si="41"/>
        <v>0</v>
      </c>
      <c r="L84" s="88">
        <v>0</v>
      </c>
      <c r="M84" s="88">
        <v>0</v>
      </c>
      <c r="N84" s="88">
        <v>0</v>
      </c>
      <c r="O84" s="87">
        <v>0</v>
      </c>
      <c r="P84" s="88">
        <v>0</v>
      </c>
      <c r="Q84" s="88">
        <v>0</v>
      </c>
      <c r="R84" s="88">
        <v>0</v>
      </c>
      <c r="S84" s="88">
        <v>0</v>
      </c>
      <c r="T84" s="237">
        <v>0</v>
      </c>
      <c r="U84" s="88">
        <f t="shared" si="42"/>
        <v>0</v>
      </c>
      <c r="V84" s="236">
        <v>0</v>
      </c>
      <c r="W84" s="236">
        <v>0</v>
      </c>
      <c r="X84" s="236">
        <v>0</v>
      </c>
      <c r="Y84" s="237">
        <v>0</v>
      </c>
      <c r="Z84" s="236">
        <v>0</v>
      </c>
      <c r="AA84" s="236">
        <v>0</v>
      </c>
      <c r="AB84" s="88">
        <v>0</v>
      </c>
      <c r="AC84" s="236">
        <v>0</v>
      </c>
    </row>
    <row r="85" spans="1:29" s="233" customFormat="1" ht="122.25" customHeight="1" outlineLevel="1" x14ac:dyDescent="0.2">
      <c r="A85" s="208" t="s">
        <v>1255</v>
      </c>
      <c r="B85" s="235" t="s">
        <v>211</v>
      </c>
      <c r="C85" s="87">
        <f t="shared" si="43"/>
        <v>11.08</v>
      </c>
      <c r="D85" s="211">
        <f>F85+K85+P85+Z85+U85</f>
        <v>54661</v>
      </c>
      <c r="E85" s="210">
        <v>5.54</v>
      </c>
      <c r="F85" s="211">
        <f>H85+I85</f>
        <v>41382</v>
      </c>
      <c r="G85" s="211">
        <v>0</v>
      </c>
      <c r="H85" s="211">
        <f>39396</f>
        <v>39396</v>
      </c>
      <c r="I85" s="211">
        <f>1986</f>
        <v>1986</v>
      </c>
      <c r="J85" s="87">
        <v>5.54</v>
      </c>
      <c r="K85" s="189">
        <f>SUM(L85:N85)</f>
        <v>13279</v>
      </c>
      <c r="L85" s="88">
        <v>0</v>
      </c>
      <c r="M85" s="88">
        <v>12509</v>
      </c>
      <c r="N85" s="88">
        <v>770</v>
      </c>
      <c r="O85" s="87">
        <v>0</v>
      </c>
      <c r="P85" s="88">
        <v>0</v>
      </c>
      <c r="Q85" s="88">
        <v>0</v>
      </c>
      <c r="R85" s="88">
        <v>0</v>
      </c>
      <c r="S85" s="88">
        <v>0</v>
      </c>
      <c r="T85" s="237">
        <v>0</v>
      </c>
      <c r="U85" s="88">
        <f>SUM(V85:X85)</f>
        <v>0</v>
      </c>
      <c r="V85" s="236">
        <v>0</v>
      </c>
      <c r="W85" s="236">
        <v>0</v>
      </c>
      <c r="X85" s="236">
        <v>0</v>
      </c>
      <c r="Y85" s="237">
        <v>0</v>
      </c>
      <c r="Z85" s="236">
        <v>0</v>
      </c>
      <c r="AA85" s="236">
        <v>0</v>
      </c>
      <c r="AB85" s="88">
        <v>0</v>
      </c>
      <c r="AC85" s="236">
        <v>0</v>
      </c>
    </row>
    <row r="86" spans="1:29" s="233" customFormat="1" ht="144.6" customHeight="1" outlineLevel="1" x14ac:dyDescent="0.2">
      <c r="A86" s="208" t="s">
        <v>1256</v>
      </c>
      <c r="B86" s="235" t="s">
        <v>306</v>
      </c>
      <c r="C86" s="87">
        <f t="shared" si="43"/>
        <v>0</v>
      </c>
      <c r="D86" s="211">
        <f t="shared" si="40"/>
        <v>90</v>
      </c>
      <c r="E86" s="210">
        <v>0</v>
      </c>
      <c r="F86" s="211">
        <f>G86+H86+I86</f>
        <v>90</v>
      </c>
      <c r="G86" s="211">
        <v>0</v>
      </c>
      <c r="H86" s="211">
        <v>0</v>
      </c>
      <c r="I86" s="211">
        <v>90</v>
      </c>
      <c r="J86" s="87">
        <v>0</v>
      </c>
      <c r="K86" s="88">
        <f>SUM(L86:N86)</f>
        <v>0</v>
      </c>
      <c r="L86" s="88">
        <v>0</v>
      </c>
      <c r="M86" s="88">
        <v>0</v>
      </c>
      <c r="N86" s="88">
        <v>0</v>
      </c>
      <c r="O86" s="87">
        <v>0</v>
      </c>
      <c r="P86" s="88">
        <v>0</v>
      </c>
      <c r="Q86" s="88">
        <v>0</v>
      </c>
      <c r="R86" s="88">
        <v>0</v>
      </c>
      <c r="S86" s="88">
        <v>0</v>
      </c>
      <c r="T86" s="237">
        <v>0</v>
      </c>
      <c r="U86" s="88">
        <f t="shared" si="42"/>
        <v>0</v>
      </c>
      <c r="V86" s="236">
        <v>0</v>
      </c>
      <c r="W86" s="236">
        <v>0</v>
      </c>
      <c r="X86" s="236">
        <v>0</v>
      </c>
      <c r="Y86" s="237">
        <v>0</v>
      </c>
      <c r="Z86" s="236">
        <v>0</v>
      </c>
      <c r="AA86" s="236">
        <v>0</v>
      </c>
      <c r="AB86" s="236">
        <v>0</v>
      </c>
      <c r="AC86" s="236">
        <v>0</v>
      </c>
    </row>
    <row r="87" spans="1:29" s="233" customFormat="1" ht="174.75" customHeight="1" outlineLevel="1" x14ac:dyDescent="0.2">
      <c r="A87" s="208" t="s">
        <v>1257</v>
      </c>
      <c r="B87" s="235" t="s">
        <v>315</v>
      </c>
      <c r="C87" s="87">
        <f t="shared" si="43"/>
        <v>0</v>
      </c>
      <c r="D87" s="211">
        <f t="shared" si="40"/>
        <v>469</v>
      </c>
      <c r="E87" s="210">
        <v>0</v>
      </c>
      <c r="F87" s="211">
        <f>G87+H87+I87</f>
        <v>426</v>
      </c>
      <c r="G87" s="211">
        <v>0</v>
      </c>
      <c r="H87" s="211">
        <v>0</v>
      </c>
      <c r="I87" s="211">
        <v>426</v>
      </c>
      <c r="J87" s="87">
        <v>0</v>
      </c>
      <c r="K87" s="88">
        <f>SUM(L87:N87)</f>
        <v>43</v>
      </c>
      <c r="L87" s="88">
        <v>0</v>
      </c>
      <c r="M87" s="88">
        <v>0</v>
      </c>
      <c r="N87" s="88">
        <v>43</v>
      </c>
      <c r="O87" s="87">
        <v>0</v>
      </c>
      <c r="P87" s="88">
        <v>0</v>
      </c>
      <c r="Q87" s="88">
        <v>0</v>
      </c>
      <c r="R87" s="88">
        <v>0</v>
      </c>
      <c r="S87" s="88">
        <v>0</v>
      </c>
      <c r="T87" s="237">
        <v>0</v>
      </c>
      <c r="U87" s="88">
        <f t="shared" si="42"/>
        <v>0</v>
      </c>
      <c r="V87" s="236">
        <v>0</v>
      </c>
      <c r="W87" s="236">
        <v>0</v>
      </c>
      <c r="X87" s="236">
        <v>0</v>
      </c>
      <c r="Y87" s="237">
        <v>0</v>
      </c>
      <c r="Z87" s="236">
        <v>0</v>
      </c>
      <c r="AA87" s="236">
        <v>0</v>
      </c>
      <c r="AB87" s="236">
        <v>0</v>
      </c>
      <c r="AC87" s="236">
        <v>0</v>
      </c>
    </row>
    <row r="88" spans="1:29" s="233" customFormat="1" ht="101.25" customHeight="1" outlineLevel="1" x14ac:dyDescent="0.2">
      <c r="A88" s="208" t="s">
        <v>1258</v>
      </c>
      <c r="B88" s="235" t="s">
        <v>30</v>
      </c>
      <c r="C88" s="87">
        <f t="shared" si="43"/>
        <v>0</v>
      </c>
      <c r="D88" s="211">
        <f t="shared" si="40"/>
        <v>0</v>
      </c>
      <c r="E88" s="210">
        <v>0</v>
      </c>
      <c r="F88" s="211">
        <v>0</v>
      </c>
      <c r="G88" s="211">
        <v>0</v>
      </c>
      <c r="H88" s="211">
        <v>0</v>
      </c>
      <c r="I88" s="211">
        <v>0</v>
      </c>
      <c r="J88" s="87">
        <v>0</v>
      </c>
      <c r="K88" s="189">
        <f>SUM(L88:N88)</f>
        <v>0</v>
      </c>
      <c r="L88" s="88">
        <v>0</v>
      </c>
      <c r="M88" s="88">
        <v>0</v>
      </c>
      <c r="N88" s="88">
        <v>0</v>
      </c>
      <c r="O88" s="87">
        <v>0</v>
      </c>
      <c r="P88" s="88">
        <f>SUM(Q88:S88)</f>
        <v>0</v>
      </c>
      <c r="Q88" s="88">
        <v>0</v>
      </c>
      <c r="R88" s="88">
        <v>0</v>
      </c>
      <c r="S88" s="88">
        <v>0</v>
      </c>
      <c r="T88" s="237">
        <v>0</v>
      </c>
      <c r="U88" s="88">
        <f t="shared" si="42"/>
        <v>0</v>
      </c>
      <c r="V88" s="236">
        <v>0</v>
      </c>
      <c r="W88" s="236">
        <v>0</v>
      </c>
      <c r="X88" s="236">
        <v>0</v>
      </c>
      <c r="Y88" s="237">
        <v>0</v>
      </c>
      <c r="Z88" s="236">
        <f>AA88+AB88+AC88</f>
        <v>0</v>
      </c>
      <c r="AA88" s="236">
        <v>0</v>
      </c>
      <c r="AB88" s="236">
        <v>0</v>
      </c>
      <c r="AC88" s="236">
        <v>0</v>
      </c>
    </row>
    <row r="89" spans="1:29" s="233" customFormat="1" ht="117.6" customHeight="1" outlineLevel="1" x14ac:dyDescent="0.2">
      <c r="A89" s="208" t="s">
        <v>1259</v>
      </c>
      <c r="B89" s="235" t="s">
        <v>1443</v>
      </c>
      <c r="C89" s="87">
        <f>E89+J89+O89+T89+Y89</f>
        <v>0</v>
      </c>
      <c r="D89" s="211">
        <f>F89+K89+P89+U89+Z89</f>
        <v>5132</v>
      </c>
      <c r="E89" s="210">
        <v>0</v>
      </c>
      <c r="F89" s="211">
        <f>G89+H89+I89</f>
        <v>0</v>
      </c>
      <c r="G89" s="211">
        <v>0</v>
      </c>
      <c r="H89" s="211">
        <v>0</v>
      </c>
      <c r="I89" s="211">
        <v>0</v>
      </c>
      <c r="J89" s="87">
        <v>0</v>
      </c>
      <c r="K89" s="189">
        <f>L89+M89+N89</f>
        <v>300</v>
      </c>
      <c r="L89" s="189">
        <v>0</v>
      </c>
      <c r="M89" s="189">
        <v>0</v>
      </c>
      <c r="N89" s="189">
        <f>4993-4129-51-281-232</f>
        <v>300</v>
      </c>
      <c r="O89" s="87">
        <v>0</v>
      </c>
      <c r="P89" s="189">
        <f t="shared" ref="P89:P90" si="44">SUM(Q89:S89)</f>
        <v>4051</v>
      </c>
      <c r="Q89" s="189">
        <v>0</v>
      </c>
      <c r="R89" s="189">
        <v>0</v>
      </c>
      <c r="S89" s="189">
        <v>4051</v>
      </c>
      <c r="T89" s="237">
        <v>0</v>
      </c>
      <c r="U89" s="189">
        <f t="shared" si="42"/>
        <v>781</v>
      </c>
      <c r="V89" s="189">
        <v>0</v>
      </c>
      <c r="W89" s="189">
        <v>0</v>
      </c>
      <c r="X89" s="189">
        <f>4096-3315</f>
        <v>781</v>
      </c>
      <c r="Y89" s="87">
        <v>0</v>
      </c>
      <c r="Z89" s="189">
        <f t="shared" ref="Z89" si="45">SUM(AA89:AC89)</f>
        <v>0</v>
      </c>
      <c r="AA89" s="189">
        <v>0</v>
      </c>
      <c r="AB89" s="189">
        <v>0</v>
      </c>
      <c r="AC89" s="189">
        <f>4096-2837-1259</f>
        <v>0</v>
      </c>
    </row>
    <row r="90" spans="1:29" s="233" customFormat="1" ht="117.6" customHeight="1" outlineLevel="1" x14ac:dyDescent="0.2">
      <c r="A90" s="208" t="s">
        <v>1260</v>
      </c>
      <c r="B90" s="235" t="s">
        <v>29</v>
      </c>
      <c r="C90" s="87">
        <f t="shared" si="43"/>
        <v>0</v>
      </c>
      <c r="D90" s="211">
        <f>F90+Z90+P90+K90+U90</f>
        <v>0</v>
      </c>
      <c r="E90" s="87">
        <f>G90+L90+Q90+V90+AA90</f>
        <v>0</v>
      </c>
      <c r="F90" s="211">
        <f>G90+H90+I90</f>
        <v>0</v>
      </c>
      <c r="G90" s="211">
        <v>0</v>
      </c>
      <c r="H90" s="211">
        <v>0</v>
      </c>
      <c r="I90" s="211">
        <v>0</v>
      </c>
      <c r="J90" s="87">
        <v>0</v>
      </c>
      <c r="K90" s="189">
        <f>SUM(L90:N90)</f>
        <v>0</v>
      </c>
      <c r="L90" s="88">
        <v>0</v>
      </c>
      <c r="M90" s="88">
        <v>0</v>
      </c>
      <c r="N90" s="88">
        <v>0</v>
      </c>
      <c r="O90" s="87">
        <v>0</v>
      </c>
      <c r="P90" s="189">
        <f t="shared" si="44"/>
        <v>0</v>
      </c>
      <c r="Q90" s="88">
        <v>0</v>
      </c>
      <c r="R90" s="88">
        <v>0</v>
      </c>
      <c r="S90" s="88">
        <v>0</v>
      </c>
      <c r="T90" s="237">
        <v>0</v>
      </c>
      <c r="U90" s="189">
        <f t="shared" si="42"/>
        <v>0</v>
      </c>
      <c r="V90" s="236">
        <v>0</v>
      </c>
      <c r="W90" s="236">
        <v>0</v>
      </c>
      <c r="X90" s="236">
        <v>0</v>
      </c>
      <c r="Y90" s="87">
        <v>0</v>
      </c>
      <c r="Z90" s="236">
        <f>AA90+AB90+AC90</f>
        <v>0</v>
      </c>
      <c r="AA90" s="236">
        <v>0</v>
      </c>
      <c r="AB90" s="88">
        <v>0</v>
      </c>
      <c r="AC90" s="244">
        <v>0</v>
      </c>
    </row>
    <row r="91" spans="1:29" s="238" customFormat="1" ht="114.75" customHeight="1" outlineLevel="1" x14ac:dyDescent="0.2">
      <c r="A91" s="234" t="s">
        <v>1261</v>
      </c>
      <c r="B91" s="245" t="s">
        <v>274</v>
      </c>
      <c r="C91" s="198">
        <f t="shared" si="43"/>
        <v>0</v>
      </c>
      <c r="D91" s="246">
        <f t="shared" ref="D91:D95" si="46">F91+K91+P91+U91+Z91</f>
        <v>34322</v>
      </c>
      <c r="E91" s="210">
        <v>0</v>
      </c>
      <c r="F91" s="189">
        <f>G91+H91+I91</f>
        <v>21761</v>
      </c>
      <c r="G91" s="189">
        <v>0</v>
      </c>
      <c r="H91" s="211">
        <v>20716</v>
      </c>
      <c r="I91" s="211">
        <v>1045</v>
      </c>
      <c r="J91" s="198">
        <v>0</v>
      </c>
      <c r="K91" s="88">
        <f t="shared" ref="K91:K95" si="47">L91+M91+N91</f>
        <v>12561</v>
      </c>
      <c r="L91" s="88">
        <v>0</v>
      </c>
      <c r="M91" s="88">
        <v>0</v>
      </c>
      <c r="N91" s="88">
        <v>12561</v>
      </c>
      <c r="O91" s="87">
        <v>0</v>
      </c>
      <c r="P91" s="88">
        <f>S91</f>
        <v>0</v>
      </c>
      <c r="Q91" s="88">
        <v>0</v>
      </c>
      <c r="R91" s="88">
        <v>0</v>
      </c>
      <c r="S91" s="88">
        <v>0</v>
      </c>
      <c r="T91" s="87">
        <v>0</v>
      </c>
      <c r="U91" s="88">
        <v>0</v>
      </c>
      <c r="V91" s="88">
        <v>0</v>
      </c>
      <c r="W91" s="88">
        <v>0</v>
      </c>
      <c r="X91" s="88">
        <v>0</v>
      </c>
      <c r="Y91" s="87">
        <v>0</v>
      </c>
      <c r="Z91" s="88">
        <v>0</v>
      </c>
      <c r="AA91" s="88">
        <v>0</v>
      </c>
      <c r="AB91" s="88">
        <v>0</v>
      </c>
      <c r="AC91" s="88">
        <v>0</v>
      </c>
    </row>
    <row r="92" spans="1:29" s="238" customFormat="1" ht="114.75" customHeight="1" outlineLevel="1" x14ac:dyDescent="0.2">
      <c r="A92" s="234" t="s">
        <v>1262</v>
      </c>
      <c r="B92" s="245" t="s">
        <v>313</v>
      </c>
      <c r="C92" s="198">
        <f t="shared" si="43"/>
        <v>0</v>
      </c>
      <c r="D92" s="246">
        <f t="shared" si="46"/>
        <v>932</v>
      </c>
      <c r="E92" s="210">
        <v>0</v>
      </c>
      <c r="F92" s="189">
        <f>G92+H92+I92</f>
        <v>466</v>
      </c>
      <c r="G92" s="189">
        <v>0</v>
      </c>
      <c r="H92" s="211">
        <v>0</v>
      </c>
      <c r="I92" s="211">
        <v>466</v>
      </c>
      <c r="J92" s="198">
        <v>0</v>
      </c>
      <c r="K92" s="88">
        <f t="shared" si="47"/>
        <v>466</v>
      </c>
      <c r="L92" s="88">
        <v>0</v>
      </c>
      <c r="M92" s="88">
        <v>0</v>
      </c>
      <c r="N92" s="88">
        <v>466</v>
      </c>
      <c r="O92" s="87">
        <v>0</v>
      </c>
      <c r="P92" s="88">
        <f>S92</f>
        <v>0</v>
      </c>
      <c r="Q92" s="88">
        <v>0</v>
      </c>
      <c r="R92" s="88">
        <v>0</v>
      </c>
      <c r="S92" s="88">
        <v>0</v>
      </c>
      <c r="T92" s="87">
        <v>0</v>
      </c>
      <c r="U92" s="88">
        <v>0</v>
      </c>
      <c r="V92" s="88">
        <v>0</v>
      </c>
      <c r="W92" s="88">
        <v>0</v>
      </c>
      <c r="X92" s="88">
        <v>0</v>
      </c>
      <c r="Y92" s="87">
        <v>0</v>
      </c>
      <c r="Z92" s="88">
        <v>0</v>
      </c>
      <c r="AA92" s="88">
        <v>0</v>
      </c>
      <c r="AB92" s="88">
        <v>0</v>
      </c>
      <c r="AC92" s="88">
        <v>0</v>
      </c>
    </row>
    <row r="93" spans="1:29" s="233" customFormat="1" ht="87.75" customHeight="1" outlineLevel="1" x14ac:dyDescent="0.2">
      <c r="A93" s="208" t="s">
        <v>1263</v>
      </c>
      <c r="B93" s="235" t="s">
        <v>1508</v>
      </c>
      <c r="C93" s="87">
        <v>40.97</v>
      </c>
      <c r="D93" s="211">
        <f>F93+K93+P93+U93+Z93</f>
        <v>432960</v>
      </c>
      <c r="E93" s="210">
        <v>0</v>
      </c>
      <c r="F93" s="211">
        <v>0</v>
      </c>
      <c r="G93" s="211">
        <v>0</v>
      </c>
      <c r="H93" s="211">
        <v>0</v>
      </c>
      <c r="I93" s="211">
        <v>0</v>
      </c>
      <c r="J93" s="87">
        <v>40.94</v>
      </c>
      <c r="K93" s="88">
        <f t="shared" si="47"/>
        <v>214595</v>
      </c>
      <c r="L93" s="88">
        <v>0</v>
      </c>
      <c r="M93" s="88">
        <v>202149</v>
      </c>
      <c r="N93" s="88">
        <v>12446</v>
      </c>
      <c r="O93" s="87">
        <v>40.94</v>
      </c>
      <c r="P93" s="88">
        <f>Q93+R93+S93</f>
        <v>109342</v>
      </c>
      <c r="Q93" s="88">
        <v>0</v>
      </c>
      <c r="R93" s="88">
        <v>103000</v>
      </c>
      <c r="S93" s="88">
        <v>6342</v>
      </c>
      <c r="T93" s="237">
        <v>40.97</v>
      </c>
      <c r="U93" s="236">
        <f>V93+W93+X93</f>
        <v>109023</v>
      </c>
      <c r="V93" s="236">
        <v>0</v>
      </c>
      <c r="W93" s="236">
        <v>103000</v>
      </c>
      <c r="X93" s="236">
        <v>6023</v>
      </c>
      <c r="Y93" s="87">
        <v>40.97</v>
      </c>
      <c r="Z93" s="88">
        <f>AA93++AB93+AC93</f>
        <v>0</v>
      </c>
      <c r="AA93" s="88">
        <v>0</v>
      </c>
      <c r="AB93" s="88">
        <f>98540-98540</f>
        <v>0</v>
      </c>
      <c r="AC93" s="88">
        <f>7646+2837-2837-2926-4720</f>
        <v>0</v>
      </c>
    </row>
    <row r="94" spans="1:29" s="233" customFormat="1" ht="71.45" customHeight="1" outlineLevel="1" x14ac:dyDescent="0.2">
      <c r="A94" s="208" t="s">
        <v>1264</v>
      </c>
      <c r="B94" s="235" t="s">
        <v>494</v>
      </c>
      <c r="C94" s="87">
        <f t="shared" si="43"/>
        <v>0</v>
      </c>
      <c r="D94" s="211">
        <f t="shared" si="46"/>
        <v>76305</v>
      </c>
      <c r="E94" s="210">
        <f>G94+L94+Q94+V94+AA94</f>
        <v>0</v>
      </c>
      <c r="F94" s="211">
        <f>G94+H94+I94</f>
        <v>0</v>
      </c>
      <c r="G94" s="211">
        <v>0</v>
      </c>
      <c r="H94" s="211">
        <v>0</v>
      </c>
      <c r="I94" s="211">
        <v>0</v>
      </c>
      <c r="J94" s="87">
        <v>0</v>
      </c>
      <c r="K94" s="88">
        <f t="shared" si="47"/>
        <v>0</v>
      </c>
      <c r="L94" s="88">
        <v>0</v>
      </c>
      <c r="M94" s="88">
        <v>0</v>
      </c>
      <c r="N94" s="88">
        <v>0</v>
      </c>
      <c r="O94" s="87">
        <v>0</v>
      </c>
      <c r="P94" s="88">
        <f>Q94+R94+S94</f>
        <v>76305</v>
      </c>
      <c r="Q94" s="88">
        <v>0</v>
      </c>
      <c r="R94" s="88">
        <f>70000+1879</f>
        <v>71879</v>
      </c>
      <c r="S94" s="88">
        <f>4310+116</f>
        <v>4426</v>
      </c>
      <c r="T94" s="237">
        <v>0</v>
      </c>
      <c r="U94" s="236">
        <v>0</v>
      </c>
      <c r="V94" s="236">
        <v>0</v>
      </c>
      <c r="W94" s="236">
        <v>0</v>
      </c>
      <c r="X94" s="236">
        <v>0</v>
      </c>
      <c r="Y94" s="87">
        <v>0</v>
      </c>
      <c r="Z94" s="88">
        <f>AA94+AB94+AC94</f>
        <v>0</v>
      </c>
      <c r="AA94" s="88">
        <v>0</v>
      </c>
      <c r="AB94" s="88">
        <v>0</v>
      </c>
      <c r="AC94" s="88">
        <v>0</v>
      </c>
    </row>
    <row r="95" spans="1:29" s="233" customFormat="1" ht="71.45" customHeight="1" outlineLevel="1" x14ac:dyDescent="0.2">
      <c r="A95" s="208" t="s">
        <v>1265</v>
      </c>
      <c r="B95" s="235" t="s">
        <v>554</v>
      </c>
      <c r="C95" s="87">
        <f t="shared" si="43"/>
        <v>0</v>
      </c>
      <c r="D95" s="211">
        <f t="shared" si="46"/>
        <v>528</v>
      </c>
      <c r="E95" s="210">
        <f>G95+L95+Q95+V95+AA95</f>
        <v>0</v>
      </c>
      <c r="F95" s="211">
        <f>G95+H95+I95</f>
        <v>0</v>
      </c>
      <c r="G95" s="211">
        <v>0</v>
      </c>
      <c r="H95" s="211">
        <v>0</v>
      </c>
      <c r="I95" s="211">
        <v>0</v>
      </c>
      <c r="J95" s="87">
        <v>0</v>
      </c>
      <c r="K95" s="88">
        <f t="shared" si="47"/>
        <v>0</v>
      </c>
      <c r="L95" s="88">
        <v>0</v>
      </c>
      <c r="M95" s="88">
        <v>0</v>
      </c>
      <c r="N95" s="88">
        <v>0</v>
      </c>
      <c r="O95" s="87">
        <v>0</v>
      </c>
      <c r="P95" s="88">
        <f>Q95+R95+S95</f>
        <v>528</v>
      </c>
      <c r="Q95" s="88">
        <v>0</v>
      </c>
      <c r="R95" s="88">
        <v>0</v>
      </c>
      <c r="S95" s="88">
        <f>1650-169+30-514-469</f>
        <v>528</v>
      </c>
      <c r="T95" s="237">
        <v>0</v>
      </c>
      <c r="U95" s="236">
        <v>0</v>
      </c>
      <c r="V95" s="236">
        <v>0</v>
      </c>
      <c r="W95" s="236">
        <v>0</v>
      </c>
      <c r="X95" s="236">
        <v>0</v>
      </c>
      <c r="Y95" s="87">
        <v>0</v>
      </c>
      <c r="Z95" s="88">
        <f>AA95+AB95+AC95</f>
        <v>0</v>
      </c>
      <c r="AA95" s="88">
        <v>0</v>
      </c>
      <c r="AB95" s="88">
        <v>0</v>
      </c>
      <c r="AC95" s="88">
        <v>0</v>
      </c>
    </row>
    <row r="96" spans="1:29" s="233" customFormat="1" ht="25.15" customHeight="1" outlineLevel="1" x14ac:dyDescent="0.2">
      <c r="A96" s="208"/>
      <c r="B96" s="235" t="s">
        <v>206</v>
      </c>
      <c r="C96" s="87">
        <f t="shared" si="43"/>
        <v>0</v>
      </c>
      <c r="D96" s="211">
        <f>F96+K96+P96+U96+Z96</f>
        <v>730</v>
      </c>
      <c r="E96" s="210">
        <v>0</v>
      </c>
      <c r="F96" s="211">
        <v>0</v>
      </c>
      <c r="G96" s="211">
        <v>0</v>
      </c>
      <c r="H96" s="211">
        <v>0</v>
      </c>
      <c r="I96" s="211">
        <v>0</v>
      </c>
      <c r="J96" s="87">
        <v>0</v>
      </c>
      <c r="K96" s="88">
        <f>L96+M96+N96</f>
        <v>730</v>
      </c>
      <c r="L96" s="88">
        <v>0</v>
      </c>
      <c r="M96" s="88">
        <f>11835-11834</f>
        <v>1</v>
      </c>
      <c r="N96" s="88">
        <v>729</v>
      </c>
      <c r="O96" s="87">
        <v>0</v>
      </c>
      <c r="P96" s="88">
        <f>Q96+R96+S96</f>
        <v>0</v>
      </c>
      <c r="Q96" s="88">
        <v>0</v>
      </c>
      <c r="R96" s="88">
        <v>0</v>
      </c>
      <c r="S96" s="88">
        <v>0</v>
      </c>
      <c r="T96" s="237">
        <v>0</v>
      </c>
      <c r="U96" s="236">
        <f>X96+W96+V96</f>
        <v>0</v>
      </c>
      <c r="V96" s="236">
        <v>0</v>
      </c>
      <c r="W96" s="236">
        <v>0</v>
      </c>
      <c r="X96" s="236">
        <f>8256-5164-3092</f>
        <v>0</v>
      </c>
      <c r="Y96" s="237">
        <v>0</v>
      </c>
      <c r="Z96" s="236">
        <f>AA96+AB96+AC96+AD96</f>
        <v>0</v>
      </c>
      <c r="AA96" s="236">
        <v>0</v>
      </c>
      <c r="AB96" s="236">
        <v>0</v>
      </c>
      <c r="AC96" s="236">
        <f>8256-8256</f>
        <v>0</v>
      </c>
    </row>
    <row r="97" spans="1:29" s="233" customFormat="1" ht="34.5" customHeight="1" outlineLevel="1" x14ac:dyDescent="0.2">
      <c r="A97" s="208"/>
      <c r="B97" s="227" t="s">
        <v>370</v>
      </c>
      <c r="C97" s="87">
        <f>E97+J97+O97+T97+Y97</f>
        <v>0</v>
      </c>
      <c r="D97" s="211">
        <f>F97+Z97+P97+K97+U97</f>
        <v>9976</v>
      </c>
      <c r="E97" s="210">
        <v>0</v>
      </c>
      <c r="F97" s="211">
        <v>0</v>
      </c>
      <c r="G97" s="211">
        <v>0</v>
      </c>
      <c r="H97" s="211">
        <v>0</v>
      </c>
      <c r="I97" s="211">
        <v>0</v>
      </c>
      <c r="J97" s="87">
        <v>0</v>
      </c>
      <c r="K97" s="189">
        <f>SUM(L97:N97)</f>
        <v>0</v>
      </c>
      <c r="L97" s="88">
        <v>0</v>
      </c>
      <c r="M97" s="88">
        <v>0</v>
      </c>
      <c r="N97" s="88">
        <v>0</v>
      </c>
      <c r="O97" s="87">
        <v>0</v>
      </c>
      <c r="P97" s="88">
        <v>0</v>
      </c>
      <c r="Q97" s="88">
        <v>0</v>
      </c>
      <c r="R97" s="88">
        <v>0</v>
      </c>
      <c r="S97" s="88">
        <v>0</v>
      </c>
      <c r="T97" s="237">
        <v>0</v>
      </c>
      <c r="U97" s="236">
        <v>0</v>
      </c>
      <c r="V97" s="236">
        <v>0</v>
      </c>
      <c r="W97" s="236">
        <v>0</v>
      </c>
      <c r="X97" s="236">
        <v>0</v>
      </c>
      <c r="Y97" s="237">
        <v>0</v>
      </c>
      <c r="Z97" s="236">
        <f>AA97+AB97+AC97</f>
        <v>9976</v>
      </c>
      <c r="AA97" s="236">
        <v>0</v>
      </c>
      <c r="AB97" s="236">
        <v>0</v>
      </c>
      <c r="AC97" s="236">
        <v>9976</v>
      </c>
    </row>
    <row r="98" spans="1:29" s="250" customFormat="1" ht="46.9" customHeight="1" x14ac:dyDescent="0.2">
      <c r="A98" s="247"/>
      <c r="B98" s="227" t="s">
        <v>478</v>
      </c>
      <c r="C98" s="248">
        <f t="shared" ref="C98:Y98" si="48">SUM(C78:C97)</f>
        <v>52.05</v>
      </c>
      <c r="D98" s="249">
        <f>SUM(D78:D96)</f>
        <v>606129</v>
      </c>
      <c r="E98" s="248">
        <f t="shared" si="48"/>
        <v>5.54</v>
      </c>
      <c r="F98" s="249">
        <f t="shared" si="48"/>
        <v>64125</v>
      </c>
      <c r="G98" s="249">
        <f t="shared" si="48"/>
        <v>0</v>
      </c>
      <c r="H98" s="249">
        <f t="shared" si="48"/>
        <v>60112</v>
      </c>
      <c r="I98" s="249">
        <f t="shared" si="48"/>
        <v>4013</v>
      </c>
      <c r="J98" s="248">
        <f t="shared" si="48"/>
        <v>46.48</v>
      </c>
      <c r="K98" s="249">
        <f t="shared" si="48"/>
        <v>241974</v>
      </c>
      <c r="L98" s="249">
        <f t="shared" si="48"/>
        <v>0</v>
      </c>
      <c r="M98" s="249">
        <f t="shared" si="48"/>
        <v>214659</v>
      </c>
      <c r="N98" s="249">
        <f t="shared" si="48"/>
        <v>27315</v>
      </c>
      <c r="O98" s="248">
        <f t="shared" si="48"/>
        <v>40.94</v>
      </c>
      <c r="P98" s="249">
        <f t="shared" si="48"/>
        <v>190226</v>
      </c>
      <c r="Q98" s="249">
        <f t="shared" si="48"/>
        <v>0</v>
      </c>
      <c r="R98" s="249">
        <f t="shared" si="48"/>
        <v>174879</v>
      </c>
      <c r="S98" s="249">
        <f t="shared" si="48"/>
        <v>15347</v>
      </c>
      <c r="T98" s="248">
        <f t="shared" si="48"/>
        <v>40.97</v>
      </c>
      <c r="U98" s="249">
        <f t="shared" si="48"/>
        <v>109804</v>
      </c>
      <c r="V98" s="249">
        <f t="shared" si="48"/>
        <v>0</v>
      </c>
      <c r="W98" s="249">
        <f t="shared" si="48"/>
        <v>103000</v>
      </c>
      <c r="X98" s="249">
        <f t="shared" si="48"/>
        <v>6804</v>
      </c>
      <c r="Y98" s="248">
        <f t="shared" si="48"/>
        <v>40.97</v>
      </c>
      <c r="Z98" s="249">
        <f>SUM(Z78:Z96)</f>
        <v>0</v>
      </c>
      <c r="AA98" s="249">
        <f>SUM(AA78:AA97)</f>
        <v>0</v>
      </c>
      <c r="AB98" s="249">
        <f>SUM(AB78:AB96)</f>
        <v>0</v>
      </c>
      <c r="AC98" s="249">
        <f>SUM(AC78:AC96)</f>
        <v>0</v>
      </c>
    </row>
    <row r="99" spans="1:29" s="233" customFormat="1" ht="48.75" customHeight="1" x14ac:dyDescent="0.2">
      <c r="A99" s="232" t="s">
        <v>430</v>
      </c>
      <c r="B99" s="523" t="s">
        <v>1338</v>
      </c>
      <c r="C99" s="524"/>
      <c r="D99" s="524"/>
      <c r="E99" s="524"/>
      <c r="F99" s="524"/>
      <c r="G99" s="524"/>
      <c r="H99" s="524"/>
      <c r="I99" s="524"/>
      <c r="J99" s="524"/>
      <c r="K99" s="524"/>
      <c r="L99" s="524"/>
      <c r="M99" s="524"/>
      <c r="N99" s="524"/>
      <c r="O99" s="524"/>
      <c r="P99" s="524"/>
      <c r="Q99" s="524"/>
      <c r="R99" s="524"/>
      <c r="S99" s="524"/>
      <c r="T99" s="524"/>
      <c r="U99" s="524"/>
      <c r="V99" s="524"/>
      <c r="W99" s="524"/>
      <c r="X99" s="524"/>
      <c r="Y99" s="524"/>
      <c r="Z99" s="524"/>
      <c r="AA99" s="524"/>
      <c r="AB99" s="524"/>
      <c r="AC99" s="525"/>
    </row>
    <row r="100" spans="1:29" s="233" customFormat="1" ht="52.9" customHeight="1" outlineLevel="1" x14ac:dyDescent="0.2">
      <c r="A100" s="246" t="s">
        <v>1068</v>
      </c>
      <c r="B100" s="251" t="s">
        <v>1294</v>
      </c>
      <c r="C100" s="198">
        <f t="shared" ref="C100" si="49">E100+J100+O100+Y100+T100</f>
        <v>1</v>
      </c>
      <c r="D100" s="246">
        <f>F100+K100+P100+Z100+U100</f>
        <v>4675</v>
      </c>
      <c r="E100" s="252">
        <v>0</v>
      </c>
      <c r="F100" s="189">
        <f t="shared" ref="F100:F104" si="50">G100+H100+I100</f>
        <v>0</v>
      </c>
      <c r="G100" s="189">
        <v>0</v>
      </c>
      <c r="H100" s="189">
        <v>0</v>
      </c>
      <c r="I100" s="189">
        <v>0</v>
      </c>
      <c r="J100" s="198">
        <v>0</v>
      </c>
      <c r="K100" s="88">
        <v>0</v>
      </c>
      <c r="L100" s="88">
        <v>0</v>
      </c>
      <c r="M100" s="88">
        <v>0</v>
      </c>
      <c r="N100" s="88">
        <v>0</v>
      </c>
      <c r="O100" s="87">
        <v>0</v>
      </c>
      <c r="P100" s="88">
        <f t="shared" ref="P100" si="51">Q100+R100+S100</f>
        <v>0</v>
      </c>
      <c r="Q100" s="88">
        <v>0</v>
      </c>
      <c r="R100" s="88">
        <v>0</v>
      </c>
      <c r="S100" s="88">
        <v>0</v>
      </c>
      <c r="T100" s="87">
        <v>1</v>
      </c>
      <c r="U100" s="88">
        <f t="shared" ref="U100:U103" si="52">V100+W100+X100</f>
        <v>4675</v>
      </c>
      <c r="V100" s="88">
        <v>0</v>
      </c>
      <c r="W100" s="88">
        <v>0</v>
      </c>
      <c r="X100" s="88">
        <f>4806-81-50</f>
        <v>4675</v>
      </c>
      <c r="Y100" s="87">
        <v>0</v>
      </c>
      <c r="Z100" s="88">
        <v>0</v>
      </c>
      <c r="AA100" s="88">
        <v>0</v>
      </c>
      <c r="AB100" s="88">
        <v>0</v>
      </c>
      <c r="AC100" s="88">
        <v>0</v>
      </c>
    </row>
    <row r="101" spans="1:29" s="238" customFormat="1" ht="64.5" customHeight="1" outlineLevel="1" x14ac:dyDescent="0.2">
      <c r="A101" s="246" t="s">
        <v>1069</v>
      </c>
      <c r="B101" s="245" t="s">
        <v>329</v>
      </c>
      <c r="C101" s="198">
        <f t="shared" ref="C101:C105" si="53">E101+J101+O101+T101+Y101</f>
        <v>1.2</v>
      </c>
      <c r="D101" s="246">
        <f t="shared" ref="D101:D164" si="54">F101+K101+P101+Z101+U101</f>
        <v>8874</v>
      </c>
      <c r="E101" s="210">
        <v>1.2</v>
      </c>
      <c r="F101" s="189">
        <f>G101+H101+I101</f>
        <v>8874</v>
      </c>
      <c r="G101" s="189">
        <v>0</v>
      </c>
      <c r="H101" s="211">
        <v>8448</v>
      </c>
      <c r="I101" s="189">
        <v>426</v>
      </c>
      <c r="J101" s="198">
        <v>0</v>
      </c>
      <c r="K101" s="88">
        <f t="shared" ref="K101:K106" si="55">SUM(L101:N101)</f>
        <v>0</v>
      </c>
      <c r="L101" s="88">
        <v>0</v>
      </c>
      <c r="M101" s="88">
        <v>0</v>
      </c>
      <c r="N101" s="88">
        <v>0</v>
      </c>
      <c r="O101" s="87">
        <v>0</v>
      </c>
      <c r="P101" s="88">
        <f t="shared" ref="P101:P106" si="56">Q101+R101+S101</f>
        <v>0</v>
      </c>
      <c r="Q101" s="88">
        <v>0</v>
      </c>
      <c r="R101" s="88">
        <v>0</v>
      </c>
      <c r="S101" s="88">
        <v>0</v>
      </c>
      <c r="T101" s="87">
        <v>0</v>
      </c>
      <c r="U101" s="88">
        <f t="shared" si="52"/>
        <v>0</v>
      </c>
      <c r="V101" s="88">
        <v>0</v>
      </c>
      <c r="W101" s="88">
        <v>0</v>
      </c>
      <c r="X101" s="88">
        <v>0</v>
      </c>
      <c r="Y101" s="87">
        <v>0</v>
      </c>
      <c r="Z101" s="88">
        <f t="shared" ref="Z101:Z103" si="57">AA101+AB101+AC101</f>
        <v>0</v>
      </c>
      <c r="AA101" s="88">
        <v>0</v>
      </c>
      <c r="AB101" s="88">
        <v>0</v>
      </c>
      <c r="AC101" s="88">
        <v>0</v>
      </c>
    </row>
    <row r="102" spans="1:29" s="238" customFormat="1" ht="46.5" customHeight="1" outlineLevel="1" x14ac:dyDescent="0.2">
      <c r="A102" s="246" t="s">
        <v>1070</v>
      </c>
      <c r="B102" s="245" t="s">
        <v>330</v>
      </c>
      <c r="C102" s="198">
        <f t="shared" si="53"/>
        <v>0.85</v>
      </c>
      <c r="D102" s="246">
        <f t="shared" si="54"/>
        <v>18436</v>
      </c>
      <c r="E102" s="210">
        <v>0.85</v>
      </c>
      <c r="F102" s="189">
        <f>G102+H102+I102</f>
        <v>18436</v>
      </c>
      <c r="G102" s="189">
        <v>0</v>
      </c>
      <c r="H102" s="211">
        <v>17551</v>
      </c>
      <c r="I102" s="189">
        <v>885</v>
      </c>
      <c r="J102" s="198">
        <v>0</v>
      </c>
      <c r="K102" s="88">
        <f t="shared" si="55"/>
        <v>0</v>
      </c>
      <c r="L102" s="88">
        <v>0</v>
      </c>
      <c r="M102" s="88">
        <v>0</v>
      </c>
      <c r="N102" s="88">
        <v>0</v>
      </c>
      <c r="O102" s="87">
        <v>0</v>
      </c>
      <c r="P102" s="88">
        <f t="shared" si="56"/>
        <v>0</v>
      </c>
      <c r="Q102" s="88">
        <v>0</v>
      </c>
      <c r="R102" s="88">
        <v>0</v>
      </c>
      <c r="S102" s="88">
        <v>0</v>
      </c>
      <c r="T102" s="87">
        <v>0</v>
      </c>
      <c r="U102" s="88">
        <f t="shared" si="52"/>
        <v>0</v>
      </c>
      <c r="V102" s="88">
        <v>0</v>
      </c>
      <c r="W102" s="88">
        <v>0</v>
      </c>
      <c r="X102" s="88">
        <v>0</v>
      </c>
      <c r="Y102" s="87">
        <v>0</v>
      </c>
      <c r="Z102" s="88">
        <f t="shared" si="57"/>
        <v>0</v>
      </c>
      <c r="AA102" s="88">
        <v>0</v>
      </c>
      <c r="AB102" s="88">
        <v>0</v>
      </c>
      <c r="AC102" s="88">
        <v>0</v>
      </c>
    </row>
    <row r="103" spans="1:29" s="238" customFormat="1" ht="46.5" customHeight="1" outlineLevel="1" x14ac:dyDescent="0.2">
      <c r="A103" s="246" t="s">
        <v>1071</v>
      </c>
      <c r="B103" s="245" t="s">
        <v>353</v>
      </c>
      <c r="C103" s="198">
        <f t="shared" si="53"/>
        <v>4.71</v>
      </c>
      <c r="D103" s="246">
        <f t="shared" si="54"/>
        <v>323</v>
      </c>
      <c r="E103" s="210">
        <v>0</v>
      </c>
      <c r="F103" s="189">
        <f>G103+H103+I103</f>
        <v>0</v>
      </c>
      <c r="G103" s="189">
        <v>0</v>
      </c>
      <c r="H103" s="211">
        <v>0</v>
      </c>
      <c r="I103" s="189">
        <v>0</v>
      </c>
      <c r="J103" s="198">
        <v>4.71</v>
      </c>
      <c r="K103" s="88">
        <f>SUM(L103:N103)</f>
        <v>323</v>
      </c>
      <c r="L103" s="88">
        <v>0</v>
      </c>
      <c r="M103" s="88">
        <v>0</v>
      </c>
      <c r="N103" s="88">
        <v>323</v>
      </c>
      <c r="O103" s="87">
        <v>0</v>
      </c>
      <c r="P103" s="88">
        <f t="shared" si="56"/>
        <v>0</v>
      </c>
      <c r="Q103" s="88">
        <v>0</v>
      </c>
      <c r="R103" s="88">
        <v>0</v>
      </c>
      <c r="S103" s="88">
        <v>0</v>
      </c>
      <c r="T103" s="87">
        <v>0</v>
      </c>
      <c r="U103" s="88">
        <f t="shared" si="52"/>
        <v>0</v>
      </c>
      <c r="V103" s="88">
        <v>0</v>
      </c>
      <c r="W103" s="88">
        <v>0</v>
      </c>
      <c r="X103" s="88">
        <v>0</v>
      </c>
      <c r="Y103" s="87">
        <v>0</v>
      </c>
      <c r="Z103" s="88">
        <f t="shared" si="57"/>
        <v>0</v>
      </c>
      <c r="AA103" s="88">
        <v>0</v>
      </c>
      <c r="AB103" s="88">
        <v>0</v>
      </c>
      <c r="AC103" s="88">
        <v>0</v>
      </c>
    </row>
    <row r="104" spans="1:29" s="238" customFormat="1" ht="108.75" customHeight="1" outlineLevel="1" x14ac:dyDescent="0.2">
      <c r="A104" s="246" t="s">
        <v>1072</v>
      </c>
      <c r="B104" s="245" t="s">
        <v>536</v>
      </c>
      <c r="C104" s="198">
        <f t="shared" si="53"/>
        <v>0</v>
      </c>
      <c r="D104" s="246">
        <f t="shared" si="54"/>
        <v>5949</v>
      </c>
      <c r="E104" s="210">
        <v>0</v>
      </c>
      <c r="F104" s="189">
        <f t="shared" si="50"/>
        <v>595</v>
      </c>
      <c r="G104" s="189">
        <v>0</v>
      </c>
      <c r="H104" s="211">
        <v>0</v>
      </c>
      <c r="I104" s="211">
        <v>595</v>
      </c>
      <c r="J104" s="198">
        <v>0</v>
      </c>
      <c r="K104" s="88">
        <f t="shared" si="55"/>
        <v>1086</v>
      </c>
      <c r="L104" s="88">
        <v>0</v>
      </c>
      <c r="M104" s="88">
        <v>0</v>
      </c>
      <c r="N104" s="88">
        <f>2100+51+920-1151+23-857</f>
        <v>1086</v>
      </c>
      <c r="O104" s="87">
        <v>0</v>
      </c>
      <c r="P104" s="88">
        <f t="shared" si="56"/>
        <v>690</v>
      </c>
      <c r="Q104" s="88">
        <v>0</v>
      </c>
      <c r="R104" s="88">
        <v>0</v>
      </c>
      <c r="S104" s="88">
        <f>3000-1156+524+101+285-30-699-1335</f>
        <v>690</v>
      </c>
      <c r="T104" s="87">
        <v>0</v>
      </c>
      <c r="U104" s="88">
        <f>V104+W104+X104</f>
        <v>1522</v>
      </c>
      <c r="V104" s="88">
        <v>0</v>
      </c>
      <c r="W104" s="88">
        <v>0</v>
      </c>
      <c r="X104" s="88">
        <f>3000+494-1432-3-253-278+722-523-205</f>
        <v>1522</v>
      </c>
      <c r="Y104" s="87">
        <v>0</v>
      </c>
      <c r="Z104" s="88">
        <f t="shared" ref="Z104" si="58">AA104+AB104+AC104</f>
        <v>2056</v>
      </c>
      <c r="AA104" s="88">
        <v>0</v>
      </c>
      <c r="AB104" s="88">
        <v>0</v>
      </c>
      <c r="AC104" s="88">
        <f>4896-1402-1432+768+7-626-155</f>
        <v>2056</v>
      </c>
    </row>
    <row r="105" spans="1:29" s="238" customFormat="1" ht="37.5" customHeight="1" outlineLevel="1" x14ac:dyDescent="0.2">
      <c r="A105" s="246" t="s">
        <v>1073</v>
      </c>
      <c r="B105" s="245" t="s">
        <v>204</v>
      </c>
      <c r="C105" s="198">
        <f t="shared" si="53"/>
        <v>0</v>
      </c>
      <c r="D105" s="246">
        <f t="shared" si="54"/>
        <v>2748</v>
      </c>
      <c r="E105" s="210">
        <v>0</v>
      </c>
      <c r="F105" s="189">
        <f>G105+H105+I105</f>
        <v>2748</v>
      </c>
      <c r="G105" s="189">
        <v>0</v>
      </c>
      <c r="H105" s="211">
        <v>0</v>
      </c>
      <c r="I105" s="211">
        <v>2748</v>
      </c>
      <c r="J105" s="198">
        <v>0</v>
      </c>
      <c r="K105" s="88">
        <f t="shared" si="55"/>
        <v>0</v>
      </c>
      <c r="L105" s="88">
        <v>0</v>
      </c>
      <c r="M105" s="88">
        <v>0</v>
      </c>
      <c r="N105" s="88">
        <v>0</v>
      </c>
      <c r="O105" s="87">
        <v>0</v>
      </c>
      <c r="P105" s="88">
        <f t="shared" si="56"/>
        <v>0</v>
      </c>
      <c r="Q105" s="88">
        <v>0</v>
      </c>
      <c r="R105" s="88">
        <v>0</v>
      </c>
      <c r="S105" s="88">
        <v>0</v>
      </c>
      <c r="T105" s="87">
        <v>0</v>
      </c>
      <c r="U105" s="88">
        <f>V105+W105+X105</f>
        <v>0</v>
      </c>
      <c r="V105" s="88">
        <v>0</v>
      </c>
      <c r="W105" s="88">
        <v>0</v>
      </c>
      <c r="X105" s="88">
        <v>0</v>
      </c>
      <c r="Y105" s="87">
        <v>0</v>
      </c>
      <c r="Z105" s="88">
        <f>AA105+AB105+AC105</f>
        <v>0</v>
      </c>
      <c r="AA105" s="88">
        <v>0</v>
      </c>
      <c r="AB105" s="88">
        <v>0</v>
      </c>
      <c r="AC105" s="88">
        <v>0</v>
      </c>
    </row>
    <row r="106" spans="1:29" s="238" customFormat="1" ht="70.900000000000006" customHeight="1" outlineLevel="1" x14ac:dyDescent="0.2">
      <c r="A106" s="246" t="s">
        <v>1074</v>
      </c>
      <c r="B106" s="245" t="s">
        <v>205</v>
      </c>
      <c r="C106" s="198">
        <f t="shared" ref="C106:C166" si="59">E106+J106+O106+T106+Y106</f>
        <v>0</v>
      </c>
      <c r="D106" s="246">
        <f t="shared" si="54"/>
        <v>5562</v>
      </c>
      <c r="E106" s="210">
        <v>0</v>
      </c>
      <c r="F106" s="189">
        <f t="shared" ref="F106:F165" si="60">G106+H106+I106</f>
        <v>709</v>
      </c>
      <c r="G106" s="189">
        <v>0</v>
      </c>
      <c r="H106" s="211">
        <v>0</v>
      </c>
      <c r="I106" s="211">
        <v>709</v>
      </c>
      <c r="J106" s="198">
        <v>0</v>
      </c>
      <c r="K106" s="88">
        <f t="shared" si="55"/>
        <v>837</v>
      </c>
      <c r="L106" s="88">
        <v>0</v>
      </c>
      <c r="M106" s="88">
        <v>0</v>
      </c>
      <c r="N106" s="88">
        <v>837</v>
      </c>
      <c r="O106" s="87">
        <v>0</v>
      </c>
      <c r="P106" s="88">
        <f t="shared" si="56"/>
        <v>952</v>
      </c>
      <c r="Q106" s="88">
        <v>0</v>
      </c>
      <c r="R106" s="88">
        <v>0</v>
      </c>
      <c r="S106" s="88">
        <f>837+423-150-158</f>
        <v>952</v>
      </c>
      <c r="T106" s="87">
        <v>0</v>
      </c>
      <c r="U106" s="88">
        <f>V106+W106+X106</f>
        <v>999</v>
      </c>
      <c r="V106" s="88">
        <v>0</v>
      </c>
      <c r="W106" s="88">
        <v>0</v>
      </c>
      <c r="X106" s="88">
        <f>837+423-261</f>
        <v>999</v>
      </c>
      <c r="Y106" s="87">
        <v>0</v>
      </c>
      <c r="Z106" s="88">
        <f>AA106+AB106+AC106</f>
        <v>2065</v>
      </c>
      <c r="AA106" s="88">
        <v>0</v>
      </c>
      <c r="AB106" s="88">
        <v>0</v>
      </c>
      <c r="AC106" s="88">
        <f>837+423+805</f>
        <v>2065</v>
      </c>
    </row>
    <row r="107" spans="1:29" s="238" customFormat="1" ht="46.9" customHeight="1" outlineLevel="1" x14ac:dyDescent="0.2">
      <c r="A107" s="246" t="s">
        <v>1075</v>
      </c>
      <c r="B107" s="245" t="s">
        <v>229</v>
      </c>
      <c r="C107" s="198">
        <f t="shared" si="59"/>
        <v>0</v>
      </c>
      <c r="D107" s="246">
        <f t="shared" si="54"/>
        <v>202</v>
      </c>
      <c r="E107" s="210">
        <v>0</v>
      </c>
      <c r="F107" s="189">
        <f t="shared" si="60"/>
        <v>202</v>
      </c>
      <c r="G107" s="189">
        <v>0</v>
      </c>
      <c r="H107" s="211">
        <v>192</v>
      </c>
      <c r="I107" s="211">
        <v>10</v>
      </c>
      <c r="J107" s="198">
        <v>0</v>
      </c>
      <c r="K107" s="88">
        <v>0</v>
      </c>
      <c r="L107" s="88">
        <v>0</v>
      </c>
      <c r="M107" s="88">
        <v>0</v>
      </c>
      <c r="N107" s="88">
        <v>0</v>
      </c>
      <c r="O107" s="87">
        <v>0</v>
      </c>
      <c r="P107" s="88">
        <f>S107</f>
        <v>0</v>
      </c>
      <c r="Q107" s="88">
        <v>0</v>
      </c>
      <c r="R107" s="88">
        <v>0</v>
      </c>
      <c r="S107" s="88">
        <v>0</v>
      </c>
      <c r="T107" s="87">
        <v>0</v>
      </c>
      <c r="U107" s="88">
        <v>0</v>
      </c>
      <c r="V107" s="88">
        <v>0</v>
      </c>
      <c r="W107" s="88">
        <v>0</v>
      </c>
      <c r="X107" s="88">
        <v>0</v>
      </c>
      <c r="Y107" s="87">
        <v>0</v>
      </c>
      <c r="Z107" s="88">
        <v>0</v>
      </c>
      <c r="AA107" s="88">
        <v>0</v>
      </c>
      <c r="AB107" s="88">
        <v>0</v>
      </c>
      <c r="AC107" s="88">
        <v>0</v>
      </c>
    </row>
    <row r="108" spans="1:29" s="238" customFormat="1" ht="66.599999999999994" customHeight="1" outlineLevel="1" x14ac:dyDescent="0.2">
      <c r="A108" s="246" t="s">
        <v>1076</v>
      </c>
      <c r="B108" s="245" t="s">
        <v>230</v>
      </c>
      <c r="C108" s="198">
        <f t="shared" si="59"/>
        <v>0</v>
      </c>
      <c r="D108" s="246">
        <f t="shared" si="54"/>
        <v>106</v>
      </c>
      <c r="E108" s="210">
        <v>0</v>
      </c>
      <c r="F108" s="189">
        <f t="shared" si="60"/>
        <v>106</v>
      </c>
      <c r="G108" s="189">
        <v>0</v>
      </c>
      <c r="H108" s="211">
        <v>101</v>
      </c>
      <c r="I108" s="211">
        <v>5</v>
      </c>
      <c r="J108" s="198">
        <v>0</v>
      </c>
      <c r="K108" s="88">
        <v>0</v>
      </c>
      <c r="L108" s="88">
        <v>0</v>
      </c>
      <c r="M108" s="88">
        <v>0</v>
      </c>
      <c r="N108" s="88">
        <v>0</v>
      </c>
      <c r="O108" s="87">
        <v>0</v>
      </c>
      <c r="P108" s="88">
        <f t="shared" ref="P108:P169" si="61">S108</f>
        <v>0</v>
      </c>
      <c r="Q108" s="88">
        <v>0</v>
      </c>
      <c r="R108" s="88">
        <v>0</v>
      </c>
      <c r="S108" s="88">
        <v>0</v>
      </c>
      <c r="T108" s="87">
        <v>0</v>
      </c>
      <c r="U108" s="88">
        <v>0</v>
      </c>
      <c r="V108" s="88">
        <v>0</v>
      </c>
      <c r="W108" s="88">
        <v>0</v>
      </c>
      <c r="X108" s="88">
        <v>0</v>
      </c>
      <c r="Y108" s="87">
        <v>0</v>
      </c>
      <c r="Z108" s="88">
        <v>0</v>
      </c>
      <c r="AA108" s="88">
        <v>0</v>
      </c>
      <c r="AB108" s="88">
        <v>0</v>
      </c>
      <c r="AC108" s="88">
        <v>0</v>
      </c>
    </row>
    <row r="109" spans="1:29" s="238" customFormat="1" ht="73.900000000000006" customHeight="1" outlineLevel="1" x14ac:dyDescent="0.2">
      <c r="A109" s="246" t="s">
        <v>1077</v>
      </c>
      <c r="B109" s="245" t="s">
        <v>231</v>
      </c>
      <c r="C109" s="198">
        <f t="shared" si="59"/>
        <v>0</v>
      </c>
      <c r="D109" s="246">
        <f t="shared" si="54"/>
        <v>1288</v>
      </c>
      <c r="E109" s="210">
        <v>0</v>
      </c>
      <c r="F109" s="189">
        <f t="shared" si="60"/>
        <v>1288</v>
      </c>
      <c r="G109" s="189">
        <v>0</v>
      </c>
      <c r="H109" s="211">
        <v>1226</v>
      </c>
      <c r="I109" s="211">
        <v>62</v>
      </c>
      <c r="J109" s="198">
        <v>0</v>
      </c>
      <c r="K109" s="88">
        <v>0</v>
      </c>
      <c r="L109" s="88">
        <v>0</v>
      </c>
      <c r="M109" s="88">
        <v>0</v>
      </c>
      <c r="N109" s="88">
        <v>0</v>
      </c>
      <c r="O109" s="87">
        <v>0</v>
      </c>
      <c r="P109" s="88">
        <f t="shared" si="61"/>
        <v>0</v>
      </c>
      <c r="Q109" s="88">
        <v>0</v>
      </c>
      <c r="R109" s="88">
        <v>0</v>
      </c>
      <c r="S109" s="88">
        <v>0</v>
      </c>
      <c r="T109" s="87">
        <v>0</v>
      </c>
      <c r="U109" s="88">
        <v>0</v>
      </c>
      <c r="V109" s="88">
        <v>0</v>
      </c>
      <c r="W109" s="88">
        <v>0</v>
      </c>
      <c r="X109" s="88">
        <v>0</v>
      </c>
      <c r="Y109" s="87">
        <v>0</v>
      </c>
      <c r="Z109" s="88">
        <v>0</v>
      </c>
      <c r="AA109" s="88">
        <v>0</v>
      </c>
      <c r="AB109" s="88">
        <v>0</v>
      </c>
      <c r="AC109" s="88">
        <v>0</v>
      </c>
    </row>
    <row r="110" spans="1:29" s="238" customFormat="1" ht="124.5" customHeight="1" outlineLevel="1" x14ac:dyDescent="0.2">
      <c r="A110" s="246" t="s">
        <v>1078</v>
      </c>
      <c r="B110" s="245" t="s">
        <v>1288</v>
      </c>
      <c r="C110" s="198">
        <f t="shared" si="59"/>
        <v>0</v>
      </c>
      <c r="D110" s="246">
        <f t="shared" si="54"/>
        <v>628</v>
      </c>
      <c r="E110" s="210">
        <v>0</v>
      </c>
      <c r="F110" s="189">
        <f t="shared" si="60"/>
        <v>628</v>
      </c>
      <c r="G110" s="189">
        <v>0</v>
      </c>
      <c r="H110" s="211">
        <v>598</v>
      </c>
      <c r="I110" s="211">
        <v>30</v>
      </c>
      <c r="J110" s="198">
        <v>0</v>
      </c>
      <c r="K110" s="88">
        <v>0</v>
      </c>
      <c r="L110" s="88">
        <v>0</v>
      </c>
      <c r="M110" s="88">
        <v>0</v>
      </c>
      <c r="N110" s="88">
        <v>0</v>
      </c>
      <c r="O110" s="87">
        <v>0</v>
      </c>
      <c r="P110" s="88">
        <f t="shared" si="61"/>
        <v>0</v>
      </c>
      <c r="Q110" s="88">
        <v>0</v>
      </c>
      <c r="R110" s="88">
        <v>0</v>
      </c>
      <c r="S110" s="88">
        <v>0</v>
      </c>
      <c r="T110" s="87">
        <v>0</v>
      </c>
      <c r="U110" s="88">
        <v>0</v>
      </c>
      <c r="V110" s="88">
        <v>0</v>
      </c>
      <c r="W110" s="88">
        <v>0</v>
      </c>
      <c r="X110" s="88">
        <v>0</v>
      </c>
      <c r="Y110" s="87">
        <v>0</v>
      </c>
      <c r="Z110" s="88">
        <v>0</v>
      </c>
      <c r="AA110" s="88">
        <v>0</v>
      </c>
      <c r="AB110" s="88">
        <v>0</v>
      </c>
      <c r="AC110" s="88">
        <v>0</v>
      </c>
    </row>
    <row r="111" spans="1:29" s="238" customFormat="1" ht="75" customHeight="1" outlineLevel="1" x14ac:dyDescent="0.2">
      <c r="A111" s="246" t="s">
        <v>1079</v>
      </c>
      <c r="B111" s="245" t="s">
        <v>232</v>
      </c>
      <c r="C111" s="198">
        <f t="shared" si="59"/>
        <v>0</v>
      </c>
      <c r="D111" s="246">
        <f t="shared" si="54"/>
        <v>243</v>
      </c>
      <c r="E111" s="210">
        <v>0</v>
      </c>
      <c r="F111" s="189">
        <f t="shared" si="60"/>
        <v>243</v>
      </c>
      <c r="G111" s="189">
        <v>0</v>
      </c>
      <c r="H111" s="211">
        <v>231</v>
      </c>
      <c r="I111" s="211">
        <v>12</v>
      </c>
      <c r="J111" s="198">
        <v>0</v>
      </c>
      <c r="K111" s="88">
        <v>0</v>
      </c>
      <c r="L111" s="88">
        <v>0</v>
      </c>
      <c r="M111" s="88">
        <v>0</v>
      </c>
      <c r="N111" s="88">
        <v>0</v>
      </c>
      <c r="O111" s="87">
        <v>0</v>
      </c>
      <c r="P111" s="88">
        <f t="shared" si="61"/>
        <v>0</v>
      </c>
      <c r="Q111" s="88">
        <v>0</v>
      </c>
      <c r="R111" s="88">
        <v>0</v>
      </c>
      <c r="S111" s="88">
        <v>0</v>
      </c>
      <c r="T111" s="87">
        <v>0</v>
      </c>
      <c r="U111" s="88">
        <v>0</v>
      </c>
      <c r="V111" s="88">
        <v>0</v>
      </c>
      <c r="W111" s="88">
        <v>0</v>
      </c>
      <c r="X111" s="88">
        <v>0</v>
      </c>
      <c r="Y111" s="87">
        <v>0</v>
      </c>
      <c r="Z111" s="88">
        <v>0</v>
      </c>
      <c r="AA111" s="88">
        <v>0</v>
      </c>
      <c r="AB111" s="88">
        <v>0</v>
      </c>
      <c r="AC111" s="88">
        <v>0</v>
      </c>
    </row>
    <row r="112" spans="1:29" s="238" customFormat="1" ht="76.5" customHeight="1" outlineLevel="1" x14ac:dyDescent="0.2">
      <c r="A112" s="246" t="s">
        <v>1080</v>
      </c>
      <c r="B112" s="245" t="s">
        <v>617</v>
      </c>
      <c r="C112" s="198">
        <f t="shared" si="59"/>
        <v>0</v>
      </c>
      <c r="D112" s="246">
        <f t="shared" si="54"/>
        <v>428</v>
      </c>
      <c r="E112" s="210">
        <v>0</v>
      </c>
      <c r="F112" s="189">
        <f t="shared" si="60"/>
        <v>428</v>
      </c>
      <c r="G112" s="189">
        <v>0</v>
      </c>
      <c r="H112" s="211">
        <v>407</v>
      </c>
      <c r="I112" s="211">
        <v>21</v>
      </c>
      <c r="J112" s="198">
        <v>0</v>
      </c>
      <c r="K112" s="88">
        <v>0</v>
      </c>
      <c r="L112" s="88">
        <v>0</v>
      </c>
      <c r="M112" s="88">
        <v>0</v>
      </c>
      <c r="N112" s="88">
        <v>0</v>
      </c>
      <c r="O112" s="87">
        <v>0</v>
      </c>
      <c r="P112" s="88">
        <f t="shared" si="61"/>
        <v>0</v>
      </c>
      <c r="Q112" s="88">
        <v>0</v>
      </c>
      <c r="R112" s="88">
        <v>0</v>
      </c>
      <c r="S112" s="88">
        <v>0</v>
      </c>
      <c r="T112" s="87">
        <v>0</v>
      </c>
      <c r="U112" s="88">
        <v>0</v>
      </c>
      <c r="V112" s="88">
        <v>0</v>
      </c>
      <c r="W112" s="88">
        <v>0</v>
      </c>
      <c r="X112" s="88">
        <v>0</v>
      </c>
      <c r="Y112" s="87">
        <v>0</v>
      </c>
      <c r="Z112" s="88">
        <v>0</v>
      </c>
      <c r="AA112" s="88">
        <v>0</v>
      </c>
      <c r="AB112" s="88">
        <v>0</v>
      </c>
      <c r="AC112" s="88">
        <v>0</v>
      </c>
    </row>
    <row r="113" spans="1:29" s="238" customFormat="1" ht="59.45" customHeight="1" outlineLevel="1" x14ac:dyDescent="0.2">
      <c r="A113" s="246" t="s">
        <v>1081</v>
      </c>
      <c r="B113" s="245" t="s">
        <v>233</v>
      </c>
      <c r="C113" s="198">
        <f t="shared" si="59"/>
        <v>0</v>
      </c>
      <c r="D113" s="246">
        <f t="shared" si="54"/>
        <v>20</v>
      </c>
      <c r="E113" s="210">
        <v>0</v>
      </c>
      <c r="F113" s="189">
        <f t="shared" si="60"/>
        <v>20</v>
      </c>
      <c r="G113" s="189">
        <v>0</v>
      </c>
      <c r="H113" s="211">
        <v>19</v>
      </c>
      <c r="I113" s="211">
        <v>1</v>
      </c>
      <c r="J113" s="198">
        <v>0</v>
      </c>
      <c r="K113" s="88">
        <v>0</v>
      </c>
      <c r="L113" s="88">
        <v>0</v>
      </c>
      <c r="M113" s="88">
        <v>0</v>
      </c>
      <c r="N113" s="88">
        <v>0</v>
      </c>
      <c r="O113" s="87">
        <v>0</v>
      </c>
      <c r="P113" s="88">
        <f t="shared" si="61"/>
        <v>0</v>
      </c>
      <c r="Q113" s="88">
        <v>0</v>
      </c>
      <c r="R113" s="88">
        <v>0</v>
      </c>
      <c r="S113" s="88">
        <v>0</v>
      </c>
      <c r="T113" s="87">
        <v>0</v>
      </c>
      <c r="U113" s="88">
        <v>0</v>
      </c>
      <c r="V113" s="88">
        <v>0</v>
      </c>
      <c r="W113" s="88">
        <v>0</v>
      </c>
      <c r="X113" s="88">
        <v>0</v>
      </c>
      <c r="Y113" s="87">
        <v>0</v>
      </c>
      <c r="Z113" s="88">
        <v>0</v>
      </c>
      <c r="AA113" s="88">
        <v>0</v>
      </c>
      <c r="AB113" s="88">
        <v>0</v>
      </c>
      <c r="AC113" s="88">
        <v>0</v>
      </c>
    </row>
    <row r="114" spans="1:29" s="238" customFormat="1" ht="100.9" customHeight="1" outlineLevel="1" x14ac:dyDescent="0.2">
      <c r="A114" s="246" t="s">
        <v>1082</v>
      </c>
      <c r="B114" s="245" t="s">
        <v>234</v>
      </c>
      <c r="C114" s="198">
        <f t="shared" si="59"/>
        <v>0</v>
      </c>
      <c r="D114" s="246">
        <f t="shared" si="54"/>
        <v>57</v>
      </c>
      <c r="E114" s="210">
        <v>0</v>
      </c>
      <c r="F114" s="189">
        <f t="shared" si="60"/>
        <v>57</v>
      </c>
      <c r="G114" s="189">
        <v>0</v>
      </c>
      <c r="H114" s="211">
        <v>54</v>
      </c>
      <c r="I114" s="211">
        <v>3</v>
      </c>
      <c r="J114" s="198">
        <v>0</v>
      </c>
      <c r="K114" s="88">
        <v>0</v>
      </c>
      <c r="L114" s="88">
        <v>0</v>
      </c>
      <c r="M114" s="88">
        <v>0</v>
      </c>
      <c r="N114" s="88">
        <v>0</v>
      </c>
      <c r="O114" s="87">
        <v>0</v>
      </c>
      <c r="P114" s="88">
        <f t="shared" si="61"/>
        <v>0</v>
      </c>
      <c r="Q114" s="88">
        <v>0</v>
      </c>
      <c r="R114" s="88">
        <v>0</v>
      </c>
      <c r="S114" s="88">
        <v>0</v>
      </c>
      <c r="T114" s="87">
        <v>0</v>
      </c>
      <c r="U114" s="88">
        <v>0</v>
      </c>
      <c r="V114" s="88">
        <v>0</v>
      </c>
      <c r="W114" s="88">
        <v>0</v>
      </c>
      <c r="X114" s="88">
        <v>0</v>
      </c>
      <c r="Y114" s="87">
        <v>0</v>
      </c>
      <c r="Z114" s="88">
        <v>0</v>
      </c>
      <c r="AA114" s="88">
        <v>0</v>
      </c>
      <c r="AB114" s="88">
        <v>0</v>
      </c>
      <c r="AC114" s="88">
        <v>0</v>
      </c>
    </row>
    <row r="115" spans="1:29" s="238" customFormat="1" ht="51" customHeight="1" outlineLevel="1" x14ac:dyDescent="0.2">
      <c r="A115" s="246" t="s">
        <v>1083</v>
      </c>
      <c r="B115" s="245" t="s">
        <v>235</v>
      </c>
      <c r="C115" s="198">
        <f t="shared" si="59"/>
        <v>0</v>
      </c>
      <c r="D115" s="246">
        <f t="shared" si="54"/>
        <v>33</v>
      </c>
      <c r="E115" s="210">
        <v>0</v>
      </c>
      <c r="F115" s="189">
        <f t="shared" si="60"/>
        <v>33</v>
      </c>
      <c r="G115" s="189">
        <v>0</v>
      </c>
      <c r="H115" s="211">
        <v>31</v>
      </c>
      <c r="I115" s="211">
        <v>2</v>
      </c>
      <c r="J115" s="198">
        <v>0</v>
      </c>
      <c r="K115" s="88">
        <v>0</v>
      </c>
      <c r="L115" s="88">
        <v>0</v>
      </c>
      <c r="M115" s="88">
        <v>0</v>
      </c>
      <c r="N115" s="88">
        <v>0</v>
      </c>
      <c r="O115" s="87">
        <v>0</v>
      </c>
      <c r="P115" s="88">
        <f t="shared" si="61"/>
        <v>0</v>
      </c>
      <c r="Q115" s="88">
        <v>0</v>
      </c>
      <c r="R115" s="88">
        <v>0</v>
      </c>
      <c r="S115" s="88">
        <v>0</v>
      </c>
      <c r="T115" s="87">
        <v>0</v>
      </c>
      <c r="U115" s="88">
        <v>0</v>
      </c>
      <c r="V115" s="88">
        <v>0</v>
      </c>
      <c r="W115" s="88">
        <v>0</v>
      </c>
      <c r="X115" s="88">
        <v>0</v>
      </c>
      <c r="Y115" s="87">
        <v>0</v>
      </c>
      <c r="Z115" s="88">
        <v>0</v>
      </c>
      <c r="AA115" s="88">
        <v>0</v>
      </c>
      <c r="AB115" s="88">
        <v>0</v>
      </c>
      <c r="AC115" s="88">
        <v>0</v>
      </c>
    </row>
    <row r="116" spans="1:29" s="238" customFormat="1" ht="78" customHeight="1" outlineLevel="1" x14ac:dyDescent="0.2">
      <c r="A116" s="246" t="s">
        <v>1084</v>
      </c>
      <c r="B116" s="245" t="s">
        <v>236</v>
      </c>
      <c r="C116" s="198">
        <f t="shared" si="59"/>
        <v>0</v>
      </c>
      <c r="D116" s="246">
        <f t="shared" si="54"/>
        <v>630</v>
      </c>
      <c r="E116" s="210">
        <v>0</v>
      </c>
      <c r="F116" s="189">
        <f t="shared" si="60"/>
        <v>630</v>
      </c>
      <c r="G116" s="189">
        <v>0</v>
      </c>
      <c r="H116" s="211">
        <v>600</v>
      </c>
      <c r="I116" s="211">
        <v>30</v>
      </c>
      <c r="J116" s="198">
        <v>0</v>
      </c>
      <c r="K116" s="88">
        <v>0</v>
      </c>
      <c r="L116" s="88">
        <v>0</v>
      </c>
      <c r="M116" s="88">
        <v>0</v>
      </c>
      <c r="N116" s="88">
        <v>0</v>
      </c>
      <c r="O116" s="87">
        <v>0</v>
      </c>
      <c r="P116" s="88">
        <f t="shared" si="61"/>
        <v>0</v>
      </c>
      <c r="Q116" s="88">
        <v>0</v>
      </c>
      <c r="R116" s="88">
        <v>0</v>
      </c>
      <c r="S116" s="88">
        <v>0</v>
      </c>
      <c r="T116" s="87">
        <v>0</v>
      </c>
      <c r="U116" s="88">
        <v>0</v>
      </c>
      <c r="V116" s="88">
        <v>0</v>
      </c>
      <c r="W116" s="88">
        <v>0</v>
      </c>
      <c r="X116" s="88">
        <v>0</v>
      </c>
      <c r="Y116" s="87">
        <v>0</v>
      </c>
      <c r="Z116" s="88">
        <v>0</v>
      </c>
      <c r="AA116" s="88">
        <v>0</v>
      </c>
      <c r="AB116" s="88">
        <v>0</v>
      </c>
      <c r="AC116" s="88">
        <v>0</v>
      </c>
    </row>
    <row r="117" spans="1:29" s="238" customFormat="1" ht="46.9" customHeight="1" outlineLevel="1" x14ac:dyDescent="0.2">
      <c r="A117" s="246" t="s">
        <v>1085</v>
      </c>
      <c r="B117" s="245" t="s">
        <v>237</v>
      </c>
      <c r="C117" s="198">
        <f t="shared" si="59"/>
        <v>0</v>
      </c>
      <c r="D117" s="246">
        <f t="shared" si="54"/>
        <v>139</v>
      </c>
      <c r="E117" s="210">
        <v>0</v>
      </c>
      <c r="F117" s="189">
        <f t="shared" si="60"/>
        <v>139</v>
      </c>
      <c r="G117" s="189">
        <v>0</v>
      </c>
      <c r="H117" s="211">
        <v>132</v>
      </c>
      <c r="I117" s="211">
        <v>7</v>
      </c>
      <c r="J117" s="198">
        <v>0</v>
      </c>
      <c r="K117" s="88">
        <v>0</v>
      </c>
      <c r="L117" s="88">
        <v>0</v>
      </c>
      <c r="M117" s="88">
        <v>0</v>
      </c>
      <c r="N117" s="88">
        <v>0</v>
      </c>
      <c r="O117" s="87">
        <v>0</v>
      </c>
      <c r="P117" s="88">
        <f t="shared" si="61"/>
        <v>0</v>
      </c>
      <c r="Q117" s="88">
        <v>0</v>
      </c>
      <c r="R117" s="88">
        <v>0</v>
      </c>
      <c r="S117" s="88">
        <v>0</v>
      </c>
      <c r="T117" s="87">
        <v>0</v>
      </c>
      <c r="U117" s="88">
        <v>0</v>
      </c>
      <c r="V117" s="88">
        <v>0</v>
      </c>
      <c r="W117" s="88">
        <v>0</v>
      </c>
      <c r="X117" s="88">
        <v>0</v>
      </c>
      <c r="Y117" s="87">
        <v>0</v>
      </c>
      <c r="Z117" s="88">
        <v>0</v>
      </c>
      <c r="AA117" s="88">
        <v>0</v>
      </c>
      <c r="AB117" s="88">
        <v>0</v>
      </c>
      <c r="AC117" s="88">
        <v>0</v>
      </c>
    </row>
    <row r="118" spans="1:29" s="238" customFormat="1" ht="58.9" customHeight="1" outlineLevel="1" x14ac:dyDescent="0.2">
      <c r="A118" s="246" t="s">
        <v>1086</v>
      </c>
      <c r="B118" s="245" t="s">
        <v>238</v>
      </c>
      <c r="C118" s="198">
        <f t="shared" si="59"/>
        <v>0</v>
      </c>
      <c r="D118" s="246">
        <f t="shared" si="54"/>
        <v>188</v>
      </c>
      <c r="E118" s="210">
        <v>0</v>
      </c>
      <c r="F118" s="189">
        <f t="shared" si="60"/>
        <v>188</v>
      </c>
      <c r="G118" s="189">
        <v>0</v>
      </c>
      <c r="H118" s="211">
        <v>179</v>
      </c>
      <c r="I118" s="211">
        <v>9</v>
      </c>
      <c r="J118" s="198">
        <v>0</v>
      </c>
      <c r="K118" s="88">
        <v>0</v>
      </c>
      <c r="L118" s="88">
        <v>0</v>
      </c>
      <c r="M118" s="88">
        <v>0</v>
      </c>
      <c r="N118" s="88">
        <v>0</v>
      </c>
      <c r="O118" s="87">
        <v>0</v>
      </c>
      <c r="P118" s="88">
        <f t="shared" si="61"/>
        <v>0</v>
      </c>
      <c r="Q118" s="88">
        <v>0</v>
      </c>
      <c r="R118" s="88">
        <v>0</v>
      </c>
      <c r="S118" s="88">
        <v>0</v>
      </c>
      <c r="T118" s="87">
        <v>0</v>
      </c>
      <c r="U118" s="88">
        <v>0</v>
      </c>
      <c r="V118" s="88">
        <v>0</v>
      </c>
      <c r="W118" s="88">
        <v>0</v>
      </c>
      <c r="X118" s="88">
        <v>0</v>
      </c>
      <c r="Y118" s="87">
        <v>0</v>
      </c>
      <c r="Z118" s="88">
        <v>0</v>
      </c>
      <c r="AA118" s="88">
        <v>0</v>
      </c>
      <c r="AB118" s="88">
        <v>0</v>
      </c>
      <c r="AC118" s="88">
        <v>0</v>
      </c>
    </row>
    <row r="119" spans="1:29" s="238" customFormat="1" ht="63.6" customHeight="1" outlineLevel="1" x14ac:dyDescent="0.2">
      <c r="A119" s="246" t="s">
        <v>1087</v>
      </c>
      <c r="B119" s="245" t="s">
        <v>239</v>
      </c>
      <c r="C119" s="198">
        <f t="shared" si="59"/>
        <v>0</v>
      </c>
      <c r="D119" s="246">
        <f t="shared" si="54"/>
        <v>415</v>
      </c>
      <c r="E119" s="210">
        <v>0</v>
      </c>
      <c r="F119" s="189">
        <f t="shared" si="60"/>
        <v>415</v>
      </c>
      <c r="G119" s="189">
        <v>0</v>
      </c>
      <c r="H119" s="211">
        <v>395</v>
      </c>
      <c r="I119" s="211">
        <v>20</v>
      </c>
      <c r="J119" s="198">
        <v>0</v>
      </c>
      <c r="K119" s="88">
        <v>0</v>
      </c>
      <c r="L119" s="88">
        <v>0</v>
      </c>
      <c r="M119" s="88">
        <v>0</v>
      </c>
      <c r="N119" s="88">
        <v>0</v>
      </c>
      <c r="O119" s="87">
        <v>0</v>
      </c>
      <c r="P119" s="88">
        <f t="shared" si="61"/>
        <v>0</v>
      </c>
      <c r="Q119" s="88">
        <v>0</v>
      </c>
      <c r="R119" s="88">
        <v>0</v>
      </c>
      <c r="S119" s="88">
        <v>0</v>
      </c>
      <c r="T119" s="87">
        <v>0</v>
      </c>
      <c r="U119" s="88">
        <v>0</v>
      </c>
      <c r="V119" s="88">
        <v>0</v>
      </c>
      <c r="W119" s="88">
        <v>0</v>
      </c>
      <c r="X119" s="88">
        <v>0</v>
      </c>
      <c r="Y119" s="87">
        <v>0</v>
      </c>
      <c r="Z119" s="88">
        <v>0</v>
      </c>
      <c r="AA119" s="88">
        <v>0</v>
      </c>
      <c r="AB119" s="88">
        <v>0</v>
      </c>
      <c r="AC119" s="88">
        <v>0</v>
      </c>
    </row>
    <row r="120" spans="1:29" s="238" customFormat="1" ht="75" customHeight="1" outlineLevel="1" x14ac:dyDescent="0.2">
      <c r="A120" s="246" t="s">
        <v>1088</v>
      </c>
      <c r="B120" s="245" t="s">
        <v>240</v>
      </c>
      <c r="C120" s="198">
        <f t="shared" si="59"/>
        <v>0</v>
      </c>
      <c r="D120" s="246">
        <f t="shared" si="54"/>
        <v>125</v>
      </c>
      <c r="E120" s="210">
        <v>0</v>
      </c>
      <c r="F120" s="189">
        <f t="shared" si="60"/>
        <v>125</v>
      </c>
      <c r="G120" s="189">
        <v>0</v>
      </c>
      <c r="H120" s="211">
        <v>119</v>
      </c>
      <c r="I120" s="211">
        <v>6</v>
      </c>
      <c r="J120" s="198">
        <v>0</v>
      </c>
      <c r="K120" s="88">
        <v>0</v>
      </c>
      <c r="L120" s="88">
        <v>0</v>
      </c>
      <c r="M120" s="88">
        <v>0</v>
      </c>
      <c r="N120" s="88">
        <v>0</v>
      </c>
      <c r="O120" s="87">
        <v>0</v>
      </c>
      <c r="P120" s="88">
        <f t="shared" si="61"/>
        <v>0</v>
      </c>
      <c r="Q120" s="88">
        <v>0</v>
      </c>
      <c r="R120" s="88">
        <v>0</v>
      </c>
      <c r="S120" s="88">
        <v>0</v>
      </c>
      <c r="T120" s="87">
        <v>0</v>
      </c>
      <c r="U120" s="88">
        <v>0</v>
      </c>
      <c r="V120" s="88">
        <v>0</v>
      </c>
      <c r="W120" s="88">
        <v>0</v>
      </c>
      <c r="X120" s="88">
        <v>0</v>
      </c>
      <c r="Y120" s="87">
        <v>0</v>
      </c>
      <c r="Z120" s="88">
        <v>0</v>
      </c>
      <c r="AA120" s="88">
        <v>0</v>
      </c>
      <c r="AB120" s="88">
        <v>0</v>
      </c>
      <c r="AC120" s="88">
        <v>0</v>
      </c>
    </row>
    <row r="121" spans="1:29" s="238" customFormat="1" ht="78.75" customHeight="1" outlineLevel="1" x14ac:dyDescent="0.2">
      <c r="A121" s="246" t="s">
        <v>1089</v>
      </c>
      <c r="B121" s="245" t="s">
        <v>241</v>
      </c>
      <c r="C121" s="198">
        <f t="shared" si="59"/>
        <v>0</v>
      </c>
      <c r="D121" s="246">
        <f t="shared" si="54"/>
        <v>230</v>
      </c>
      <c r="E121" s="210">
        <v>0</v>
      </c>
      <c r="F121" s="189">
        <f t="shared" si="60"/>
        <v>230</v>
      </c>
      <c r="G121" s="189">
        <v>0</v>
      </c>
      <c r="H121" s="211">
        <v>219</v>
      </c>
      <c r="I121" s="211">
        <v>11</v>
      </c>
      <c r="J121" s="198">
        <v>0</v>
      </c>
      <c r="K121" s="88">
        <v>0</v>
      </c>
      <c r="L121" s="88">
        <v>0</v>
      </c>
      <c r="M121" s="88">
        <v>0</v>
      </c>
      <c r="N121" s="88">
        <v>0</v>
      </c>
      <c r="O121" s="87">
        <v>0</v>
      </c>
      <c r="P121" s="88">
        <f t="shared" si="61"/>
        <v>0</v>
      </c>
      <c r="Q121" s="88">
        <v>0</v>
      </c>
      <c r="R121" s="88">
        <v>0</v>
      </c>
      <c r="S121" s="88">
        <v>0</v>
      </c>
      <c r="T121" s="87">
        <v>0</v>
      </c>
      <c r="U121" s="88">
        <v>0</v>
      </c>
      <c r="V121" s="88">
        <v>0</v>
      </c>
      <c r="W121" s="88">
        <v>0</v>
      </c>
      <c r="X121" s="88">
        <v>0</v>
      </c>
      <c r="Y121" s="87">
        <v>0</v>
      </c>
      <c r="Z121" s="88">
        <v>0</v>
      </c>
      <c r="AA121" s="88">
        <v>0</v>
      </c>
      <c r="AB121" s="88">
        <v>0</v>
      </c>
      <c r="AC121" s="88">
        <v>0</v>
      </c>
    </row>
    <row r="122" spans="1:29" s="238" customFormat="1" ht="73.900000000000006" customHeight="1" outlineLevel="1" x14ac:dyDescent="0.2">
      <c r="A122" s="246" t="s">
        <v>1090</v>
      </c>
      <c r="B122" s="245" t="s">
        <v>242</v>
      </c>
      <c r="C122" s="198">
        <f t="shared" si="59"/>
        <v>0</v>
      </c>
      <c r="D122" s="246">
        <f t="shared" si="54"/>
        <v>532</v>
      </c>
      <c r="E122" s="210">
        <v>0</v>
      </c>
      <c r="F122" s="189">
        <f t="shared" si="60"/>
        <v>532</v>
      </c>
      <c r="G122" s="189">
        <v>0</v>
      </c>
      <c r="H122" s="211">
        <v>507</v>
      </c>
      <c r="I122" s="211">
        <v>25</v>
      </c>
      <c r="J122" s="198">
        <v>0</v>
      </c>
      <c r="K122" s="88">
        <v>0</v>
      </c>
      <c r="L122" s="88">
        <v>0</v>
      </c>
      <c r="M122" s="88">
        <v>0</v>
      </c>
      <c r="N122" s="88">
        <v>0</v>
      </c>
      <c r="O122" s="87">
        <v>0</v>
      </c>
      <c r="P122" s="88">
        <f t="shared" si="61"/>
        <v>0</v>
      </c>
      <c r="Q122" s="88">
        <v>0</v>
      </c>
      <c r="R122" s="88">
        <v>0</v>
      </c>
      <c r="S122" s="88">
        <v>0</v>
      </c>
      <c r="T122" s="87">
        <v>0</v>
      </c>
      <c r="U122" s="88">
        <v>0</v>
      </c>
      <c r="V122" s="88">
        <v>0</v>
      </c>
      <c r="W122" s="88">
        <v>0</v>
      </c>
      <c r="X122" s="88">
        <v>0</v>
      </c>
      <c r="Y122" s="87">
        <v>0</v>
      </c>
      <c r="Z122" s="88">
        <v>0</v>
      </c>
      <c r="AA122" s="88">
        <v>0</v>
      </c>
      <c r="AB122" s="88">
        <v>0</v>
      </c>
      <c r="AC122" s="88">
        <v>0</v>
      </c>
    </row>
    <row r="123" spans="1:29" s="238" customFormat="1" ht="75" customHeight="1" outlineLevel="1" x14ac:dyDescent="0.2">
      <c r="A123" s="246" t="s">
        <v>1091</v>
      </c>
      <c r="B123" s="245" t="s">
        <v>243</v>
      </c>
      <c r="C123" s="198">
        <f t="shared" si="59"/>
        <v>0</v>
      </c>
      <c r="D123" s="246">
        <f t="shared" si="54"/>
        <v>1055</v>
      </c>
      <c r="E123" s="210">
        <v>0</v>
      </c>
      <c r="F123" s="189">
        <f t="shared" si="60"/>
        <v>1055</v>
      </c>
      <c r="G123" s="189">
        <v>0</v>
      </c>
      <c r="H123" s="211">
        <v>1005</v>
      </c>
      <c r="I123" s="211">
        <v>50</v>
      </c>
      <c r="J123" s="198">
        <v>0</v>
      </c>
      <c r="K123" s="88">
        <v>0</v>
      </c>
      <c r="L123" s="88">
        <v>0</v>
      </c>
      <c r="M123" s="88">
        <v>0</v>
      </c>
      <c r="N123" s="88">
        <v>0</v>
      </c>
      <c r="O123" s="87">
        <v>0</v>
      </c>
      <c r="P123" s="88">
        <f t="shared" si="61"/>
        <v>0</v>
      </c>
      <c r="Q123" s="88">
        <v>0</v>
      </c>
      <c r="R123" s="88">
        <v>0</v>
      </c>
      <c r="S123" s="88">
        <v>0</v>
      </c>
      <c r="T123" s="87">
        <v>0</v>
      </c>
      <c r="U123" s="88">
        <v>0</v>
      </c>
      <c r="V123" s="88">
        <v>0</v>
      </c>
      <c r="W123" s="88">
        <v>0</v>
      </c>
      <c r="X123" s="88">
        <v>0</v>
      </c>
      <c r="Y123" s="87">
        <v>0</v>
      </c>
      <c r="Z123" s="88">
        <v>0</v>
      </c>
      <c r="AA123" s="88">
        <v>0</v>
      </c>
      <c r="AB123" s="88">
        <v>0</v>
      </c>
      <c r="AC123" s="88">
        <v>0</v>
      </c>
    </row>
    <row r="124" spans="1:29" s="238" customFormat="1" ht="75" customHeight="1" outlineLevel="1" x14ac:dyDescent="0.2">
      <c r="A124" s="246" t="s">
        <v>1092</v>
      </c>
      <c r="B124" s="245" t="s">
        <v>244</v>
      </c>
      <c r="C124" s="198">
        <f t="shared" si="59"/>
        <v>0</v>
      </c>
      <c r="D124" s="246">
        <f t="shared" si="54"/>
        <v>386</v>
      </c>
      <c r="E124" s="210">
        <v>0</v>
      </c>
      <c r="F124" s="189">
        <f t="shared" si="60"/>
        <v>386</v>
      </c>
      <c r="G124" s="189">
        <v>0</v>
      </c>
      <c r="H124" s="211">
        <v>367</v>
      </c>
      <c r="I124" s="211">
        <v>19</v>
      </c>
      <c r="J124" s="198">
        <v>0</v>
      </c>
      <c r="K124" s="88">
        <v>0</v>
      </c>
      <c r="L124" s="88">
        <v>0</v>
      </c>
      <c r="M124" s="88">
        <v>0</v>
      </c>
      <c r="N124" s="88">
        <v>0</v>
      </c>
      <c r="O124" s="87">
        <v>0</v>
      </c>
      <c r="P124" s="88">
        <f t="shared" si="61"/>
        <v>0</v>
      </c>
      <c r="Q124" s="88">
        <v>0</v>
      </c>
      <c r="R124" s="88">
        <v>0</v>
      </c>
      <c r="S124" s="88">
        <v>0</v>
      </c>
      <c r="T124" s="87">
        <v>0</v>
      </c>
      <c r="U124" s="88">
        <v>0</v>
      </c>
      <c r="V124" s="88">
        <v>0</v>
      </c>
      <c r="W124" s="88">
        <v>0</v>
      </c>
      <c r="X124" s="88">
        <v>0</v>
      </c>
      <c r="Y124" s="87">
        <v>0</v>
      </c>
      <c r="Z124" s="88">
        <v>0</v>
      </c>
      <c r="AA124" s="88">
        <v>0</v>
      </c>
      <c r="AB124" s="88">
        <v>0</v>
      </c>
      <c r="AC124" s="88">
        <v>0</v>
      </c>
    </row>
    <row r="125" spans="1:29" s="238" customFormat="1" ht="73.900000000000006" customHeight="1" outlineLevel="1" x14ac:dyDescent="0.2">
      <c r="A125" s="246" t="s">
        <v>1093</v>
      </c>
      <c r="B125" s="245" t="s">
        <v>245</v>
      </c>
      <c r="C125" s="198">
        <f t="shared" si="59"/>
        <v>0</v>
      </c>
      <c r="D125" s="246">
        <f t="shared" si="54"/>
        <v>94</v>
      </c>
      <c r="E125" s="210">
        <v>0</v>
      </c>
      <c r="F125" s="189">
        <f t="shared" si="60"/>
        <v>94</v>
      </c>
      <c r="G125" s="189">
        <v>0</v>
      </c>
      <c r="H125" s="211">
        <v>90</v>
      </c>
      <c r="I125" s="211">
        <v>4</v>
      </c>
      <c r="J125" s="198">
        <v>0</v>
      </c>
      <c r="K125" s="88">
        <v>0</v>
      </c>
      <c r="L125" s="88">
        <v>0</v>
      </c>
      <c r="M125" s="88">
        <v>0</v>
      </c>
      <c r="N125" s="88">
        <v>0</v>
      </c>
      <c r="O125" s="87">
        <v>0</v>
      </c>
      <c r="P125" s="88">
        <f t="shared" si="61"/>
        <v>0</v>
      </c>
      <c r="Q125" s="88">
        <v>0</v>
      </c>
      <c r="R125" s="88">
        <v>0</v>
      </c>
      <c r="S125" s="88">
        <v>0</v>
      </c>
      <c r="T125" s="87">
        <v>0</v>
      </c>
      <c r="U125" s="88">
        <v>0</v>
      </c>
      <c r="V125" s="88">
        <v>0</v>
      </c>
      <c r="W125" s="88">
        <v>0</v>
      </c>
      <c r="X125" s="88">
        <v>0</v>
      </c>
      <c r="Y125" s="87">
        <v>0</v>
      </c>
      <c r="Z125" s="88">
        <v>0</v>
      </c>
      <c r="AA125" s="88">
        <v>0</v>
      </c>
      <c r="AB125" s="88">
        <v>0</v>
      </c>
      <c r="AC125" s="88">
        <v>0</v>
      </c>
    </row>
    <row r="126" spans="1:29" s="238" customFormat="1" ht="68.45" customHeight="1" outlineLevel="1" x14ac:dyDescent="0.2">
      <c r="A126" s="246" t="s">
        <v>1094</v>
      </c>
      <c r="B126" s="245" t="s">
        <v>618</v>
      </c>
      <c r="C126" s="198">
        <f t="shared" si="59"/>
        <v>0</v>
      </c>
      <c r="D126" s="246">
        <f t="shared" si="54"/>
        <v>41</v>
      </c>
      <c r="E126" s="210">
        <v>0</v>
      </c>
      <c r="F126" s="189">
        <f t="shared" si="60"/>
        <v>41</v>
      </c>
      <c r="G126" s="189">
        <v>0</v>
      </c>
      <c r="H126" s="211">
        <v>39</v>
      </c>
      <c r="I126" s="211">
        <v>2</v>
      </c>
      <c r="J126" s="198">
        <v>0</v>
      </c>
      <c r="K126" s="88">
        <v>0</v>
      </c>
      <c r="L126" s="88">
        <v>0</v>
      </c>
      <c r="M126" s="88">
        <v>0</v>
      </c>
      <c r="N126" s="88">
        <v>0</v>
      </c>
      <c r="O126" s="87">
        <v>0</v>
      </c>
      <c r="P126" s="88">
        <f t="shared" si="61"/>
        <v>0</v>
      </c>
      <c r="Q126" s="88">
        <v>0</v>
      </c>
      <c r="R126" s="88">
        <v>0</v>
      </c>
      <c r="S126" s="88">
        <v>0</v>
      </c>
      <c r="T126" s="87">
        <v>0</v>
      </c>
      <c r="U126" s="88">
        <v>0</v>
      </c>
      <c r="V126" s="88">
        <v>0</v>
      </c>
      <c r="W126" s="88">
        <v>0</v>
      </c>
      <c r="X126" s="88">
        <v>0</v>
      </c>
      <c r="Y126" s="87">
        <v>0</v>
      </c>
      <c r="Z126" s="88">
        <v>0</v>
      </c>
      <c r="AA126" s="88">
        <v>0</v>
      </c>
      <c r="AB126" s="88">
        <v>0</v>
      </c>
      <c r="AC126" s="88">
        <v>0</v>
      </c>
    </row>
    <row r="127" spans="1:29" s="238" customFormat="1" ht="66" customHeight="1" outlineLevel="1" x14ac:dyDescent="0.2">
      <c r="A127" s="246" t="s">
        <v>1095</v>
      </c>
      <c r="B127" s="245" t="s">
        <v>619</v>
      </c>
      <c r="C127" s="198">
        <f t="shared" si="59"/>
        <v>0</v>
      </c>
      <c r="D127" s="246">
        <f t="shared" si="54"/>
        <v>95</v>
      </c>
      <c r="E127" s="210">
        <v>0</v>
      </c>
      <c r="F127" s="189">
        <f t="shared" si="60"/>
        <v>95</v>
      </c>
      <c r="G127" s="189">
        <v>0</v>
      </c>
      <c r="H127" s="211">
        <v>90</v>
      </c>
      <c r="I127" s="211">
        <v>5</v>
      </c>
      <c r="J127" s="198">
        <v>0</v>
      </c>
      <c r="K127" s="88">
        <v>0</v>
      </c>
      <c r="L127" s="88">
        <v>0</v>
      </c>
      <c r="M127" s="88">
        <v>0</v>
      </c>
      <c r="N127" s="88">
        <v>0</v>
      </c>
      <c r="O127" s="87">
        <v>0</v>
      </c>
      <c r="P127" s="88">
        <f t="shared" si="61"/>
        <v>0</v>
      </c>
      <c r="Q127" s="88">
        <v>0</v>
      </c>
      <c r="R127" s="88">
        <v>0</v>
      </c>
      <c r="S127" s="88">
        <v>0</v>
      </c>
      <c r="T127" s="87">
        <v>0</v>
      </c>
      <c r="U127" s="88">
        <v>0</v>
      </c>
      <c r="V127" s="88">
        <v>0</v>
      </c>
      <c r="W127" s="88">
        <v>0</v>
      </c>
      <c r="X127" s="88">
        <v>0</v>
      </c>
      <c r="Y127" s="87">
        <v>0</v>
      </c>
      <c r="Z127" s="88">
        <v>0</v>
      </c>
      <c r="AA127" s="88">
        <v>0</v>
      </c>
      <c r="AB127" s="88">
        <v>0</v>
      </c>
      <c r="AC127" s="88">
        <v>0</v>
      </c>
    </row>
    <row r="128" spans="1:29" s="238" customFormat="1" ht="75" customHeight="1" outlineLevel="1" x14ac:dyDescent="0.2">
      <c r="A128" s="246" t="s">
        <v>1096</v>
      </c>
      <c r="B128" s="245" t="s">
        <v>246</v>
      </c>
      <c r="C128" s="198">
        <f t="shared" si="59"/>
        <v>0</v>
      </c>
      <c r="D128" s="246">
        <f t="shared" si="54"/>
        <v>1766</v>
      </c>
      <c r="E128" s="210">
        <v>0</v>
      </c>
      <c r="F128" s="189">
        <f t="shared" si="60"/>
        <v>1766</v>
      </c>
      <c r="G128" s="189">
        <v>0</v>
      </c>
      <c r="H128" s="211">
        <v>1681</v>
      </c>
      <c r="I128" s="211">
        <v>85</v>
      </c>
      <c r="J128" s="198">
        <v>0</v>
      </c>
      <c r="K128" s="88">
        <v>0</v>
      </c>
      <c r="L128" s="88">
        <v>0</v>
      </c>
      <c r="M128" s="88">
        <v>0</v>
      </c>
      <c r="N128" s="88">
        <v>0</v>
      </c>
      <c r="O128" s="87">
        <v>0</v>
      </c>
      <c r="P128" s="88">
        <f t="shared" si="61"/>
        <v>0</v>
      </c>
      <c r="Q128" s="88">
        <v>0</v>
      </c>
      <c r="R128" s="88">
        <v>0</v>
      </c>
      <c r="S128" s="88">
        <v>0</v>
      </c>
      <c r="T128" s="87">
        <v>0</v>
      </c>
      <c r="U128" s="88">
        <v>0</v>
      </c>
      <c r="V128" s="88">
        <v>0</v>
      </c>
      <c r="W128" s="88">
        <v>0</v>
      </c>
      <c r="X128" s="88">
        <v>0</v>
      </c>
      <c r="Y128" s="87">
        <v>0</v>
      </c>
      <c r="Z128" s="88">
        <v>0</v>
      </c>
      <c r="AA128" s="88">
        <v>0</v>
      </c>
      <c r="AB128" s="88">
        <v>0</v>
      </c>
      <c r="AC128" s="88">
        <v>0</v>
      </c>
    </row>
    <row r="129" spans="1:29" s="238" customFormat="1" ht="70.900000000000006" customHeight="1" outlineLevel="1" x14ac:dyDescent="0.2">
      <c r="A129" s="246" t="s">
        <v>1097</v>
      </c>
      <c r="B129" s="245" t="s">
        <v>247</v>
      </c>
      <c r="C129" s="198">
        <f t="shared" si="59"/>
        <v>0</v>
      </c>
      <c r="D129" s="246">
        <f t="shared" si="54"/>
        <v>342</v>
      </c>
      <c r="E129" s="210">
        <v>0</v>
      </c>
      <c r="F129" s="189">
        <f t="shared" si="60"/>
        <v>342</v>
      </c>
      <c r="G129" s="189">
        <v>0</v>
      </c>
      <c r="H129" s="211">
        <v>326</v>
      </c>
      <c r="I129" s="211">
        <v>16</v>
      </c>
      <c r="J129" s="198">
        <v>0</v>
      </c>
      <c r="K129" s="88">
        <v>0</v>
      </c>
      <c r="L129" s="88">
        <v>0</v>
      </c>
      <c r="M129" s="88">
        <v>0</v>
      </c>
      <c r="N129" s="88">
        <v>0</v>
      </c>
      <c r="O129" s="87">
        <v>0</v>
      </c>
      <c r="P129" s="88">
        <f t="shared" si="61"/>
        <v>0</v>
      </c>
      <c r="Q129" s="88">
        <v>0</v>
      </c>
      <c r="R129" s="88">
        <v>0</v>
      </c>
      <c r="S129" s="88">
        <v>0</v>
      </c>
      <c r="T129" s="87">
        <v>0</v>
      </c>
      <c r="U129" s="88">
        <v>0</v>
      </c>
      <c r="V129" s="88">
        <v>0</v>
      </c>
      <c r="W129" s="88">
        <v>0</v>
      </c>
      <c r="X129" s="88">
        <v>0</v>
      </c>
      <c r="Y129" s="87">
        <v>0</v>
      </c>
      <c r="Z129" s="88">
        <v>0</v>
      </c>
      <c r="AA129" s="88">
        <v>0</v>
      </c>
      <c r="AB129" s="88">
        <v>0</v>
      </c>
      <c r="AC129" s="88">
        <v>0</v>
      </c>
    </row>
    <row r="130" spans="1:29" s="238" customFormat="1" ht="51" customHeight="1" outlineLevel="1" x14ac:dyDescent="0.2">
      <c r="A130" s="246" t="s">
        <v>1098</v>
      </c>
      <c r="B130" s="245" t="s">
        <v>248</v>
      </c>
      <c r="C130" s="198">
        <f t="shared" si="59"/>
        <v>0</v>
      </c>
      <c r="D130" s="246">
        <f t="shared" si="54"/>
        <v>289</v>
      </c>
      <c r="E130" s="210">
        <v>0</v>
      </c>
      <c r="F130" s="189">
        <f t="shared" si="60"/>
        <v>289</v>
      </c>
      <c r="G130" s="189">
        <v>0</v>
      </c>
      <c r="H130" s="211">
        <v>276</v>
      </c>
      <c r="I130" s="211">
        <v>13</v>
      </c>
      <c r="J130" s="198">
        <v>0</v>
      </c>
      <c r="K130" s="88">
        <v>0</v>
      </c>
      <c r="L130" s="88">
        <v>0</v>
      </c>
      <c r="M130" s="88">
        <v>0</v>
      </c>
      <c r="N130" s="88">
        <v>0</v>
      </c>
      <c r="O130" s="87">
        <v>0</v>
      </c>
      <c r="P130" s="88">
        <f t="shared" si="61"/>
        <v>0</v>
      </c>
      <c r="Q130" s="88">
        <v>0</v>
      </c>
      <c r="R130" s="88">
        <v>0</v>
      </c>
      <c r="S130" s="88">
        <v>0</v>
      </c>
      <c r="T130" s="87">
        <v>0</v>
      </c>
      <c r="U130" s="88">
        <v>0</v>
      </c>
      <c r="V130" s="88">
        <v>0</v>
      </c>
      <c r="W130" s="88">
        <v>0</v>
      </c>
      <c r="X130" s="88">
        <v>0</v>
      </c>
      <c r="Y130" s="87">
        <v>0</v>
      </c>
      <c r="Z130" s="88">
        <v>0</v>
      </c>
      <c r="AA130" s="88">
        <v>0</v>
      </c>
      <c r="AB130" s="88">
        <v>0</v>
      </c>
      <c r="AC130" s="88">
        <v>0</v>
      </c>
    </row>
    <row r="131" spans="1:29" s="238" customFormat="1" ht="51" customHeight="1" outlineLevel="1" x14ac:dyDescent="0.2">
      <c r="A131" s="246" t="s">
        <v>1099</v>
      </c>
      <c r="B131" s="245" t="s">
        <v>249</v>
      </c>
      <c r="C131" s="198">
        <f t="shared" si="59"/>
        <v>0</v>
      </c>
      <c r="D131" s="246">
        <f t="shared" si="54"/>
        <v>1150</v>
      </c>
      <c r="E131" s="210">
        <v>0</v>
      </c>
      <c r="F131" s="189">
        <f t="shared" si="60"/>
        <v>1150</v>
      </c>
      <c r="G131" s="189">
        <v>0</v>
      </c>
      <c r="H131" s="211">
        <v>1095</v>
      </c>
      <c r="I131" s="211">
        <v>55</v>
      </c>
      <c r="J131" s="198">
        <v>0</v>
      </c>
      <c r="K131" s="88">
        <v>0</v>
      </c>
      <c r="L131" s="88">
        <v>0</v>
      </c>
      <c r="M131" s="88">
        <v>0</v>
      </c>
      <c r="N131" s="88">
        <v>0</v>
      </c>
      <c r="O131" s="87">
        <v>0</v>
      </c>
      <c r="P131" s="88">
        <f t="shared" si="61"/>
        <v>0</v>
      </c>
      <c r="Q131" s="88">
        <v>0</v>
      </c>
      <c r="R131" s="88">
        <v>0</v>
      </c>
      <c r="S131" s="88">
        <v>0</v>
      </c>
      <c r="T131" s="87">
        <v>0</v>
      </c>
      <c r="U131" s="88">
        <v>0</v>
      </c>
      <c r="V131" s="88">
        <v>0</v>
      </c>
      <c r="W131" s="88">
        <v>0</v>
      </c>
      <c r="X131" s="88">
        <v>0</v>
      </c>
      <c r="Y131" s="87">
        <v>0</v>
      </c>
      <c r="Z131" s="88">
        <v>0</v>
      </c>
      <c r="AA131" s="88">
        <v>0</v>
      </c>
      <c r="AB131" s="88">
        <v>0</v>
      </c>
      <c r="AC131" s="88">
        <v>0</v>
      </c>
    </row>
    <row r="132" spans="1:29" s="238" customFormat="1" ht="51" customHeight="1" outlineLevel="1" x14ac:dyDescent="0.2">
      <c r="A132" s="246" t="s">
        <v>1100</v>
      </c>
      <c r="B132" s="245" t="s">
        <v>250</v>
      </c>
      <c r="C132" s="198">
        <f t="shared" si="59"/>
        <v>0</v>
      </c>
      <c r="D132" s="246">
        <f t="shared" si="54"/>
        <v>286</v>
      </c>
      <c r="E132" s="210">
        <v>0</v>
      </c>
      <c r="F132" s="189">
        <f t="shared" si="60"/>
        <v>286</v>
      </c>
      <c r="G132" s="189">
        <v>0</v>
      </c>
      <c r="H132" s="211">
        <v>272</v>
      </c>
      <c r="I132" s="211">
        <v>14</v>
      </c>
      <c r="J132" s="198">
        <v>0</v>
      </c>
      <c r="K132" s="88">
        <v>0</v>
      </c>
      <c r="L132" s="88">
        <v>0</v>
      </c>
      <c r="M132" s="88">
        <v>0</v>
      </c>
      <c r="N132" s="88">
        <v>0</v>
      </c>
      <c r="O132" s="87">
        <v>0</v>
      </c>
      <c r="P132" s="88">
        <f t="shared" si="61"/>
        <v>0</v>
      </c>
      <c r="Q132" s="88">
        <v>0</v>
      </c>
      <c r="R132" s="88">
        <v>0</v>
      </c>
      <c r="S132" s="88">
        <v>0</v>
      </c>
      <c r="T132" s="87">
        <v>0</v>
      </c>
      <c r="U132" s="88">
        <v>0</v>
      </c>
      <c r="V132" s="88">
        <v>0</v>
      </c>
      <c r="W132" s="88">
        <v>0</v>
      </c>
      <c r="X132" s="88">
        <v>0</v>
      </c>
      <c r="Y132" s="87">
        <v>0</v>
      </c>
      <c r="Z132" s="88">
        <v>0</v>
      </c>
      <c r="AA132" s="88">
        <v>0</v>
      </c>
      <c r="AB132" s="88">
        <v>0</v>
      </c>
      <c r="AC132" s="88">
        <v>0</v>
      </c>
    </row>
    <row r="133" spans="1:29" s="238" customFormat="1" ht="64.900000000000006" customHeight="1" outlineLevel="1" x14ac:dyDescent="0.2">
      <c r="A133" s="246" t="s">
        <v>1101</v>
      </c>
      <c r="B133" s="245" t="s">
        <v>251</v>
      </c>
      <c r="C133" s="198">
        <f t="shared" si="59"/>
        <v>0</v>
      </c>
      <c r="D133" s="246">
        <f t="shared" si="54"/>
        <v>238</v>
      </c>
      <c r="E133" s="210">
        <v>0</v>
      </c>
      <c r="F133" s="189">
        <f t="shared" si="60"/>
        <v>238</v>
      </c>
      <c r="G133" s="189">
        <v>0</v>
      </c>
      <c r="H133" s="211">
        <v>227</v>
      </c>
      <c r="I133" s="211">
        <v>11</v>
      </c>
      <c r="J133" s="198">
        <v>0</v>
      </c>
      <c r="K133" s="88">
        <v>0</v>
      </c>
      <c r="L133" s="88">
        <v>0</v>
      </c>
      <c r="M133" s="88">
        <v>0</v>
      </c>
      <c r="N133" s="88">
        <v>0</v>
      </c>
      <c r="O133" s="87">
        <v>0</v>
      </c>
      <c r="P133" s="88">
        <f t="shared" si="61"/>
        <v>0</v>
      </c>
      <c r="Q133" s="88">
        <v>0</v>
      </c>
      <c r="R133" s="88">
        <v>0</v>
      </c>
      <c r="S133" s="88">
        <v>0</v>
      </c>
      <c r="T133" s="87">
        <v>0</v>
      </c>
      <c r="U133" s="88">
        <v>0</v>
      </c>
      <c r="V133" s="88">
        <v>0</v>
      </c>
      <c r="W133" s="88">
        <v>0</v>
      </c>
      <c r="X133" s="88">
        <v>0</v>
      </c>
      <c r="Y133" s="87">
        <v>0</v>
      </c>
      <c r="Z133" s="88">
        <v>0</v>
      </c>
      <c r="AA133" s="88">
        <v>0</v>
      </c>
      <c r="AB133" s="88">
        <v>0</v>
      </c>
      <c r="AC133" s="88">
        <v>0</v>
      </c>
    </row>
    <row r="134" spans="1:29" s="238" customFormat="1" ht="75" customHeight="1" outlineLevel="1" x14ac:dyDescent="0.2">
      <c r="A134" s="246" t="s">
        <v>1102</v>
      </c>
      <c r="B134" s="245" t="s">
        <v>252</v>
      </c>
      <c r="C134" s="198">
        <f t="shared" si="59"/>
        <v>0</v>
      </c>
      <c r="D134" s="246">
        <f t="shared" si="54"/>
        <v>1846</v>
      </c>
      <c r="E134" s="210">
        <v>0</v>
      </c>
      <c r="F134" s="189">
        <f>G134+H134+I134</f>
        <v>1846</v>
      </c>
      <c r="G134" s="189">
        <v>0</v>
      </c>
      <c r="H134" s="211">
        <v>1757</v>
      </c>
      <c r="I134" s="211">
        <v>89</v>
      </c>
      <c r="J134" s="198">
        <v>0</v>
      </c>
      <c r="K134" s="88">
        <v>0</v>
      </c>
      <c r="L134" s="88">
        <v>0</v>
      </c>
      <c r="M134" s="88">
        <v>0</v>
      </c>
      <c r="N134" s="88">
        <v>0</v>
      </c>
      <c r="O134" s="87">
        <v>0</v>
      </c>
      <c r="P134" s="88">
        <f t="shared" si="61"/>
        <v>0</v>
      </c>
      <c r="Q134" s="88">
        <v>0</v>
      </c>
      <c r="R134" s="88">
        <v>0</v>
      </c>
      <c r="S134" s="88">
        <v>0</v>
      </c>
      <c r="T134" s="87">
        <v>0</v>
      </c>
      <c r="U134" s="88">
        <v>0</v>
      </c>
      <c r="V134" s="88">
        <v>0</v>
      </c>
      <c r="W134" s="88">
        <v>0</v>
      </c>
      <c r="X134" s="88">
        <v>0</v>
      </c>
      <c r="Y134" s="87">
        <v>0</v>
      </c>
      <c r="Z134" s="88">
        <v>0</v>
      </c>
      <c r="AA134" s="88">
        <v>0</v>
      </c>
      <c r="AB134" s="88">
        <v>0</v>
      </c>
      <c r="AC134" s="88">
        <v>0</v>
      </c>
    </row>
    <row r="135" spans="1:29" s="238" customFormat="1" ht="57" customHeight="1" outlineLevel="1" x14ac:dyDescent="0.2">
      <c r="A135" s="246" t="s">
        <v>1103</v>
      </c>
      <c r="B135" s="245" t="s">
        <v>253</v>
      </c>
      <c r="C135" s="198">
        <f t="shared" si="59"/>
        <v>0</v>
      </c>
      <c r="D135" s="246">
        <f t="shared" si="54"/>
        <v>1668</v>
      </c>
      <c r="E135" s="210">
        <v>0</v>
      </c>
      <c r="F135" s="189">
        <f t="shared" si="60"/>
        <v>1668</v>
      </c>
      <c r="G135" s="189">
        <v>0</v>
      </c>
      <c r="H135" s="211">
        <v>1588</v>
      </c>
      <c r="I135" s="211">
        <v>80</v>
      </c>
      <c r="J135" s="198">
        <v>0</v>
      </c>
      <c r="K135" s="88">
        <v>0</v>
      </c>
      <c r="L135" s="88">
        <v>0</v>
      </c>
      <c r="M135" s="88">
        <v>0</v>
      </c>
      <c r="N135" s="88">
        <v>0</v>
      </c>
      <c r="O135" s="87">
        <v>0</v>
      </c>
      <c r="P135" s="88">
        <f t="shared" si="61"/>
        <v>0</v>
      </c>
      <c r="Q135" s="88">
        <v>0</v>
      </c>
      <c r="R135" s="88">
        <v>0</v>
      </c>
      <c r="S135" s="88">
        <v>0</v>
      </c>
      <c r="T135" s="87">
        <v>0</v>
      </c>
      <c r="U135" s="88">
        <v>0</v>
      </c>
      <c r="V135" s="88">
        <v>0</v>
      </c>
      <c r="W135" s="88">
        <v>0</v>
      </c>
      <c r="X135" s="88">
        <v>0</v>
      </c>
      <c r="Y135" s="87">
        <v>0</v>
      </c>
      <c r="Z135" s="88">
        <v>0</v>
      </c>
      <c r="AA135" s="88">
        <v>0</v>
      </c>
      <c r="AB135" s="88">
        <v>0</v>
      </c>
      <c r="AC135" s="88">
        <v>0</v>
      </c>
    </row>
    <row r="136" spans="1:29" s="238" customFormat="1" ht="64.900000000000006" customHeight="1" outlineLevel="1" x14ac:dyDescent="0.2">
      <c r="A136" s="246" t="s">
        <v>1104</v>
      </c>
      <c r="B136" s="245" t="s">
        <v>254</v>
      </c>
      <c r="C136" s="198">
        <f t="shared" si="59"/>
        <v>0</v>
      </c>
      <c r="D136" s="246">
        <f t="shared" si="54"/>
        <v>3481</v>
      </c>
      <c r="E136" s="210">
        <v>0</v>
      </c>
      <c r="F136" s="189">
        <f t="shared" si="60"/>
        <v>3481</v>
      </c>
      <c r="G136" s="189">
        <v>0</v>
      </c>
      <c r="H136" s="211">
        <v>3314</v>
      </c>
      <c r="I136" s="211">
        <v>167</v>
      </c>
      <c r="J136" s="198">
        <v>0</v>
      </c>
      <c r="K136" s="88">
        <v>0</v>
      </c>
      <c r="L136" s="88">
        <v>0</v>
      </c>
      <c r="M136" s="88">
        <v>0</v>
      </c>
      <c r="N136" s="88">
        <v>0</v>
      </c>
      <c r="O136" s="87">
        <v>0</v>
      </c>
      <c r="P136" s="88">
        <f t="shared" si="61"/>
        <v>0</v>
      </c>
      <c r="Q136" s="88">
        <v>0</v>
      </c>
      <c r="R136" s="88">
        <v>0</v>
      </c>
      <c r="S136" s="88">
        <v>0</v>
      </c>
      <c r="T136" s="87">
        <v>0</v>
      </c>
      <c r="U136" s="88">
        <v>0</v>
      </c>
      <c r="V136" s="88">
        <v>0</v>
      </c>
      <c r="W136" s="88">
        <v>0</v>
      </c>
      <c r="X136" s="88">
        <v>0</v>
      </c>
      <c r="Y136" s="87">
        <v>0</v>
      </c>
      <c r="Z136" s="88">
        <v>0</v>
      </c>
      <c r="AA136" s="88">
        <v>0</v>
      </c>
      <c r="AB136" s="88">
        <v>0</v>
      </c>
      <c r="AC136" s="88">
        <v>0</v>
      </c>
    </row>
    <row r="137" spans="1:29" s="238" customFormat="1" ht="37.9" customHeight="1" outlineLevel="1" x14ac:dyDescent="0.2">
      <c r="A137" s="246" t="s">
        <v>1105</v>
      </c>
      <c r="B137" s="245" t="s">
        <v>275</v>
      </c>
      <c r="C137" s="198">
        <f t="shared" si="59"/>
        <v>0</v>
      </c>
      <c r="D137" s="246">
        <f t="shared" si="54"/>
        <v>136</v>
      </c>
      <c r="E137" s="210">
        <v>0</v>
      </c>
      <c r="F137" s="189">
        <f t="shared" si="60"/>
        <v>136</v>
      </c>
      <c r="G137" s="189">
        <v>0</v>
      </c>
      <c r="H137" s="211">
        <v>130</v>
      </c>
      <c r="I137" s="211">
        <v>6</v>
      </c>
      <c r="J137" s="198">
        <v>0</v>
      </c>
      <c r="K137" s="88">
        <v>0</v>
      </c>
      <c r="L137" s="88">
        <v>0</v>
      </c>
      <c r="M137" s="88">
        <v>0</v>
      </c>
      <c r="N137" s="88">
        <v>0</v>
      </c>
      <c r="O137" s="87">
        <v>0</v>
      </c>
      <c r="P137" s="88">
        <f t="shared" si="61"/>
        <v>0</v>
      </c>
      <c r="Q137" s="88">
        <v>0</v>
      </c>
      <c r="R137" s="88">
        <v>0</v>
      </c>
      <c r="S137" s="88">
        <v>0</v>
      </c>
      <c r="T137" s="87">
        <v>0</v>
      </c>
      <c r="U137" s="88">
        <v>0</v>
      </c>
      <c r="V137" s="88">
        <v>0</v>
      </c>
      <c r="W137" s="88">
        <v>0</v>
      </c>
      <c r="X137" s="88">
        <v>0</v>
      </c>
      <c r="Y137" s="87">
        <v>0</v>
      </c>
      <c r="Z137" s="88">
        <v>0</v>
      </c>
      <c r="AA137" s="88">
        <v>0</v>
      </c>
      <c r="AB137" s="88">
        <v>0</v>
      </c>
      <c r="AC137" s="88">
        <v>0</v>
      </c>
    </row>
    <row r="138" spans="1:29" s="238" customFormat="1" ht="85.9" customHeight="1" outlineLevel="1" x14ac:dyDescent="0.2">
      <c r="A138" s="246" t="s">
        <v>1106</v>
      </c>
      <c r="B138" s="245" t="s">
        <v>255</v>
      </c>
      <c r="C138" s="198">
        <f t="shared" si="59"/>
        <v>0</v>
      </c>
      <c r="D138" s="246">
        <f t="shared" si="54"/>
        <v>310</v>
      </c>
      <c r="E138" s="210">
        <v>0</v>
      </c>
      <c r="F138" s="189">
        <f t="shared" si="60"/>
        <v>310</v>
      </c>
      <c r="G138" s="189">
        <v>0</v>
      </c>
      <c r="H138" s="211">
        <v>295</v>
      </c>
      <c r="I138" s="211">
        <v>15</v>
      </c>
      <c r="J138" s="198">
        <v>0</v>
      </c>
      <c r="K138" s="88">
        <v>0</v>
      </c>
      <c r="L138" s="88">
        <v>0</v>
      </c>
      <c r="M138" s="88">
        <v>0</v>
      </c>
      <c r="N138" s="88">
        <v>0</v>
      </c>
      <c r="O138" s="87">
        <v>0</v>
      </c>
      <c r="P138" s="88">
        <f t="shared" si="61"/>
        <v>0</v>
      </c>
      <c r="Q138" s="88">
        <v>0</v>
      </c>
      <c r="R138" s="88">
        <v>0</v>
      </c>
      <c r="S138" s="88">
        <v>0</v>
      </c>
      <c r="T138" s="87">
        <v>0</v>
      </c>
      <c r="U138" s="88">
        <v>0</v>
      </c>
      <c r="V138" s="88">
        <v>0</v>
      </c>
      <c r="W138" s="88">
        <v>0</v>
      </c>
      <c r="X138" s="88">
        <v>0</v>
      </c>
      <c r="Y138" s="87">
        <v>0</v>
      </c>
      <c r="Z138" s="88">
        <v>0</v>
      </c>
      <c r="AA138" s="88">
        <v>0</v>
      </c>
      <c r="AB138" s="88">
        <v>0</v>
      </c>
      <c r="AC138" s="88">
        <v>0</v>
      </c>
    </row>
    <row r="139" spans="1:29" s="238" customFormat="1" ht="87" customHeight="1" outlineLevel="1" x14ac:dyDescent="0.2">
      <c r="A139" s="246" t="s">
        <v>1107</v>
      </c>
      <c r="B139" s="245" t="s">
        <v>256</v>
      </c>
      <c r="C139" s="198">
        <f t="shared" si="59"/>
        <v>0</v>
      </c>
      <c r="D139" s="246">
        <f t="shared" si="54"/>
        <v>1492</v>
      </c>
      <c r="E139" s="210">
        <v>0</v>
      </c>
      <c r="F139" s="189">
        <f t="shared" si="60"/>
        <v>1492</v>
      </c>
      <c r="G139" s="189">
        <v>0</v>
      </c>
      <c r="H139" s="211">
        <v>1420</v>
      </c>
      <c r="I139" s="211">
        <v>72</v>
      </c>
      <c r="J139" s="198">
        <v>0</v>
      </c>
      <c r="K139" s="88">
        <v>0</v>
      </c>
      <c r="L139" s="88">
        <v>0</v>
      </c>
      <c r="M139" s="88">
        <v>0</v>
      </c>
      <c r="N139" s="88">
        <v>0</v>
      </c>
      <c r="O139" s="87">
        <v>0</v>
      </c>
      <c r="P139" s="88">
        <f t="shared" si="61"/>
        <v>0</v>
      </c>
      <c r="Q139" s="88">
        <v>0</v>
      </c>
      <c r="R139" s="88">
        <v>0</v>
      </c>
      <c r="S139" s="88">
        <v>0</v>
      </c>
      <c r="T139" s="87">
        <v>0</v>
      </c>
      <c r="U139" s="88">
        <v>0</v>
      </c>
      <c r="V139" s="88">
        <v>0</v>
      </c>
      <c r="W139" s="88">
        <v>0</v>
      </c>
      <c r="X139" s="88">
        <v>0</v>
      </c>
      <c r="Y139" s="87">
        <v>0</v>
      </c>
      <c r="Z139" s="88">
        <v>0</v>
      </c>
      <c r="AA139" s="88">
        <v>0</v>
      </c>
      <c r="AB139" s="88">
        <v>0</v>
      </c>
      <c r="AC139" s="88">
        <v>0</v>
      </c>
    </row>
    <row r="140" spans="1:29" s="238" customFormat="1" ht="67.900000000000006" customHeight="1" outlineLevel="1" x14ac:dyDescent="0.2">
      <c r="A140" s="246" t="s">
        <v>1108</v>
      </c>
      <c r="B140" s="245" t="s">
        <v>257</v>
      </c>
      <c r="C140" s="198">
        <f t="shared" si="59"/>
        <v>0</v>
      </c>
      <c r="D140" s="246">
        <f t="shared" si="54"/>
        <v>143</v>
      </c>
      <c r="E140" s="210">
        <v>0</v>
      </c>
      <c r="F140" s="189">
        <f t="shared" si="60"/>
        <v>143</v>
      </c>
      <c r="G140" s="189">
        <v>0</v>
      </c>
      <c r="H140" s="211">
        <v>136</v>
      </c>
      <c r="I140" s="211">
        <v>7</v>
      </c>
      <c r="J140" s="198">
        <v>0</v>
      </c>
      <c r="K140" s="88">
        <v>0</v>
      </c>
      <c r="L140" s="88">
        <v>0</v>
      </c>
      <c r="M140" s="88">
        <v>0</v>
      </c>
      <c r="N140" s="88">
        <v>0</v>
      </c>
      <c r="O140" s="87">
        <v>0</v>
      </c>
      <c r="P140" s="88">
        <f t="shared" si="61"/>
        <v>0</v>
      </c>
      <c r="Q140" s="88">
        <v>0</v>
      </c>
      <c r="R140" s="88">
        <v>0</v>
      </c>
      <c r="S140" s="88">
        <v>0</v>
      </c>
      <c r="T140" s="87">
        <v>0</v>
      </c>
      <c r="U140" s="88">
        <v>0</v>
      </c>
      <c r="V140" s="88">
        <v>0</v>
      </c>
      <c r="W140" s="88">
        <v>0</v>
      </c>
      <c r="X140" s="88">
        <v>0</v>
      </c>
      <c r="Y140" s="87">
        <v>0</v>
      </c>
      <c r="Z140" s="88">
        <v>0</v>
      </c>
      <c r="AA140" s="88">
        <v>0</v>
      </c>
      <c r="AB140" s="88">
        <v>0</v>
      </c>
      <c r="AC140" s="88">
        <v>0</v>
      </c>
    </row>
    <row r="141" spans="1:29" s="238" customFormat="1" ht="69" customHeight="1" outlineLevel="1" x14ac:dyDescent="0.2">
      <c r="A141" s="246" t="s">
        <v>1109</v>
      </c>
      <c r="B141" s="245" t="s">
        <v>258</v>
      </c>
      <c r="C141" s="198">
        <f t="shared" si="59"/>
        <v>0</v>
      </c>
      <c r="D141" s="246">
        <f t="shared" si="54"/>
        <v>442</v>
      </c>
      <c r="E141" s="210">
        <v>0</v>
      </c>
      <c r="F141" s="189">
        <f t="shared" si="60"/>
        <v>442</v>
      </c>
      <c r="G141" s="189">
        <v>0</v>
      </c>
      <c r="H141" s="211">
        <v>421</v>
      </c>
      <c r="I141" s="211">
        <v>21</v>
      </c>
      <c r="J141" s="198">
        <v>0</v>
      </c>
      <c r="K141" s="88">
        <v>0</v>
      </c>
      <c r="L141" s="88">
        <v>0</v>
      </c>
      <c r="M141" s="88">
        <v>0</v>
      </c>
      <c r="N141" s="88">
        <v>0</v>
      </c>
      <c r="O141" s="87">
        <v>0</v>
      </c>
      <c r="P141" s="88">
        <f t="shared" si="61"/>
        <v>0</v>
      </c>
      <c r="Q141" s="88">
        <v>0</v>
      </c>
      <c r="R141" s="88">
        <v>0</v>
      </c>
      <c r="S141" s="88">
        <v>0</v>
      </c>
      <c r="T141" s="87">
        <v>0</v>
      </c>
      <c r="U141" s="88">
        <v>0</v>
      </c>
      <c r="V141" s="88">
        <v>0</v>
      </c>
      <c r="W141" s="88">
        <v>0</v>
      </c>
      <c r="X141" s="88">
        <v>0</v>
      </c>
      <c r="Y141" s="87">
        <v>0</v>
      </c>
      <c r="Z141" s="88">
        <v>0</v>
      </c>
      <c r="AA141" s="88">
        <v>0</v>
      </c>
      <c r="AB141" s="88">
        <v>0</v>
      </c>
      <c r="AC141" s="88">
        <v>0</v>
      </c>
    </row>
    <row r="142" spans="1:29" s="238" customFormat="1" ht="88.15" customHeight="1" outlineLevel="1" x14ac:dyDescent="0.2">
      <c r="A142" s="246" t="s">
        <v>1110</v>
      </c>
      <c r="B142" s="245" t="s">
        <v>1053</v>
      </c>
      <c r="C142" s="198">
        <f t="shared" si="59"/>
        <v>0</v>
      </c>
      <c r="D142" s="246">
        <f t="shared" si="54"/>
        <v>435</v>
      </c>
      <c r="E142" s="210">
        <v>0</v>
      </c>
      <c r="F142" s="189">
        <f t="shared" si="60"/>
        <v>435</v>
      </c>
      <c r="G142" s="189">
        <v>0</v>
      </c>
      <c r="H142" s="211">
        <v>414</v>
      </c>
      <c r="I142" s="211">
        <v>21</v>
      </c>
      <c r="J142" s="198">
        <v>0</v>
      </c>
      <c r="K142" s="88">
        <v>0</v>
      </c>
      <c r="L142" s="88">
        <v>0</v>
      </c>
      <c r="M142" s="88">
        <v>0</v>
      </c>
      <c r="N142" s="88">
        <v>0</v>
      </c>
      <c r="O142" s="87">
        <v>0</v>
      </c>
      <c r="P142" s="88">
        <f t="shared" si="61"/>
        <v>0</v>
      </c>
      <c r="Q142" s="88">
        <v>0</v>
      </c>
      <c r="R142" s="88">
        <v>0</v>
      </c>
      <c r="S142" s="88">
        <v>0</v>
      </c>
      <c r="T142" s="87">
        <v>0</v>
      </c>
      <c r="U142" s="88">
        <v>0</v>
      </c>
      <c r="V142" s="88">
        <v>0</v>
      </c>
      <c r="W142" s="88">
        <v>0</v>
      </c>
      <c r="X142" s="88">
        <v>0</v>
      </c>
      <c r="Y142" s="87">
        <v>0</v>
      </c>
      <c r="Z142" s="88">
        <v>0</v>
      </c>
      <c r="AA142" s="88">
        <v>0</v>
      </c>
      <c r="AB142" s="88">
        <v>0</v>
      </c>
      <c r="AC142" s="88">
        <v>0</v>
      </c>
    </row>
    <row r="143" spans="1:29" s="238" customFormat="1" ht="90" customHeight="1" outlineLevel="1" x14ac:dyDescent="0.2">
      <c r="A143" s="246" t="s">
        <v>1111</v>
      </c>
      <c r="B143" s="245" t="s">
        <v>259</v>
      </c>
      <c r="C143" s="198">
        <f t="shared" si="59"/>
        <v>0</v>
      </c>
      <c r="D143" s="246">
        <f t="shared" si="54"/>
        <v>269</v>
      </c>
      <c r="E143" s="210">
        <v>0</v>
      </c>
      <c r="F143" s="189">
        <f t="shared" si="60"/>
        <v>269</v>
      </c>
      <c r="G143" s="189">
        <v>0</v>
      </c>
      <c r="H143" s="211">
        <v>256</v>
      </c>
      <c r="I143" s="211">
        <v>13</v>
      </c>
      <c r="J143" s="198">
        <v>0</v>
      </c>
      <c r="K143" s="88">
        <v>0</v>
      </c>
      <c r="L143" s="88">
        <v>0</v>
      </c>
      <c r="M143" s="88">
        <v>0</v>
      </c>
      <c r="N143" s="88">
        <v>0</v>
      </c>
      <c r="O143" s="87">
        <v>0</v>
      </c>
      <c r="P143" s="88">
        <f t="shared" si="61"/>
        <v>0</v>
      </c>
      <c r="Q143" s="88">
        <v>0</v>
      </c>
      <c r="R143" s="88">
        <v>0</v>
      </c>
      <c r="S143" s="88">
        <v>0</v>
      </c>
      <c r="T143" s="87">
        <v>0</v>
      </c>
      <c r="U143" s="88">
        <v>0</v>
      </c>
      <c r="V143" s="88">
        <v>0</v>
      </c>
      <c r="W143" s="88">
        <v>0</v>
      </c>
      <c r="X143" s="88">
        <v>0</v>
      </c>
      <c r="Y143" s="87">
        <v>0</v>
      </c>
      <c r="Z143" s="88">
        <v>0</v>
      </c>
      <c r="AA143" s="88">
        <v>0</v>
      </c>
      <c r="AB143" s="88">
        <v>0</v>
      </c>
      <c r="AC143" s="88">
        <v>0</v>
      </c>
    </row>
    <row r="144" spans="1:29" s="238" customFormat="1" ht="49.9" customHeight="1" outlineLevel="1" x14ac:dyDescent="0.2">
      <c r="A144" s="246" t="s">
        <v>1112</v>
      </c>
      <c r="B144" s="245" t="s">
        <v>260</v>
      </c>
      <c r="C144" s="198">
        <f t="shared" si="59"/>
        <v>0</v>
      </c>
      <c r="D144" s="246">
        <f t="shared" si="54"/>
        <v>207</v>
      </c>
      <c r="E144" s="210">
        <v>0</v>
      </c>
      <c r="F144" s="189">
        <f t="shared" si="60"/>
        <v>207</v>
      </c>
      <c r="G144" s="189">
        <v>0</v>
      </c>
      <c r="H144" s="211">
        <v>197</v>
      </c>
      <c r="I144" s="211">
        <v>10</v>
      </c>
      <c r="J144" s="198">
        <v>0</v>
      </c>
      <c r="K144" s="88">
        <v>0</v>
      </c>
      <c r="L144" s="88">
        <v>0</v>
      </c>
      <c r="M144" s="88">
        <v>0</v>
      </c>
      <c r="N144" s="88">
        <v>0</v>
      </c>
      <c r="O144" s="87">
        <v>0</v>
      </c>
      <c r="P144" s="88">
        <f t="shared" si="61"/>
        <v>0</v>
      </c>
      <c r="Q144" s="88">
        <v>0</v>
      </c>
      <c r="R144" s="88">
        <v>0</v>
      </c>
      <c r="S144" s="88">
        <v>0</v>
      </c>
      <c r="T144" s="87">
        <v>0</v>
      </c>
      <c r="U144" s="88">
        <v>0</v>
      </c>
      <c r="V144" s="88">
        <v>0</v>
      </c>
      <c r="W144" s="88">
        <v>0</v>
      </c>
      <c r="X144" s="88">
        <v>0</v>
      </c>
      <c r="Y144" s="87">
        <v>0</v>
      </c>
      <c r="Z144" s="88">
        <v>0</v>
      </c>
      <c r="AA144" s="88">
        <v>0</v>
      </c>
      <c r="AB144" s="88">
        <v>0</v>
      </c>
      <c r="AC144" s="88">
        <v>0</v>
      </c>
    </row>
    <row r="145" spans="1:29" s="238" customFormat="1" ht="69" customHeight="1" outlineLevel="1" x14ac:dyDescent="0.2">
      <c r="A145" s="246" t="s">
        <v>1113</v>
      </c>
      <c r="B145" s="245" t="s">
        <v>261</v>
      </c>
      <c r="C145" s="198">
        <f t="shared" si="59"/>
        <v>0</v>
      </c>
      <c r="D145" s="246">
        <f t="shared" si="54"/>
        <v>276</v>
      </c>
      <c r="E145" s="210">
        <v>0</v>
      </c>
      <c r="F145" s="189">
        <f t="shared" si="60"/>
        <v>276</v>
      </c>
      <c r="G145" s="189">
        <v>0</v>
      </c>
      <c r="H145" s="211">
        <v>263</v>
      </c>
      <c r="I145" s="211">
        <v>13</v>
      </c>
      <c r="J145" s="198">
        <v>0</v>
      </c>
      <c r="K145" s="88">
        <v>0</v>
      </c>
      <c r="L145" s="88">
        <v>0</v>
      </c>
      <c r="M145" s="88">
        <v>0</v>
      </c>
      <c r="N145" s="88">
        <v>0</v>
      </c>
      <c r="O145" s="87">
        <v>0</v>
      </c>
      <c r="P145" s="88">
        <f t="shared" si="61"/>
        <v>0</v>
      </c>
      <c r="Q145" s="88">
        <v>0</v>
      </c>
      <c r="R145" s="88">
        <v>0</v>
      </c>
      <c r="S145" s="88">
        <v>0</v>
      </c>
      <c r="T145" s="87">
        <v>0</v>
      </c>
      <c r="U145" s="88">
        <v>0</v>
      </c>
      <c r="V145" s="88">
        <v>0</v>
      </c>
      <c r="W145" s="88">
        <v>0</v>
      </c>
      <c r="X145" s="88">
        <v>0</v>
      </c>
      <c r="Y145" s="87">
        <v>0</v>
      </c>
      <c r="Z145" s="88">
        <v>0</v>
      </c>
      <c r="AA145" s="88">
        <v>0</v>
      </c>
      <c r="AB145" s="88">
        <v>0</v>
      </c>
      <c r="AC145" s="88">
        <v>0</v>
      </c>
    </row>
    <row r="146" spans="1:29" s="238" customFormat="1" ht="55.9" customHeight="1" outlineLevel="1" x14ac:dyDescent="0.2">
      <c r="A146" s="246" t="s">
        <v>1114</v>
      </c>
      <c r="B146" s="245" t="s">
        <v>262</v>
      </c>
      <c r="C146" s="198">
        <f t="shared" si="59"/>
        <v>0</v>
      </c>
      <c r="D146" s="246">
        <f t="shared" si="54"/>
        <v>1603</v>
      </c>
      <c r="E146" s="210">
        <v>0</v>
      </c>
      <c r="F146" s="189">
        <f t="shared" si="60"/>
        <v>1603</v>
      </c>
      <c r="G146" s="189">
        <v>0</v>
      </c>
      <c r="H146" s="211">
        <v>1526</v>
      </c>
      <c r="I146" s="211">
        <v>77</v>
      </c>
      <c r="J146" s="198">
        <v>0</v>
      </c>
      <c r="K146" s="88">
        <v>0</v>
      </c>
      <c r="L146" s="88">
        <v>0</v>
      </c>
      <c r="M146" s="88">
        <v>0</v>
      </c>
      <c r="N146" s="88">
        <v>0</v>
      </c>
      <c r="O146" s="87">
        <v>0</v>
      </c>
      <c r="P146" s="88">
        <f t="shared" si="61"/>
        <v>0</v>
      </c>
      <c r="Q146" s="88">
        <v>0</v>
      </c>
      <c r="R146" s="88">
        <v>0</v>
      </c>
      <c r="S146" s="88">
        <v>0</v>
      </c>
      <c r="T146" s="87">
        <v>0</v>
      </c>
      <c r="U146" s="88">
        <v>0</v>
      </c>
      <c r="V146" s="88">
        <v>0</v>
      </c>
      <c r="W146" s="88">
        <v>0</v>
      </c>
      <c r="X146" s="88">
        <v>0</v>
      </c>
      <c r="Y146" s="87">
        <v>0</v>
      </c>
      <c r="Z146" s="88">
        <v>0</v>
      </c>
      <c r="AA146" s="88">
        <v>0</v>
      </c>
      <c r="AB146" s="88">
        <v>0</v>
      </c>
      <c r="AC146" s="88">
        <v>0</v>
      </c>
    </row>
    <row r="147" spans="1:29" s="238" customFormat="1" ht="42" customHeight="1" outlineLevel="1" x14ac:dyDescent="0.2">
      <c r="A147" s="246" t="s">
        <v>1115</v>
      </c>
      <c r="B147" s="245" t="s">
        <v>263</v>
      </c>
      <c r="C147" s="198">
        <f t="shared" si="59"/>
        <v>0</v>
      </c>
      <c r="D147" s="246">
        <f t="shared" si="54"/>
        <v>3493</v>
      </c>
      <c r="E147" s="210">
        <v>0</v>
      </c>
      <c r="F147" s="189">
        <f t="shared" si="60"/>
        <v>3493</v>
      </c>
      <c r="G147" s="189">
        <v>0</v>
      </c>
      <c r="H147" s="211">
        <v>3325</v>
      </c>
      <c r="I147" s="211">
        <v>168</v>
      </c>
      <c r="J147" s="198">
        <v>0</v>
      </c>
      <c r="K147" s="88">
        <v>0</v>
      </c>
      <c r="L147" s="88">
        <v>0</v>
      </c>
      <c r="M147" s="88">
        <v>0</v>
      </c>
      <c r="N147" s="88">
        <v>0</v>
      </c>
      <c r="O147" s="87">
        <v>0</v>
      </c>
      <c r="P147" s="88">
        <f t="shared" si="61"/>
        <v>0</v>
      </c>
      <c r="Q147" s="88">
        <v>0</v>
      </c>
      <c r="R147" s="88">
        <v>0</v>
      </c>
      <c r="S147" s="88">
        <v>0</v>
      </c>
      <c r="T147" s="87">
        <v>0</v>
      </c>
      <c r="U147" s="88">
        <v>0</v>
      </c>
      <c r="V147" s="88">
        <v>0</v>
      </c>
      <c r="W147" s="88">
        <v>0</v>
      </c>
      <c r="X147" s="88">
        <v>0</v>
      </c>
      <c r="Y147" s="87">
        <v>0</v>
      </c>
      <c r="Z147" s="88">
        <v>0</v>
      </c>
      <c r="AA147" s="88">
        <v>0</v>
      </c>
      <c r="AB147" s="88">
        <v>0</v>
      </c>
      <c r="AC147" s="88">
        <v>0</v>
      </c>
    </row>
    <row r="148" spans="1:29" s="238" customFormat="1" ht="82.9" customHeight="1" outlineLevel="1" x14ac:dyDescent="0.2">
      <c r="A148" s="246" t="s">
        <v>1116</v>
      </c>
      <c r="B148" s="245" t="s">
        <v>339</v>
      </c>
      <c r="C148" s="198">
        <f t="shared" si="59"/>
        <v>0</v>
      </c>
      <c r="D148" s="246">
        <f t="shared" si="54"/>
        <v>413</v>
      </c>
      <c r="E148" s="210">
        <v>0</v>
      </c>
      <c r="F148" s="189">
        <f t="shared" si="60"/>
        <v>413</v>
      </c>
      <c r="G148" s="189">
        <v>0</v>
      </c>
      <c r="H148" s="211">
        <v>393</v>
      </c>
      <c r="I148" s="211">
        <v>20</v>
      </c>
      <c r="J148" s="198">
        <v>0</v>
      </c>
      <c r="K148" s="88">
        <v>0</v>
      </c>
      <c r="L148" s="88">
        <v>0</v>
      </c>
      <c r="M148" s="88">
        <v>0</v>
      </c>
      <c r="N148" s="88">
        <v>0</v>
      </c>
      <c r="O148" s="87">
        <v>0</v>
      </c>
      <c r="P148" s="88">
        <f t="shared" si="61"/>
        <v>0</v>
      </c>
      <c r="Q148" s="88">
        <v>0</v>
      </c>
      <c r="R148" s="88">
        <v>0</v>
      </c>
      <c r="S148" s="88">
        <v>0</v>
      </c>
      <c r="T148" s="87">
        <v>0</v>
      </c>
      <c r="U148" s="88">
        <v>0</v>
      </c>
      <c r="V148" s="88">
        <v>0</v>
      </c>
      <c r="W148" s="88">
        <v>0</v>
      </c>
      <c r="X148" s="88">
        <v>0</v>
      </c>
      <c r="Y148" s="87">
        <v>0</v>
      </c>
      <c r="Z148" s="88">
        <v>0</v>
      </c>
      <c r="AA148" s="88">
        <v>0</v>
      </c>
      <c r="AB148" s="88">
        <v>0</v>
      </c>
      <c r="AC148" s="88">
        <v>0</v>
      </c>
    </row>
    <row r="149" spans="1:29" s="238" customFormat="1" ht="84" customHeight="1" outlineLevel="1" x14ac:dyDescent="0.2">
      <c r="A149" s="246" t="s">
        <v>1117</v>
      </c>
      <c r="B149" s="245" t="s">
        <v>264</v>
      </c>
      <c r="C149" s="198">
        <f t="shared" si="59"/>
        <v>0</v>
      </c>
      <c r="D149" s="246">
        <f t="shared" si="54"/>
        <v>1112</v>
      </c>
      <c r="E149" s="210">
        <v>0</v>
      </c>
      <c r="F149" s="189">
        <f t="shared" si="60"/>
        <v>1112</v>
      </c>
      <c r="G149" s="189">
        <v>0</v>
      </c>
      <c r="H149" s="211">
        <v>1059</v>
      </c>
      <c r="I149" s="211">
        <v>53</v>
      </c>
      <c r="J149" s="198">
        <v>0</v>
      </c>
      <c r="K149" s="88">
        <v>0</v>
      </c>
      <c r="L149" s="88">
        <v>0</v>
      </c>
      <c r="M149" s="88">
        <v>0</v>
      </c>
      <c r="N149" s="88">
        <v>0</v>
      </c>
      <c r="O149" s="87">
        <v>0</v>
      </c>
      <c r="P149" s="88">
        <f t="shared" si="61"/>
        <v>0</v>
      </c>
      <c r="Q149" s="88">
        <v>0</v>
      </c>
      <c r="R149" s="88">
        <v>0</v>
      </c>
      <c r="S149" s="88">
        <v>0</v>
      </c>
      <c r="T149" s="87">
        <v>0</v>
      </c>
      <c r="U149" s="88">
        <v>0</v>
      </c>
      <c r="V149" s="88">
        <v>0</v>
      </c>
      <c r="W149" s="88">
        <v>0</v>
      </c>
      <c r="X149" s="88">
        <v>0</v>
      </c>
      <c r="Y149" s="87">
        <v>0</v>
      </c>
      <c r="Z149" s="88">
        <v>0</v>
      </c>
      <c r="AA149" s="88">
        <v>0</v>
      </c>
      <c r="AB149" s="88">
        <v>0</v>
      </c>
      <c r="AC149" s="88">
        <v>0</v>
      </c>
    </row>
    <row r="150" spans="1:29" s="238" customFormat="1" ht="67.900000000000006" customHeight="1" outlineLevel="1" x14ac:dyDescent="0.2">
      <c r="A150" s="246" t="s">
        <v>1118</v>
      </c>
      <c r="B150" s="245" t="s">
        <v>620</v>
      </c>
      <c r="C150" s="198">
        <f t="shared" si="59"/>
        <v>0</v>
      </c>
      <c r="D150" s="246">
        <f t="shared" si="54"/>
        <v>340</v>
      </c>
      <c r="E150" s="210">
        <v>0</v>
      </c>
      <c r="F150" s="189">
        <f t="shared" si="60"/>
        <v>340</v>
      </c>
      <c r="G150" s="189">
        <v>0</v>
      </c>
      <c r="H150" s="211">
        <v>324</v>
      </c>
      <c r="I150" s="211">
        <v>16</v>
      </c>
      <c r="J150" s="198">
        <v>0</v>
      </c>
      <c r="K150" s="88">
        <v>0</v>
      </c>
      <c r="L150" s="88">
        <v>0</v>
      </c>
      <c r="M150" s="88">
        <v>0</v>
      </c>
      <c r="N150" s="88">
        <v>0</v>
      </c>
      <c r="O150" s="87">
        <v>0</v>
      </c>
      <c r="P150" s="88">
        <f t="shared" si="61"/>
        <v>0</v>
      </c>
      <c r="Q150" s="88">
        <v>0</v>
      </c>
      <c r="R150" s="88">
        <v>0</v>
      </c>
      <c r="S150" s="88">
        <v>0</v>
      </c>
      <c r="T150" s="87">
        <v>0</v>
      </c>
      <c r="U150" s="88">
        <v>0</v>
      </c>
      <c r="V150" s="88">
        <v>0</v>
      </c>
      <c r="W150" s="88">
        <v>0</v>
      </c>
      <c r="X150" s="88">
        <v>0</v>
      </c>
      <c r="Y150" s="87">
        <v>0</v>
      </c>
      <c r="Z150" s="88">
        <v>0</v>
      </c>
      <c r="AA150" s="88">
        <v>0</v>
      </c>
      <c r="AB150" s="88">
        <v>0</v>
      </c>
      <c r="AC150" s="88">
        <v>0</v>
      </c>
    </row>
    <row r="151" spans="1:29" s="238" customFormat="1" ht="76.900000000000006" customHeight="1" outlineLevel="1" x14ac:dyDescent="0.2">
      <c r="A151" s="246" t="s">
        <v>1119</v>
      </c>
      <c r="B151" s="245" t="s">
        <v>265</v>
      </c>
      <c r="C151" s="198">
        <f t="shared" si="59"/>
        <v>0</v>
      </c>
      <c r="D151" s="246">
        <f t="shared" si="54"/>
        <v>1050</v>
      </c>
      <c r="E151" s="210">
        <v>0</v>
      </c>
      <c r="F151" s="189">
        <f t="shared" si="60"/>
        <v>1050</v>
      </c>
      <c r="G151" s="189">
        <v>0</v>
      </c>
      <c r="H151" s="211">
        <v>1000</v>
      </c>
      <c r="I151" s="211">
        <v>50</v>
      </c>
      <c r="J151" s="198">
        <v>0</v>
      </c>
      <c r="K151" s="88">
        <v>0</v>
      </c>
      <c r="L151" s="88">
        <v>0</v>
      </c>
      <c r="M151" s="88">
        <v>0</v>
      </c>
      <c r="N151" s="88">
        <v>0</v>
      </c>
      <c r="O151" s="87">
        <v>0</v>
      </c>
      <c r="P151" s="88">
        <f t="shared" si="61"/>
        <v>0</v>
      </c>
      <c r="Q151" s="88">
        <v>0</v>
      </c>
      <c r="R151" s="88">
        <v>0</v>
      </c>
      <c r="S151" s="88">
        <v>0</v>
      </c>
      <c r="T151" s="87">
        <v>0</v>
      </c>
      <c r="U151" s="88">
        <v>0</v>
      </c>
      <c r="V151" s="88">
        <v>0</v>
      </c>
      <c r="W151" s="88">
        <v>0</v>
      </c>
      <c r="X151" s="88">
        <v>0</v>
      </c>
      <c r="Y151" s="87">
        <v>0</v>
      </c>
      <c r="Z151" s="88">
        <v>0</v>
      </c>
      <c r="AA151" s="88">
        <v>0</v>
      </c>
      <c r="AB151" s="88">
        <v>0</v>
      </c>
      <c r="AC151" s="88">
        <v>0</v>
      </c>
    </row>
    <row r="152" spans="1:29" s="238" customFormat="1" ht="60" customHeight="1" outlineLevel="1" x14ac:dyDescent="0.2">
      <c r="A152" s="246" t="s">
        <v>1120</v>
      </c>
      <c r="B152" s="245" t="s">
        <v>621</v>
      </c>
      <c r="C152" s="198">
        <f t="shared" si="59"/>
        <v>0</v>
      </c>
      <c r="D152" s="246">
        <f t="shared" si="54"/>
        <v>452</v>
      </c>
      <c r="E152" s="210">
        <v>0</v>
      </c>
      <c r="F152" s="189">
        <f t="shared" si="60"/>
        <v>452</v>
      </c>
      <c r="G152" s="189">
        <v>0</v>
      </c>
      <c r="H152" s="211">
        <v>430</v>
      </c>
      <c r="I152" s="211">
        <v>22</v>
      </c>
      <c r="J152" s="198">
        <v>0</v>
      </c>
      <c r="K152" s="88">
        <v>0</v>
      </c>
      <c r="L152" s="88">
        <v>0</v>
      </c>
      <c r="M152" s="88">
        <v>0</v>
      </c>
      <c r="N152" s="88">
        <v>0</v>
      </c>
      <c r="O152" s="87">
        <v>0</v>
      </c>
      <c r="P152" s="88">
        <f t="shared" si="61"/>
        <v>0</v>
      </c>
      <c r="Q152" s="88">
        <v>0</v>
      </c>
      <c r="R152" s="88">
        <v>0</v>
      </c>
      <c r="S152" s="88">
        <v>0</v>
      </c>
      <c r="T152" s="87">
        <v>0</v>
      </c>
      <c r="U152" s="88">
        <v>0</v>
      </c>
      <c r="V152" s="88">
        <v>0</v>
      </c>
      <c r="W152" s="88">
        <v>0</v>
      </c>
      <c r="X152" s="88">
        <v>0</v>
      </c>
      <c r="Y152" s="87">
        <v>0</v>
      </c>
      <c r="Z152" s="88">
        <v>0</v>
      </c>
      <c r="AA152" s="88">
        <v>0</v>
      </c>
      <c r="AB152" s="88">
        <v>0</v>
      </c>
      <c r="AC152" s="88">
        <v>0</v>
      </c>
    </row>
    <row r="153" spans="1:29" s="238" customFormat="1" ht="63" customHeight="1" outlineLevel="1" x14ac:dyDescent="0.2">
      <c r="A153" s="246" t="s">
        <v>1121</v>
      </c>
      <c r="B153" s="245" t="s">
        <v>622</v>
      </c>
      <c r="C153" s="198">
        <f t="shared" si="59"/>
        <v>0</v>
      </c>
      <c r="D153" s="246">
        <f t="shared" si="54"/>
        <v>697</v>
      </c>
      <c r="E153" s="210">
        <v>0</v>
      </c>
      <c r="F153" s="189">
        <f t="shared" si="60"/>
        <v>697</v>
      </c>
      <c r="G153" s="189">
        <v>0</v>
      </c>
      <c r="H153" s="211">
        <v>664</v>
      </c>
      <c r="I153" s="211">
        <v>33</v>
      </c>
      <c r="J153" s="198">
        <v>0</v>
      </c>
      <c r="K153" s="88">
        <v>0</v>
      </c>
      <c r="L153" s="88">
        <v>0</v>
      </c>
      <c r="M153" s="88">
        <v>0</v>
      </c>
      <c r="N153" s="88">
        <v>0</v>
      </c>
      <c r="O153" s="87">
        <v>0</v>
      </c>
      <c r="P153" s="88">
        <f t="shared" si="61"/>
        <v>0</v>
      </c>
      <c r="Q153" s="88">
        <v>0</v>
      </c>
      <c r="R153" s="88">
        <v>0</v>
      </c>
      <c r="S153" s="88">
        <v>0</v>
      </c>
      <c r="T153" s="87">
        <v>0</v>
      </c>
      <c r="U153" s="88">
        <v>0</v>
      </c>
      <c r="V153" s="88">
        <v>0</v>
      </c>
      <c r="W153" s="88">
        <v>0</v>
      </c>
      <c r="X153" s="88">
        <v>0</v>
      </c>
      <c r="Y153" s="87">
        <v>0</v>
      </c>
      <c r="Z153" s="88">
        <v>0</v>
      </c>
      <c r="AA153" s="88">
        <v>0</v>
      </c>
      <c r="AB153" s="88">
        <v>0</v>
      </c>
      <c r="AC153" s="88">
        <v>0</v>
      </c>
    </row>
    <row r="154" spans="1:29" s="238" customFormat="1" ht="91.9" customHeight="1" outlineLevel="1" x14ac:dyDescent="0.2">
      <c r="A154" s="246" t="s">
        <v>1122</v>
      </c>
      <c r="B154" s="245" t="s">
        <v>333</v>
      </c>
      <c r="C154" s="198">
        <f t="shared" si="59"/>
        <v>0</v>
      </c>
      <c r="D154" s="246">
        <f t="shared" si="54"/>
        <v>461</v>
      </c>
      <c r="E154" s="210">
        <v>0</v>
      </c>
      <c r="F154" s="189">
        <f t="shared" si="60"/>
        <v>461</v>
      </c>
      <c r="G154" s="189">
        <v>0</v>
      </c>
      <c r="H154" s="211">
        <v>439</v>
      </c>
      <c r="I154" s="211">
        <v>22</v>
      </c>
      <c r="J154" s="198">
        <v>0</v>
      </c>
      <c r="K154" s="88">
        <v>0</v>
      </c>
      <c r="L154" s="88">
        <v>0</v>
      </c>
      <c r="M154" s="88">
        <v>0</v>
      </c>
      <c r="N154" s="88">
        <v>0</v>
      </c>
      <c r="O154" s="87">
        <v>0</v>
      </c>
      <c r="P154" s="88">
        <f t="shared" si="61"/>
        <v>0</v>
      </c>
      <c r="Q154" s="88">
        <v>0</v>
      </c>
      <c r="R154" s="88">
        <v>0</v>
      </c>
      <c r="S154" s="88">
        <v>0</v>
      </c>
      <c r="T154" s="87">
        <v>0</v>
      </c>
      <c r="U154" s="88">
        <v>0</v>
      </c>
      <c r="V154" s="88">
        <v>0</v>
      </c>
      <c r="W154" s="88">
        <v>0</v>
      </c>
      <c r="X154" s="88">
        <v>0</v>
      </c>
      <c r="Y154" s="87">
        <v>0</v>
      </c>
      <c r="Z154" s="88">
        <v>0</v>
      </c>
      <c r="AA154" s="88">
        <v>0</v>
      </c>
      <c r="AB154" s="88">
        <v>0</v>
      </c>
      <c r="AC154" s="88">
        <v>0</v>
      </c>
    </row>
    <row r="155" spans="1:29" s="238" customFormat="1" ht="54.75" customHeight="1" outlineLevel="1" x14ac:dyDescent="0.2">
      <c r="A155" s="246" t="s">
        <v>1123</v>
      </c>
      <c r="B155" s="245" t="s">
        <v>334</v>
      </c>
      <c r="C155" s="198">
        <f t="shared" si="59"/>
        <v>0</v>
      </c>
      <c r="D155" s="246">
        <f t="shared" si="54"/>
        <v>286</v>
      </c>
      <c r="E155" s="210">
        <v>0</v>
      </c>
      <c r="F155" s="189">
        <f t="shared" si="60"/>
        <v>286</v>
      </c>
      <c r="G155" s="189">
        <v>0</v>
      </c>
      <c r="H155" s="211">
        <v>272</v>
      </c>
      <c r="I155" s="211">
        <v>14</v>
      </c>
      <c r="J155" s="198">
        <v>0</v>
      </c>
      <c r="K155" s="88">
        <v>0</v>
      </c>
      <c r="L155" s="88">
        <v>0</v>
      </c>
      <c r="M155" s="88">
        <v>0</v>
      </c>
      <c r="N155" s="88">
        <v>0</v>
      </c>
      <c r="O155" s="87">
        <v>0</v>
      </c>
      <c r="P155" s="88">
        <f t="shared" si="61"/>
        <v>0</v>
      </c>
      <c r="Q155" s="88">
        <v>0</v>
      </c>
      <c r="R155" s="88">
        <v>0</v>
      </c>
      <c r="S155" s="88">
        <v>0</v>
      </c>
      <c r="T155" s="87">
        <v>0</v>
      </c>
      <c r="U155" s="88">
        <v>0</v>
      </c>
      <c r="V155" s="88">
        <v>0</v>
      </c>
      <c r="W155" s="88">
        <v>0</v>
      </c>
      <c r="X155" s="88">
        <v>0</v>
      </c>
      <c r="Y155" s="87">
        <v>0</v>
      </c>
      <c r="Z155" s="88">
        <v>0</v>
      </c>
      <c r="AA155" s="88">
        <v>0</v>
      </c>
      <c r="AB155" s="88">
        <v>0</v>
      </c>
      <c r="AC155" s="88">
        <v>0</v>
      </c>
    </row>
    <row r="156" spans="1:29" s="238" customFormat="1" ht="99" customHeight="1" outlineLevel="1" x14ac:dyDescent="0.2">
      <c r="A156" s="246" t="s">
        <v>1124</v>
      </c>
      <c r="B156" s="245" t="s">
        <v>335</v>
      </c>
      <c r="C156" s="198">
        <f t="shared" si="59"/>
        <v>0</v>
      </c>
      <c r="D156" s="246">
        <f t="shared" si="54"/>
        <v>1349</v>
      </c>
      <c r="E156" s="210">
        <v>0</v>
      </c>
      <c r="F156" s="189">
        <f t="shared" si="60"/>
        <v>1349</v>
      </c>
      <c r="G156" s="189">
        <v>0</v>
      </c>
      <c r="H156" s="211">
        <v>1284</v>
      </c>
      <c r="I156" s="211">
        <v>65</v>
      </c>
      <c r="J156" s="198">
        <v>0</v>
      </c>
      <c r="K156" s="88">
        <v>0</v>
      </c>
      <c r="L156" s="88">
        <v>0</v>
      </c>
      <c r="M156" s="88">
        <v>0</v>
      </c>
      <c r="N156" s="88">
        <v>0</v>
      </c>
      <c r="O156" s="87">
        <v>0</v>
      </c>
      <c r="P156" s="88">
        <f t="shared" si="61"/>
        <v>0</v>
      </c>
      <c r="Q156" s="88">
        <v>0</v>
      </c>
      <c r="R156" s="88">
        <v>0</v>
      </c>
      <c r="S156" s="88">
        <v>0</v>
      </c>
      <c r="T156" s="87">
        <v>0</v>
      </c>
      <c r="U156" s="88">
        <v>0</v>
      </c>
      <c r="V156" s="88">
        <v>0</v>
      </c>
      <c r="W156" s="88">
        <v>0</v>
      </c>
      <c r="X156" s="88">
        <v>0</v>
      </c>
      <c r="Y156" s="87">
        <v>0</v>
      </c>
      <c r="Z156" s="88">
        <v>0</v>
      </c>
      <c r="AA156" s="88">
        <v>0</v>
      </c>
      <c r="AB156" s="88">
        <v>0</v>
      </c>
      <c r="AC156" s="88">
        <v>0</v>
      </c>
    </row>
    <row r="157" spans="1:29" s="238" customFormat="1" ht="69" customHeight="1" outlineLevel="1" x14ac:dyDescent="0.2">
      <c r="A157" s="246" t="s">
        <v>1125</v>
      </c>
      <c r="B157" s="245" t="s">
        <v>266</v>
      </c>
      <c r="C157" s="198">
        <f t="shared" si="59"/>
        <v>0</v>
      </c>
      <c r="D157" s="246">
        <f t="shared" si="54"/>
        <v>142</v>
      </c>
      <c r="E157" s="210">
        <v>0</v>
      </c>
      <c r="F157" s="189">
        <f t="shared" si="60"/>
        <v>142</v>
      </c>
      <c r="G157" s="189">
        <v>0</v>
      </c>
      <c r="H157" s="211">
        <v>135</v>
      </c>
      <c r="I157" s="211">
        <v>7</v>
      </c>
      <c r="J157" s="198">
        <v>0</v>
      </c>
      <c r="K157" s="88">
        <v>0</v>
      </c>
      <c r="L157" s="88">
        <v>0</v>
      </c>
      <c r="M157" s="88">
        <v>0</v>
      </c>
      <c r="N157" s="88">
        <v>0</v>
      </c>
      <c r="O157" s="87">
        <v>0</v>
      </c>
      <c r="P157" s="88">
        <f t="shared" si="61"/>
        <v>0</v>
      </c>
      <c r="Q157" s="88">
        <v>0</v>
      </c>
      <c r="R157" s="88">
        <v>0</v>
      </c>
      <c r="S157" s="88">
        <v>0</v>
      </c>
      <c r="T157" s="87">
        <v>0</v>
      </c>
      <c r="U157" s="88">
        <v>0</v>
      </c>
      <c r="V157" s="88">
        <v>0</v>
      </c>
      <c r="W157" s="88">
        <v>0</v>
      </c>
      <c r="X157" s="88">
        <v>0</v>
      </c>
      <c r="Y157" s="87">
        <v>0</v>
      </c>
      <c r="Z157" s="88">
        <v>0</v>
      </c>
      <c r="AA157" s="88">
        <v>0</v>
      </c>
      <c r="AB157" s="88">
        <v>0</v>
      </c>
      <c r="AC157" s="88">
        <v>0</v>
      </c>
    </row>
    <row r="158" spans="1:29" s="238" customFormat="1" ht="76.900000000000006" customHeight="1" outlineLevel="1" x14ac:dyDescent="0.2">
      <c r="A158" s="246" t="s">
        <v>1126</v>
      </c>
      <c r="B158" s="245" t="s">
        <v>623</v>
      </c>
      <c r="C158" s="198">
        <f t="shared" si="59"/>
        <v>0</v>
      </c>
      <c r="D158" s="246">
        <f t="shared" si="54"/>
        <v>3782</v>
      </c>
      <c r="E158" s="210">
        <v>0</v>
      </c>
      <c r="F158" s="189">
        <f>G158+H158+I158</f>
        <v>3782</v>
      </c>
      <c r="G158" s="189">
        <v>0</v>
      </c>
      <c r="H158" s="211">
        <v>3601</v>
      </c>
      <c r="I158" s="211">
        <v>181</v>
      </c>
      <c r="J158" s="198">
        <v>0</v>
      </c>
      <c r="K158" s="88">
        <v>0</v>
      </c>
      <c r="L158" s="88">
        <v>0</v>
      </c>
      <c r="M158" s="88">
        <v>0</v>
      </c>
      <c r="N158" s="88">
        <v>0</v>
      </c>
      <c r="O158" s="87">
        <v>0</v>
      </c>
      <c r="P158" s="88">
        <f t="shared" si="61"/>
        <v>0</v>
      </c>
      <c r="Q158" s="88">
        <v>0</v>
      </c>
      <c r="R158" s="88">
        <v>0</v>
      </c>
      <c r="S158" s="88">
        <v>0</v>
      </c>
      <c r="T158" s="87">
        <v>0</v>
      </c>
      <c r="U158" s="88">
        <v>0</v>
      </c>
      <c r="V158" s="88">
        <v>0</v>
      </c>
      <c r="W158" s="88">
        <v>0</v>
      </c>
      <c r="X158" s="88">
        <v>0</v>
      </c>
      <c r="Y158" s="87">
        <v>0</v>
      </c>
      <c r="Z158" s="88">
        <v>0</v>
      </c>
      <c r="AA158" s="88">
        <v>0</v>
      </c>
      <c r="AB158" s="88">
        <v>0</v>
      </c>
      <c r="AC158" s="88">
        <v>0</v>
      </c>
    </row>
    <row r="159" spans="1:29" s="238" customFormat="1" ht="75" customHeight="1" outlineLevel="1" x14ac:dyDescent="0.2">
      <c r="A159" s="246" t="s">
        <v>1127</v>
      </c>
      <c r="B159" s="245" t="s">
        <v>624</v>
      </c>
      <c r="C159" s="198">
        <f t="shared" si="59"/>
        <v>0</v>
      </c>
      <c r="D159" s="246">
        <f t="shared" si="54"/>
        <v>3661</v>
      </c>
      <c r="E159" s="210">
        <v>0</v>
      </c>
      <c r="F159" s="189">
        <f t="shared" si="60"/>
        <v>3661</v>
      </c>
      <c r="G159" s="189">
        <v>0</v>
      </c>
      <c r="H159" s="211">
        <v>3485</v>
      </c>
      <c r="I159" s="211">
        <v>176</v>
      </c>
      <c r="J159" s="198">
        <v>0</v>
      </c>
      <c r="K159" s="88">
        <v>0</v>
      </c>
      <c r="L159" s="88">
        <v>0</v>
      </c>
      <c r="M159" s="88">
        <v>0</v>
      </c>
      <c r="N159" s="88">
        <v>0</v>
      </c>
      <c r="O159" s="87">
        <v>0</v>
      </c>
      <c r="P159" s="88">
        <f t="shared" si="61"/>
        <v>0</v>
      </c>
      <c r="Q159" s="88">
        <v>0</v>
      </c>
      <c r="R159" s="88">
        <v>0</v>
      </c>
      <c r="S159" s="88">
        <v>0</v>
      </c>
      <c r="T159" s="87">
        <v>0</v>
      </c>
      <c r="U159" s="88">
        <v>0</v>
      </c>
      <c r="V159" s="88">
        <v>0</v>
      </c>
      <c r="W159" s="88">
        <v>0</v>
      </c>
      <c r="X159" s="88">
        <v>0</v>
      </c>
      <c r="Y159" s="87">
        <v>0</v>
      </c>
      <c r="Z159" s="88">
        <v>0</v>
      </c>
      <c r="AA159" s="88">
        <v>0</v>
      </c>
      <c r="AB159" s="88">
        <v>0</v>
      </c>
      <c r="AC159" s="88">
        <v>0</v>
      </c>
    </row>
    <row r="160" spans="1:29" s="238" customFormat="1" ht="81" customHeight="1" outlineLevel="1" x14ac:dyDescent="0.2">
      <c r="A160" s="246" t="s">
        <v>1128</v>
      </c>
      <c r="B160" s="245" t="s">
        <v>336</v>
      </c>
      <c r="C160" s="198">
        <f t="shared" si="59"/>
        <v>0</v>
      </c>
      <c r="D160" s="246">
        <f t="shared" si="54"/>
        <v>1132</v>
      </c>
      <c r="E160" s="210">
        <v>0</v>
      </c>
      <c r="F160" s="189">
        <f t="shared" si="60"/>
        <v>1132</v>
      </c>
      <c r="G160" s="189">
        <v>0</v>
      </c>
      <c r="H160" s="211">
        <v>1078</v>
      </c>
      <c r="I160" s="211">
        <v>54</v>
      </c>
      <c r="J160" s="198">
        <v>0</v>
      </c>
      <c r="K160" s="88">
        <v>0</v>
      </c>
      <c r="L160" s="88">
        <v>0</v>
      </c>
      <c r="M160" s="88">
        <v>0</v>
      </c>
      <c r="N160" s="88">
        <v>0</v>
      </c>
      <c r="O160" s="87">
        <v>0</v>
      </c>
      <c r="P160" s="88">
        <f t="shared" si="61"/>
        <v>0</v>
      </c>
      <c r="Q160" s="88">
        <v>0</v>
      </c>
      <c r="R160" s="88">
        <v>0</v>
      </c>
      <c r="S160" s="88">
        <v>0</v>
      </c>
      <c r="T160" s="87">
        <v>0</v>
      </c>
      <c r="U160" s="88">
        <v>0</v>
      </c>
      <c r="V160" s="88">
        <v>0</v>
      </c>
      <c r="W160" s="88">
        <v>0</v>
      </c>
      <c r="X160" s="88">
        <v>0</v>
      </c>
      <c r="Y160" s="87">
        <v>0</v>
      </c>
      <c r="Z160" s="88">
        <v>0</v>
      </c>
      <c r="AA160" s="88">
        <v>0</v>
      </c>
      <c r="AB160" s="88">
        <v>0</v>
      </c>
      <c r="AC160" s="88">
        <v>0</v>
      </c>
    </row>
    <row r="161" spans="1:29" s="238" customFormat="1" ht="69.599999999999994" customHeight="1" outlineLevel="1" x14ac:dyDescent="0.2">
      <c r="A161" s="246" t="s">
        <v>1129</v>
      </c>
      <c r="B161" s="245" t="s">
        <v>625</v>
      </c>
      <c r="C161" s="198">
        <f t="shared" si="59"/>
        <v>0</v>
      </c>
      <c r="D161" s="246">
        <f t="shared" si="54"/>
        <v>1475</v>
      </c>
      <c r="E161" s="210">
        <v>0</v>
      </c>
      <c r="F161" s="189">
        <f>G161+H161+I161</f>
        <v>1475</v>
      </c>
      <c r="G161" s="189">
        <v>0</v>
      </c>
      <c r="H161" s="211">
        <v>1404</v>
      </c>
      <c r="I161" s="211">
        <v>71</v>
      </c>
      <c r="J161" s="198">
        <v>0</v>
      </c>
      <c r="K161" s="88">
        <v>0</v>
      </c>
      <c r="L161" s="88">
        <v>0</v>
      </c>
      <c r="M161" s="88">
        <v>0</v>
      </c>
      <c r="N161" s="88">
        <v>0</v>
      </c>
      <c r="O161" s="87">
        <v>0</v>
      </c>
      <c r="P161" s="88">
        <f t="shared" si="61"/>
        <v>0</v>
      </c>
      <c r="Q161" s="88">
        <v>0</v>
      </c>
      <c r="R161" s="88">
        <v>0</v>
      </c>
      <c r="S161" s="88">
        <v>0</v>
      </c>
      <c r="T161" s="87">
        <v>0</v>
      </c>
      <c r="U161" s="88">
        <v>0</v>
      </c>
      <c r="V161" s="88">
        <v>0</v>
      </c>
      <c r="W161" s="88">
        <v>0</v>
      </c>
      <c r="X161" s="88">
        <v>0</v>
      </c>
      <c r="Y161" s="87">
        <v>0</v>
      </c>
      <c r="Z161" s="88">
        <v>0</v>
      </c>
      <c r="AA161" s="88">
        <v>0</v>
      </c>
      <c r="AB161" s="88">
        <v>0</v>
      </c>
      <c r="AC161" s="88">
        <v>0</v>
      </c>
    </row>
    <row r="162" spans="1:29" s="238" customFormat="1" ht="57" customHeight="1" outlineLevel="1" x14ac:dyDescent="0.2">
      <c r="A162" s="246" t="s">
        <v>1130</v>
      </c>
      <c r="B162" s="245" t="s">
        <v>267</v>
      </c>
      <c r="C162" s="198">
        <f t="shared" si="59"/>
        <v>0</v>
      </c>
      <c r="D162" s="246">
        <f t="shared" si="54"/>
        <v>1148</v>
      </c>
      <c r="E162" s="210">
        <v>0</v>
      </c>
      <c r="F162" s="189">
        <f>G162+H162+I162</f>
        <v>1148</v>
      </c>
      <c r="G162" s="189">
        <v>0</v>
      </c>
      <c r="H162" s="211">
        <v>1093</v>
      </c>
      <c r="I162" s="211">
        <v>55</v>
      </c>
      <c r="J162" s="198">
        <v>0</v>
      </c>
      <c r="K162" s="88">
        <v>0</v>
      </c>
      <c r="L162" s="88">
        <v>0</v>
      </c>
      <c r="M162" s="88">
        <v>0</v>
      </c>
      <c r="N162" s="88">
        <v>0</v>
      </c>
      <c r="O162" s="87">
        <v>0</v>
      </c>
      <c r="P162" s="88">
        <f t="shared" si="61"/>
        <v>0</v>
      </c>
      <c r="Q162" s="88">
        <v>0</v>
      </c>
      <c r="R162" s="88">
        <v>0</v>
      </c>
      <c r="S162" s="88">
        <v>0</v>
      </c>
      <c r="T162" s="87">
        <v>0</v>
      </c>
      <c r="U162" s="88">
        <v>0</v>
      </c>
      <c r="V162" s="88">
        <v>0</v>
      </c>
      <c r="W162" s="88">
        <v>0</v>
      </c>
      <c r="X162" s="88">
        <v>0</v>
      </c>
      <c r="Y162" s="87">
        <v>0</v>
      </c>
      <c r="Z162" s="88">
        <v>0</v>
      </c>
      <c r="AA162" s="88">
        <v>0</v>
      </c>
      <c r="AB162" s="88">
        <v>0</v>
      </c>
      <c r="AC162" s="88">
        <v>0</v>
      </c>
    </row>
    <row r="163" spans="1:29" s="238" customFormat="1" ht="63" customHeight="1" outlineLevel="1" x14ac:dyDescent="0.2">
      <c r="A163" s="246" t="s">
        <v>1131</v>
      </c>
      <c r="B163" s="245" t="s">
        <v>337</v>
      </c>
      <c r="C163" s="198">
        <f t="shared" si="59"/>
        <v>0</v>
      </c>
      <c r="D163" s="246">
        <f t="shared" si="54"/>
        <v>828</v>
      </c>
      <c r="E163" s="210">
        <v>0</v>
      </c>
      <c r="F163" s="189">
        <f t="shared" si="60"/>
        <v>828</v>
      </c>
      <c r="G163" s="189">
        <v>0</v>
      </c>
      <c r="H163" s="211">
        <v>788</v>
      </c>
      <c r="I163" s="211">
        <v>40</v>
      </c>
      <c r="J163" s="198">
        <v>0</v>
      </c>
      <c r="K163" s="88">
        <v>0</v>
      </c>
      <c r="L163" s="88">
        <v>0</v>
      </c>
      <c r="M163" s="88">
        <v>0</v>
      </c>
      <c r="N163" s="88">
        <v>0</v>
      </c>
      <c r="O163" s="87">
        <v>0</v>
      </c>
      <c r="P163" s="88">
        <f t="shared" si="61"/>
        <v>0</v>
      </c>
      <c r="Q163" s="88">
        <v>0</v>
      </c>
      <c r="R163" s="88">
        <v>0</v>
      </c>
      <c r="S163" s="88">
        <v>0</v>
      </c>
      <c r="T163" s="87">
        <v>0</v>
      </c>
      <c r="U163" s="88">
        <v>0</v>
      </c>
      <c r="V163" s="88">
        <v>0</v>
      </c>
      <c r="W163" s="88">
        <v>0</v>
      </c>
      <c r="X163" s="88">
        <v>0</v>
      </c>
      <c r="Y163" s="87">
        <v>0</v>
      </c>
      <c r="Z163" s="88">
        <v>0</v>
      </c>
      <c r="AA163" s="88">
        <v>0</v>
      </c>
      <c r="AB163" s="88">
        <v>0</v>
      </c>
      <c r="AC163" s="88">
        <v>0</v>
      </c>
    </row>
    <row r="164" spans="1:29" s="238" customFormat="1" ht="115.9" customHeight="1" outlineLevel="1" x14ac:dyDescent="0.2">
      <c r="A164" s="246" t="s">
        <v>1132</v>
      </c>
      <c r="B164" s="245" t="s">
        <v>268</v>
      </c>
      <c r="C164" s="198">
        <f t="shared" si="59"/>
        <v>0</v>
      </c>
      <c r="D164" s="246">
        <f t="shared" si="54"/>
        <v>5055</v>
      </c>
      <c r="E164" s="210">
        <v>0</v>
      </c>
      <c r="F164" s="189">
        <f t="shared" si="60"/>
        <v>5055</v>
      </c>
      <c r="G164" s="189">
        <v>0</v>
      </c>
      <c r="H164" s="211">
        <v>4812</v>
      </c>
      <c r="I164" s="211">
        <v>243</v>
      </c>
      <c r="J164" s="198">
        <v>0</v>
      </c>
      <c r="K164" s="88">
        <v>0</v>
      </c>
      <c r="L164" s="88">
        <v>0</v>
      </c>
      <c r="M164" s="88">
        <v>0</v>
      </c>
      <c r="N164" s="88">
        <v>0</v>
      </c>
      <c r="O164" s="87">
        <v>0</v>
      </c>
      <c r="P164" s="88">
        <f t="shared" si="61"/>
        <v>0</v>
      </c>
      <c r="Q164" s="88">
        <v>0</v>
      </c>
      <c r="R164" s="88">
        <v>0</v>
      </c>
      <c r="S164" s="88">
        <v>0</v>
      </c>
      <c r="T164" s="87">
        <v>0</v>
      </c>
      <c r="U164" s="88">
        <v>0</v>
      </c>
      <c r="V164" s="88">
        <v>0</v>
      </c>
      <c r="W164" s="88">
        <v>0</v>
      </c>
      <c r="X164" s="88">
        <v>0</v>
      </c>
      <c r="Y164" s="87">
        <v>0</v>
      </c>
      <c r="Z164" s="88">
        <v>0</v>
      </c>
      <c r="AA164" s="88">
        <v>0</v>
      </c>
      <c r="AB164" s="88">
        <v>0</v>
      </c>
      <c r="AC164" s="88">
        <v>0</v>
      </c>
    </row>
    <row r="165" spans="1:29" s="238" customFormat="1" ht="99.75" customHeight="1" outlineLevel="1" x14ac:dyDescent="0.2">
      <c r="A165" s="246" t="s">
        <v>1133</v>
      </c>
      <c r="B165" s="245" t="s">
        <v>338</v>
      </c>
      <c r="C165" s="198">
        <f t="shared" si="59"/>
        <v>0</v>
      </c>
      <c r="D165" s="246">
        <f t="shared" ref="D165:D189" si="62">F165+K165+P165+Z165+U165</f>
        <v>897</v>
      </c>
      <c r="E165" s="210">
        <v>0</v>
      </c>
      <c r="F165" s="189">
        <f t="shared" si="60"/>
        <v>897</v>
      </c>
      <c r="G165" s="189">
        <v>0</v>
      </c>
      <c r="H165" s="211">
        <v>854</v>
      </c>
      <c r="I165" s="211">
        <v>43</v>
      </c>
      <c r="J165" s="198">
        <v>0</v>
      </c>
      <c r="K165" s="88">
        <v>0</v>
      </c>
      <c r="L165" s="88">
        <v>0</v>
      </c>
      <c r="M165" s="88">
        <v>0</v>
      </c>
      <c r="N165" s="88">
        <v>0</v>
      </c>
      <c r="O165" s="87">
        <v>0</v>
      </c>
      <c r="P165" s="88">
        <f t="shared" si="61"/>
        <v>0</v>
      </c>
      <c r="Q165" s="88">
        <v>0</v>
      </c>
      <c r="R165" s="88">
        <v>0</v>
      </c>
      <c r="S165" s="88">
        <v>0</v>
      </c>
      <c r="T165" s="87">
        <v>0</v>
      </c>
      <c r="U165" s="88">
        <v>0</v>
      </c>
      <c r="V165" s="88">
        <v>0</v>
      </c>
      <c r="W165" s="88">
        <v>0</v>
      </c>
      <c r="X165" s="88">
        <v>0</v>
      </c>
      <c r="Y165" s="87">
        <v>0</v>
      </c>
      <c r="Z165" s="88">
        <v>0</v>
      </c>
      <c r="AA165" s="88">
        <v>0</v>
      </c>
      <c r="AB165" s="88">
        <v>0</v>
      </c>
      <c r="AC165" s="88">
        <v>0</v>
      </c>
    </row>
    <row r="166" spans="1:29" s="238" customFormat="1" ht="106.9" customHeight="1" outlineLevel="1" x14ac:dyDescent="0.2">
      <c r="A166" s="246" t="s">
        <v>1134</v>
      </c>
      <c r="B166" s="245" t="s">
        <v>269</v>
      </c>
      <c r="C166" s="198">
        <f t="shared" si="59"/>
        <v>0</v>
      </c>
      <c r="D166" s="246">
        <f t="shared" si="62"/>
        <v>551</v>
      </c>
      <c r="E166" s="210">
        <v>0</v>
      </c>
      <c r="F166" s="189">
        <f t="shared" ref="F166:F179" si="63">G166+H166+I166</f>
        <v>551</v>
      </c>
      <c r="G166" s="189">
        <v>0</v>
      </c>
      <c r="H166" s="211">
        <v>525</v>
      </c>
      <c r="I166" s="211">
        <v>26</v>
      </c>
      <c r="J166" s="198">
        <v>0</v>
      </c>
      <c r="K166" s="88">
        <v>0</v>
      </c>
      <c r="L166" s="88">
        <v>0</v>
      </c>
      <c r="M166" s="88">
        <v>0</v>
      </c>
      <c r="N166" s="88">
        <v>0</v>
      </c>
      <c r="O166" s="87">
        <v>0</v>
      </c>
      <c r="P166" s="88">
        <f t="shared" si="61"/>
        <v>0</v>
      </c>
      <c r="Q166" s="88">
        <v>0</v>
      </c>
      <c r="R166" s="88">
        <v>0</v>
      </c>
      <c r="S166" s="88">
        <v>0</v>
      </c>
      <c r="T166" s="87">
        <v>0</v>
      </c>
      <c r="U166" s="88">
        <v>0</v>
      </c>
      <c r="V166" s="88">
        <v>0</v>
      </c>
      <c r="W166" s="88">
        <v>0</v>
      </c>
      <c r="X166" s="88">
        <v>0</v>
      </c>
      <c r="Y166" s="87">
        <v>0</v>
      </c>
      <c r="Z166" s="88">
        <v>0</v>
      </c>
      <c r="AA166" s="88">
        <v>0</v>
      </c>
      <c r="AB166" s="88">
        <v>0</v>
      </c>
      <c r="AC166" s="88">
        <v>0</v>
      </c>
    </row>
    <row r="167" spans="1:29" s="238" customFormat="1" ht="39" customHeight="1" outlineLevel="1" x14ac:dyDescent="0.2">
      <c r="A167" s="246" t="s">
        <v>1135</v>
      </c>
      <c r="B167" s="245" t="s">
        <v>270</v>
      </c>
      <c r="C167" s="198">
        <f>E167+J167+O167+T167+Y167</f>
        <v>0</v>
      </c>
      <c r="D167" s="246">
        <f t="shared" si="62"/>
        <v>221</v>
      </c>
      <c r="E167" s="210">
        <v>0</v>
      </c>
      <c r="F167" s="189">
        <f t="shared" si="63"/>
        <v>221</v>
      </c>
      <c r="G167" s="189">
        <v>0</v>
      </c>
      <c r="H167" s="211">
        <v>210</v>
      </c>
      <c r="I167" s="211">
        <v>11</v>
      </c>
      <c r="J167" s="198">
        <v>0</v>
      </c>
      <c r="K167" s="88">
        <v>0</v>
      </c>
      <c r="L167" s="88">
        <v>0</v>
      </c>
      <c r="M167" s="88">
        <v>0</v>
      </c>
      <c r="N167" s="88">
        <v>0</v>
      </c>
      <c r="O167" s="87">
        <v>0</v>
      </c>
      <c r="P167" s="88">
        <f>S167</f>
        <v>0</v>
      </c>
      <c r="Q167" s="88">
        <v>0</v>
      </c>
      <c r="R167" s="88">
        <v>0</v>
      </c>
      <c r="S167" s="88">
        <v>0</v>
      </c>
      <c r="T167" s="87">
        <v>0</v>
      </c>
      <c r="U167" s="88">
        <v>0</v>
      </c>
      <c r="V167" s="88">
        <v>0</v>
      </c>
      <c r="W167" s="88">
        <v>0</v>
      </c>
      <c r="X167" s="88">
        <v>0</v>
      </c>
      <c r="Y167" s="87">
        <v>0</v>
      </c>
      <c r="Z167" s="88">
        <v>0</v>
      </c>
      <c r="AA167" s="88">
        <v>0</v>
      </c>
      <c r="AB167" s="88">
        <v>0</v>
      </c>
      <c r="AC167" s="88">
        <v>0</v>
      </c>
    </row>
    <row r="168" spans="1:29" s="238" customFormat="1" ht="105" customHeight="1" outlineLevel="1" x14ac:dyDescent="0.2">
      <c r="A168" s="246" t="s">
        <v>1136</v>
      </c>
      <c r="B168" s="245" t="s">
        <v>626</v>
      </c>
      <c r="C168" s="198">
        <f>E168+J168+O168+T168+Y168</f>
        <v>0</v>
      </c>
      <c r="D168" s="246">
        <f t="shared" si="62"/>
        <v>1624</v>
      </c>
      <c r="E168" s="210">
        <v>0</v>
      </c>
      <c r="F168" s="189">
        <f t="shared" si="63"/>
        <v>1624</v>
      </c>
      <c r="G168" s="189">
        <v>0</v>
      </c>
      <c r="H168" s="211">
        <v>1546</v>
      </c>
      <c r="I168" s="211">
        <v>78</v>
      </c>
      <c r="J168" s="198">
        <v>0</v>
      </c>
      <c r="K168" s="88">
        <v>0</v>
      </c>
      <c r="L168" s="88">
        <v>0</v>
      </c>
      <c r="M168" s="88">
        <v>0</v>
      </c>
      <c r="N168" s="88">
        <v>0</v>
      </c>
      <c r="O168" s="87">
        <v>0</v>
      </c>
      <c r="P168" s="88">
        <f>S168</f>
        <v>0</v>
      </c>
      <c r="Q168" s="88">
        <v>0</v>
      </c>
      <c r="R168" s="88">
        <v>0</v>
      </c>
      <c r="S168" s="88">
        <v>0</v>
      </c>
      <c r="T168" s="87">
        <v>0</v>
      </c>
      <c r="U168" s="88">
        <v>0</v>
      </c>
      <c r="V168" s="88">
        <v>0</v>
      </c>
      <c r="W168" s="88">
        <v>0</v>
      </c>
      <c r="X168" s="88">
        <v>0</v>
      </c>
      <c r="Y168" s="87">
        <v>0</v>
      </c>
      <c r="Z168" s="88">
        <v>0</v>
      </c>
      <c r="AA168" s="88">
        <v>0</v>
      </c>
      <c r="AB168" s="88">
        <v>0</v>
      </c>
      <c r="AC168" s="88">
        <v>0</v>
      </c>
    </row>
    <row r="169" spans="1:29" s="238" customFormat="1" ht="57" customHeight="1" outlineLevel="1" x14ac:dyDescent="0.2">
      <c r="A169" s="246" t="s">
        <v>1137</v>
      </c>
      <c r="B169" s="245" t="s">
        <v>627</v>
      </c>
      <c r="C169" s="198">
        <f t="shared" ref="C169:C212" si="64">E169+J169+O169+T169+Y169</f>
        <v>0</v>
      </c>
      <c r="D169" s="246">
        <f t="shared" si="62"/>
        <v>164</v>
      </c>
      <c r="E169" s="210">
        <v>0</v>
      </c>
      <c r="F169" s="189">
        <f t="shared" si="63"/>
        <v>164</v>
      </c>
      <c r="G169" s="189">
        <v>0</v>
      </c>
      <c r="H169" s="211">
        <v>156</v>
      </c>
      <c r="I169" s="211">
        <v>8</v>
      </c>
      <c r="J169" s="198">
        <v>0</v>
      </c>
      <c r="K169" s="88">
        <v>0</v>
      </c>
      <c r="L169" s="88">
        <v>0</v>
      </c>
      <c r="M169" s="88">
        <v>0</v>
      </c>
      <c r="N169" s="88">
        <v>0</v>
      </c>
      <c r="O169" s="87">
        <v>0</v>
      </c>
      <c r="P169" s="88">
        <f t="shared" si="61"/>
        <v>0</v>
      </c>
      <c r="Q169" s="88">
        <v>0</v>
      </c>
      <c r="R169" s="88">
        <v>0</v>
      </c>
      <c r="S169" s="88">
        <v>0</v>
      </c>
      <c r="T169" s="87">
        <v>0</v>
      </c>
      <c r="U169" s="88">
        <v>0</v>
      </c>
      <c r="V169" s="88">
        <v>0</v>
      </c>
      <c r="W169" s="88">
        <v>0</v>
      </c>
      <c r="X169" s="88">
        <v>0</v>
      </c>
      <c r="Y169" s="87">
        <v>0</v>
      </c>
      <c r="Z169" s="88">
        <v>0</v>
      </c>
      <c r="AA169" s="88">
        <v>0</v>
      </c>
      <c r="AB169" s="88">
        <v>0</v>
      </c>
      <c r="AC169" s="88">
        <v>0</v>
      </c>
    </row>
    <row r="170" spans="1:29" s="238" customFormat="1" ht="49.9" customHeight="1" outlineLevel="1" x14ac:dyDescent="0.2">
      <c r="A170" s="246" t="s">
        <v>1138</v>
      </c>
      <c r="B170" s="245" t="s">
        <v>628</v>
      </c>
      <c r="C170" s="198">
        <f t="shared" si="64"/>
        <v>0</v>
      </c>
      <c r="D170" s="246">
        <f t="shared" si="62"/>
        <v>108</v>
      </c>
      <c r="E170" s="210">
        <v>0</v>
      </c>
      <c r="F170" s="189">
        <f t="shared" si="63"/>
        <v>108</v>
      </c>
      <c r="G170" s="189">
        <v>0</v>
      </c>
      <c r="H170" s="211">
        <v>102</v>
      </c>
      <c r="I170" s="211">
        <v>6</v>
      </c>
      <c r="J170" s="198">
        <v>0</v>
      </c>
      <c r="K170" s="88">
        <v>0</v>
      </c>
      <c r="L170" s="88">
        <v>0</v>
      </c>
      <c r="M170" s="88">
        <v>0</v>
      </c>
      <c r="N170" s="88">
        <v>0</v>
      </c>
      <c r="O170" s="87">
        <v>0</v>
      </c>
      <c r="P170" s="88">
        <f t="shared" ref="P170:P178" si="65">S170</f>
        <v>0</v>
      </c>
      <c r="Q170" s="88">
        <v>0</v>
      </c>
      <c r="R170" s="88">
        <v>0</v>
      </c>
      <c r="S170" s="88">
        <v>0</v>
      </c>
      <c r="T170" s="87">
        <v>0</v>
      </c>
      <c r="U170" s="88">
        <v>0</v>
      </c>
      <c r="V170" s="88">
        <v>0</v>
      </c>
      <c r="W170" s="88">
        <v>0</v>
      </c>
      <c r="X170" s="88">
        <v>0</v>
      </c>
      <c r="Y170" s="87">
        <v>0</v>
      </c>
      <c r="Z170" s="88">
        <v>0</v>
      </c>
      <c r="AA170" s="88">
        <v>0</v>
      </c>
      <c r="AB170" s="88">
        <v>0</v>
      </c>
      <c r="AC170" s="88">
        <v>0</v>
      </c>
    </row>
    <row r="171" spans="1:29" s="238" customFormat="1" ht="52.9" customHeight="1" outlineLevel="1" x14ac:dyDescent="0.2">
      <c r="A171" s="246" t="s">
        <v>1139</v>
      </c>
      <c r="B171" s="245" t="s">
        <v>271</v>
      </c>
      <c r="C171" s="198">
        <f t="shared" si="64"/>
        <v>0</v>
      </c>
      <c r="D171" s="246">
        <f t="shared" si="62"/>
        <v>398</v>
      </c>
      <c r="E171" s="210">
        <v>0</v>
      </c>
      <c r="F171" s="189">
        <f t="shared" si="63"/>
        <v>398</v>
      </c>
      <c r="G171" s="189">
        <v>0</v>
      </c>
      <c r="H171" s="211">
        <v>379</v>
      </c>
      <c r="I171" s="211">
        <v>19</v>
      </c>
      <c r="J171" s="198">
        <v>0</v>
      </c>
      <c r="K171" s="88">
        <v>0</v>
      </c>
      <c r="L171" s="88">
        <v>0</v>
      </c>
      <c r="M171" s="88">
        <v>0</v>
      </c>
      <c r="N171" s="88">
        <v>0</v>
      </c>
      <c r="O171" s="87">
        <v>0</v>
      </c>
      <c r="P171" s="88">
        <f t="shared" si="65"/>
        <v>0</v>
      </c>
      <c r="Q171" s="88">
        <v>0</v>
      </c>
      <c r="R171" s="88">
        <v>0</v>
      </c>
      <c r="S171" s="88">
        <v>0</v>
      </c>
      <c r="T171" s="87">
        <v>0</v>
      </c>
      <c r="U171" s="88">
        <v>0</v>
      </c>
      <c r="V171" s="88">
        <v>0</v>
      </c>
      <c r="W171" s="88">
        <v>0</v>
      </c>
      <c r="X171" s="88">
        <v>0</v>
      </c>
      <c r="Y171" s="87">
        <v>0</v>
      </c>
      <c r="Z171" s="88">
        <v>0</v>
      </c>
      <c r="AA171" s="88">
        <v>0</v>
      </c>
      <c r="AB171" s="88">
        <v>0</v>
      </c>
      <c r="AC171" s="88">
        <v>0</v>
      </c>
    </row>
    <row r="172" spans="1:29" s="238" customFormat="1" ht="49.9" customHeight="1" outlineLevel="1" x14ac:dyDescent="0.2">
      <c r="A172" s="246" t="s">
        <v>1140</v>
      </c>
      <c r="B172" s="245" t="s">
        <v>272</v>
      </c>
      <c r="C172" s="198">
        <f t="shared" si="64"/>
        <v>0</v>
      </c>
      <c r="D172" s="246">
        <f t="shared" si="62"/>
        <v>173</v>
      </c>
      <c r="E172" s="210">
        <v>0</v>
      </c>
      <c r="F172" s="189">
        <f t="shared" si="63"/>
        <v>173</v>
      </c>
      <c r="G172" s="189">
        <v>0</v>
      </c>
      <c r="H172" s="211">
        <v>165</v>
      </c>
      <c r="I172" s="211">
        <v>8</v>
      </c>
      <c r="J172" s="198">
        <v>0</v>
      </c>
      <c r="K172" s="88">
        <v>0</v>
      </c>
      <c r="L172" s="88">
        <v>0</v>
      </c>
      <c r="M172" s="88">
        <v>0</v>
      </c>
      <c r="N172" s="88">
        <v>0</v>
      </c>
      <c r="O172" s="87">
        <v>0</v>
      </c>
      <c r="P172" s="88">
        <f t="shared" si="65"/>
        <v>0</v>
      </c>
      <c r="Q172" s="88">
        <v>0</v>
      </c>
      <c r="R172" s="88">
        <v>0</v>
      </c>
      <c r="S172" s="88">
        <v>0</v>
      </c>
      <c r="T172" s="87">
        <v>0</v>
      </c>
      <c r="U172" s="88">
        <v>0</v>
      </c>
      <c r="V172" s="88">
        <v>0</v>
      </c>
      <c r="W172" s="88">
        <v>0</v>
      </c>
      <c r="X172" s="88">
        <v>0</v>
      </c>
      <c r="Y172" s="87">
        <v>0</v>
      </c>
      <c r="Z172" s="88">
        <v>0</v>
      </c>
      <c r="AA172" s="88">
        <v>0</v>
      </c>
      <c r="AB172" s="88">
        <v>0</v>
      </c>
      <c r="AC172" s="88">
        <v>0</v>
      </c>
    </row>
    <row r="173" spans="1:29" s="238" customFormat="1" ht="67.900000000000006" customHeight="1" outlineLevel="1" x14ac:dyDescent="0.2">
      <c r="A173" s="246" t="s">
        <v>1141</v>
      </c>
      <c r="B173" s="245" t="s">
        <v>273</v>
      </c>
      <c r="C173" s="198">
        <f t="shared" si="64"/>
        <v>0</v>
      </c>
      <c r="D173" s="246">
        <f t="shared" si="62"/>
        <v>6317</v>
      </c>
      <c r="E173" s="210">
        <v>0</v>
      </c>
      <c r="F173" s="189">
        <f t="shared" si="63"/>
        <v>6317</v>
      </c>
      <c r="G173" s="189">
        <v>0</v>
      </c>
      <c r="H173" s="211">
        <v>6014</v>
      </c>
      <c r="I173" s="211">
        <v>303</v>
      </c>
      <c r="J173" s="198">
        <v>0</v>
      </c>
      <c r="K173" s="88">
        <v>0</v>
      </c>
      <c r="L173" s="88">
        <v>0</v>
      </c>
      <c r="M173" s="88">
        <v>0</v>
      </c>
      <c r="N173" s="88">
        <v>0</v>
      </c>
      <c r="O173" s="87">
        <v>0</v>
      </c>
      <c r="P173" s="88">
        <f t="shared" si="65"/>
        <v>0</v>
      </c>
      <c r="Q173" s="88">
        <v>0</v>
      </c>
      <c r="R173" s="88">
        <v>0</v>
      </c>
      <c r="S173" s="88">
        <v>0</v>
      </c>
      <c r="T173" s="87">
        <v>0</v>
      </c>
      <c r="U173" s="88">
        <v>0</v>
      </c>
      <c r="V173" s="88">
        <v>0</v>
      </c>
      <c r="W173" s="88">
        <v>0</v>
      </c>
      <c r="X173" s="88">
        <v>0</v>
      </c>
      <c r="Y173" s="87">
        <v>0</v>
      </c>
      <c r="Z173" s="88">
        <v>0</v>
      </c>
      <c r="AA173" s="88">
        <v>0</v>
      </c>
      <c r="AB173" s="88">
        <v>0</v>
      </c>
      <c r="AC173" s="88">
        <v>0</v>
      </c>
    </row>
    <row r="174" spans="1:29" s="238" customFormat="1" ht="132.75" customHeight="1" outlineLevel="1" x14ac:dyDescent="0.2">
      <c r="A174" s="246" t="s">
        <v>1142</v>
      </c>
      <c r="B174" s="245" t="s">
        <v>541</v>
      </c>
      <c r="C174" s="198">
        <f t="shared" si="64"/>
        <v>0</v>
      </c>
      <c r="D174" s="246">
        <f t="shared" si="62"/>
        <v>1209</v>
      </c>
      <c r="E174" s="210">
        <v>0</v>
      </c>
      <c r="F174" s="189">
        <f t="shared" si="63"/>
        <v>330</v>
      </c>
      <c r="G174" s="189">
        <v>0</v>
      </c>
      <c r="H174" s="211">
        <v>0</v>
      </c>
      <c r="I174" s="211">
        <v>330</v>
      </c>
      <c r="J174" s="198">
        <v>0</v>
      </c>
      <c r="K174" s="88">
        <f>L174+M174+N174</f>
        <v>277</v>
      </c>
      <c r="L174" s="88">
        <v>0</v>
      </c>
      <c r="M174" s="88">
        <v>0</v>
      </c>
      <c r="N174" s="88">
        <f>300-23</f>
        <v>277</v>
      </c>
      <c r="O174" s="87">
        <v>0</v>
      </c>
      <c r="P174" s="88">
        <f t="shared" si="65"/>
        <v>100</v>
      </c>
      <c r="Q174" s="88">
        <v>0</v>
      </c>
      <c r="R174" s="88">
        <v>0</v>
      </c>
      <c r="S174" s="88">
        <f>400-200+337-437</f>
        <v>100</v>
      </c>
      <c r="T174" s="87">
        <v>0</v>
      </c>
      <c r="U174" s="88">
        <f>X174+W174+V174</f>
        <v>198</v>
      </c>
      <c r="V174" s="88">
        <v>0</v>
      </c>
      <c r="W174" s="88">
        <v>0</v>
      </c>
      <c r="X174" s="88">
        <v>198</v>
      </c>
      <c r="Y174" s="87">
        <v>0</v>
      </c>
      <c r="Z174" s="88">
        <f>AC174+AB174+AA174</f>
        <v>304</v>
      </c>
      <c r="AA174" s="88">
        <v>0</v>
      </c>
      <c r="AB174" s="88">
        <v>0</v>
      </c>
      <c r="AC174" s="88">
        <f>400-200+104</f>
        <v>304</v>
      </c>
    </row>
    <row r="175" spans="1:29" s="238" customFormat="1" ht="43.5" customHeight="1" outlineLevel="1" x14ac:dyDescent="0.2">
      <c r="A175" s="246" t="s">
        <v>1143</v>
      </c>
      <c r="B175" s="245" t="s">
        <v>604</v>
      </c>
      <c r="C175" s="198">
        <f t="shared" si="64"/>
        <v>0</v>
      </c>
      <c r="D175" s="246">
        <f t="shared" si="62"/>
        <v>592</v>
      </c>
      <c r="E175" s="210">
        <v>0</v>
      </c>
      <c r="F175" s="189">
        <f t="shared" si="63"/>
        <v>0</v>
      </c>
      <c r="G175" s="189">
        <v>0</v>
      </c>
      <c r="H175" s="211">
        <v>0</v>
      </c>
      <c r="I175" s="211">
        <v>0</v>
      </c>
      <c r="J175" s="198">
        <v>0</v>
      </c>
      <c r="K175" s="88">
        <f>L175+M175+N175</f>
        <v>0</v>
      </c>
      <c r="L175" s="88">
        <v>0</v>
      </c>
      <c r="M175" s="88">
        <v>0</v>
      </c>
      <c r="N175" s="88">
        <v>0</v>
      </c>
      <c r="O175" s="87">
        <v>0</v>
      </c>
      <c r="P175" s="88">
        <f t="shared" si="65"/>
        <v>0</v>
      </c>
      <c r="Q175" s="88">
        <v>0</v>
      </c>
      <c r="R175" s="88">
        <v>0</v>
      </c>
      <c r="S175" s="88">
        <v>0</v>
      </c>
      <c r="T175" s="87">
        <v>0</v>
      </c>
      <c r="U175" s="88">
        <f>X175+W175+V175</f>
        <v>592</v>
      </c>
      <c r="V175" s="88">
        <v>0</v>
      </c>
      <c r="W175" s="88">
        <v>0</v>
      </c>
      <c r="X175" s="88">
        <f>598-6</f>
        <v>592</v>
      </c>
      <c r="Y175" s="87">
        <v>0</v>
      </c>
      <c r="Z175" s="88">
        <f>AA175+AB175+AC175+AD175</f>
        <v>0</v>
      </c>
      <c r="AA175" s="88">
        <v>0</v>
      </c>
      <c r="AB175" s="88">
        <v>0</v>
      </c>
      <c r="AC175" s="88">
        <f>8256-8256</f>
        <v>0</v>
      </c>
    </row>
    <row r="176" spans="1:29" s="238" customFormat="1" ht="79.5" customHeight="1" outlineLevel="1" x14ac:dyDescent="0.2">
      <c r="A176" s="246" t="s">
        <v>1144</v>
      </c>
      <c r="B176" s="245" t="s">
        <v>18</v>
      </c>
      <c r="C176" s="198">
        <f t="shared" si="64"/>
        <v>0</v>
      </c>
      <c r="D176" s="246">
        <f t="shared" si="62"/>
        <v>772</v>
      </c>
      <c r="E176" s="210">
        <v>0</v>
      </c>
      <c r="F176" s="189">
        <f t="shared" si="63"/>
        <v>97</v>
      </c>
      <c r="G176" s="189">
        <v>0</v>
      </c>
      <c r="H176" s="211">
        <v>0</v>
      </c>
      <c r="I176" s="211">
        <v>97</v>
      </c>
      <c r="J176" s="198">
        <v>0</v>
      </c>
      <c r="K176" s="88">
        <f>L176+M176+N176</f>
        <v>174</v>
      </c>
      <c r="L176" s="88">
        <v>0</v>
      </c>
      <c r="M176" s="88">
        <v>0</v>
      </c>
      <c r="N176" s="88">
        <f>143+31</f>
        <v>174</v>
      </c>
      <c r="O176" s="87">
        <v>0</v>
      </c>
      <c r="P176" s="88">
        <f t="shared" si="65"/>
        <v>501</v>
      </c>
      <c r="Q176" s="88">
        <v>0</v>
      </c>
      <c r="R176" s="88">
        <v>0</v>
      </c>
      <c r="S176" s="88">
        <f>119+169-6+219</f>
        <v>501</v>
      </c>
      <c r="T176" s="87">
        <v>0</v>
      </c>
      <c r="U176" s="88">
        <f>V176+W176+X176</f>
        <v>0</v>
      </c>
      <c r="V176" s="88">
        <v>0</v>
      </c>
      <c r="W176" s="88">
        <v>0</v>
      </c>
      <c r="X176" s="88">
        <f>119-119</f>
        <v>0</v>
      </c>
      <c r="Y176" s="87">
        <v>0</v>
      </c>
      <c r="Z176" s="88">
        <v>0</v>
      </c>
      <c r="AA176" s="88">
        <v>0</v>
      </c>
      <c r="AB176" s="88">
        <v>0</v>
      </c>
      <c r="AC176" s="88">
        <v>0</v>
      </c>
    </row>
    <row r="177" spans="1:32" s="238" customFormat="1" ht="114" customHeight="1" outlineLevel="1" x14ac:dyDescent="0.2">
      <c r="A177" s="246" t="s">
        <v>1145</v>
      </c>
      <c r="B177" s="245" t="s">
        <v>323</v>
      </c>
      <c r="C177" s="198">
        <f t="shared" si="64"/>
        <v>0</v>
      </c>
      <c r="D177" s="246">
        <f t="shared" si="62"/>
        <v>30</v>
      </c>
      <c r="E177" s="210">
        <v>0</v>
      </c>
      <c r="F177" s="189">
        <f t="shared" si="63"/>
        <v>30</v>
      </c>
      <c r="G177" s="189">
        <v>0</v>
      </c>
      <c r="H177" s="211">
        <v>0</v>
      </c>
      <c r="I177" s="211">
        <v>30</v>
      </c>
      <c r="J177" s="198">
        <v>0</v>
      </c>
      <c r="K177" s="88">
        <v>0</v>
      </c>
      <c r="L177" s="88">
        <v>0</v>
      </c>
      <c r="M177" s="88">
        <v>0</v>
      </c>
      <c r="N177" s="88">
        <v>0</v>
      </c>
      <c r="O177" s="87">
        <v>0</v>
      </c>
      <c r="P177" s="88">
        <f t="shared" si="65"/>
        <v>0</v>
      </c>
      <c r="Q177" s="88">
        <v>0</v>
      </c>
      <c r="R177" s="88">
        <v>0</v>
      </c>
      <c r="S177" s="88">
        <v>0</v>
      </c>
      <c r="T177" s="87">
        <v>0</v>
      </c>
      <c r="U177" s="88">
        <f t="shared" ref="U177" si="66">V177+W177+X177</f>
        <v>0</v>
      </c>
      <c r="V177" s="88">
        <v>0</v>
      </c>
      <c r="W177" s="88">
        <v>0</v>
      </c>
      <c r="X177" s="88">
        <v>0</v>
      </c>
      <c r="Y177" s="87">
        <v>0</v>
      </c>
      <c r="Z177" s="88">
        <v>0</v>
      </c>
      <c r="AA177" s="88">
        <v>0</v>
      </c>
      <c r="AB177" s="88">
        <v>0</v>
      </c>
      <c r="AC177" s="88">
        <v>0</v>
      </c>
    </row>
    <row r="178" spans="1:32" s="238" customFormat="1" ht="73.5" customHeight="1" outlineLevel="1" x14ac:dyDescent="0.2">
      <c r="A178" s="246" t="s">
        <v>1146</v>
      </c>
      <c r="B178" s="245" t="s">
        <v>19</v>
      </c>
      <c r="C178" s="198">
        <f t="shared" si="64"/>
        <v>0</v>
      </c>
      <c r="D178" s="246">
        <f t="shared" si="62"/>
        <v>1631</v>
      </c>
      <c r="E178" s="210">
        <v>0</v>
      </c>
      <c r="F178" s="189">
        <f t="shared" si="63"/>
        <v>0</v>
      </c>
      <c r="G178" s="189">
        <v>0</v>
      </c>
      <c r="H178" s="211">
        <v>0</v>
      </c>
      <c r="I178" s="211">
        <v>0</v>
      </c>
      <c r="J178" s="198">
        <v>0</v>
      </c>
      <c r="K178" s="88">
        <f t="shared" ref="K178:K212" si="67">L178+M178+N178</f>
        <v>534</v>
      </c>
      <c r="L178" s="88">
        <v>0</v>
      </c>
      <c r="M178" s="88">
        <v>0</v>
      </c>
      <c r="N178" s="88">
        <f>565-31</f>
        <v>534</v>
      </c>
      <c r="O178" s="87">
        <v>0</v>
      </c>
      <c r="P178" s="88">
        <f t="shared" si="65"/>
        <v>97</v>
      </c>
      <c r="Q178" s="88">
        <v>0</v>
      </c>
      <c r="R178" s="88">
        <v>0</v>
      </c>
      <c r="S178" s="88">
        <f>317-101+1-120</f>
        <v>97</v>
      </c>
      <c r="T178" s="87">
        <v>0</v>
      </c>
      <c r="U178" s="88">
        <f>V178+W178+X178</f>
        <v>500</v>
      </c>
      <c r="V178" s="88">
        <v>0</v>
      </c>
      <c r="W178" s="88">
        <v>0</v>
      </c>
      <c r="X178" s="88">
        <v>500</v>
      </c>
      <c r="Y178" s="87">
        <v>0</v>
      </c>
      <c r="Z178" s="88">
        <f>AA178+AB178+AC178</f>
        <v>500</v>
      </c>
      <c r="AA178" s="88">
        <v>0</v>
      </c>
      <c r="AB178" s="88">
        <v>0</v>
      </c>
      <c r="AC178" s="88">
        <v>500</v>
      </c>
    </row>
    <row r="179" spans="1:32" s="238" customFormat="1" ht="61.5" customHeight="1" outlineLevel="1" x14ac:dyDescent="0.2">
      <c r="A179" s="246" t="s">
        <v>1147</v>
      </c>
      <c r="B179" s="245" t="s">
        <v>344</v>
      </c>
      <c r="C179" s="198">
        <f t="shared" si="64"/>
        <v>0</v>
      </c>
      <c r="D179" s="246">
        <f t="shared" si="62"/>
        <v>872</v>
      </c>
      <c r="E179" s="210">
        <v>0</v>
      </c>
      <c r="F179" s="189">
        <f t="shared" si="63"/>
        <v>0</v>
      </c>
      <c r="G179" s="189">
        <v>0</v>
      </c>
      <c r="H179" s="211">
        <v>0</v>
      </c>
      <c r="I179" s="189">
        <v>0</v>
      </c>
      <c r="J179" s="198">
        <v>0</v>
      </c>
      <c r="K179" s="88">
        <f t="shared" si="67"/>
        <v>872</v>
      </c>
      <c r="L179" s="88">
        <v>0</v>
      </c>
      <c r="M179" s="88">
        <v>0</v>
      </c>
      <c r="N179" s="88">
        <v>872</v>
      </c>
      <c r="O179" s="87">
        <v>0</v>
      </c>
      <c r="P179" s="88">
        <f>Q179+R179+S179</f>
        <v>0</v>
      </c>
      <c r="Q179" s="88">
        <v>0</v>
      </c>
      <c r="R179" s="88">
        <v>0</v>
      </c>
      <c r="S179" s="88">
        <v>0</v>
      </c>
      <c r="T179" s="87">
        <v>0</v>
      </c>
      <c r="U179" s="88">
        <f>V179+W179+X179</f>
        <v>0</v>
      </c>
      <c r="V179" s="88">
        <v>0</v>
      </c>
      <c r="W179" s="88">
        <v>0</v>
      </c>
      <c r="X179" s="88">
        <v>0</v>
      </c>
      <c r="Y179" s="87">
        <v>0</v>
      </c>
      <c r="Z179" s="88">
        <f>AA179+AB179+AC179</f>
        <v>0</v>
      </c>
      <c r="AA179" s="88">
        <v>0</v>
      </c>
      <c r="AB179" s="88">
        <v>0</v>
      </c>
      <c r="AC179" s="88">
        <v>0</v>
      </c>
    </row>
    <row r="180" spans="1:32" s="233" customFormat="1" ht="57.75" customHeight="1" outlineLevel="1" x14ac:dyDescent="0.2">
      <c r="A180" s="246" t="s">
        <v>1148</v>
      </c>
      <c r="B180" s="235" t="s">
        <v>499</v>
      </c>
      <c r="C180" s="87">
        <f t="shared" si="64"/>
        <v>0</v>
      </c>
      <c r="D180" s="246">
        <f t="shared" si="62"/>
        <v>3393</v>
      </c>
      <c r="E180" s="210">
        <f t="shared" ref="E180:E183" si="68">G180+L180+Q180+V180+AA180</f>
        <v>0</v>
      </c>
      <c r="F180" s="211">
        <f t="shared" ref="F180:F189" si="69">G180+H180+I180</f>
        <v>0</v>
      </c>
      <c r="G180" s="211">
        <v>0</v>
      </c>
      <c r="H180" s="211">
        <v>0</v>
      </c>
      <c r="I180" s="211">
        <v>0</v>
      </c>
      <c r="J180" s="87">
        <v>0</v>
      </c>
      <c r="K180" s="88">
        <f t="shared" si="67"/>
        <v>0</v>
      </c>
      <c r="L180" s="88">
        <v>0</v>
      </c>
      <c r="M180" s="88">
        <v>0</v>
      </c>
      <c r="N180" s="88">
        <v>0</v>
      </c>
      <c r="O180" s="87">
        <v>0</v>
      </c>
      <c r="P180" s="88">
        <f t="shared" ref="P180:P212" si="70">Q180+R180+S180</f>
        <v>3393</v>
      </c>
      <c r="Q180" s="88">
        <v>0</v>
      </c>
      <c r="R180" s="88">
        <v>0</v>
      </c>
      <c r="S180" s="88">
        <f>3782-37-352</f>
        <v>3393</v>
      </c>
      <c r="T180" s="237">
        <v>0</v>
      </c>
      <c r="U180" s="236">
        <v>0</v>
      </c>
      <c r="V180" s="236">
        <v>0</v>
      </c>
      <c r="W180" s="236">
        <v>0</v>
      </c>
      <c r="X180" s="236">
        <v>0</v>
      </c>
      <c r="Y180" s="87">
        <v>0</v>
      </c>
      <c r="Z180" s="88">
        <f t="shared" ref="Z180:Z209" si="71">AA180+AB180+AC180</f>
        <v>0</v>
      </c>
      <c r="AA180" s="88">
        <v>0</v>
      </c>
      <c r="AB180" s="88">
        <v>0</v>
      </c>
      <c r="AC180" s="88">
        <f>13507-13507</f>
        <v>0</v>
      </c>
    </row>
    <row r="181" spans="1:32" s="233" customFormat="1" ht="71.45" customHeight="1" outlineLevel="1" x14ac:dyDescent="0.2">
      <c r="A181" s="246" t="s">
        <v>1149</v>
      </c>
      <c r="B181" s="235" t="s">
        <v>519</v>
      </c>
      <c r="C181" s="87">
        <f t="shared" si="64"/>
        <v>7.51</v>
      </c>
      <c r="D181" s="246">
        <f t="shared" si="62"/>
        <v>25000</v>
      </c>
      <c r="E181" s="210">
        <f t="shared" si="68"/>
        <v>0</v>
      </c>
      <c r="F181" s="211">
        <f t="shared" si="69"/>
        <v>0</v>
      </c>
      <c r="G181" s="211">
        <v>0</v>
      </c>
      <c r="H181" s="211">
        <v>0</v>
      </c>
      <c r="I181" s="211">
        <v>0</v>
      </c>
      <c r="J181" s="87">
        <v>0</v>
      </c>
      <c r="K181" s="88">
        <f t="shared" si="67"/>
        <v>0</v>
      </c>
      <c r="L181" s="88">
        <v>0</v>
      </c>
      <c r="M181" s="88">
        <v>0</v>
      </c>
      <c r="N181" s="88">
        <v>0</v>
      </c>
      <c r="O181" s="87">
        <v>7.51</v>
      </c>
      <c r="P181" s="88">
        <f t="shared" si="70"/>
        <v>25000</v>
      </c>
      <c r="Q181" s="88">
        <v>0</v>
      </c>
      <c r="R181" s="88">
        <v>0</v>
      </c>
      <c r="S181" s="88">
        <v>25000</v>
      </c>
      <c r="T181" s="237">
        <v>0</v>
      </c>
      <c r="U181" s="236">
        <v>0</v>
      </c>
      <c r="V181" s="236">
        <v>0</v>
      </c>
      <c r="W181" s="236">
        <v>0</v>
      </c>
      <c r="X181" s="236">
        <v>0</v>
      </c>
      <c r="Y181" s="87">
        <v>0</v>
      </c>
      <c r="Z181" s="88">
        <f t="shared" si="71"/>
        <v>0</v>
      </c>
      <c r="AA181" s="88">
        <v>0</v>
      </c>
      <c r="AB181" s="88">
        <v>0</v>
      </c>
      <c r="AC181" s="88">
        <v>0</v>
      </c>
    </row>
    <row r="182" spans="1:32" s="233" customFormat="1" ht="71.45" customHeight="1" outlineLevel="1" x14ac:dyDescent="0.2">
      <c r="A182" s="246" t="s">
        <v>1150</v>
      </c>
      <c r="B182" s="235" t="s">
        <v>520</v>
      </c>
      <c r="C182" s="87">
        <f t="shared" si="64"/>
        <v>94.9</v>
      </c>
      <c r="D182" s="246">
        <f t="shared" si="62"/>
        <v>317153</v>
      </c>
      <c r="E182" s="210">
        <f t="shared" si="68"/>
        <v>0</v>
      </c>
      <c r="F182" s="211">
        <f t="shared" si="69"/>
        <v>0</v>
      </c>
      <c r="G182" s="211">
        <v>0</v>
      </c>
      <c r="H182" s="211">
        <v>0</v>
      </c>
      <c r="I182" s="211">
        <v>0</v>
      </c>
      <c r="J182" s="87">
        <v>0</v>
      </c>
      <c r="K182" s="88">
        <f t="shared" si="67"/>
        <v>0</v>
      </c>
      <c r="L182" s="88">
        <v>0</v>
      </c>
      <c r="M182" s="88">
        <v>0</v>
      </c>
      <c r="N182" s="88">
        <v>0</v>
      </c>
      <c r="O182" s="87">
        <v>94.9</v>
      </c>
      <c r="P182" s="88">
        <f t="shared" si="70"/>
        <v>317153</v>
      </c>
      <c r="Q182" s="88">
        <v>0</v>
      </c>
      <c r="R182" s="88">
        <f>300000-1242</f>
        <v>298758</v>
      </c>
      <c r="S182" s="88">
        <f>18471-76</f>
        <v>18395</v>
      </c>
      <c r="T182" s="237">
        <v>0</v>
      </c>
      <c r="U182" s="236">
        <v>0</v>
      </c>
      <c r="V182" s="236">
        <v>0</v>
      </c>
      <c r="W182" s="236">
        <v>0</v>
      </c>
      <c r="X182" s="236">
        <v>0</v>
      </c>
      <c r="Y182" s="87">
        <v>0</v>
      </c>
      <c r="Z182" s="88">
        <f t="shared" si="71"/>
        <v>0</v>
      </c>
      <c r="AA182" s="88">
        <v>0</v>
      </c>
      <c r="AB182" s="88">
        <v>0</v>
      </c>
      <c r="AC182" s="88">
        <v>0</v>
      </c>
      <c r="AD182" s="253"/>
    </row>
    <row r="183" spans="1:32" s="233" customFormat="1" ht="71.45" customHeight="1" outlineLevel="1" x14ac:dyDescent="0.2">
      <c r="A183" s="246" t="s">
        <v>1151</v>
      </c>
      <c r="B183" s="235" t="s">
        <v>521</v>
      </c>
      <c r="C183" s="87">
        <f t="shared" si="64"/>
        <v>10.35</v>
      </c>
      <c r="D183" s="246">
        <f t="shared" si="62"/>
        <v>23602</v>
      </c>
      <c r="E183" s="210">
        <f t="shared" si="68"/>
        <v>0</v>
      </c>
      <c r="F183" s="211">
        <f t="shared" si="69"/>
        <v>0</v>
      </c>
      <c r="G183" s="211">
        <v>0</v>
      </c>
      <c r="H183" s="211">
        <v>0</v>
      </c>
      <c r="I183" s="211">
        <v>0</v>
      </c>
      <c r="J183" s="87">
        <v>0</v>
      </c>
      <c r="K183" s="88">
        <f t="shared" si="67"/>
        <v>0</v>
      </c>
      <c r="L183" s="88">
        <v>0</v>
      </c>
      <c r="M183" s="88">
        <v>0</v>
      </c>
      <c r="N183" s="88">
        <v>0</v>
      </c>
      <c r="O183" s="87">
        <v>10.35</v>
      </c>
      <c r="P183" s="88">
        <f t="shared" si="70"/>
        <v>23602</v>
      </c>
      <c r="Q183" s="88">
        <v>0</v>
      </c>
      <c r="R183" s="88">
        <f>20550+1683</f>
        <v>22233</v>
      </c>
      <c r="S183" s="88">
        <f>1265+104</f>
        <v>1369</v>
      </c>
      <c r="T183" s="237">
        <v>0</v>
      </c>
      <c r="U183" s="236">
        <v>0</v>
      </c>
      <c r="V183" s="236">
        <v>0</v>
      </c>
      <c r="W183" s="236">
        <v>0</v>
      </c>
      <c r="X183" s="236">
        <v>0</v>
      </c>
      <c r="Y183" s="87">
        <v>0</v>
      </c>
      <c r="Z183" s="88">
        <f t="shared" si="71"/>
        <v>0</v>
      </c>
      <c r="AA183" s="88">
        <v>0</v>
      </c>
      <c r="AB183" s="88">
        <v>0</v>
      </c>
      <c r="AC183" s="88">
        <v>0</v>
      </c>
    </row>
    <row r="184" spans="1:32" s="233" customFormat="1" ht="71.45" customHeight="1" outlineLevel="1" x14ac:dyDescent="0.2">
      <c r="A184" s="246" t="s">
        <v>1152</v>
      </c>
      <c r="B184" s="235" t="s">
        <v>522</v>
      </c>
      <c r="C184" s="87">
        <f t="shared" si="64"/>
        <v>0</v>
      </c>
      <c r="D184" s="246">
        <f t="shared" si="62"/>
        <v>8779</v>
      </c>
      <c r="E184" s="210">
        <f>G184+L184+Q184+V184+AA184</f>
        <v>0</v>
      </c>
      <c r="F184" s="211">
        <f t="shared" si="69"/>
        <v>0</v>
      </c>
      <c r="G184" s="211">
        <v>0</v>
      </c>
      <c r="H184" s="211">
        <v>0</v>
      </c>
      <c r="I184" s="211">
        <v>0</v>
      </c>
      <c r="J184" s="87">
        <v>0</v>
      </c>
      <c r="K184" s="88">
        <f t="shared" si="67"/>
        <v>0</v>
      </c>
      <c r="L184" s="88">
        <v>0</v>
      </c>
      <c r="M184" s="88">
        <v>0</v>
      </c>
      <c r="N184" s="88">
        <v>0</v>
      </c>
      <c r="O184" s="87">
        <v>0</v>
      </c>
      <c r="P184" s="88">
        <f t="shared" si="70"/>
        <v>8779</v>
      </c>
      <c r="Q184" s="88">
        <v>0</v>
      </c>
      <c r="R184" s="88">
        <f>13450-5180</f>
        <v>8270</v>
      </c>
      <c r="S184" s="88">
        <f>829-320</f>
        <v>509</v>
      </c>
      <c r="T184" s="237">
        <v>0</v>
      </c>
      <c r="U184" s="236">
        <v>0</v>
      </c>
      <c r="V184" s="236">
        <v>0</v>
      </c>
      <c r="W184" s="236">
        <v>0</v>
      </c>
      <c r="X184" s="236">
        <v>0</v>
      </c>
      <c r="Y184" s="87">
        <v>0</v>
      </c>
      <c r="Z184" s="88">
        <f t="shared" si="71"/>
        <v>0</v>
      </c>
      <c r="AA184" s="88">
        <v>0</v>
      </c>
      <c r="AB184" s="88">
        <v>0</v>
      </c>
      <c r="AC184" s="88">
        <v>0</v>
      </c>
    </row>
    <row r="185" spans="1:32" s="233" customFormat="1" ht="71.45" customHeight="1" outlineLevel="1" x14ac:dyDescent="0.2">
      <c r="A185" s="246" t="s">
        <v>1153</v>
      </c>
      <c r="B185" s="235" t="s">
        <v>1283</v>
      </c>
      <c r="C185" s="87">
        <f t="shared" si="64"/>
        <v>30.23</v>
      </c>
      <c r="D185" s="246">
        <f t="shared" si="62"/>
        <v>118316</v>
      </c>
      <c r="E185" s="210">
        <f t="shared" ref="E185:E188" si="72">G185+L185+Q185+V185+AA185</f>
        <v>0</v>
      </c>
      <c r="F185" s="211">
        <f t="shared" ref="F185:F188" si="73">G185+H185+I185</f>
        <v>0</v>
      </c>
      <c r="G185" s="211">
        <v>0</v>
      </c>
      <c r="H185" s="211">
        <v>0</v>
      </c>
      <c r="I185" s="211">
        <v>0</v>
      </c>
      <c r="J185" s="87">
        <v>0</v>
      </c>
      <c r="K185" s="88">
        <f t="shared" ref="K185:K188" si="74">L185+M185+N185</f>
        <v>0</v>
      </c>
      <c r="L185" s="88">
        <v>0</v>
      </c>
      <c r="M185" s="88">
        <v>0</v>
      </c>
      <c r="N185" s="88">
        <v>0</v>
      </c>
      <c r="O185" s="87">
        <v>0</v>
      </c>
      <c r="P185" s="88">
        <f t="shared" si="70"/>
        <v>0</v>
      </c>
      <c r="Q185" s="88">
        <v>0</v>
      </c>
      <c r="R185" s="88">
        <v>0</v>
      </c>
      <c r="S185" s="88">
        <v>0</v>
      </c>
      <c r="T185" s="237">
        <v>30.23</v>
      </c>
      <c r="U185" s="236">
        <f t="shared" ref="U185:U188" si="75">V185+W185+X185</f>
        <v>118316</v>
      </c>
      <c r="V185" s="236">
        <v>0</v>
      </c>
      <c r="W185" s="236">
        <v>114767</v>
      </c>
      <c r="X185" s="236">
        <v>3549</v>
      </c>
      <c r="Y185" s="87">
        <v>0</v>
      </c>
      <c r="Z185" s="88">
        <v>0</v>
      </c>
      <c r="AA185" s="88">
        <v>0</v>
      </c>
      <c r="AB185" s="88">
        <v>0</v>
      </c>
      <c r="AC185" s="88">
        <v>0</v>
      </c>
      <c r="AD185" s="253">
        <f>U185+U186+U187+U188</f>
        <v>597517</v>
      </c>
    </row>
    <row r="186" spans="1:32" s="233" customFormat="1" ht="71.45" customHeight="1" outlineLevel="1" x14ac:dyDescent="0.2">
      <c r="A186" s="246" t="s">
        <v>1154</v>
      </c>
      <c r="B186" s="235" t="s">
        <v>1284</v>
      </c>
      <c r="C186" s="87">
        <f t="shared" si="64"/>
        <v>47.6</v>
      </c>
      <c r="D186" s="246">
        <f t="shared" si="62"/>
        <v>173665</v>
      </c>
      <c r="E186" s="210">
        <f t="shared" si="72"/>
        <v>0</v>
      </c>
      <c r="F186" s="211">
        <f t="shared" si="73"/>
        <v>0</v>
      </c>
      <c r="G186" s="211">
        <v>0</v>
      </c>
      <c r="H186" s="211">
        <v>0</v>
      </c>
      <c r="I186" s="211">
        <v>0</v>
      </c>
      <c r="J186" s="87">
        <v>0</v>
      </c>
      <c r="K186" s="88">
        <f t="shared" si="74"/>
        <v>0</v>
      </c>
      <c r="L186" s="88">
        <v>0</v>
      </c>
      <c r="M186" s="88">
        <v>0</v>
      </c>
      <c r="N186" s="88">
        <v>0</v>
      </c>
      <c r="O186" s="87">
        <v>0</v>
      </c>
      <c r="P186" s="88">
        <f t="shared" si="70"/>
        <v>0</v>
      </c>
      <c r="Q186" s="88">
        <v>0</v>
      </c>
      <c r="R186" s="88">
        <v>0</v>
      </c>
      <c r="S186" s="88">
        <v>0</v>
      </c>
      <c r="T186" s="237">
        <v>47.6</v>
      </c>
      <c r="U186" s="236">
        <f t="shared" si="75"/>
        <v>173665</v>
      </c>
      <c r="V186" s="236">
        <v>0</v>
      </c>
      <c r="W186" s="236">
        <v>168455</v>
      </c>
      <c r="X186" s="236">
        <v>5210</v>
      </c>
      <c r="Y186" s="87">
        <v>0</v>
      </c>
      <c r="Z186" s="88">
        <v>0</v>
      </c>
      <c r="AA186" s="88">
        <v>0</v>
      </c>
      <c r="AB186" s="88">
        <v>0</v>
      </c>
      <c r="AC186" s="88">
        <v>0</v>
      </c>
    </row>
    <row r="187" spans="1:32" s="233" customFormat="1" ht="71.45" customHeight="1" outlineLevel="1" x14ac:dyDescent="0.2">
      <c r="A187" s="246" t="s">
        <v>1155</v>
      </c>
      <c r="B187" s="235" t="s">
        <v>1286</v>
      </c>
      <c r="C187" s="87">
        <f t="shared" si="64"/>
        <v>35.590000000000003</v>
      </c>
      <c r="D187" s="246">
        <f t="shared" si="62"/>
        <v>147512</v>
      </c>
      <c r="E187" s="210">
        <f t="shared" si="72"/>
        <v>0</v>
      </c>
      <c r="F187" s="211">
        <f t="shared" si="73"/>
        <v>0</v>
      </c>
      <c r="G187" s="211">
        <v>0</v>
      </c>
      <c r="H187" s="211">
        <v>0</v>
      </c>
      <c r="I187" s="211">
        <v>0</v>
      </c>
      <c r="J187" s="87">
        <v>0</v>
      </c>
      <c r="K187" s="88">
        <f t="shared" si="74"/>
        <v>0</v>
      </c>
      <c r="L187" s="88">
        <v>0</v>
      </c>
      <c r="M187" s="88">
        <v>0</v>
      </c>
      <c r="N187" s="88">
        <v>0</v>
      </c>
      <c r="O187" s="87">
        <v>0</v>
      </c>
      <c r="P187" s="88">
        <f t="shared" si="70"/>
        <v>0</v>
      </c>
      <c r="Q187" s="88">
        <v>0</v>
      </c>
      <c r="R187" s="88">
        <v>0</v>
      </c>
      <c r="S187" s="88">
        <v>0</v>
      </c>
      <c r="T187" s="237">
        <v>35.590000000000003</v>
      </c>
      <c r="U187" s="236">
        <f t="shared" si="75"/>
        <v>147512</v>
      </c>
      <c r="V187" s="236">
        <v>0</v>
      </c>
      <c r="W187" s="236">
        <v>143087</v>
      </c>
      <c r="X187" s="236">
        <v>4425</v>
      </c>
      <c r="Y187" s="87">
        <v>0</v>
      </c>
      <c r="Z187" s="88">
        <v>0</v>
      </c>
      <c r="AA187" s="88">
        <v>0</v>
      </c>
      <c r="AB187" s="88">
        <v>0</v>
      </c>
      <c r="AC187" s="88">
        <v>0</v>
      </c>
    </row>
    <row r="188" spans="1:32" s="233" customFormat="1" ht="71.45" customHeight="1" outlineLevel="1" x14ac:dyDescent="0.2">
      <c r="A188" s="246" t="s">
        <v>1156</v>
      </c>
      <c r="B188" s="235" t="s">
        <v>1285</v>
      </c>
      <c r="C188" s="87">
        <f t="shared" si="64"/>
        <v>41.85</v>
      </c>
      <c r="D188" s="246">
        <f t="shared" si="62"/>
        <v>158024</v>
      </c>
      <c r="E188" s="210">
        <f t="shared" si="72"/>
        <v>0</v>
      </c>
      <c r="F188" s="211">
        <f t="shared" si="73"/>
        <v>0</v>
      </c>
      <c r="G188" s="211">
        <v>0</v>
      </c>
      <c r="H188" s="211">
        <v>0</v>
      </c>
      <c r="I188" s="211">
        <v>0</v>
      </c>
      <c r="J188" s="87">
        <v>0</v>
      </c>
      <c r="K188" s="88">
        <f t="shared" si="74"/>
        <v>0</v>
      </c>
      <c r="L188" s="88">
        <v>0</v>
      </c>
      <c r="M188" s="88">
        <v>0</v>
      </c>
      <c r="N188" s="88">
        <v>0</v>
      </c>
      <c r="O188" s="87">
        <v>0</v>
      </c>
      <c r="P188" s="88">
        <f t="shared" si="70"/>
        <v>0</v>
      </c>
      <c r="Q188" s="88">
        <v>0</v>
      </c>
      <c r="R188" s="88">
        <v>0</v>
      </c>
      <c r="S188" s="88">
        <v>0</v>
      </c>
      <c r="T188" s="237">
        <v>41.85</v>
      </c>
      <c r="U188" s="236">
        <f t="shared" si="75"/>
        <v>158024</v>
      </c>
      <c r="V188" s="236">
        <v>0</v>
      </c>
      <c r="W188" s="236">
        <v>153283</v>
      </c>
      <c r="X188" s="236">
        <v>4741</v>
      </c>
      <c r="Y188" s="87">
        <v>0</v>
      </c>
      <c r="Z188" s="88">
        <v>0</v>
      </c>
      <c r="AA188" s="88">
        <v>0</v>
      </c>
      <c r="AB188" s="88">
        <v>0</v>
      </c>
      <c r="AC188" s="88">
        <v>0</v>
      </c>
    </row>
    <row r="189" spans="1:32" s="233" customFormat="1" ht="86.25" customHeight="1" outlineLevel="1" x14ac:dyDescent="0.2">
      <c r="A189" s="246" t="s">
        <v>1157</v>
      </c>
      <c r="B189" s="235" t="s">
        <v>523</v>
      </c>
      <c r="C189" s="87">
        <f t="shared" si="64"/>
        <v>45</v>
      </c>
      <c r="D189" s="246">
        <f t="shared" si="62"/>
        <v>300000</v>
      </c>
      <c r="E189" s="210">
        <f>G189+L189+Q189+V189+AA189</f>
        <v>0</v>
      </c>
      <c r="F189" s="211">
        <f t="shared" si="69"/>
        <v>0</v>
      </c>
      <c r="G189" s="211">
        <v>0</v>
      </c>
      <c r="H189" s="211">
        <v>0</v>
      </c>
      <c r="I189" s="211">
        <v>0</v>
      </c>
      <c r="J189" s="87">
        <v>0</v>
      </c>
      <c r="K189" s="88">
        <f t="shared" si="67"/>
        <v>0</v>
      </c>
      <c r="L189" s="88">
        <v>0</v>
      </c>
      <c r="M189" s="88">
        <v>0</v>
      </c>
      <c r="N189" s="88">
        <v>0</v>
      </c>
      <c r="O189" s="87">
        <v>45</v>
      </c>
      <c r="P189" s="88">
        <f t="shared" si="70"/>
        <v>90000</v>
      </c>
      <c r="Q189" s="88">
        <v>0</v>
      </c>
      <c r="R189" s="88">
        <v>0</v>
      </c>
      <c r="S189" s="88">
        <v>90000</v>
      </c>
      <c r="T189" s="237">
        <v>0</v>
      </c>
      <c r="U189" s="236">
        <f>V189+W189+X189</f>
        <v>100000</v>
      </c>
      <c r="V189" s="236">
        <v>0</v>
      </c>
      <c r="W189" s="236">
        <v>0</v>
      </c>
      <c r="X189" s="236">
        <v>100000</v>
      </c>
      <c r="Y189" s="87">
        <v>0</v>
      </c>
      <c r="Z189" s="88">
        <f t="shared" si="71"/>
        <v>110000</v>
      </c>
      <c r="AA189" s="88">
        <v>0</v>
      </c>
      <c r="AB189" s="88">
        <v>0</v>
      </c>
      <c r="AC189" s="88">
        <f>50000+60000+2179-2179</f>
        <v>110000</v>
      </c>
    </row>
    <row r="190" spans="1:32" s="233" customFormat="1" ht="55.5" customHeight="1" outlineLevel="1" x14ac:dyDescent="0.2">
      <c r="A190" s="246" t="s">
        <v>1158</v>
      </c>
      <c r="B190" s="89" t="s">
        <v>1402</v>
      </c>
      <c r="C190" s="86">
        <v>2.589</v>
      </c>
      <c r="D190" s="246">
        <f t="shared" ref="D190:D211" si="76">F190+K190+P190+Z190+U190</f>
        <v>92943</v>
      </c>
      <c r="E190" s="210">
        <f t="shared" ref="E190:E206" si="77">G190+L190+Q190+V190+AA190</f>
        <v>0</v>
      </c>
      <c r="F190" s="211">
        <f t="shared" ref="F190:F206" si="78">G190+H190+I190</f>
        <v>0</v>
      </c>
      <c r="G190" s="211">
        <v>0</v>
      </c>
      <c r="H190" s="211">
        <v>0</v>
      </c>
      <c r="I190" s="211">
        <v>0</v>
      </c>
      <c r="J190" s="87">
        <v>0</v>
      </c>
      <c r="K190" s="88">
        <f t="shared" ref="K190:K206" si="79">L190+M190+N190</f>
        <v>0</v>
      </c>
      <c r="L190" s="88">
        <v>0</v>
      </c>
      <c r="M190" s="88">
        <v>0</v>
      </c>
      <c r="N190" s="88">
        <v>0</v>
      </c>
      <c r="O190" s="210">
        <v>0</v>
      </c>
      <c r="P190" s="211">
        <f t="shared" si="70"/>
        <v>0</v>
      </c>
      <c r="Q190" s="211">
        <v>0</v>
      </c>
      <c r="R190" s="211">
        <v>0</v>
      </c>
      <c r="S190" s="211">
        <v>0</v>
      </c>
      <c r="T190" s="87">
        <v>0</v>
      </c>
      <c r="U190" s="88">
        <f t="shared" ref="U190:U206" si="80">V190+W190+X190</f>
        <v>0</v>
      </c>
      <c r="V190" s="88">
        <v>0</v>
      </c>
      <c r="W190" s="88">
        <v>0</v>
      </c>
      <c r="X190" s="88">
        <v>0</v>
      </c>
      <c r="Y190" s="86">
        <v>2.589</v>
      </c>
      <c r="Z190" s="88">
        <f t="shared" si="71"/>
        <v>92943</v>
      </c>
      <c r="AA190" s="88">
        <v>0</v>
      </c>
      <c r="AB190" s="88">
        <v>86251</v>
      </c>
      <c r="AC190" s="88">
        <v>6692</v>
      </c>
      <c r="AD190" s="253">
        <f>Z190+Z191+Z192+Z193+Z194+Z195+Z196+Z197+Z198+Z199+Z200+Z201+Z202+Z203+Z204+Z205+Z206+Z212+Z93</f>
        <v>758696</v>
      </c>
      <c r="AE190" s="253">
        <f>AB190+AB191+AB192+AB193+AB194+AB195+AB196+AB197+AB198+AB199+AB200+AB201+AB202+AB203+AB204+AB205+AB206+AB212+AB93</f>
        <v>704069</v>
      </c>
      <c r="AF190" s="253">
        <f>AC190+AC191+AC192+AC193+AC194+AC195++AC196+AC197+AC198+AC199+AC200+AC201+AC202+AC203+AC204+AC205+AC206+AC212+AC93</f>
        <v>54627</v>
      </c>
    </row>
    <row r="191" spans="1:32" s="233" customFormat="1" ht="33" customHeight="1" outlineLevel="1" x14ac:dyDescent="0.2">
      <c r="A191" s="246" t="s">
        <v>1159</v>
      </c>
      <c r="B191" s="89" t="s">
        <v>1403</v>
      </c>
      <c r="C191" s="87">
        <f t="shared" ref="C191:C211" si="81">E191+J191+O191+T191+Y191</f>
        <v>0.86</v>
      </c>
      <c r="D191" s="246">
        <f t="shared" si="76"/>
        <v>15403</v>
      </c>
      <c r="E191" s="210">
        <f t="shared" si="77"/>
        <v>0</v>
      </c>
      <c r="F191" s="211">
        <f t="shared" si="78"/>
        <v>0</v>
      </c>
      <c r="G191" s="211">
        <v>0</v>
      </c>
      <c r="H191" s="211">
        <v>0</v>
      </c>
      <c r="I191" s="211">
        <v>0</v>
      </c>
      <c r="J191" s="87">
        <v>0</v>
      </c>
      <c r="K191" s="88">
        <f t="shared" si="79"/>
        <v>0</v>
      </c>
      <c r="L191" s="88">
        <v>0</v>
      </c>
      <c r="M191" s="88">
        <v>0</v>
      </c>
      <c r="N191" s="88">
        <v>0</v>
      </c>
      <c r="O191" s="210">
        <f t="shared" ref="O191:O206" si="82">Q191+V191+AA191+AF191+AK191</f>
        <v>0</v>
      </c>
      <c r="P191" s="211">
        <f t="shared" si="70"/>
        <v>0</v>
      </c>
      <c r="Q191" s="211">
        <v>0</v>
      </c>
      <c r="R191" s="211">
        <v>0</v>
      </c>
      <c r="S191" s="211">
        <v>0</v>
      </c>
      <c r="T191" s="87">
        <v>0</v>
      </c>
      <c r="U191" s="88">
        <f t="shared" si="80"/>
        <v>0</v>
      </c>
      <c r="V191" s="88">
        <v>0</v>
      </c>
      <c r="W191" s="88">
        <v>0</v>
      </c>
      <c r="X191" s="88">
        <v>0</v>
      </c>
      <c r="Y191" s="86">
        <v>0.86</v>
      </c>
      <c r="Z191" s="88">
        <f t="shared" si="71"/>
        <v>15403</v>
      </c>
      <c r="AA191" s="88">
        <v>0</v>
      </c>
      <c r="AB191" s="88">
        <v>14294</v>
      </c>
      <c r="AC191" s="88">
        <v>1109</v>
      </c>
    </row>
    <row r="192" spans="1:32" s="233" customFormat="1" ht="33.75" customHeight="1" outlineLevel="1" x14ac:dyDescent="0.2">
      <c r="A192" s="246" t="s">
        <v>1160</v>
      </c>
      <c r="B192" s="89" t="s">
        <v>1404</v>
      </c>
      <c r="C192" s="86">
        <f t="shared" si="81"/>
        <v>0.91800000000000004</v>
      </c>
      <c r="D192" s="246">
        <f t="shared" si="76"/>
        <v>25481</v>
      </c>
      <c r="E192" s="210">
        <f t="shared" si="77"/>
        <v>0</v>
      </c>
      <c r="F192" s="211">
        <f t="shared" si="78"/>
        <v>0</v>
      </c>
      <c r="G192" s="211">
        <v>0</v>
      </c>
      <c r="H192" s="211">
        <v>0</v>
      </c>
      <c r="I192" s="211">
        <v>0</v>
      </c>
      <c r="J192" s="87">
        <v>0</v>
      </c>
      <c r="K192" s="88">
        <f t="shared" si="79"/>
        <v>0</v>
      </c>
      <c r="L192" s="88">
        <v>0</v>
      </c>
      <c r="M192" s="88">
        <v>0</v>
      </c>
      <c r="N192" s="88">
        <v>0</v>
      </c>
      <c r="O192" s="210">
        <f t="shared" si="82"/>
        <v>0</v>
      </c>
      <c r="P192" s="211">
        <f t="shared" si="70"/>
        <v>0</v>
      </c>
      <c r="Q192" s="211">
        <v>0</v>
      </c>
      <c r="R192" s="211">
        <v>0</v>
      </c>
      <c r="S192" s="211">
        <v>0</v>
      </c>
      <c r="T192" s="87">
        <v>0</v>
      </c>
      <c r="U192" s="88">
        <f t="shared" si="80"/>
        <v>0</v>
      </c>
      <c r="V192" s="88">
        <v>0</v>
      </c>
      <c r="W192" s="88">
        <v>0</v>
      </c>
      <c r="X192" s="88">
        <v>0</v>
      </c>
      <c r="Y192" s="86">
        <v>0.91800000000000004</v>
      </c>
      <c r="Z192" s="88">
        <f t="shared" si="71"/>
        <v>25481</v>
      </c>
      <c r="AA192" s="88">
        <v>0</v>
      </c>
      <c r="AB192" s="88">
        <v>23647</v>
      </c>
      <c r="AC192" s="88">
        <v>1834</v>
      </c>
    </row>
    <row r="193" spans="1:29" s="233" customFormat="1" ht="69.75" customHeight="1" outlineLevel="1" x14ac:dyDescent="0.2">
      <c r="A193" s="246" t="s">
        <v>1161</v>
      </c>
      <c r="B193" s="89" t="s">
        <v>1405</v>
      </c>
      <c r="C193" s="86">
        <v>0.57799999999999996</v>
      </c>
      <c r="D193" s="246">
        <f t="shared" si="76"/>
        <v>18738</v>
      </c>
      <c r="E193" s="210">
        <f t="shared" si="77"/>
        <v>0</v>
      </c>
      <c r="F193" s="211">
        <f t="shared" si="78"/>
        <v>0</v>
      </c>
      <c r="G193" s="211">
        <v>0</v>
      </c>
      <c r="H193" s="211">
        <v>0</v>
      </c>
      <c r="I193" s="211">
        <v>0</v>
      </c>
      <c r="J193" s="87">
        <v>0</v>
      </c>
      <c r="K193" s="88">
        <f t="shared" si="79"/>
        <v>0</v>
      </c>
      <c r="L193" s="88">
        <v>0</v>
      </c>
      <c r="M193" s="88">
        <v>0</v>
      </c>
      <c r="N193" s="88">
        <v>0</v>
      </c>
      <c r="O193" s="210">
        <f t="shared" si="82"/>
        <v>0</v>
      </c>
      <c r="P193" s="211">
        <f t="shared" si="70"/>
        <v>0</v>
      </c>
      <c r="Q193" s="211">
        <v>0</v>
      </c>
      <c r="R193" s="211">
        <v>0</v>
      </c>
      <c r="S193" s="211">
        <v>0</v>
      </c>
      <c r="T193" s="87">
        <v>0</v>
      </c>
      <c r="U193" s="88">
        <f t="shared" si="80"/>
        <v>0</v>
      </c>
      <c r="V193" s="88">
        <v>0</v>
      </c>
      <c r="W193" s="88">
        <v>0</v>
      </c>
      <c r="X193" s="88">
        <v>0</v>
      </c>
      <c r="Y193" s="86">
        <v>0.57799999999999996</v>
      </c>
      <c r="Z193" s="88">
        <f t="shared" si="71"/>
        <v>18738</v>
      </c>
      <c r="AA193" s="88">
        <v>0</v>
      </c>
      <c r="AB193" s="88">
        <v>17389</v>
      </c>
      <c r="AC193" s="88">
        <v>1349</v>
      </c>
    </row>
    <row r="194" spans="1:29" s="233" customFormat="1" ht="67.5" customHeight="1" outlineLevel="1" x14ac:dyDescent="0.2">
      <c r="A194" s="246" t="s">
        <v>1162</v>
      </c>
      <c r="B194" s="254" t="s">
        <v>1406</v>
      </c>
      <c r="C194" s="86">
        <f t="shared" si="81"/>
        <v>1.851</v>
      </c>
      <c r="D194" s="246">
        <f t="shared" si="76"/>
        <v>127716</v>
      </c>
      <c r="E194" s="210">
        <f t="shared" si="77"/>
        <v>0</v>
      </c>
      <c r="F194" s="211">
        <f t="shared" si="78"/>
        <v>0</v>
      </c>
      <c r="G194" s="211">
        <v>0</v>
      </c>
      <c r="H194" s="211">
        <v>0</v>
      </c>
      <c r="I194" s="211">
        <v>0</v>
      </c>
      <c r="J194" s="87">
        <v>0</v>
      </c>
      <c r="K194" s="88">
        <f t="shared" si="79"/>
        <v>0</v>
      </c>
      <c r="L194" s="88">
        <v>0</v>
      </c>
      <c r="M194" s="88">
        <v>0</v>
      </c>
      <c r="N194" s="88">
        <v>0</v>
      </c>
      <c r="O194" s="210">
        <f t="shared" si="82"/>
        <v>0</v>
      </c>
      <c r="P194" s="211">
        <f t="shared" si="70"/>
        <v>0</v>
      </c>
      <c r="Q194" s="211">
        <v>0</v>
      </c>
      <c r="R194" s="211">
        <v>0</v>
      </c>
      <c r="S194" s="211">
        <v>0</v>
      </c>
      <c r="T194" s="87">
        <v>0</v>
      </c>
      <c r="U194" s="88">
        <f t="shared" si="80"/>
        <v>0</v>
      </c>
      <c r="V194" s="88">
        <v>0</v>
      </c>
      <c r="W194" s="88">
        <v>0</v>
      </c>
      <c r="X194" s="88">
        <v>0</v>
      </c>
      <c r="Y194" s="86">
        <v>1.851</v>
      </c>
      <c r="Z194" s="88">
        <f t="shared" si="71"/>
        <v>127716</v>
      </c>
      <c r="AA194" s="88">
        <v>0</v>
      </c>
      <c r="AB194" s="88">
        <v>118520</v>
      </c>
      <c r="AC194" s="88">
        <v>9196</v>
      </c>
    </row>
    <row r="195" spans="1:29" s="233" customFormat="1" ht="62.25" customHeight="1" outlineLevel="1" x14ac:dyDescent="0.2">
      <c r="A195" s="246" t="s">
        <v>1163</v>
      </c>
      <c r="B195" s="254" t="s">
        <v>1407</v>
      </c>
      <c r="C195" s="86">
        <f>E195+J195+O195+T195+Y195</f>
        <v>1.3959999999999999</v>
      </c>
      <c r="D195" s="246">
        <f t="shared" si="76"/>
        <v>128581</v>
      </c>
      <c r="E195" s="210">
        <f t="shared" si="77"/>
        <v>0</v>
      </c>
      <c r="F195" s="211">
        <f t="shared" si="78"/>
        <v>0</v>
      </c>
      <c r="G195" s="211">
        <v>0</v>
      </c>
      <c r="H195" s="211">
        <v>0</v>
      </c>
      <c r="I195" s="211">
        <v>0</v>
      </c>
      <c r="J195" s="87">
        <v>0</v>
      </c>
      <c r="K195" s="88">
        <f t="shared" si="79"/>
        <v>0</v>
      </c>
      <c r="L195" s="88">
        <v>0</v>
      </c>
      <c r="M195" s="88">
        <v>0</v>
      </c>
      <c r="N195" s="88">
        <v>0</v>
      </c>
      <c r="O195" s="210">
        <f t="shared" si="82"/>
        <v>0</v>
      </c>
      <c r="P195" s="211">
        <f t="shared" si="70"/>
        <v>0</v>
      </c>
      <c r="Q195" s="211">
        <v>0</v>
      </c>
      <c r="R195" s="211">
        <v>0</v>
      </c>
      <c r="S195" s="211">
        <v>0</v>
      </c>
      <c r="T195" s="87">
        <v>0</v>
      </c>
      <c r="U195" s="88">
        <f t="shared" si="80"/>
        <v>0</v>
      </c>
      <c r="V195" s="88">
        <v>0</v>
      </c>
      <c r="W195" s="88">
        <v>0</v>
      </c>
      <c r="X195" s="88">
        <v>0</v>
      </c>
      <c r="Y195" s="86">
        <v>1.3959999999999999</v>
      </c>
      <c r="Z195" s="88">
        <f t="shared" si="71"/>
        <v>128581</v>
      </c>
      <c r="AA195" s="88">
        <v>0</v>
      </c>
      <c r="AB195" s="88">
        <v>119323</v>
      </c>
      <c r="AC195" s="88">
        <v>9258</v>
      </c>
    </row>
    <row r="196" spans="1:29" s="233" customFormat="1" ht="86.25" customHeight="1" outlineLevel="1" x14ac:dyDescent="0.2">
      <c r="A196" s="246" t="s">
        <v>1164</v>
      </c>
      <c r="B196" s="89" t="s">
        <v>1408</v>
      </c>
      <c r="C196" s="87">
        <f t="shared" si="81"/>
        <v>0</v>
      </c>
      <c r="D196" s="246">
        <f t="shared" si="76"/>
        <v>157737</v>
      </c>
      <c r="E196" s="210">
        <f t="shared" si="77"/>
        <v>0</v>
      </c>
      <c r="F196" s="211">
        <f t="shared" si="78"/>
        <v>0</v>
      </c>
      <c r="G196" s="211">
        <v>0</v>
      </c>
      <c r="H196" s="211">
        <v>0</v>
      </c>
      <c r="I196" s="211">
        <v>0</v>
      </c>
      <c r="J196" s="87">
        <v>0</v>
      </c>
      <c r="K196" s="88">
        <f t="shared" si="79"/>
        <v>0</v>
      </c>
      <c r="L196" s="88">
        <v>0</v>
      </c>
      <c r="M196" s="88">
        <v>0</v>
      </c>
      <c r="N196" s="88">
        <v>0</v>
      </c>
      <c r="O196" s="210">
        <f t="shared" si="82"/>
        <v>0</v>
      </c>
      <c r="P196" s="211">
        <f t="shared" si="70"/>
        <v>0</v>
      </c>
      <c r="Q196" s="211">
        <v>0</v>
      </c>
      <c r="R196" s="211">
        <v>0</v>
      </c>
      <c r="S196" s="211">
        <v>0</v>
      </c>
      <c r="T196" s="87">
        <v>0</v>
      </c>
      <c r="U196" s="88">
        <f t="shared" si="80"/>
        <v>0</v>
      </c>
      <c r="V196" s="88">
        <v>0</v>
      </c>
      <c r="W196" s="88">
        <v>0</v>
      </c>
      <c r="X196" s="88">
        <v>0</v>
      </c>
      <c r="Y196" s="87">
        <v>0</v>
      </c>
      <c r="Z196" s="88">
        <f t="shared" si="71"/>
        <v>157737</v>
      </c>
      <c r="AA196" s="88">
        <v>0</v>
      </c>
      <c r="AB196" s="88">
        <v>146380</v>
      </c>
      <c r="AC196" s="88">
        <v>11357</v>
      </c>
    </row>
    <row r="197" spans="1:29" s="233" customFormat="1" ht="44.25" customHeight="1" outlineLevel="1" x14ac:dyDescent="0.2">
      <c r="A197" s="246" t="s">
        <v>1165</v>
      </c>
      <c r="B197" s="89" t="s">
        <v>1409</v>
      </c>
      <c r="C197" s="87">
        <f t="shared" si="81"/>
        <v>0</v>
      </c>
      <c r="D197" s="246">
        <f t="shared" si="76"/>
        <v>13807</v>
      </c>
      <c r="E197" s="210">
        <f t="shared" si="77"/>
        <v>0</v>
      </c>
      <c r="F197" s="211">
        <f t="shared" si="78"/>
        <v>0</v>
      </c>
      <c r="G197" s="211">
        <v>0</v>
      </c>
      <c r="H197" s="211">
        <v>0</v>
      </c>
      <c r="I197" s="211">
        <v>0</v>
      </c>
      <c r="J197" s="87">
        <v>0</v>
      </c>
      <c r="K197" s="88">
        <f t="shared" si="79"/>
        <v>0</v>
      </c>
      <c r="L197" s="88">
        <v>0</v>
      </c>
      <c r="M197" s="88">
        <v>0</v>
      </c>
      <c r="N197" s="88">
        <v>0</v>
      </c>
      <c r="O197" s="210">
        <f t="shared" si="82"/>
        <v>0</v>
      </c>
      <c r="P197" s="211">
        <f t="shared" si="70"/>
        <v>0</v>
      </c>
      <c r="Q197" s="211">
        <v>0</v>
      </c>
      <c r="R197" s="211">
        <v>0</v>
      </c>
      <c r="S197" s="211">
        <v>0</v>
      </c>
      <c r="T197" s="87">
        <v>0</v>
      </c>
      <c r="U197" s="88">
        <f t="shared" si="80"/>
        <v>0</v>
      </c>
      <c r="V197" s="88">
        <v>0</v>
      </c>
      <c r="W197" s="88">
        <v>0</v>
      </c>
      <c r="X197" s="88">
        <v>0</v>
      </c>
      <c r="Y197" s="87">
        <v>0</v>
      </c>
      <c r="Z197" s="88">
        <f t="shared" si="71"/>
        <v>13807</v>
      </c>
      <c r="AA197" s="88">
        <v>0</v>
      </c>
      <c r="AB197" s="88">
        <v>12813</v>
      </c>
      <c r="AC197" s="88">
        <v>994</v>
      </c>
    </row>
    <row r="198" spans="1:29" s="233" customFormat="1" ht="49.5" customHeight="1" outlineLevel="1" x14ac:dyDescent="0.2">
      <c r="A198" s="246" t="s">
        <v>1166</v>
      </c>
      <c r="B198" s="89" t="s">
        <v>1410</v>
      </c>
      <c r="C198" s="87">
        <f t="shared" si="81"/>
        <v>0</v>
      </c>
      <c r="D198" s="246">
        <f t="shared" si="76"/>
        <v>43122</v>
      </c>
      <c r="E198" s="210">
        <f t="shared" si="77"/>
        <v>0</v>
      </c>
      <c r="F198" s="211">
        <f t="shared" si="78"/>
        <v>0</v>
      </c>
      <c r="G198" s="211">
        <v>0</v>
      </c>
      <c r="H198" s="211">
        <v>0</v>
      </c>
      <c r="I198" s="211">
        <v>0</v>
      </c>
      <c r="J198" s="87">
        <v>0</v>
      </c>
      <c r="K198" s="88">
        <f t="shared" si="79"/>
        <v>0</v>
      </c>
      <c r="L198" s="88">
        <v>0</v>
      </c>
      <c r="M198" s="88">
        <v>0</v>
      </c>
      <c r="N198" s="88">
        <v>0</v>
      </c>
      <c r="O198" s="210">
        <f t="shared" si="82"/>
        <v>0</v>
      </c>
      <c r="P198" s="211">
        <f t="shared" si="70"/>
        <v>0</v>
      </c>
      <c r="Q198" s="211">
        <v>0</v>
      </c>
      <c r="R198" s="211">
        <v>0</v>
      </c>
      <c r="S198" s="211">
        <v>0</v>
      </c>
      <c r="T198" s="87">
        <v>0</v>
      </c>
      <c r="U198" s="88">
        <f t="shared" si="80"/>
        <v>0</v>
      </c>
      <c r="V198" s="88">
        <v>0</v>
      </c>
      <c r="W198" s="88">
        <v>0</v>
      </c>
      <c r="X198" s="88">
        <v>0</v>
      </c>
      <c r="Y198" s="87">
        <v>0</v>
      </c>
      <c r="Z198" s="88">
        <f t="shared" si="71"/>
        <v>43122</v>
      </c>
      <c r="AA198" s="88">
        <v>0</v>
      </c>
      <c r="AB198" s="88">
        <v>40017</v>
      </c>
      <c r="AC198" s="88">
        <v>3105</v>
      </c>
    </row>
    <row r="199" spans="1:29" s="233" customFormat="1" ht="116.25" customHeight="1" outlineLevel="1" x14ac:dyDescent="0.2">
      <c r="A199" s="246" t="s">
        <v>1167</v>
      </c>
      <c r="B199" s="89" t="s">
        <v>1411</v>
      </c>
      <c r="C199" s="87">
        <f t="shared" si="81"/>
        <v>0</v>
      </c>
      <c r="D199" s="246">
        <f t="shared" si="76"/>
        <v>3795</v>
      </c>
      <c r="E199" s="210">
        <f t="shared" si="77"/>
        <v>0</v>
      </c>
      <c r="F199" s="211">
        <f t="shared" si="78"/>
        <v>0</v>
      </c>
      <c r="G199" s="211">
        <v>0</v>
      </c>
      <c r="H199" s="211">
        <v>0</v>
      </c>
      <c r="I199" s="211">
        <v>0</v>
      </c>
      <c r="J199" s="87">
        <v>0</v>
      </c>
      <c r="K199" s="88">
        <f t="shared" si="79"/>
        <v>0</v>
      </c>
      <c r="L199" s="88">
        <v>0</v>
      </c>
      <c r="M199" s="88">
        <v>0</v>
      </c>
      <c r="N199" s="88">
        <v>0</v>
      </c>
      <c r="O199" s="210">
        <f t="shared" si="82"/>
        <v>0</v>
      </c>
      <c r="P199" s="211">
        <f t="shared" si="70"/>
        <v>0</v>
      </c>
      <c r="Q199" s="211">
        <v>0</v>
      </c>
      <c r="R199" s="211">
        <v>0</v>
      </c>
      <c r="S199" s="211">
        <v>0</v>
      </c>
      <c r="T199" s="87">
        <v>0</v>
      </c>
      <c r="U199" s="88">
        <f t="shared" si="80"/>
        <v>0</v>
      </c>
      <c r="V199" s="88">
        <v>0</v>
      </c>
      <c r="W199" s="88">
        <v>0</v>
      </c>
      <c r="X199" s="88">
        <v>0</v>
      </c>
      <c r="Y199" s="87">
        <v>0</v>
      </c>
      <c r="Z199" s="88">
        <f t="shared" si="71"/>
        <v>3795</v>
      </c>
      <c r="AA199" s="88">
        <v>0</v>
      </c>
      <c r="AB199" s="88">
        <v>3522</v>
      </c>
      <c r="AC199" s="88">
        <v>273</v>
      </c>
    </row>
    <row r="200" spans="1:29" s="233" customFormat="1" ht="114" customHeight="1" outlineLevel="1" x14ac:dyDescent="0.2">
      <c r="A200" s="246" t="s">
        <v>1168</v>
      </c>
      <c r="B200" s="89" t="s">
        <v>1412</v>
      </c>
      <c r="C200" s="87">
        <f t="shared" si="81"/>
        <v>0</v>
      </c>
      <c r="D200" s="246">
        <f t="shared" si="76"/>
        <v>1645</v>
      </c>
      <c r="E200" s="210">
        <f t="shared" si="77"/>
        <v>0</v>
      </c>
      <c r="F200" s="211">
        <f t="shared" si="78"/>
        <v>0</v>
      </c>
      <c r="G200" s="211">
        <v>0</v>
      </c>
      <c r="H200" s="211">
        <v>0</v>
      </c>
      <c r="I200" s="211">
        <v>0</v>
      </c>
      <c r="J200" s="87">
        <v>0</v>
      </c>
      <c r="K200" s="88">
        <f t="shared" si="79"/>
        <v>0</v>
      </c>
      <c r="L200" s="88">
        <v>0</v>
      </c>
      <c r="M200" s="88">
        <v>0</v>
      </c>
      <c r="N200" s="88">
        <v>0</v>
      </c>
      <c r="O200" s="210">
        <f t="shared" si="82"/>
        <v>0</v>
      </c>
      <c r="P200" s="211">
        <f t="shared" si="70"/>
        <v>0</v>
      </c>
      <c r="Q200" s="211">
        <v>0</v>
      </c>
      <c r="R200" s="211">
        <v>0</v>
      </c>
      <c r="S200" s="211">
        <v>0</v>
      </c>
      <c r="T200" s="87">
        <v>0</v>
      </c>
      <c r="U200" s="88">
        <f t="shared" si="80"/>
        <v>0</v>
      </c>
      <c r="V200" s="88">
        <v>0</v>
      </c>
      <c r="W200" s="88">
        <v>0</v>
      </c>
      <c r="X200" s="88">
        <v>0</v>
      </c>
      <c r="Y200" s="87">
        <v>0</v>
      </c>
      <c r="Z200" s="88">
        <f t="shared" si="71"/>
        <v>1645</v>
      </c>
      <c r="AA200" s="88">
        <v>0</v>
      </c>
      <c r="AB200" s="88">
        <v>1526</v>
      </c>
      <c r="AC200" s="88">
        <v>119</v>
      </c>
    </row>
    <row r="201" spans="1:29" s="233" customFormat="1" ht="121.5" customHeight="1" outlineLevel="1" x14ac:dyDescent="0.2">
      <c r="A201" s="246" t="s">
        <v>1169</v>
      </c>
      <c r="B201" s="89" t="s">
        <v>1413</v>
      </c>
      <c r="C201" s="87">
        <f t="shared" si="81"/>
        <v>0</v>
      </c>
      <c r="D201" s="246">
        <f t="shared" si="76"/>
        <v>1650</v>
      </c>
      <c r="E201" s="210">
        <f t="shared" si="77"/>
        <v>0</v>
      </c>
      <c r="F201" s="211">
        <f t="shared" si="78"/>
        <v>0</v>
      </c>
      <c r="G201" s="211">
        <v>0</v>
      </c>
      <c r="H201" s="211">
        <v>0</v>
      </c>
      <c r="I201" s="211">
        <v>0</v>
      </c>
      <c r="J201" s="87">
        <v>0</v>
      </c>
      <c r="K201" s="88">
        <f t="shared" si="79"/>
        <v>0</v>
      </c>
      <c r="L201" s="88">
        <v>0</v>
      </c>
      <c r="M201" s="88">
        <v>0</v>
      </c>
      <c r="N201" s="88">
        <v>0</v>
      </c>
      <c r="O201" s="210">
        <f t="shared" si="82"/>
        <v>0</v>
      </c>
      <c r="P201" s="211">
        <f t="shared" si="70"/>
        <v>0</v>
      </c>
      <c r="Q201" s="211">
        <v>0</v>
      </c>
      <c r="R201" s="211">
        <v>0</v>
      </c>
      <c r="S201" s="211">
        <v>0</v>
      </c>
      <c r="T201" s="87">
        <v>0</v>
      </c>
      <c r="U201" s="88">
        <f t="shared" si="80"/>
        <v>0</v>
      </c>
      <c r="V201" s="88">
        <v>0</v>
      </c>
      <c r="W201" s="88">
        <v>0</v>
      </c>
      <c r="X201" s="88">
        <v>0</v>
      </c>
      <c r="Y201" s="87">
        <v>0</v>
      </c>
      <c r="Z201" s="88">
        <f t="shared" si="71"/>
        <v>1650</v>
      </c>
      <c r="AA201" s="88">
        <v>0</v>
      </c>
      <c r="AB201" s="88">
        <v>1531</v>
      </c>
      <c r="AC201" s="88">
        <f>119</f>
        <v>119</v>
      </c>
    </row>
    <row r="202" spans="1:29" s="233" customFormat="1" ht="71.25" customHeight="1" outlineLevel="1" x14ac:dyDescent="0.2">
      <c r="A202" s="246" t="s">
        <v>1170</v>
      </c>
      <c r="B202" s="89" t="s">
        <v>1414</v>
      </c>
      <c r="C202" s="86">
        <f t="shared" si="81"/>
        <v>1.008</v>
      </c>
      <c r="D202" s="246">
        <f t="shared" si="76"/>
        <v>31112</v>
      </c>
      <c r="E202" s="210">
        <f t="shared" si="77"/>
        <v>0</v>
      </c>
      <c r="F202" s="211">
        <f t="shared" si="78"/>
        <v>0</v>
      </c>
      <c r="G202" s="211">
        <v>0</v>
      </c>
      <c r="H202" s="211">
        <v>0</v>
      </c>
      <c r="I202" s="211">
        <v>0</v>
      </c>
      <c r="J202" s="87">
        <v>0</v>
      </c>
      <c r="K202" s="88">
        <f t="shared" si="79"/>
        <v>0</v>
      </c>
      <c r="L202" s="88">
        <v>0</v>
      </c>
      <c r="M202" s="88">
        <v>0</v>
      </c>
      <c r="N202" s="88">
        <v>0</v>
      </c>
      <c r="O202" s="210">
        <f t="shared" si="82"/>
        <v>0</v>
      </c>
      <c r="P202" s="211">
        <f t="shared" si="70"/>
        <v>0</v>
      </c>
      <c r="Q202" s="211">
        <v>0</v>
      </c>
      <c r="R202" s="211">
        <v>0</v>
      </c>
      <c r="S202" s="211">
        <v>0</v>
      </c>
      <c r="T202" s="87">
        <v>0</v>
      </c>
      <c r="U202" s="88">
        <f t="shared" si="80"/>
        <v>0</v>
      </c>
      <c r="V202" s="88">
        <v>0</v>
      </c>
      <c r="W202" s="88">
        <v>0</v>
      </c>
      <c r="X202" s="88">
        <v>0</v>
      </c>
      <c r="Y202" s="86">
        <v>1.008</v>
      </c>
      <c r="Z202" s="88">
        <f t="shared" si="71"/>
        <v>31112</v>
      </c>
      <c r="AA202" s="88">
        <v>0</v>
      </c>
      <c r="AB202" s="88">
        <v>28872</v>
      </c>
      <c r="AC202" s="88">
        <v>2240</v>
      </c>
    </row>
    <row r="203" spans="1:29" s="233" customFormat="1" ht="68.25" customHeight="1" outlineLevel="1" x14ac:dyDescent="0.2">
      <c r="A203" s="246" t="s">
        <v>479</v>
      </c>
      <c r="B203" s="89" t="s">
        <v>1415</v>
      </c>
      <c r="C203" s="87">
        <f t="shared" si="81"/>
        <v>0.82199999999999995</v>
      </c>
      <c r="D203" s="246">
        <f t="shared" si="76"/>
        <v>19933</v>
      </c>
      <c r="E203" s="210">
        <f t="shared" si="77"/>
        <v>0</v>
      </c>
      <c r="F203" s="211">
        <f t="shared" si="78"/>
        <v>0</v>
      </c>
      <c r="G203" s="211">
        <v>0</v>
      </c>
      <c r="H203" s="211">
        <v>0</v>
      </c>
      <c r="I203" s="211">
        <v>0</v>
      </c>
      <c r="J203" s="87">
        <v>0</v>
      </c>
      <c r="K203" s="88">
        <f t="shared" si="79"/>
        <v>0</v>
      </c>
      <c r="L203" s="88">
        <v>0</v>
      </c>
      <c r="M203" s="88">
        <v>0</v>
      </c>
      <c r="N203" s="88">
        <v>0</v>
      </c>
      <c r="O203" s="210">
        <f t="shared" si="82"/>
        <v>0</v>
      </c>
      <c r="P203" s="211">
        <f t="shared" si="70"/>
        <v>0</v>
      </c>
      <c r="Q203" s="211">
        <v>0</v>
      </c>
      <c r="R203" s="211">
        <v>0</v>
      </c>
      <c r="S203" s="211">
        <v>0</v>
      </c>
      <c r="T203" s="87">
        <v>0</v>
      </c>
      <c r="U203" s="88">
        <f t="shared" si="80"/>
        <v>0</v>
      </c>
      <c r="V203" s="88">
        <v>0</v>
      </c>
      <c r="W203" s="88">
        <v>0</v>
      </c>
      <c r="X203" s="88">
        <v>0</v>
      </c>
      <c r="Y203" s="86">
        <v>0.82199999999999995</v>
      </c>
      <c r="Z203" s="88">
        <f t="shared" si="71"/>
        <v>19933</v>
      </c>
      <c r="AA203" s="88">
        <v>0</v>
      </c>
      <c r="AB203" s="88">
        <v>18498</v>
      </c>
      <c r="AC203" s="88">
        <v>1435</v>
      </c>
    </row>
    <row r="204" spans="1:29" s="233" customFormat="1" ht="63.75" customHeight="1" outlineLevel="1" x14ac:dyDescent="0.2">
      <c r="A204" s="246" t="s">
        <v>1171</v>
      </c>
      <c r="B204" s="89" t="s">
        <v>1416</v>
      </c>
      <c r="C204" s="86">
        <f t="shared" si="81"/>
        <v>0.51400000000000001</v>
      </c>
      <c r="D204" s="246">
        <f t="shared" si="76"/>
        <v>34411</v>
      </c>
      <c r="E204" s="210">
        <f t="shared" si="77"/>
        <v>0</v>
      </c>
      <c r="F204" s="211">
        <f t="shared" si="78"/>
        <v>0</v>
      </c>
      <c r="G204" s="211">
        <v>0</v>
      </c>
      <c r="H204" s="211">
        <v>0</v>
      </c>
      <c r="I204" s="211">
        <v>0</v>
      </c>
      <c r="J204" s="87">
        <v>0</v>
      </c>
      <c r="K204" s="88">
        <f t="shared" si="79"/>
        <v>0</v>
      </c>
      <c r="L204" s="88">
        <v>0</v>
      </c>
      <c r="M204" s="88">
        <v>0</v>
      </c>
      <c r="N204" s="88">
        <v>0</v>
      </c>
      <c r="O204" s="210">
        <f t="shared" si="82"/>
        <v>0</v>
      </c>
      <c r="P204" s="211">
        <f t="shared" si="70"/>
        <v>0</v>
      </c>
      <c r="Q204" s="211">
        <v>0</v>
      </c>
      <c r="R204" s="211">
        <v>0</v>
      </c>
      <c r="S204" s="211">
        <v>0</v>
      </c>
      <c r="T204" s="87">
        <v>0</v>
      </c>
      <c r="U204" s="88">
        <f t="shared" si="80"/>
        <v>0</v>
      </c>
      <c r="V204" s="88">
        <v>0</v>
      </c>
      <c r="W204" s="88">
        <v>0</v>
      </c>
      <c r="X204" s="88">
        <v>0</v>
      </c>
      <c r="Y204" s="86">
        <v>0.51400000000000001</v>
      </c>
      <c r="Z204" s="88">
        <f t="shared" si="71"/>
        <v>34411</v>
      </c>
      <c r="AA204" s="88">
        <v>0</v>
      </c>
      <c r="AB204" s="88">
        <v>31933</v>
      </c>
      <c r="AC204" s="88">
        <v>2478</v>
      </c>
    </row>
    <row r="205" spans="1:29" s="233" customFormat="1" ht="63" customHeight="1" outlineLevel="1" x14ac:dyDescent="0.2">
      <c r="A205" s="246" t="s">
        <v>1172</v>
      </c>
      <c r="B205" s="254" t="s">
        <v>1649</v>
      </c>
      <c r="C205" s="86">
        <f t="shared" si="81"/>
        <v>0.45800000000000002</v>
      </c>
      <c r="D205" s="246">
        <f t="shared" si="76"/>
        <v>22220</v>
      </c>
      <c r="E205" s="210">
        <f t="shared" si="77"/>
        <v>0</v>
      </c>
      <c r="F205" s="211">
        <f t="shared" si="78"/>
        <v>0</v>
      </c>
      <c r="G205" s="211">
        <v>0</v>
      </c>
      <c r="H205" s="211">
        <v>0</v>
      </c>
      <c r="I205" s="211">
        <v>0</v>
      </c>
      <c r="J205" s="87">
        <v>0</v>
      </c>
      <c r="K205" s="88">
        <f t="shared" si="79"/>
        <v>0</v>
      </c>
      <c r="L205" s="88">
        <v>0</v>
      </c>
      <c r="M205" s="88">
        <v>0</v>
      </c>
      <c r="N205" s="88">
        <v>0</v>
      </c>
      <c r="O205" s="210">
        <f t="shared" si="82"/>
        <v>0</v>
      </c>
      <c r="P205" s="211">
        <f t="shared" si="70"/>
        <v>0</v>
      </c>
      <c r="Q205" s="211">
        <v>0</v>
      </c>
      <c r="R205" s="211">
        <v>0</v>
      </c>
      <c r="S205" s="211">
        <v>0</v>
      </c>
      <c r="T205" s="87">
        <v>0</v>
      </c>
      <c r="U205" s="88">
        <f t="shared" si="80"/>
        <v>0</v>
      </c>
      <c r="V205" s="88">
        <v>0</v>
      </c>
      <c r="W205" s="88">
        <v>0</v>
      </c>
      <c r="X205" s="88">
        <v>0</v>
      </c>
      <c r="Y205" s="86">
        <v>0.45800000000000002</v>
      </c>
      <c r="Z205" s="88">
        <f t="shared" si="71"/>
        <v>22220</v>
      </c>
      <c r="AA205" s="88">
        <v>0</v>
      </c>
      <c r="AB205" s="88">
        <v>20620</v>
      </c>
      <c r="AC205" s="88">
        <v>1600</v>
      </c>
    </row>
    <row r="206" spans="1:29" s="233" customFormat="1" ht="46.5" customHeight="1" outlineLevel="1" x14ac:dyDescent="0.2">
      <c r="A206" s="246" t="s">
        <v>1173</v>
      </c>
      <c r="B206" s="254" t="s">
        <v>1417</v>
      </c>
      <c r="C206" s="87">
        <f t="shared" si="81"/>
        <v>0</v>
      </c>
      <c r="D206" s="246">
        <f t="shared" si="76"/>
        <v>5706</v>
      </c>
      <c r="E206" s="210">
        <f t="shared" si="77"/>
        <v>0</v>
      </c>
      <c r="F206" s="211">
        <f t="shared" si="78"/>
        <v>0</v>
      </c>
      <c r="G206" s="211">
        <v>0</v>
      </c>
      <c r="H206" s="211">
        <v>0</v>
      </c>
      <c r="I206" s="211">
        <v>0</v>
      </c>
      <c r="J206" s="87">
        <v>0</v>
      </c>
      <c r="K206" s="88">
        <f t="shared" si="79"/>
        <v>0</v>
      </c>
      <c r="L206" s="88">
        <v>0</v>
      </c>
      <c r="M206" s="88">
        <v>0</v>
      </c>
      <c r="N206" s="88">
        <v>0</v>
      </c>
      <c r="O206" s="210">
        <f t="shared" si="82"/>
        <v>0</v>
      </c>
      <c r="P206" s="211">
        <f t="shared" si="70"/>
        <v>0</v>
      </c>
      <c r="Q206" s="211">
        <v>0</v>
      </c>
      <c r="R206" s="211">
        <v>0</v>
      </c>
      <c r="S206" s="211">
        <v>0</v>
      </c>
      <c r="T206" s="87">
        <v>0</v>
      </c>
      <c r="U206" s="88">
        <f t="shared" si="80"/>
        <v>0</v>
      </c>
      <c r="V206" s="88">
        <v>0</v>
      </c>
      <c r="W206" s="88">
        <v>0</v>
      </c>
      <c r="X206" s="88">
        <v>0</v>
      </c>
      <c r="Y206" s="87">
        <v>0</v>
      </c>
      <c r="Z206" s="88">
        <f t="shared" si="71"/>
        <v>5706</v>
      </c>
      <c r="AA206" s="88">
        <v>0</v>
      </c>
      <c r="AB206" s="88">
        <v>5295</v>
      </c>
      <c r="AC206" s="88">
        <v>411</v>
      </c>
    </row>
    <row r="207" spans="1:29" s="233" customFormat="1" ht="84" customHeight="1" outlineLevel="1" x14ac:dyDescent="0.2">
      <c r="A207" s="246" t="s">
        <v>1174</v>
      </c>
      <c r="B207" s="89" t="s">
        <v>1444</v>
      </c>
      <c r="C207" s="87">
        <f t="shared" si="81"/>
        <v>0</v>
      </c>
      <c r="D207" s="246">
        <f t="shared" si="76"/>
        <v>3376</v>
      </c>
      <c r="E207" s="210">
        <f t="shared" ref="E207" si="83">G207+L207+Q207+V207+AA207</f>
        <v>0</v>
      </c>
      <c r="F207" s="211">
        <f t="shared" ref="F207" si="84">G207+H207+I207</f>
        <v>0</v>
      </c>
      <c r="G207" s="211">
        <v>0</v>
      </c>
      <c r="H207" s="211">
        <v>0</v>
      </c>
      <c r="I207" s="211">
        <v>0</v>
      </c>
      <c r="J207" s="87">
        <v>0</v>
      </c>
      <c r="K207" s="88">
        <f t="shared" ref="K207" si="85">L207+M207+N207</f>
        <v>0</v>
      </c>
      <c r="L207" s="88">
        <v>0</v>
      </c>
      <c r="M207" s="88">
        <v>0</v>
      </c>
      <c r="N207" s="88">
        <v>0</v>
      </c>
      <c r="O207" s="210">
        <f t="shared" ref="O207" si="86">Q207+V207+AA207+AF207+AK207</f>
        <v>0</v>
      </c>
      <c r="P207" s="211">
        <f t="shared" ref="P207" si="87">Q207+R207+S207</f>
        <v>0</v>
      </c>
      <c r="Q207" s="211">
        <v>0</v>
      </c>
      <c r="R207" s="211">
        <v>0</v>
      </c>
      <c r="S207" s="211">
        <v>0</v>
      </c>
      <c r="T207" s="87">
        <v>0</v>
      </c>
      <c r="U207" s="88">
        <f t="shared" ref="U207" si="88">V207+W207+X207</f>
        <v>0</v>
      </c>
      <c r="V207" s="88">
        <v>0</v>
      </c>
      <c r="W207" s="88">
        <v>0</v>
      </c>
      <c r="X207" s="88">
        <v>0</v>
      </c>
      <c r="Y207" s="87">
        <v>0</v>
      </c>
      <c r="Z207" s="88">
        <f t="shared" si="71"/>
        <v>3376</v>
      </c>
      <c r="AA207" s="88">
        <v>0</v>
      </c>
      <c r="AB207" s="88">
        <v>0</v>
      </c>
      <c r="AC207" s="88">
        <v>3376</v>
      </c>
    </row>
    <row r="208" spans="1:29" s="233" customFormat="1" ht="71.25" customHeight="1" outlineLevel="1" x14ac:dyDescent="0.2">
      <c r="A208" s="246" t="s">
        <v>1175</v>
      </c>
      <c r="B208" s="89" t="s">
        <v>1472</v>
      </c>
      <c r="C208" s="87">
        <v>0</v>
      </c>
      <c r="D208" s="246">
        <f t="shared" si="76"/>
        <v>754</v>
      </c>
      <c r="E208" s="210">
        <f t="shared" ref="E208:E210" si="89">G208+L208+Q208+V208+AA208</f>
        <v>0</v>
      </c>
      <c r="F208" s="211">
        <f t="shared" ref="F208:F210" si="90">G208+H208+I208</f>
        <v>0</v>
      </c>
      <c r="G208" s="211">
        <v>0</v>
      </c>
      <c r="H208" s="211">
        <v>0</v>
      </c>
      <c r="I208" s="211">
        <v>0</v>
      </c>
      <c r="J208" s="87">
        <v>0</v>
      </c>
      <c r="K208" s="88">
        <f t="shared" ref="K208:K210" si="91">L208+M208+N208</f>
        <v>0</v>
      </c>
      <c r="L208" s="88">
        <v>0</v>
      </c>
      <c r="M208" s="88">
        <v>0</v>
      </c>
      <c r="N208" s="88">
        <v>0</v>
      </c>
      <c r="O208" s="210">
        <f t="shared" ref="O208:O210" si="92">Q208+V208+AA208+AF208+AK208</f>
        <v>0</v>
      </c>
      <c r="P208" s="211">
        <f t="shared" ref="P208:P210" si="93">Q208+R208+S208</f>
        <v>0</v>
      </c>
      <c r="Q208" s="211">
        <v>0</v>
      </c>
      <c r="R208" s="211">
        <v>0</v>
      </c>
      <c r="S208" s="211">
        <v>0</v>
      </c>
      <c r="T208" s="87">
        <v>0</v>
      </c>
      <c r="U208" s="88">
        <f t="shared" ref="U208:U210" si="94">V208+W208+X208</f>
        <v>0</v>
      </c>
      <c r="V208" s="88">
        <v>0</v>
      </c>
      <c r="W208" s="88">
        <v>0</v>
      </c>
      <c r="X208" s="88">
        <v>0</v>
      </c>
      <c r="Y208" s="87">
        <v>0</v>
      </c>
      <c r="Z208" s="88">
        <f t="shared" si="71"/>
        <v>754</v>
      </c>
      <c r="AA208" s="88">
        <v>0</v>
      </c>
      <c r="AB208" s="88">
        <v>0</v>
      </c>
      <c r="AC208" s="88">
        <f>769-15</f>
        <v>754</v>
      </c>
    </row>
    <row r="209" spans="1:34" s="233" customFormat="1" ht="50.25" customHeight="1" outlineLevel="1" x14ac:dyDescent="0.2">
      <c r="A209" s="246" t="s">
        <v>1176</v>
      </c>
      <c r="B209" s="89" t="s">
        <v>1475</v>
      </c>
      <c r="C209" s="87">
        <v>0</v>
      </c>
      <c r="D209" s="246">
        <f t="shared" si="76"/>
        <v>1118</v>
      </c>
      <c r="E209" s="210">
        <f t="shared" si="89"/>
        <v>0</v>
      </c>
      <c r="F209" s="211">
        <f t="shared" si="90"/>
        <v>0</v>
      </c>
      <c r="G209" s="211">
        <v>0</v>
      </c>
      <c r="H209" s="211">
        <v>0</v>
      </c>
      <c r="I209" s="211">
        <v>0</v>
      </c>
      <c r="J209" s="87">
        <v>0</v>
      </c>
      <c r="K209" s="88">
        <f t="shared" si="91"/>
        <v>0</v>
      </c>
      <c r="L209" s="88">
        <v>0</v>
      </c>
      <c r="M209" s="88">
        <v>0</v>
      </c>
      <c r="N209" s="88">
        <v>0</v>
      </c>
      <c r="O209" s="210">
        <f t="shared" si="92"/>
        <v>0</v>
      </c>
      <c r="P209" s="211">
        <f t="shared" si="93"/>
        <v>0</v>
      </c>
      <c r="Q209" s="211">
        <v>0</v>
      </c>
      <c r="R209" s="211">
        <v>0</v>
      </c>
      <c r="S209" s="211">
        <v>0</v>
      </c>
      <c r="T209" s="87">
        <v>0</v>
      </c>
      <c r="U209" s="88">
        <f t="shared" si="94"/>
        <v>0</v>
      </c>
      <c r="V209" s="88">
        <v>0</v>
      </c>
      <c r="W209" s="88">
        <v>0</v>
      </c>
      <c r="X209" s="88">
        <v>0</v>
      </c>
      <c r="Y209" s="87">
        <v>0</v>
      </c>
      <c r="Z209" s="88">
        <f t="shared" si="71"/>
        <v>1118</v>
      </c>
      <c r="AA209" s="88">
        <v>0</v>
      </c>
      <c r="AB209" s="88">
        <v>0</v>
      </c>
      <c r="AC209" s="88">
        <f>2147-282-747</f>
        <v>1118</v>
      </c>
    </row>
    <row r="210" spans="1:34" s="233" customFormat="1" ht="41.25" customHeight="1" outlineLevel="1" x14ac:dyDescent="0.2">
      <c r="A210" s="246" t="s">
        <v>1177</v>
      </c>
      <c r="B210" s="89" t="s">
        <v>1462</v>
      </c>
      <c r="C210" s="87">
        <f t="shared" si="81"/>
        <v>0</v>
      </c>
      <c r="D210" s="246">
        <f t="shared" si="76"/>
        <v>0</v>
      </c>
      <c r="E210" s="210">
        <f t="shared" si="89"/>
        <v>0</v>
      </c>
      <c r="F210" s="211">
        <f t="shared" si="90"/>
        <v>0</v>
      </c>
      <c r="G210" s="211">
        <v>0</v>
      </c>
      <c r="H210" s="211">
        <v>0</v>
      </c>
      <c r="I210" s="211">
        <v>0</v>
      </c>
      <c r="J210" s="87">
        <v>0</v>
      </c>
      <c r="K210" s="88">
        <f t="shared" si="91"/>
        <v>0</v>
      </c>
      <c r="L210" s="88">
        <v>0</v>
      </c>
      <c r="M210" s="88">
        <v>0</v>
      </c>
      <c r="N210" s="88">
        <v>0</v>
      </c>
      <c r="O210" s="210">
        <f t="shared" si="92"/>
        <v>0</v>
      </c>
      <c r="P210" s="211">
        <f t="shared" si="93"/>
        <v>0</v>
      </c>
      <c r="Q210" s="211">
        <v>0</v>
      </c>
      <c r="R210" s="211">
        <v>0</v>
      </c>
      <c r="S210" s="211">
        <v>0</v>
      </c>
      <c r="T210" s="87">
        <v>0</v>
      </c>
      <c r="U210" s="88">
        <f t="shared" si="94"/>
        <v>0</v>
      </c>
      <c r="V210" s="88">
        <v>0</v>
      </c>
      <c r="W210" s="88">
        <v>0</v>
      </c>
      <c r="X210" s="88">
        <v>0</v>
      </c>
      <c r="Y210" s="87">
        <v>0</v>
      </c>
      <c r="Z210" s="88">
        <f t="shared" ref="Z210" si="95">AA210+AB210+AC210</f>
        <v>0</v>
      </c>
      <c r="AA210" s="88">
        <v>0</v>
      </c>
      <c r="AB210" s="88">
        <v>0</v>
      </c>
      <c r="AC210" s="88">
        <f>4232-1942-2290</f>
        <v>0</v>
      </c>
      <c r="AD210" s="94" t="s">
        <v>1652</v>
      </c>
      <c r="AE210" s="94"/>
      <c r="AF210" s="94"/>
      <c r="AG210" s="94"/>
      <c r="AH210" s="94"/>
    </row>
    <row r="211" spans="1:34" s="233" customFormat="1" ht="54" customHeight="1" outlineLevel="1" x14ac:dyDescent="0.2">
      <c r="A211" s="246" t="s">
        <v>1178</v>
      </c>
      <c r="B211" s="89" t="s">
        <v>1650</v>
      </c>
      <c r="C211" s="87">
        <f t="shared" si="81"/>
        <v>0</v>
      </c>
      <c r="D211" s="246">
        <f t="shared" si="76"/>
        <v>10117</v>
      </c>
      <c r="E211" s="210">
        <f t="shared" ref="E211" si="96">G211+L211+Q211+V211+AA211</f>
        <v>0</v>
      </c>
      <c r="F211" s="211">
        <f t="shared" ref="F211" si="97">G211+H211+I211</f>
        <v>0</v>
      </c>
      <c r="G211" s="211">
        <v>0</v>
      </c>
      <c r="H211" s="211">
        <v>0</v>
      </c>
      <c r="I211" s="211">
        <v>0</v>
      </c>
      <c r="J211" s="87">
        <v>0</v>
      </c>
      <c r="K211" s="88">
        <f t="shared" ref="K211" si="98">L211+M211+N211</f>
        <v>0</v>
      </c>
      <c r="L211" s="88">
        <v>0</v>
      </c>
      <c r="M211" s="88">
        <v>0</v>
      </c>
      <c r="N211" s="88">
        <v>0</v>
      </c>
      <c r="O211" s="210">
        <f t="shared" ref="O211" si="99">Q211+V211+AA211+AF211+AK211</f>
        <v>0</v>
      </c>
      <c r="P211" s="211">
        <f t="shared" ref="P211" si="100">Q211+R211+S211</f>
        <v>0</v>
      </c>
      <c r="Q211" s="211">
        <v>0</v>
      </c>
      <c r="R211" s="211">
        <v>0</v>
      </c>
      <c r="S211" s="211">
        <v>0</v>
      </c>
      <c r="T211" s="87">
        <v>0</v>
      </c>
      <c r="U211" s="88">
        <f t="shared" ref="U211" si="101">V211+W211+X211</f>
        <v>0</v>
      </c>
      <c r="V211" s="88">
        <v>0</v>
      </c>
      <c r="W211" s="88">
        <v>0</v>
      </c>
      <c r="X211" s="88">
        <v>0</v>
      </c>
      <c r="Y211" s="87">
        <v>0</v>
      </c>
      <c r="Z211" s="88">
        <f t="shared" ref="Z211:Z212" si="102">AA211+AB211+AC211</f>
        <v>10117</v>
      </c>
      <c r="AA211" s="88">
        <v>0</v>
      </c>
      <c r="AB211" s="88">
        <v>0</v>
      </c>
      <c r="AC211" s="88">
        <f>9835+282</f>
        <v>10117</v>
      </c>
    </row>
    <row r="212" spans="1:34" s="238" customFormat="1" ht="18.75" customHeight="1" outlineLevel="1" x14ac:dyDescent="0.2">
      <c r="A212" s="234"/>
      <c r="B212" s="245" t="s">
        <v>206</v>
      </c>
      <c r="C212" s="198">
        <f t="shared" si="64"/>
        <v>0</v>
      </c>
      <c r="D212" s="246">
        <f>F212+K212+P212+Z212+U212</f>
        <v>30016.5</v>
      </c>
      <c r="E212" s="210">
        <v>0</v>
      </c>
      <c r="F212" s="189">
        <f>G212+H212+I212</f>
        <v>12277</v>
      </c>
      <c r="G212" s="189">
        <v>0</v>
      </c>
      <c r="H212" s="211">
        <f>11554+132+2+1</f>
        <v>11689</v>
      </c>
      <c r="I212" s="211">
        <f>583+7-3+1</f>
        <v>588</v>
      </c>
      <c r="J212" s="198">
        <v>0</v>
      </c>
      <c r="K212" s="88">
        <f t="shared" si="67"/>
        <v>0</v>
      </c>
      <c r="L212" s="88">
        <v>0</v>
      </c>
      <c r="M212" s="88">
        <v>0</v>
      </c>
      <c r="N212" s="88">
        <v>0</v>
      </c>
      <c r="O212" s="87">
        <v>0</v>
      </c>
      <c r="P212" s="88">
        <f t="shared" si="70"/>
        <v>3035</v>
      </c>
      <c r="Q212" s="88">
        <v>0</v>
      </c>
      <c r="R212" s="88">
        <v>2860</v>
      </c>
      <c r="S212" s="88">
        <v>175</v>
      </c>
      <c r="T212" s="87">
        <v>0</v>
      </c>
      <c r="U212" s="236">
        <f>V212+W212+X212</f>
        <v>8.5</v>
      </c>
      <c r="V212" s="88">
        <v>0</v>
      </c>
      <c r="W212" s="88">
        <v>8</v>
      </c>
      <c r="X212" s="88">
        <v>0.5</v>
      </c>
      <c r="Y212" s="87">
        <v>0</v>
      </c>
      <c r="Z212" s="88">
        <f t="shared" si="102"/>
        <v>14696</v>
      </c>
      <c r="AA212" s="88">
        <v>0</v>
      </c>
      <c r="AB212" s="88">
        <f>13697-59</f>
        <v>13638</v>
      </c>
      <c r="AC212" s="88">
        <f>1062-4-59+59</f>
        <v>1058</v>
      </c>
    </row>
    <row r="213" spans="1:34" s="238" customFormat="1" ht="36.75" customHeight="1" outlineLevel="1" x14ac:dyDescent="0.2">
      <c r="A213" s="529" t="s">
        <v>1389</v>
      </c>
      <c r="B213" s="529"/>
      <c r="C213" s="529"/>
      <c r="D213" s="529"/>
      <c r="E213" s="529"/>
      <c r="F213" s="529"/>
      <c r="G213" s="529"/>
      <c r="H213" s="529"/>
      <c r="I213" s="529"/>
      <c r="J213" s="529"/>
      <c r="K213" s="529"/>
      <c r="L213" s="529"/>
      <c r="M213" s="529"/>
      <c r="N213" s="529"/>
      <c r="O213" s="529"/>
      <c r="P213" s="529"/>
      <c r="Q213" s="529"/>
      <c r="R213" s="529"/>
      <c r="S213" s="529"/>
      <c r="T213" s="529"/>
      <c r="U213" s="529"/>
      <c r="V213" s="529"/>
      <c r="W213" s="529"/>
      <c r="X213" s="529"/>
      <c r="Y213" s="529"/>
      <c r="Z213" s="529"/>
      <c r="AA213" s="529"/>
      <c r="AB213" s="529"/>
      <c r="AC213" s="529"/>
    </row>
    <row r="214" spans="1:34" s="233" customFormat="1" ht="39" customHeight="1" outlineLevel="1" x14ac:dyDescent="0.2">
      <c r="A214" s="234" t="s">
        <v>1179</v>
      </c>
      <c r="B214" s="251" t="s">
        <v>219</v>
      </c>
      <c r="C214" s="198">
        <f t="shared" ref="C214:C224" si="103">E214+J214+O214+T214+Y214</f>
        <v>33.700000000000003</v>
      </c>
      <c r="D214" s="246">
        <f t="shared" ref="D214:D224" si="104">F214+K214+P214+U214+Z214</f>
        <v>80424</v>
      </c>
      <c r="E214" s="198">
        <v>33.700000000000003</v>
      </c>
      <c r="F214" s="189">
        <f t="shared" ref="F214:F225" si="105">G214+H214+I214</f>
        <v>80424</v>
      </c>
      <c r="G214" s="189">
        <v>0</v>
      </c>
      <c r="H214" s="211">
        <v>76564</v>
      </c>
      <c r="I214" s="211">
        <v>3860</v>
      </c>
      <c r="J214" s="198">
        <v>0</v>
      </c>
      <c r="K214" s="88">
        <f>L214+M214+N214</f>
        <v>0</v>
      </c>
      <c r="L214" s="88">
        <v>0</v>
      </c>
      <c r="M214" s="88">
        <v>0</v>
      </c>
      <c r="N214" s="88">
        <v>0</v>
      </c>
      <c r="O214" s="87">
        <v>0</v>
      </c>
      <c r="P214" s="88">
        <f t="shared" ref="P214:P228" si="106">Q214+R214+S214</f>
        <v>0</v>
      </c>
      <c r="Q214" s="88">
        <v>0</v>
      </c>
      <c r="R214" s="88">
        <v>0</v>
      </c>
      <c r="S214" s="88">
        <v>0</v>
      </c>
      <c r="T214" s="87">
        <v>0</v>
      </c>
      <c r="U214" s="88">
        <f t="shared" ref="U214:U225" si="107">V214+W214+X214</f>
        <v>0</v>
      </c>
      <c r="V214" s="88">
        <v>0</v>
      </c>
      <c r="W214" s="88">
        <v>0</v>
      </c>
      <c r="X214" s="88">
        <v>0</v>
      </c>
      <c r="Y214" s="86">
        <v>0</v>
      </c>
      <c r="Z214" s="88">
        <f t="shared" ref="Z214:Z225" si="108">AA214+AB214+AC214</f>
        <v>0</v>
      </c>
      <c r="AA214" s="88">
        <v>0</v>
      </c>
      <c r="AB214" s="88">
        <v>0</v>
      </c>
      <c r="AC214" s="88">
        <v>0</v>
      </c>
    </row>
    <row r="215" spans="1:34" s="238" customFormat="1" ht="51" customHeight="1" outlineLevel="1" x14ac:dyDescent="0.2">
      <c r="A215" s="234" t="s">
        <v>1180</v>
      </c>
      <c r="B215" s="245" t="s">
        <v>191</v>
      </c>
      <c r="C215" s="198">
        <f t="shared" si="103"/>
        <v>14.33</v>
      </c>
      <c r="D215" s="246">
        <f t="shared" si="104"/>
        <v>31759</v>
      </c>
      <c r="E215" s="210">
        <v>14.33</v>
      </c>
      <c r="F215" s="189">
        <f t="shared" si="105"/>
        <v>31759</v>
      </c>
      <c r="G215" s="189">
        <v>0</v>
      </c>
      <c r="H215" s="211">
        <v>30235</v>
      </c>
      <c r="I215" s="189">
        <v>1524</v>
      </c>
      <c r="J215" s="198">
        <v>0</v>
      </c>
      <c r="K215" s="88">
        <f t="shared" ref="K215:K266" si="109">L215+M215+N215</f>
        <v>0</v>
      </c>
      <c r="L215" s="88">
        <v>0</v>
      </c>
      <c r="M215" s="88">
        <v>0</v>
      </c>
      <c r="N215" s="88">
        <v>0</v>
      </c>
      <c r="O215" s="87">
        <v>0</v>
      </c>
      <c r="P215" s="88">
        <f t="shared" si="106"/>
        <v>0</v>
      </c>
      <c r="Q215" s="88">
        <v>0</v>
      </c>
      <c r="R215" s="88">
        <v>0</v>
      </c>
      <c r="S215" s="88">
        <v>0</v>
      </c>
      <c r="T215" s="87">
        <v>0</v>
      </c>
      <c r="U215" s="88">
        <f t="shared" si="107"/>
        <v>0</v>
      </c>
      <c r="V215" s="88">
        <v>0</v>
      </c>
      <c r="W215" s="88">
        <v>0</v>
      </c>
      <c r="X215" s="88">
        <v>0</v>
      </c>
      <c r="Y215" s="86">
        <v>0</v>
      </c>
      <c r="Z215" s="88">
        <f t="shared" si="108"/>
        <v>0</v>
      </c>
      <c r="AA215" s="88">
        <v>0</v>
      </c>
      <c r="AB215" s="88">
        <v>0</v>
      </c>
      <c r="AC215" s="88">
        <v>0</v>
      </c>
    </row>
    <row r="216" spans="1:34" s="233" customFormat="1" ht="63.6" customHeight="1" outlineLevel="1" x14ac:dyDescent="0.2">
      <c r="A216" s="234" t="s">
        <v>1181</v>
      </c>
      <c r="B216" s="251" t="s">
        <v>220</v>
      </c>
      <c r="C216" s="198">
        <f t="shared" si="103"/>
        <v>12.3</v>
      </c>
      <c r="D216" s="246">
        <f t="shared" si="104"/>
        <v>24595</v>
      </c>
      <c r="E216" s="252">
        <v>12.3</v>
      </c>
      <c r="F216" s="189">
        <f t="shared" si="105"/>
        <v>24595</v>
      </c>
      <c r="G216" s="189">
        <v>0</v>
      </c>
      <c r="H216" s="211">
        <v>23414</v>
      </c>
      <c r="I216" s="211">
        <v>1181</v>
      </c>
      <c r="J216" s="198">
        <v>0</v>
      </c>
      <c r="K216" s="88">
        <f t="shared" si="109"/>
        <v>0</v>
      </c>
      <c r="L216" s="88">
        <v>0</v>
      </c>
      <c r="M216" s="88">
        <v>0</v>
      </c>
      <c r="N216" s="88">
        <v>0</v>
      </c>
      <c r="O216" s="87">
        <v>0</v>
      </c>
      <c r="P216" s="88">
        <f t="shared" si="106"/>
        <v>0</v>
      </c>
      <c r="Q216" s="88">
        <v>0</v>
      </c>
      <c r="R216" s="88">
        <v>0</v>
      </c>
      <c r="S216" s="88">
        <v>0</v>
      </c>
      <c r="T216" s="87">
        <v>0</v>
      </c>
      <c r="U216" s="88">
        <f t="shared" si="107"/>
        <v>0</v>
      </c>
      <c r="V216" s="88">
        <v>0</v>
      </c>
      <c r="W216" s="88">
        <v>0</v>
      </c>
      <c r="X216" s="88">
        <v>0</v>
      </c>
      <c r="Y216" s="86">
        <v>0</v>
      </c>
      <c r="Z216" s="88">
        <f t="shared" si="108"/>
        <v>0</v>
      </c>
      <c r="AA216" s="88">
        <v>0</v>
      </c>
      <c r="AB216" s="88">
        <v>0</v>
      </c>
      <c r="AC216" s="88">
        <v>0</v>
      </c>
    </row>
    <row r="217" spans="1:34" s="233" customFormat="1" ht="84" customHeight="1" outlineLevel="1" x14ac:dyDescent="0.2">
      <c r="A217" s="234" t="s">
        <v>1182</v>
      </c>
      <c r="B217" s="251" t="s">
        <v>221</v>
      </c>
      <c r="C217" s="198">
        <f t="shared" si="103"/>
        <v>39.11</v>
      </c>
      <c r="D217" s="246">
        <f t="shared" si="104"/>
        <v>90005</v>
      </c>
      <c r="E217" s="252">
        <v>39.11</v>
      </c>
      <c r="F217" s="189">
        <f t="shared" si="105"/>
        <v>90005</v>
      </c>
      <c r="G217" s="189">
        <v>0</v>
      </c>
      <c r="H217" s="211">
        <v>85685</v>
      </c>
      <c r="I217" s="211">
        <v>4320</v>
      </c>
      <c r="J217" s="198">
        <v>0</v>
      </c>
      <c r="K217" s="88">
        <f t="shared" si="109"/>
        <v>0</v>
      </c>
      <c r="L217" s="88">
        <v>0</v>
      </c>
      <c r="M217" s="88">
        <v>0</v>
      </c>
      <c r="N217" s="88">
        <v>0</v>
      </c>
      <c r="O217" s="87">
        <v>0</v>
      </c>
      <c r="P217" s="88">
        <f t="shared" si="106"/>
        <v>0</v>
      </c>
      <c r="Q217" s="88">
        <v>0</v>
      </c>
      <c r="R217" s="88">
        <v>0</v>
      </c>
      <c r="S217" s="88">
        <v>0</v>
      </c>
      <c r="T217" s="87">
        <v>0</v>
      </c>
      <c r="U217" s="88">
        <f t="shared" si="107"/>
        <v>0</v>
      </c>
      <c r="V217" s="88">
        <v>0</v>
      </c>
      <c r="W217" s="88">
        <v>0</v>
      </c>
      <c r="X217" s="88">
        <v>0</v>
      </c>
      <c r="Y217" s="86">
        <v>0</v>
      </c>
      <c r="Z217" s="88">
        <f t="shared" si="108"/>
        <v>0</v>
      </c>
      <c r="AA217" s="88">
        <v>0</v>
      </c>
      <c r="AB217" s="88">
        <v>0</v>
      </c>
      <c r="AC217" s="88">
        <v>0</v>
      </c>
    </row>
    <row r="218" spans="1:34" s="238" customFormat="1" ht="36" customHeight="1" outlineLevel="1" x14ac:dyDescent="0.2">
      <c r="A218" s="234" t="s">
        <v>1183</v>
      </c>
      <c r="B218" s="245" t="s">
        <v>194</v>
      </c>
      <c r="C218" s="198">
        <f t="shared" si="103"/>
        <v>6.66</v>
      </c>
      <c r="D218" s="246">
        <f t="shared" si="104"/>
        <v>14226</v>
      </c>
      <c r="E218" s="210">
        <v>6.66</v>
      </c>
      <c r="F218" s="189">
        <f t="shared" si="105"/>
        <v>14226</v>
      </c>
      <c r="G218" s="189">
        <v>0</v>
      </c>
      <c r="H218" s="211">
        <v>13543</v>
      </c>
      <c r="I218" s="189">
        <v>683</v>
      </c>
      <c r="J218" s="198">
        <v>0</v>
      </c>
      <c r="K218" s="88">
        <f t="shared" si="109"/>
        <v>0</v>
      </c>
      <c r="L218" s="88">
        <v>0</v>
      </c>
      <c r="M218" s="88">
        <v>0</v>
      </c>
      <c r="N218" s="88">
        <v>0</v>
      </c>
      <c r="O218" s="87">
        <v>0</v>
      </c>
      <c r="P218" s="88">
        <f t="shared" si="106"/>
        <v>0</v>
      </c>
      <c r="Q218" s="88">
        <v>0</v>
      </c>
      <c r="R218" s="88">
        <v>0</v>
      </c>
      <c r="S218" s="88">
        <v>0</v>
      </c>
      <c r="T218" s="87">
        <v>0</v>
      </c>
      <c r="U218" s="88">
        <f t="shared" si="107"/>
        <v>0</v>
      </c>
      <c r="V218" s="88">
        <v>0</v>
      </c>
      <c r="W218" s="88">
        <v>0</v>
      </c>
      <c r="X218" s="88">
        <v>0</v>
      </c>
      <c r="Y218" s="86">
        <v>0</v>
      </c>
      <c r="Z218" s="88">
        <f t="shared" si="108"/>
        <v>0</v>
      </c>
      <c r="AA218" s="88">
        <v>0</v>
      </c>
      <c r="AB218" s="88">
        <v>0</v>
      </c>
      <c r="AC218" s="88">
        <v>0</v>
      </c>
    </row>
    <row r="219" spans="1:34" s="233" customFormat="1" ht="49.15" customHeight="1" outlineLevel="1" x14ac:dyDescent="0.2">
      <c r="A219" s="234" t="s">
        <v>1184</v>
      </c>
      <c r="B219" s="251" t="s">
        <v>222</v>
      </c>
      <c r="C219" s="198">
        <f t="shared" si="103"/>
        <v>26.66</v>
      </c>
      <c r="D219" s="246">
        <f t="shared" si="104"/>
        <v>67036</v>
      </c>
      <c r="E219" s="252">
        <v>26.66</v>
      </c>
      <c r="F219" s="189">
        <f t="shared" si="105"/>
        <v>67036</v>
      </c>
      <c r="G219" s="189">
        <v>0</v>
      </c>
      <c r="H219" s="211">
        <v>63818</v>
      </c>
      <c r="I219" s="211">
        <v>3218</v>
      </c>
      <c r="J219" s="198">
        <v>0</v>
      </c>
      <c r="K219" s="88">
        <f t="shared" si="109"/>
        <v>0</v>
      </c>
      <c r="L219" s="88">
        <v>0</v>
      </c>
      <c r="M219" s="88">
        <v>0</v>
      </c>
      <c r="N219" s="88">
        <v>0</v>
      </c>
      <c r="O219" s="87">
        <v>0</v>
      </c>
      <c r="P219" s="88">
        <f t="shared" si="106"/>
        <v>0</v>
      </c>
      <c r="Q219" s="88">
        <v>0</v>
      </c>
      <c r="R219" s="88">
        <v>0</v>
      </c>
      <c r="S219" s="88">
        <v>0</v>
      </c>
      <c r="T219" s="87">
        <v>0</v>
      </c>
      <c r="U219" s="88">
        <f t="shared" si="107"/>
        <v>0</v>
      </c>
      <c r="V219" s="88">
        <v>0</v>
      </c>
      <c r="W219" s="88">
        <v>0</v>
      </c>
      <c r="X219" s="88">
        <v>0</v>
      </c>
      <c r="Y219" s="86">
        <v>0</v>
      </c>
      <c r="Z219" s="88">
        <f t="shared" si="108"/>
        <v>0</v>
      </c>
      <c r="AA219" s="88">
        <v>0</v>
      </c>
      <c r="AB219" s="88">
        <v>0</v>
      </c>
      <c r="AC219" s="88">
        <v>0</v>
      </c>
    </row>
    <row r="220" spans="1:34" s="233" customFormat="1" ht="53.45" customHeight="1" outlineLevel="1" x14ac:dyDescent="0.2">
      <c r="A220" s="234" t="s">
        <v>1185</v>
      </c>
      <c r="B220" s="251" t="s">
        <v>193</v>
      </c>
      <c r="C220" s="198">
        <f t="shared" si="103"/>
        <v>51.6</v>
      </c>
      <c r="D220" s="246">
        <f t="shared" si="104"/>
        <v>106911</v>
      </c>
      <c r="E220" s="252">
        <v>51.6</v>
      </c>
      <c r="F220" s="189">
        <f t="shared" si="105"/>
        <v>106911</v>
      </c>
      <c r="G220" s="189">
        <v>0</v>
      </c>
      <c r="H220" s="211">
        <v>101779</v>
      </c>
      <c r="I220" s="211">
        <v>5132</v>
      </c>
      <c r="J220" s="198">
        <v>0</v>
      </c>
      <c r="K220" s="88">
        <f t="shared" si="109"/>
        <v>0</v>
      </c>
      <c r="L220" s="88">
        <v>0</v>
      </c>
      <c r="M220" s="88">
        <v>0</v>
      </c>
      <c r="N220" s="88">
        <v>0</v>
      </c>
      <c r="O220" s="87">
        <v>0</v>
      </c>
      <c r="P220" s="88">
        <f t="shared" si="106"/>
        <v>0</v>
      </c>
      <c r="Q220" s="88">
        <v>0</v>
      </c>
      <c r="R220" s="88">
        <v>0</v>
      </c>
      <c r="S220" s="88">
        <v>0</v>
      </c>
      <c r="T220" s="87">
        <v>0</v>
      </c>
      <c r="U220" s="88">
        <f t="shared" si="107"/>
        <v>0</v>
      </c>
      <c r="V220" s="88">
        <v>0</v>
      </c>
      <c r="W220" s="88">
        <v>0</v>
      </c>
      <c r="X220" s="88">
        <v>0</v>
      </c>
      <c r="Y220" s="86">
        <v>0</v>
      </c>
      <c r="Z220" s="88">
        <f t="shared" si="108"/>
        <v>0</v>
      </c>
      <c r="AA220" s="88">
        <v>0</v>
      </c>
      <c r="AB220" s="88">
        <v>0</v>
      </c>
      <c r="AC220" s="88">
        <v>0</v>
      </c>
    </row>
    <row r="221" spans="1:34" s="233" customFormat="1" ht="47.45" customHeight="1" outlineLevel="1" x14ac:dyDescent="0.2">
      <c r="A221" s="234" t="s">
        <v>1186</v>
      </c>
      <c r="B221" s="251" t="s">
        <v>629</v>
      </c>
      <c r="C221" s="198">
        <f t="shared" si="103"/>
        <v>29.7</v>
      </c>
      <c r="D221" s="246">
        <f t="shared" si="104"/>
        <v>76629</v>
      </c>
      <c r="E221" s="198">
        <v>29.7</v>
      </c>
      <c r="F221" s="189">
        <f t="shared" si="105"/>
        <v>76629</v>
      </c>
      <c r="G221" s="189">
        <v>0</v>
      </c>
      <c r="H221" s="211">
        <v>72951</v>
      </c>
      <c r="I221" s="211">
        <v>3678</v>
      </c>
      <c r="J221" s="198">
        <v>0</v>
      </c>
      <c r="K221" s="88">
        <f t="shared" si="109"/>
        <v>0</v>
      </c>
      <c r="L221" s="88">
        <v>0</v>
      </c>
      <c r="M221" s="88">
        <v>0</v>
      </c>
      <c r="N221" s="88">
        <v>0</v>
      </c>
      <c r="O221" s="87">
        <v>0</v>
      </c>
      <c r="P221" s="88">
        <f t="shared" si="106"/>
        <v>0</v>
      </c>
      <c r="Q221" s="88">
        <v>0</v>
      </c>
      <c r="R221" s="88">
        <v>0</v>
      </c>
      <c r="S221" s="88">
        <v>0</v>
      </c>
      <c r="T221" s="87">
        <v>0</v>
      </c>
      <c r="U221" s="88">
        <f t="shared" si="107"/>
        <v>0</v>
      </c>
      <c r="V221" s="88">
        <v>0</v>
      </c>
      <c r="W221" s="88">
        <v>0</v>
      </c>
      <c r="X221" s="88">
        <v>0</v>
      </c>
      <c r="Y221" s="86">
        <v>0</v>
      </c>
      <c r="Z221" s="88">
        <f t="shared" si="108"/>
        <v>0</v>
      </c>
      <c r="AA221" s="88">
        <v>0</v>
      </c>
      <c r="AB221" s="88">
        <v>0</v>
      </c>
      <c r="AC221" s="88">
        <v>0</v>
      </c>
    </row>
    <row r="222" spans="1:34" s="233" customFormat="1" ht="28.5" customHeight="1" outlineLevel="1" x14ac:dyDescent="0.2">
      <c r="A222" s="234" t="s">
        <v>1187</v>
      </c>
      <c r="B222" s="251" t="s">
        <v>223</v>
      </c>
      <c r="C222" s="198">
        <f t="shared" si="103"/>
        <v>32.51</v>
      </c>
      <c r="D222" s="246">
        <f t="shared" si="104"/>
        <v>109670</v>
      </c>
      <c r="E222" s="252">
        <v>32.51</v>
      </c>
      <c r="F222" s="189">
        <f t="shared" si="105"/>
        <v>109670</v>
      </c>
      <c r="G222" s="189">
        <v>0</v>
      </c>
      <c r="H222" s="211">
        <v>104406</v>
      </c>
      <c r="I222" s="211">
        <v>5264</v>
      </c>
      <c r="J222" s="198">
        <v>0</v>
      </c>
      <c r="K222" s="88">
        <f t="shared" si="109"/>
        <v>0</v>
      </c>
      <c r="L222" s="88">
        <v>0</v>
      </c>
      <c r="M222" s="88">
        <v>0</v>
      </c>
      <c r="N222" s="88">
        <v>0</v>
      </c>
      <c r="O222" s="87">
        <v>0</v>
      </c>
      <c r="P222" s="88">
        <f t="shared" si="106"/>
        <v>0</v>
      </c>
      <c r="Q222" s="88">
        <v>0</v>
      </c>
      <c r="R222" s="88">
        <v>0</v>
      </c>
      <c r="S222" s="88">
        <v>0</v>
      </c>
      <c r="T222" s="87">
        <v>0</v>
      </c>
      <c r="U222" s="88">
        <f t="shared" si="107"/>
        <v>0</v>
      </c>
      <c r="V222" s="88">
        <v>0</v>
      </c>
      <c r="W222" s="88">
        <v>0</v>
      </c>
      <c r="X222" s="88">
        <v>0</v>
      </c>
      <c r="Y222" s="86">
        <v>0</v>
      </c>
      <c r="Z222" s="88">
        <f t="shared" si="108"/>
        <v>0</v>
      </c>
      <c r="AA222" s="88">
        <v>0</v>
      </c>
      <c r="AB222" s="88">
        <v>0</v>
      </c>
      <c r="AC222" s="88">
        <v>0</v>
      </c>
    </row>
    <row r="223" spans="1:34" s="238" customFormat="1" ht="30" customHeight="1" outlineLevel="1" x14ac:dyDescent="0.2">
      <c r="A223" s="234" t="s">
        <v>1188</v>
      </c>
      <c r="B223" s="245" t="s">
        <v>224</v>
      </c>
      <c r="C223" s="198">
        <f t="shared" si="103"/>
        <v>2.0699999999999998</v>
      </c>
      <c r="D223" s="246">
        <f t="shared" si="104"/>
        <v>3457</v>
      </c>
      <c r="E223" s="210">
        <v>2.0699999999999998</v>
      </c>
      <c r="F223" s="189">
        <f t="shared" si="105"/>
        <v>3457</v>
      </c>
      <c r="G223" s="189">
        <v>0</v>
      </c>
      <c r="H223" s="211">
        <v>3291</v>
      </c>
      <c r="I223" s="189">
        <v>166</v>
      </c>
      <c r="J223" s="198">
        <v>0</v>
      </c>
      <c r="K223" s="88">
        <f t="shared" si="109"/>
        <v>0</v>
      </c>
      <c r="L223" s="88">
        <v>0</v>
      </c>
      <c r="M223" s="88">
        <v>0</v>
      </c>
      <c r="N223" s="88">
        <v>0</v>
      </c>
      <c r="O223" s="87">
        <v>0</v>
      </c>
      <c r="P223" s="88">
        <f t="shared" si="106"/>
        <v>0</v>
      </c>
      <c r="Q223" s="88">
        <v>0</v>
      </c>
      <c r="R223" s="88">
        <v>0</v>
      </c>
      <c r="S223" s="88">
        <v>0</v>
      </c>
      <c r="T223" s="87">
        <v>0</v>
      </c>
      <c r="U223" s="88">
        <f t="shared" si="107"/>
        <v>0</v>
      </c>
      <c r="V223" s="88">
        <v>0</v>
      </c>
      <c r="W223" s="88">
        <v>0</v>
      </c>
      <c r="X223" s="88">
        <v>0</v>
      </c>
      <c r="Y223" s="86">
        <v>0</v>
      </c>
      <c r="Z223" s="88">
        <f t="shared" si="108"/>
        <v>0</v>
      </c>
      <c r="AA223" s="88">
        <v>0</v>
      </c>
      <c r="AB223" s="88">
        <v>0</v>
      </c>
      <c r="AC223" s="88">
        <v>0</v>
      </c>
    </row>
    <row r="224" spans="1:34" s="238" customFormat="1" ht="61.5" customHeight="1" outlineLevel="1" x14ac:dyDescent="0.2">
      <c r="A224" s="234" t="s">
        <v>1189</v>
      </c>
      <c r="B224" s="245" t="s">
        <v>344</v>
      </c>
      <c r="C224" s="198">
        <f t="shared" si="103"/>
        <v>95.759999999999991</v>
      </c>
      <c r="D224" s="246">
        <f t="shared" si="104"/>
        <v>153358</v>
      </c>
      <c r="E224" s="210">
        <v>45.6</v>
      </c>
      <c r="F224" s="189">
        <f t="shared" si="105"/>
        <v>74058</v>
      </c>
      <c r="G224" s="189">
        <v>0</v>
      </c>
      <c r="H224" s="211">
        <v>70503</v>
      </c>
      <c r="I224" s="189">
        <v>3555</v>
      </c>
      <c r="J224" s="198">
        <v>50.16</v>
      </c>
      <c r="K224" s="88">
        <f t="shared" si="109"/>
        <v>79300</v>
      </c>
      <c r="L224" s="88">
        <v>0</v>
      </c>
      <c r="M224" s="88">
        <v>74701</v>
      </c>
      <c r="N224" s="88">
        <v>4599</v>
      </c>
      <c r="O224" s="87">
        <v>0</v>
      </c>
      <c r="P224" s="88">
        <f t="shared" si="106"/>
        <v>0</v>
      </c>
      <c r="Q224" s="88">
        <v>0</v>
      </c>
      <c r="R224" s="88">
        <v>0</v>
      </c>
      <c r="S224" s="88">
        <v>0</v>
      </c>
      <c r="T224" s="87">
        <v>0</v>
      </c>
      <c r="U224" s="88">
        <f t="shared" si="107"/>
        <v>0</v>
      </c>
      <c r="V224" s="88">
        <v>0</v>
      </c>
      <c r="W224" s="88">
        <v>0</v>
      </c>
      <c r="X224" s="88">
        <v>0</v>
      </c>
      <c r="Y224" s="86">
        <v>0</v>
      </c>
      <c r="Z224" s="88">
        <f t="shared" si="108"/>
        <v>0</v>
      </c>
      <c r="AA224" s="88">
        <v>0</v>
      </c>
      <c r="AB224" s="88">
        <v>0</v>
      </c>
      <c r="AC224" s="88">
        <v>0</v>
      </c>
    </row>
    <row r="225" spans="1:29" s="238" customFormat="1" ht="36.75" customHeight="1" outlineLevel="1" x14ac:dyDescent="0.2">
      <c r="A225" s="234" t="s">
        <v>1190</v>
      </c>
      <c r="B225" s="245" t="s">
        <v>192</v>
      </c>
      <c r="C225" s="198">
        <f t="shared" ref="C225:D227" si="110">E225+J225+O225+T225+Y225</f>
        <v>1.59</v>
      </c>
      <c r="D225" s="246">
        <f t="shared" si="110"/>
        <v>3910</v>
      </c>
      <c r="E225" s="210">
        <v>1.59</v>
      </c>
      <c r="F225" s="189">
        <f t="shared" si="105"/>
        <v>3910</v>
      </c>
      <c r="G225" s="189">
        <v>0</v>
      </c>
      <c r="H225" s="211">
        <v>3722</v>
      </c>
      <c r="I225" s="189">
        <v>188</v>
      </c>
      <c r="J225" s="198">
        <v>0</v>
      </c>
      <c r="K225" s="88">
        <f t="shared" si="109"/>
        <v>0</v>
      </c>
      <c r="L225" s="88">
        <v>0</v>
      </c>
      <c r="M225" s="88">
        <v>0</v>
      </c>
      <c r="N225" s="88">
        <v>0</v>
      </c>
      <c r="O225" s="87">
        <v>0</v>
      </c>
      <c r="P225" s="88">
        <f t="shared" si="106"/>
        <v>0</v>
      </c>
      <c r="Q225" s="88">
        <v>0</v>
      </c>
      <c r="R225" s="88">
        <v>0</v>
      </c>
      <c r="S225" s="88">
        <v>0</v>
      </c>
      <c r="T225" s="87">
        <v>0</v>
      </c>
      <c r="U225" s="88">
        <f t="shared" si="107"/>
        <v>0</v>
      </c>
      <c r="V225" s="88">
        <v>0</v>
      </c>
      <c r="W225" s="88">
        <v>0</v>
      </c>
      <c r="X225" s="88">
        <v>0</v>
      </c>
      <c r="Y225" s="86">
        <v>0</v>
      </c>
      <c r="Z225" s="88">
        <f t="shared" si="108"/>
        <v>0</v>
      </c>
      <c r="AA225" s="88">
        <v>0</v>
      </c>
      <c r="AB225" s="88">
        <v>0</v>
      </c>
      <c r="AC225" s="88">
        <v>0</v>
      </c>
    </row>
    <row r="226" spans="1:29" s="238" customFormat="1" ht="27.75" customHeight="1" outlineLevel="1" x14ac:dyDescent="0.2">
      <c r="A226" s="234" t="s">
        <v>1191</v>
      </c>
      <c r="B226" s="245" t="s">
        <v>372</v>
      </c>
      <c r="C226" s="198">
        <f t="shared" si="110"/>
        <v>34.46</v>
      </c>
      <c r="D226" s="246">
        <f t="shared" si="110"/>
        <v>104044</v>
      </c>
      <c r="E226" s="210">
        <v>0</v>
      </c>
      <c r="F226" s="189">
        <f>G226+H226+I226</f>
        <v>0</v>
      </c>
      <c r="G226" s="189">
        <v>0</v>
      </c>
      <c r="H226" s="211">
        <v>0</v>
      </c>
      <c r="I226" s="211">
        <v>0</v>
      </c>
      <c r="J226" s="198">
        <v>0</v>
      </c>
      <c r="K226" s="88">
        <f>L226+M226+N226</f>
        <v>0</v>
      </c>
      <c r="L226" s="88">
        <v>0</v>
      </c>
      <c r="M226" s="88">
        <v>0</v>
      </c>
      <c r="N226" s="88">
        <v>0</v>
      </c>
      <c r="O226" s="87">
        <v>34.46</v>
      </c>
      <c r="P226" s="88">
        <f t="shared" si="106"/>
        <v>104044</v>
      </c>
      <c r="Q226" s="88">
        <v>0</v>
      </c>
      <c r="R226" s="88">
        <f>55264+42745</f>
        <v>98009</v>
      </c>
      <c r="S226" s="88">
        <f>3403+2632</f>
        <v>6035</v>
      </c>
      <c r="T226" s="198">
        <v>0</v>
      </c>
      <c r="U226" s="88">
        <f>V226+W226+X226</f>
        <v>0</v>
      </c>
      <c r="V226" s="88">
        <v>0</v>
      </c>
      <c r="W226" s="88">
        <v>0</v>
      </c>
      <c r="X226" s="88">
        <v>0</v>
      </c>
      <c r="Y226" s="86">
        <v>0</v>
      </c>
      <c r="Z226" s="88">
        <v>0</v>
      </c>
      <c r="AA226" s="88">
        <v>0</v>
      </c>
      <c r="AB226" s="88">
        <v>0</v>
      </c>
      <c r="AC226" s="88">
        <v>0</v>
      </c>
    </row>
    <row r="227" spans="1:29" s="238" customFormat="1" ht="27.75" customHeight="1" outlineLevel="1" x14ac:dyDescent="0.2">
      <c r="A227" s="234" t="s">
        <v>1192</v>
      </c>
      <c r="B227" s="245" t="s">
        <v>371</v>
      </c>
      <c r="C227" s="198">
        <f>E227+J227+O227+T227+Y227</f>
        <v>16.23</v>
      </c>
      <c r="D227" s="246">
        <f t="shared" si="110"/>
        <v>55332</v>
      </c>
      <c r="E227" s="210">
        <v>0</v>
      </c>
      <c r="F227" s="189">
        <f>G227+H227+I227</f>
        <v>0</v>
      </c>
      <c r="G227" s="189">
        <v>0</v>
      </c>
      <c r="H227" s="211">
        <v>0</v>
      </c>
      <c r="I227" s="211">
        <v>0</v>
      </c>
      <c r="J227" s="198">
        <v>0</v>
      </c>
      <c r="K227" s="88">
        <f>L227+M227+N227</f>
        <v>0</v>
      </c>
      <c r="L227" s="88">
        <v>0</v>
      </c>
      <c r="M227" s="88">
        <v>0</v>
      </c>
      <c r="N227" s="88">
        <v>0</v>
      </c>
      <c r="O227" s="87">
        <v>16.23</v>
      </c>
      <c r="P227" s="88">
        <f t="shared" si="106"/>
        <v>55332</v>
      </c>
      <c r="Q227" s="88">
        <v>0</v>
      </c>
      <c r="R227" s="88">
        <f>108637-56514</f>
        <v>52123</v>
      </c>
      <c r="S227" s="88">
        <f>6689-3480</f>
        <v>3209</v>
      </c>
      <c r="T227" s="198">
        <v>0</v>
      </c>
      <c r="U227" s="88">
        <f>V227+W227+X227</f>
        <v>0</v>
      </c>
      <c r="V227" s="88">
        <v>0</v>
      </c>
      <c r="W227" s="88">
        <v>0</v>
      </c>
      <c r="X227" s="88">
        <v>0</v>
      </c>
      <c r="Y227" s="86">
        <v>0</v>
      </c>
      <c r="Z227" s="88">
        <v>0</v>
      </c>
      <c r="AA227" s="88">
        <v>0</v>
      </c>
      <c r="AB227" s="88">
        <v>0</v>
      </c>
      <c r="AC227" s="88">
        <v>0</v>
      </c>
    </row>
    <row r="228" spans="1:29" s="238" customFormat="1" ht="27.75" customHeight="1" outlineLevel="1" x14ac:dyDescent="0.2">
      <c r="A228" s="234" t="s">
        <v>1193</v>
      </c>
      <c r="B228" s="245" t="s">
        <v>290</v>
      </c>
      <c r="C228" s="198">
        <f t="shared" ref="C228:C233" si="111">E228+J228+O228+T228+Y228</f>
        <v>26.05</v>
      </c>
      <c r="D228" s="246">
        <f t="shared" ref="D228:D233" si="112">F228+K228+P228+U228+Z228</f>
        <v>70285</v>
      </c>
      <c r="E228" s="210">
        <v>0</v>
      </c>
      <c r="F228" s="189">
        <f t="shared" ref="F228:F233" si="113">G228+H228+I228</f>
        <v>0</v>
      </c>
      <c r="G228" s="189">
        <v>0</v>
      </c>
      <c r="H228" s="211">
        <v>0</v>
      </c>
      <c r="I228" s="211">
        <v>0</v>
      </c>
      <c r="J228" s="198">
        <v>26.05</v>
      </c>
      <c r="K228" s="88">
        <f t="shared" si="109"/>
        <v>70285</v>
      </c>
      <c r="L228" s="88">
        <v>0</v>
      </c>
      <c r="M228" s="88">
        <v>66208</v>
      </c>
      <c r="N228" s="88">
        <v>4077</v>
      </c>
      <c r="O228" s="87">
        <v>0</v>
      </c>
      <c r="P228" s="88">
        <f t="shared" si="106"/>
        <v>0</v>
      </c>
      <c r="Q228" s="88">
        <v>0</v>
      </c>
      <c r="R228" s="88">
        <v>0</v>
      </c>
      <c r="S228" s="88">
        <v>0</v>
      </c>
      <c r="T228" s="87">
        <v>0</v>
      </c>
      <c r="U228" s="88">
        <f t="shared" ref="U228:U233" si="114">V228+W228+X228</f>
        <v>0</v>
      </c>
      <c r="V228" s="88">
        <v>0</v>
      </c>
      <c r="W228" s="88">
        <v>0</v>
      </c>
      <c r="X228" s="88">
        <v>0</v>
      </c>
      <c r="Y228" s="86">
        <v>0</v>
      </c>
      <c r="Z228" s="88">
        <f t="shared" ref="Z228:Z233" si="115">AA228+AB228+AC228</f>
        <v>0</v>
      </c>
      <c r="AA228" s="88">
        <v>0</v>
      </c>
      <c r="AB228" s="88">
        <v>0</v>
      </c>
      <c r="AC228" s="88">
        <v>0</v>
      </c>
    </row>
    <row r="229" spans="1:29" s="238" customFormat="1" ht="33" customHeight="1" outlineLevel="1" x14ac:dyDescent="0.2">
      <c r="A229" s="234" t="s">
        <v>1194</v>
      </c>
      <c r="B229" s="245" t="s">
        <v>291</v>
      </c>
      <c r="C229" s="198">
        <f t="shared" si="111"/>
        <v>62.48</v>
      </c>
      <c r="D229" s="246">
        <f t="shared" si="112"/>
        <v>179685</v>
      </c>
      <c r="E229" s="210">
        <v>0</v>
      </c>
      <c r="F229" s="189">
        <f t="shared" si="113"/>
        <v>0</v>
      </c>
      <c r="G229" s="189">
        <v>0</v>
      </c>
      <c r="H229" s="211">
        <v>0</v>
      </c>
      <c r="I229" s="211">
        <v>0</v>
      </c>
      <c r="J229" s="198">
        <v>62.48</v>
      </c>
      <c r="K229" s="88">
        <f t="shared" si="109"/>
        <v>179685</v>
      </c>
      <c r="L229" s="88">
        <v>0</v>
      </c>
      <c r="M229" s="88">
        <v>169263</v>
      </c>
      <c r="N229" s="88">
        <v>10422</v>
      </c>
      <c r="O229" s="87">
        <v>0</v>
      </c>
      <c r="P229" s="88">
        <v>0</v>
      </c>
      <c r="Q229" s="88">
        <v>0</v>
      </c>
      <c r="R229" s="88">
        <v>0</v>
      </c>
      <c r="S229" s="88">
        <v>0</v>
      </c>
      <c r="T229" s="87">
        <v>0</v>
      </c>
      <c r="U229" s="88">
        <f t="shared" si="114"/>
        <v>0</v>
      </c>
      <c r="V229" s="88">
        <v>0</v>
      </c>
      <c r="W229" s="88">
        <v>0</v>
      </c>
      <c r="X229" s="88">
        <v>0</v>
      </c>
      <c r="Y229" s="86">
        <v>0</v>
      </c>
      <c r="Z229" s="88">
        <f t="shared" si="115"/>
        <v>0</v>
      </c>
      <c r="AA229" s="88">
        <v>0</v>
      </c>
      <c r="AB229" s="88">
        <v>0</v>
      </c>
      <c r="AC229" s="88">
        <v>0</v>
      </c>
    </row>
    <row r="230" spans="1:29" s="238" customFormat="1" ht="41.25" customHeight="1" outlineLevel="1" x14ac:dyDescent="0.2">
      <c r="A230" s="234" t="s">
        <v>1195</v>
      </c>
      <c r="B230" s="245" t="s">
        <v>292</v>
      </c>
      <c r="C230" s="198">
        <f t="shared" si="111"/>
        <v>10.210000000000001</v>
      </c>
      <c r="D230" s="246">
        <f t="shared" si="112"/>
        <v>27965</v>
      </c>
      <c r="E230" s="210">
        <v>0</v>
      </c>
      <c r="F230" s="189">
        <f t="shared" si="113"/>
        <v>0</v>
      </c>
      <c r="G230" s="189">
        <v>0</v>
      </c>
      <c r="H230" s="211">
        <v>0</v>
      </c>
      <c r="I230" s="211">
        <v>0</v>
      </c>
      <c r="J230" s="198">
        <v>10.210000000000001</v>
      </c>
      <c r="K230" s="88">
        <f t="shared" si="109"/>
        <v>27965</v>
      </c>
      <c r="L230" s="88">
        <v>0</v>
      </c>
      <c r="M230" s="88">
        <v>26343</v>
      </c>
      <c r="N230" s="88">
        <v>1622</v>
      </c>
      <c r="O230" s="87">
        <v>0</v>
      </c>
      <c r="P230" s="88">
        <f>Q230+R230+S230</f>
        <v>0</v>
      </c>
      <c r="Q230" s="88">
        <v>0</v>
      </c>
      <c r="R230" s="88">
        <v>0</v>
      </c>
      <c r="S230" s="88">
        <v>0</v>
      </c>
      <c r="T230" s="87">
        <v>0</v>
      </c>
      <c r="U230" s="88">
        <f t="shared" si="114"/>
        <v>0</v>
      </c>
      <c r="V230" s="88">
        <v>0</v>
      </c>
      <c r="W230" s="88">
        <v>0</v>
      </c>
      <c r="X230" s="88">
        <v>0</v>
      </c>
      <c r="Y230" s="86">
        <v>0</v>
      </c>
      <c r="Z230" s="88">
        <f t="shared" si="115"/>
        <v>0</v>
      </c>
      <c r="AA230" s="88">
        <v>0</v>
      </c>
      <c r="AB230" s="88">
        <v>0</v>
      </c>
      <c r="AC230" s="88">
        <v>0</v>
      </c>
    </row>
    <row r="231" spans="1:29" s="238" customFormat="1" ht="25.5" customHeight="1" outlineLevel="1" x14ac:dyDescent="0.2">
      <c r="A231" s="234" t="s">
        <v>1196</v>
      </c>
      <c r="B231" s="245" t="s">
        <v>630</v>
      </c>
      <c r="C231" s="198">
        <f t="shared" si="111"/>
        <v>41.93</v>
      </c>
      <c r="D231" s="246">
        <f t="shared" si="112"/>
        <v>105508</v>
      </c>
      <c r="E231" s="210">
        <v>0</v>
      </c>
      <c r="F231" s="189">
        <f t="shared" si="113"/>
        <v>0</v>
      </c>
      <c r="G231" s="189">
        <v>0</v>
      </c>
      <c r="H231" s="211">
        <v>0</v>
      </c>
      <c r="I231" s="211">
        <v>0</v>
      </c>
      <c r="J231" s="198">
        <v>41.93</v>
      </c>
      <c r="K231" s="88">
        <f t="shared" si="109"/>
        <v>105508</v>
      </c>
      <c r="L231" s="88">
        <v>0</v>
      </c>
      <c r="M231" s="88">
        <v>99388</v>
      </c>
      <c r="N231" s="88">
        <v>6120</v>
      </c>
      <c r="O231" s="87">
        <v>0</v>
      </c>
      <c r="P231" s="88">
        <f>Q231+R231+S231</f>
        <v>0</v>
      </c>
      <c r="Q231" s="88">
        <v>0</v>
      </c>
      <c r="R231" s="88">
        <v>0</v>
      </c>
      <c r="S231" s="88">
        <v>0</v>
      </c>
      <c r="T231" s="87">
        <v>0</v>
      </c>
      <c r="U231" s="88">
        <f t="shared" si="114"/>
        <v>0</v>
      </c>
      <c r="V231" s="88">
        <v>0</v>
      </c>
      <c r="W231" s="88">
        <v>0</v>
      </c>
      <c r="X231" s="88">
        <v>0</v>
      </c>
      <c r="Y231" s="86">
        <v>0</v>
      </c>
      <c r="Z231" s="88">
        <f t="shared" si="115"/>
        <v>0</v>
      </c>
      <c r="AA231" s="88">
        <v>0</v>
      </c>
      <c r="AB231" s="88">
        <v>0</v>
      </c>
      <c r="AC231" s="88">
        <v>0</v>
      </c>
    </row>
    <row r="232" spans="1:29" s="238" customFormat="1" ht="28.5" customHeight="1" outlineLevel="1" x14ac:dyDescent="0.2">
      <c r="A232" s="234" t="s">
        <v>1197</v>
      </c>
      <c r="B232" s="245" t="s">
        <v>293</v>
      </c>
      <c r="C232" s="198">
        <f t="shared" si="111"/>
        <v>10.67</v>
      </c>
      <c r="D232" s="246">
        <f t="shared" si="112"/>
        <v>24936</v>
      </c>
      <c r="E232" s="210">
        <v>0</v>
      </c>
      <c r="F232" s="189">
        <f t="shared" si="113"/>
        <v>0</v>
      </c>
      <c r="G232" s="189">
        <v>0</v>
      </c>
      <c r="H232" s="211">
        <v>0</v>
      </c>
      <c r="I232" s="211">
        <v>0</v>
      </c>
      <c r="J232" s="198">
        <v>10.67</v>
      </c>
      <c r="K232" s="88">
        <f t="shared" si="109"/>
        <v>24936</v>
      </c>
      <c r="L232" s="88">
        <v>0</v>
      </c>
      <c r="M232" s="88">
        <v>23490</v>
      </c>
      <c r="N232" s="88">
        <v>1446</v>
      </c>
      <c r="O232" s="87">
        <v>0</v>
      </c>
      <c r="P232" s="88">
        <f>Q232+R232+S232</f>
        <v>0</v>
      </c>
      <c r="Q232" s="88">
        <v>0</v>
      </c>
      <c r="R232" s="88">
        <v>0</v>
      </c>
      <c r="S232" s="88">
        <v>0</v>
      </c>
      <c r="T232" s="87">
        <v>0</v>
      </c>
      <c r="U232" s="88">
        <f t="shared" si="114"/>
        <v>0</v>
      </c>
      <c r="V232" s="88">
        <v>0</v>
      </c>
      <c r="W232" s="88">
        <v>0</v>
      </c>
      <c r="X232" s="88">
        <v>0</v>
      </c>
      <c r="Y232" s="86">
        <v>0</v>
      </c>
      <c r="Z232" s="88">
        <f t="shared" si="115"/>
        <v>0</v>
      </c>
      <c r="AA232" s="88">
        <v>0</v>
      </c>
      <c r="AB232" s="88">
        <v>0</v>
      </c>
      <c r="AC232" s="88">
        <v>0</v>
      </c>
    </row>
    <row r="233" spans="1:29" s="238" customFormat="1" ht="31.5" customHeight="1" outlineLevel="1" x14ac:dyDescent="0.2">
      <c r="A233" s="234" t="s">
        <v>1198</v>
      </c>
      <c r="B233" s="245" t="s">
        <v>294</v>
      </c>
      <c r="C233" s="198">
        <f t="shared" si="111"/>
        <v>7.85</v>
      </c>
      <c r="D233" s="246">
        <f t="shared" si="112"/>
        <v>22609</v>
      </c>
      <c r="E233" s="210">
        <v>0</v>
      </c>
      <c r="F233" s="189">
        <f t="shared" si="113"/>
        <v>0</v>
      </c>
      <c r="G233" s="189">
        <v>0</v>
      </c>
      <c r="H233" s="211">
        <v>0</v>
      </c>
      <c r="I233" s="211">
        <v>0</v>
      </c>
      <c r="J233" s="198">
        <v>7.85</v>
      </c>
      <c r="K233" s="88">
        <f t="shared" si="109"/>
        <v>22609</v>
      </c>
      <c r="L233" s="88">
        <v>0</v>
      </c>
      <c r="M233" s="88">
        <v>21298</v>
      </c>
      <c r="N233" s="88">
        <v>1311</v>
      </c>
      <c r="O233" s="87">
        <v>0</v>
      </c>
      <c r="P233" s="88">
        <f>Q233+R233+S233</f>
        <v>0</v>
      </c>
      <c r="Q233" s="88">
        <v>0</v>
      </c>
      <c r="R233" s="88">
        <v>0</v>
      </c>
      <c r="S233" s="88">
        <v>0</v>
      </c>
      <c r="T233" s="87">
        <v>0</v>
      </c>
      <c r="U233" s="88">
        <f t="shared" si="114"/>
        <v>0</v>
      </c>
      <c r="V233" s="88">
        <v>0</v>
      </c>
      <c r="W233" s="88">
        <v>0</v>
      </c>
      <c r="X233" s="88">
        <v>0</v>
      </c>
      <c r="Y233" s="86">
        <v>0</v>
      </c>
      <c r="Z233" s="88">
        <f t="shared" si="115"/>
        <v>0</v>
      </c>
      <c r="AA233" s="88">
        <v>0</v>
      </c>
      <c r="AB233" s="88">
        <v>0</v>
      </c>
      <c r="AC233" s="88">
        <v>0</v>
      </c>
    </row>
    <row r="234" spans="1:29" s="238" customFormat="1" ht="46.9" customHeight="1" outlineLevel="1" x14ac:dyDescent="0.2">
      <c r="A234" s="234" t="s">
        <v>1199</v>
      </c>
      <c r="B234" s="245" t="s">
        <v>295</v>
      </c>
      <c r="C234" s="198">
        <f t="shared" ref="C234:C241" si="116">E234+J234+O234+T234+Y234</f>
        <v>5.65</v>
      </c>
      <c r="D234" s="246">
        <f t="shared" ref="D234:D241" si="117">F234+K234+P234+U234+Z234</f>
        <v>15130</v>
      </c>
      <c r="E234" s="210">
        <v>0</v>
      </c>
      <c r="F234" s="189">
        <f t="shared" ref="F234:F241" si="118">G234+H234+I234</f>
        <v>0</v>
      </c>
      <c r="G234" s="189">
        <v>0</v>
      </c>
      <c r="H234" s="211">
        <v>0</v>
      </c>
      <c r="I234" s="211">
        <v>0</v>
      </c>
      <c r="J234" s="198">
        <v>5.65</v>
      </c>
      <c r="K234" s="88">
        <f t="shared" si="109"/>
        <v>15130</v>
      </c>
      <c r="L234" s="88">
        <v>0</v>
      </c>
      <c r="M234" s="88">
        <v>14253</v>
      </c>
      <c r="N234" s="88">
        <v>877</v>
      </c>
      <c r="O234" s="87">
        <v>0</v>
      </c>
      <c r="P234" s="88">
        <f t="shared" ref="P234:P241" si="119">Q234+R234+S234</f>
        <v>0</v>
      </c>
      <c r="Q234" s="88">
        <v>0</v>
      </c>
      <c r="R234" s="88">
        <v>0</v>
      </c>
      <c r="S234" s="88">
        <v>0</v>
      </c>
      <c r="T234" s="87">
        <v>0</v>
      </c>
      <c r="U234" s="88">
        <f t="shared" ref="U234:U241" si="120">V234+W234+X234</f>
        <v>0</v>
      </c>
      <c r="V234" s="88">
        <v>0</v>
      </c>
      <c r="W234" s="88">
        <v>0</v>
      </c>
      <c r="X234" s="88">
        <v>0</v>
      </c>
      <c r="Y234" s="86">
        <v>0</v>
      </c>
      <c r="Z234" s="88">
        <f t="shared" ref="Z234:Z241" si="121">AA234+AB234+AC234</f>
        <v>0</v>
      </c>
      <c r="AA234" s="88">
        <v>0</v>
      </c>
      <c r="AB234" s="88">
        <v>0</v>
      </c>
      <c r="AC234" s="88">
        <v>0</v>
      </c>
    </row>
    <row r="235" spans="1:29" s="238" customFormat="1" ht="40.5" customHeight="1" outlineLevel="1" x14ac:dyDescent="0.2">
      <c r="A235" s="234" t="s">
        <v>1362</v>
      </c>
      <c r="B235" s="245" t="s">
        <v>343</v>
      </c>
      <c r="C235" s="198">
        <f>E235+J235+O235+T235+Y235</f>
        <v>4.07</v>
      </c>
      <c r="D235" s="246">
        <f>F235+K235+P235+U235+Z235</f>
        <v>7603</v>
      </c>
      <c r="E235" s="210">
        <v>0</v>
      </c>
      <c r="F235" s="189">
        <f>G235+H235+I235</f>
        <v>0</v>
      </c>
      <c r="G235" s="189">
        <v>0</v>
      </c>
      <c r="H235" s="211">
        <v>0</v>
      </c>
      <c r="I235" s="211">
        <v>0</v>
      </c>
      <c r="J235" s="198">
        <v>4.07</v>
      </c>
      <c r="K235" s="88">
        <f t="shared" si="109"/>
        <v>7603</v>
      </c>
      <c r="L235" s="88">
        <v>0</v>
      </c>
      <c r="M235" s="88">
        <v>7162</v>
      </c>
      <c r="N235" s="88">
        <v>441</v>
      </c>
      <c r="O235" s="87">
        <v>0</v>
      </c>
      <c r="P235" s="88">
        <f>Q235+R235+S235</f>
        <v>0</v>
      </c>
      <c r="Q235" s="88">
        <v>0</v>
      </c>
      <c r="R235" s="88">
        <v>0</v>
      </c>
      <c r="S235" s="88">
        <v>0</v>
      </c>
      <c r="T235" s="87">
        <v>0</v>
      </c>
      <c r="U235" s="88">
        <f>V235+W235+X235</f>
        <v>0</v>
      </c>
      <c r="V235" s="88">
        <v>0</v>
      </c>
      <c r="W235" s="88">
        <v>0</v>
      </c>
      <c r="X235" s="88">
        <v>0</v>
      </c>
      <c r="Y235" s="86">
        <v>0</v>
      </c>
      <c r="Z235" s="88">
        <f>AA235+AB235+AC235</f>
        <v>0</v>
      </c>
      <c r="AA235" s="88">
        <v>0</v>
      </c>
      <c r="AB235" s="88">
        <v>0</v>
      </c>
      <c r="AC235" s="88">
        <v>0</v>
      </c>
    </row>
    <row r="236" spans="1:29" s="238" customFormat="1" ht="33" customHeight="1" outlineLevel="1" x14ac:dyDescent="0.2">
      <c r="A236" s="234" t="s">
        <v>1363</v>
      </c>
      <c r="B236" s="245" t="s">
        <v>296</v>
      </c>
      <c r="C236" s="198">
        <f t="shared" si="116"/>
        <v>0</v>
      </c>
      <c r="D236" s="246">
        <f t="shared" si="117"/>
        <v>0</v>
      </c>
      <c r="E236" s="210">
        <v>0</v>
      </c>
      <c r="F236" s="189">
        <f t="shared" si="118"/>
        <v>0</v>
      </c>
      <c r="G236" s="189">
        <v>0</v>
      </c>
      <c r="H236" s="211">
        <v>0</v>
      </c>
      <c r="I236" s="211">
        <v>0</v>
      </c>
      <c r="J236" s="198">
        <v>0</v>
      </c>
      <c r="K236" s="88">
        <f t="shared" si="109"/>
        <v>0</v>
      </c>
      <c r="L236" s="88">
        <v>0</v>
      </c>
      <c r="M236" s="88">
        <v>0</v>
      </c>
      <c r="N236" s="88">
        <v>0</v>
      </c>
      <c r="O236" s="87">
        <v>0</v>
      </c>
      <c r="P236" s="88">
        <f t="shared" si="119"/>
        <v>0</v>
      </c>
      <c r="Q236" s="88">
        <v>0</v>
      </c>
      <c r="R236" s="88">
        <v>0</v>
      </c>
      <c r="S236" s="88">
        <v>0</v>
      </c>
      <c r="T236" s="87">
        <v>0</v>
      </c>
      <c r="U236" s="88">
        <f t="shared" si="120"/>
        <v>0</v>
      </c>
      <c r="V236" s="88">
        <v>0</v>
      </c>
      <c r="W236" s="88">
        <v>0</v>
      </c>
      <c r="X236" s="88">
        <v>0</v>
      </c>
      <c r="Y236" s="86">
        <v>0</v>
      </c>
      <c r="Z236" s="88">
        <f t="shared" si="121"/>
        <v>0</v>
      </c>
      <c r="AA236" s="88">
        <v>0</v>
      </c>
      <c r="AB236" s="88">
        <v>0</v>
      </c>
      <c r="AC236" s="88">
        <v>0</v>
      </c>
    </row>
    <row r="237" spans="1:29" s="238" customFormat="1" ht="31.9" customHeight="1" outlineLevel="1" x14ac:dyDescent="0.2">
      <c r="A237" s="234" t="s">
        <v>1364</v>
      </c>
      <c r="B237" s="245" t="s">
        <v>511</v>
      </c>
      <c r="C237" s="198">
        <f t="shared" si="116"/>
        <v>39.380000000000003</v>
      </c>
      <c r="D237" s="246">
        <f t="shared" si="117"/>
        <v>156042</v>
      </c>
      <c r="E237" s="210">
        <v>0</v>
      </c>
      <c r="F237" s="189">
        <f t="shared" si="118"/>
        <v>0</v>
      </c>
      <c r="G237" s="189">
        <v>0</v>
      </c>
      <c r="H237" s="211">
        <v>0</v>
      </c>
      <c r="I237" s="211">
        <v>0</v>
      </c>
      <c r="J237" s="198">
        <v>0</v>
      </c>
      <c r="K237" s="88">
        <f t="shared" si="109"/>
        <v>0</v>
      </c>
      <c r="L237" s="88">
        <v>0</v>
      </c>
      <c r="M237" s="88">
        <v>0</v>
      </c>
      <c r="N237" s="88">
        <v>0</v>
      </c>
      <c r="O237" s="87">
        <v>39.380000000000003</v>
      </c>
      <c r="P237" s="88">
        <f>Q237+R237+S237</f>
        <v>156042</v>
      </c>
      <c r="Q237" s="88">
        <v>0</v>
      </c>
      <c r="R237" s="88">
        <f>143483+3508</f>
        <v>146991</v>
      </c>
      <c r="S237" s="88">
        <f>8835+216</f>
        <v>9051</v>
      </c>
      <c r="T237" s="87">
        <v>0</v>
      </c>
      <c r="U237" s="88">
        <f t="shared" si="120"/>
        <v>0</v>
      </c>
      <c r="V237" s="88">
        <v>0</v>
      </c>
      <c r="W237" s="88">
        <v>0</v>
      </c>
      <c r="X237" s="88">
        <v>0</v>
      </c>
      <c r="Y237" s="86">
        <v>0</v>
      </c>
      <c r="Z237" s="88">
        <f t="shared" si="121"/>
        <v>0</v>
      </c>
      <c r="AA237" s="88">
        <v>0</v>
      </c>
      <c r="AB237" s="88">
        <v>0</v>
      </c>
      <c r="AC237" s="88">
        <v>0</v>
      </c>
    </row>
    <row r="238" spans="1:29" s="238" customFormat="1" ht="39.75" customHeight="1" outlineLevel="1" x14ac:dyDescent="0.2">
      <c r="A238" s="234" t="s">
        <v>1390</v>
      </c>
      <c r="B238" s="245" t="s">
        <v>382</v>
      </c>
      <c r="C238" s="198">
        <f t="shared" si="116"/>
        <v>26</v>
      </c>
      <c r="D238" s="246">
        <f>F238+K238+P238+U238+Z238</f>
        <v>92646</v>
      </c>
      <c r="E238" s="210">
        <v>0</v>
      </c>
      <c r="F238" s="189">
        <f t="shared" si="118"/>
        <v>0</v>
      </c>
      <c r="G238" s="189">
        <v>0</v>
      </c>
      <c r="H238" s="211">
        <v>0</v>
      </c>
      <c r="I238" s="211">
        <v>0</v>
      </c>
      <c r="J238" s="198">
        <v>0</v>
      </c>
      <c r="K238" s="88">
        <f t="shared" si="109"/>
        <v>0</v>
      </c>
      <c r="L238" s="88">
        <v>0</v>
      </c>
      <c r="M238" s="88">
        <v>0</v>
      </c>
      <c r="N238" s="88">
        <v>0</v>
      </c>
      <c r="O238" s="87">
        <v>26</v>
      </c>
      <c r="P238" s="88">
        <f t="shared" si="119"/>
        <v>92646</v>
      </c>
      <c r="Q238" s="88">
        <v>0</v>
      </c>
      <c r="R238" s="88">
        <f>88295-1022</f>
        <v>87273</v>
      </c>
      <c r="S238" s="88">
        <f>5436-63</f>
        <v>5373</v>
      </c>
      <c r="T238" s="87">
        <v>0</v>
      </c>
      <c r="U238" s="88">
        <f t="shared" si="120"/>
        <v>0</v>
      </c>
      <c r="V238" s="88">
        <v>0</v>
      </c>
      <c r="W238" s="88">
        <v>0</v>
      </c>
      <c r="X238" s="88">
        <v>0</v>
      </c>
      <c r="Y238" s="86">
        <v>0</v>
      </c>
      <c r="Z238" s="88">
        <f t="shared" si="121"/>
        <v>0</v>
      </c>
      <c r="AA238" s="88">
        <v>0</v>
      </c>
      <c r="AB238" s="88">
        <v>0</v>
      </c>
      <c r="AC238" s="88">
        <v>0</v>
      </c>
    </row>
    <row r="239" spans="1:29" s="238" customFormat="1" ht="37.9" customHeight="1" outlineLevel="1" x14ac:dyDescent="0.2">
      <c r="A239" s="234" t="s">
        <v>1391</v>
      </c>
      <c r="B239" s="245" t="s">
        <v>297</v>
      </c>
      <c r="C239" s="198">
        <f t="shared" si="116"/>
        <v>4.7</v>
      </c>
      <c r="D239" s="246">
        <f t="shared" si="117"/>
        <v>19178</v>
      </c>
      <c r="E239" s="210">
        <v>0</v>
      </c>
      <c r="F239" s="189">
        <f t="shared" si="118"/>
        <v>0</v>
      </c>
      <c r="G239" s="189">
        <v>0</v>
      </c>
      <c r="H239" s="211">
        <v>0</v>
      </c>
      <c r="I239" s="211">
        <v>0</v>
      </c>
      <c r="J239" s="198">
        <v>0</v>
      </c>
      <c r="K239" s="88">
        <f t="shared" si="109"/>
        <v>0</v>
      </c>
      <c r="L239" s="88">
        <v>0</v>
      </c>
      <c r="M239" s="88">
        <v>0</v>
      </c>
      <c r="N239" s="88">
        <v>0</v>
      </c>
      <c r="O239" s="87">
        <v>4.7</v>
      </c>
      <c r="P239" s="88">
        <f t="shared" si="119"/>
        <v>19178</v>
      </c>
      <c r="Q239" s="88">
        <v>0</v>
      </c>
      <c r="R239" s="88">
        <f>17556+510</f>
        <v>18066</v>
      </c>
      <c r="S239" s="88">
        <f>1081+31</f>
        <v>1112</v>
      </c>
      <c r="T239" s="87">
        <v>0</v>
      </c>
      <c r="U239" s="88">
        <f t="shared" si="120"/>
        <v>0</v>
      </c>
      <c r="V239" s="88">
        <v>0</v>
      </c>
      <c r="W239" s="88">
        <v>0</v>
      </c>
      <c r="X239" s="88">
        <v>0</v>
      </c>
      <c r="Y239" s="86">
        <v>0</v>
      </c>
      <c r="Z239" s="88">
        <f t="shared" si="121"/>
        <v>0</v>
      </c>
      <c r="AA239" s="88">
        <v>0</v>
      </c>
      <c r="AB239" s="88">
        <v>0</v>
      </c>
      <c r="AC239" s="88">
        <v>0</v>
      </c>
    </row>
    <row r="240" spans="1:29" s="238" customFormat="1" ht="33" customHeight="1" outlineLevel="1" x14ac:dyDescent="0.2">
      <c r="A240" s="234" t="s">
        <v>1392</v>
      </c>
      <c r="B240" s="245" t="s">
        <v>298</v>
      </c>
      <c r="C240" s="198">
        <f t="shared" si="116"/>
        <v>0</v>
      </c>
      <c r="D240" s="246">
        <f t="shared" si="117"/>
        <v>0</v>
      </c>
      <c r="E240" s="210">
        <v>0</v>
      </c>
      <c r="F240" s="189">
        <f t="shared" si="118"/>
        <v>0</v>
      </c>
      <c r="G240" s="189">
        <v>0</v>
      </c>
      <c r="H240" s="211">
        <v>0</v>
      </c>
      <c r="I240" s="211">
        <v>0</v>
      </c>
      <c r="J240" s="198">
        <v>0</v>
      </c>
      <c r="K240" s="88">
        <f t="shared" si="109"/>
        <v>0</v>
      </c>
      <c r="L240" s="88">
        <v>0</v>
      </c>
      <c r="M240" s="88">
        <v>0</v>
      </c>
      <c r="N240" s="88">
        <v>0</v>
      </c>
      <c r="O240" s="87">
        <v>0</v>
      </c>
      <c r="P240" s="88">
        <f t="shared" si="119"/>
        <v>0</v>
      </c>
      <c r="Q240" s="88">
        <v>0</v>
      </c>
      <c r="R240" s="88">
        <v>0</v>
      </c>
      <c r="S240" s="88">
        <v>0</v>
      </c>
      <c r="T240" s="87">
        <v>0</v>
      </c>
      <c r="U240" s="88">
        <f t="shared" si="120"/>
        <v>0</v>
      </c>
      <c r="V240" s="88">
        <v>0</v>
      </c>
      <c r="W240" s="88">
        <v>0</v>
      </c>
      <c r="X240" s="88">
        <v>0</v>
      </c>
      <c r="Y240" s="86">
        <v>0</v>
      </c>
      <c r="Z240" s="88">
        <f t="shared" si="121"/>
        <v>0</v>
      </c>
      <c r="AA240" s="88">
        <v>0</v>
      </c>
      <c r="AB240" s="88">
        <v>0</v>
      </c>
      <c r="AC240" s="88">
        <v>0</v>
      </c>
    </row>
    <row r="241" spans="1:30" s="238" customFormat="1" ht="36" customHeight="1" outlineLevel="1" x14ac:dyDescent="0.2">
      <c r="A241" s="234" t="s">
        <v>1393</v>
      </c>
      <c r="B241" s="245" t="s">
        <v>299</v>
      </c>
      <c r="C241" s="198">
        <f t="shared" si="116"/>
        <v>10.91</v>
      </c>
      <c r="D241" s="246">
        <f t="shared" si="117"/>
        <v>39339</v>
      </c>
      <c r="E241" s="210">
        <v>0</v>
      </c>
      <c r="F241" s="189">
        <f t="shared" si="118"/>
        <v>0</v>
      </c>
      <c r="G241" s="189">
        <v>0</v>
      </c>
      <c r="H241" s="211">
        <v>0</v>
      </c>
      <c r="I241" s="211">
        <v>0</v>
      </c>
      <c r="J241" s="198">
        <v>0</v>
      </c>
      <c r="K241" s="88">
        <f t="shared" si="109"/>
        <v>0</v>
      </c>
      <c r="L241" s="88">
        <v>0</v>
      </c>
      <c r="M241" s="88">
        <v>0</v>
      </c>
      <c r="N241" s="88">
        <v>0</v>
      </c>
      <c r="O241" s="87">
        <v>10.91</v>
      </c>
      <c r="P241" s="88">
        <f t="shared" si="119"/>
        <v>39339</v>
      </c>
      <c r="Q241" s="88">
        <v>0</v>
      </c>
      <c r="R241" s="88">
        <f>38996-1939</f>
        <v>37057</v>
      </c>
      <c r="S241" s="88">
        <f>2401-119</f>
        <v>2282</v>
      </c>
      <c r="T241" s="87">
        <v>0</v>
      </c>
      <c r="U241" s="88">
        <f t="shared" si="120"/>
        <v>0</v>
      </c>
      <c r="V241" s="88">
        <v>0</v>
      </c>
      <c r="W241" s="88">
        <v>0</v>
      </c>
      <c r="X241" s="88">
        <v>0</v>
      </c>
      <c r="Y241" s="86">
        <v>0</v>
      </c>
      <c r="Z241" s="88">
        <f t="shared" si="121"/>
        <v>0</v>
      </c>
      <c r="AA241" s="88">
        <v>0</v>
      </c>
      <c r="AB241" s="88">
        <v>0</v>
      </c>
      <c r="AC241" s="88">
        <v>0</v>
      </c>
      <c r="AD241" s="238">
        <f>W242+W243+W244+W245+W258+W259+W266</f>
        <v>700000</v>
      </c>
    </row>
    <row r="242" spans="1:30" s="238" customFormat="1" ht="36" customHeight="1" outlineLevel="1" x14ac:dyDescent="0.2">
      <c r="A242" s="234" t="s">
        <v>1394</v>
      </c>
      <c r="B242" s="245" t="s">
        <v>568</v>
      </c>
      <c r="C242" s="198">
        <f t="shared" ref="C242:C266" si="122">E242+J242+O242+T242+Y242</f>
        <v>1.38</v>
      </c>
      <c r="D242" s="246">
        <f t="shared" ref="D242:D265" si="123">F242+K242+P242+U242+Z242</f>
        <v>33737</v>
      </c>
      <c r="E242" s="210">
        <v>0</v>
      </c>
      <c r="F242" s="189">
        <f t="shared" ref="F242:F257" si="124">G242+H242+I242</f>
        <v>0</v>
      </c>
      <c r="G242" s="189">
        <v>0</v>
      </c>
      <c r="H242" s="211">
        <v>0</v>
      </c>
      <c r="I242" s="211">
        <v>0</v>
      </c>
      <c r="J242" s="198">
        <v>0</v>
      </c>
      <c r="K242" s="88">
        <f t="shared" ref="K242:K259" si="125">L242+M242+N242</f>
        <v>0</v>
      </c>
      <c r="L242" s="88">
        <v>0</v>
      </c>
      <c r="M242" s="88">
        <v>0</v>
      </c>
      <c r="N242" s="88">
        <v>0</v>
      </c>
      <c r="O242" s="87">
        <v>0</v>
      </c>
      <c r="P242" s="88">
        <f t="shared" ref="P242:P266" si="126">Q242+R242+S242</f>
        <v>0</v>
      </c>
      <c r="Q242" s="88">
        <v>0</v>
      </c>
      <c r="R242" s="88">
        <v>0</v>
      </c>
      <c r="S242" s="88">
        <v>0</v>
      </c>
      <c r="T242" s="87">
        <v>1.38</v>
      </c>
      <c r="U242" s="88">
        <f t="shared" ref="U242:U266" si="127">V242+W242+X242</f>
        <v>33737</v>
      </c>
      <c r="V242" s="88">
        <v>0</v>
      </c>
      <c r="W242" s="88">
        <v>32725</v>
      </c>
      <c r="X242" s="88">
        <v>1012</v>
      </c>
      <c r="Y242" s="86">
        <v>0</v>
      </c>
      <c r="Z242" s="88">
        <f t="shared" ref="Z242:Z266" si="128">AA242+AB242+AC242</f>
        <v>0</v>
      </c>
      <c r="AA242" s="88">
        <v>0</v>
      </c>
      <c r="AB242" s="88">
        <v>0</v>
      </c>
      <c r="AC242" s="88">
        <v>0</v>
      </c>
      <c r="AD242" s="238">
        <f>U242+U243+U244+U245+U258+U259+U266</f>
        <v>721650</v>
      </c>
    </row>
    <row r="243" spans="1:30" s="238" customFormat="1" ht="36" customHeight="1" outlineLevel="1" x14ac:dyDescent="0.2">
      <c r="A243" s="234" t="s">
        <v>1395</v>
      </c>
      <c r="B243" s="245" t="s">
        <v>569</v>
      </c>
      <c r="C243" s="198">
        <f t="shared" si="122"/>
        <v>2.0299999999999998</v>
      </c>
      <c r="D243" s="246">
        <f t="shared" si="123"/>
        <v>108761</v>
      </c>
      <c r="E243" s="210">
        <v>0</v>
      </c>
      <c r="F243" s="189">
        <f t="shared" si="124"/>
        <v>0</v>
      </c>
      <c r="G243" s="189">
        <v>0</v>
      </c>
      <c r="H243" s="211">
        <v>0</v>
      </c>
      <c r="I243" s="211">
        <v>0</v>
      </c>
      <c r="J243" s="198">
        <v>0</v>
      </c>
      <c r="K243" s="88">
        <f t="shared" si="125"/>
        <v>0</v>
      </c>
      <c r="L243" s="88">
        <v>0</v>
      </c>
      <c r="M243" s="88">
        <v>0</v>
      </c>
      <c r="N243" s="88">
        <v>0</v>
      </c>
      <c r="O243" s="87">
        <v>0</v>
      </c>
      <c r="P243" s="88">
        <f t="shared" si="126"/>
        <v>0</v>
      </c>
      <c r="Q243" s="88">
        <v>0</v>
      </c>
      <c r="R243" s="88">
        <v>0</v>
      </c>
      <c r="S243" s="88">
        <v>0</v>
      </c>
      <c r="T243" s="87">
        <v>2.0299999999999998</v>
      </c>
      <c r="U243" s="88">
        <f t="shared" si="127"/>
        <v>108761</v>
      </c>
      <c r="V243" s="88">
        <v>0</v>
      </c>
      <c r="W243" s="88">
        <v>105498</v>
      </c>
      <c r="X243" s="88">
        <v>3263</v>
      </c>
      <c r="Y243" s="86">
        <v>0</v>
      </c>
      <c r="Z243" s="88">
        <f t="shared" si="128"/>
        <v>0</v>
      </c>
      <c r="AA243" s="88">
        <v>0</v>
      </c>
      <c r="AB243" s="88">
        <v>0</v>
      </c>
      <c r="AC243" s="88">
        <v>0</v>
      </c>
    </row>
    <row r="244" spans="1:30" s="238" customFormat="1" ht="36" customHeight="1" outlineLevel="1" x14ac:dyDescent="0.2">
      <c r="A244" s="234" t="s">
        <v>1418</v>
      </c>
      <c r="B244" s="245" t="s">
        <v>570</v>
      </c>
      <c r="C244" s="198">
        <f t="shared" si="122"/>
        <v>2.5</v>
      </c>
      <c r="D244" s="246">
        <f t="shared" si="123"/>
        <v>218742</v>
      </c>
      <c r="E244" s="210">
        <v>0</v>
      </c>
      <c r="F244" s="189">
        <f t="shared" si="124"/>
        <v>0</v>
      </c>
      <c r="G244" s="189">
        <v>0</v>
      </c>
      <c r="H244" s="211">
        <v>0</v>
      </c>
      <c r="I244" s="211">
        <v>0</v>
      </c>
      <c r="J244" s="198">
        <v>0</v>
      </c>
      <c r="K244" s="88">
        <f t="shared" si="125"/>
        <v>0</v>
      </c>
      <c r="L244" s="88">
        <v>0</v>
      </c>
      <c r="M244" s="88">
        <v>0</v>
      </c>
      <c r="N244" s="88">
        <v>0</v>
      </c>
      <c r="O244" s="87">
        <v>0</v>
      </c>
      <c r="P244" s="88">
        <f t="shared" si="126"/>
        <v>0</v>
      </c>
      <c r="Q244" s="88">
        <v>0</v>
      </c>
      <c r="R244" s="88">
        <v>0</v>
      </c>
      <c r="S244" s="88">
        <v>0</v>
      </c>
      <c r="T244" s="87">
        <v>2.5</v>
      </c>
      <c r="U244" s="88">
        <f t="shared" si="127"/>
        <v>218742</v>
      </c>
      <c r="V244" s="88">
        <v>0</v>
      </c>
      <c r="W244" s="88">
        <v>212180</v>
      </c>
      <c r="X244" s="88">
        <v>6562</v>
      </c>
      <c r="Y244" s="86">
        <v>0</v>
      </c>
      <c r="Z244" s="88">
        <f t="shared" si="128"/>
        <v>0</v>
      </c>
      <c r="AA244" s="88">
        <v>0</v>
      </c>
      <c r="AB244" s="88">
        <v>0</v>
      </c>
      <c r="AC244" s="88">
        <v>0</v>
      </c>
    </row>
    <row r="245" spans="1:30" s="238" customFormat="1" ht="52.5" customHeight="1" outlineLevel="1" x14ac:dyDescent="0.2">
      <c r="A245" s="234" t="s">
        <v>1419</v>
      </c>
      <c r="B245" s="245" t="s">
        <v>567</v>
      </c>
      <c r="C245" s="198">
        <f t="shared" si="122"/>
        <v>5.56</v>
      </c>
      <c r="D245" s="246">
        <f t="shared" si="123"/>
        <v>194910</v>
      </c>
      <c r="E245" s="210">
        <v>0</v>
      </c>
      <c r="F245" s="189">
        <f t="shared" si="124"/>
        <v>0</v>
      </c>
      <c r="G245" s="189">
        <v>0</v>
      </c>
      <c r="H245" s="211">
        <v>0</v>
      </c>
      <c r="I245" s="211">
        <v>0</v>
      </c>
      <c r="J245" s="198">
        <v>0</v>
      </c>
      <c r="K245" s="88">
        <f t="shared" si="125"/>
        <v>0</v>
      </c>
      <c r="L245" s="88">
        <v>0</v>
      </c>
      <c r="M245" s="88">
        <v>0</v>
      </c>
      <c r="N245" s="88">
        <v>0</v>
      </c>
      <c r="O245" s="87">
        <v>0</v>
      </c>
      <c r="P245" s="88">
        <f t="shared" si="126"/>
        <v>0</v>
      </c>
      <c r="Q245" s="88">
        <v>0</v>
      </c>
      <c r="R245" s="88">
        <v>0</v>
      </c>
      <c r="S245" s="88">
        <v>0</v>
      </c>
      <c r="T245" s="87">
        <v>5.56</v>
      </c>
      <c r="U245" s="88">
        <f t="shared" si="127"/>
        <v>194910</v>
      </c>
      <c r="V245" s="88">
        <v>0</v>
      </c>
      <c r="W245" s="88">
        <v>189063</v>
      </c>
      <c r="X245" s="255">
        <v>5847</v>
      </c>
      <c r="Y245" s="86">
        <v>0</v>
      </c>
      <c r="Z245" s="88">
        <f t="shared" si="128"/>
        <v>0</v>
      </c>
      <c r="AA245" s="88">
        <v>0</v>
      </c>
      <c r="AB245" s="88">
        <v>0</v>
      </c>
      <c r="AC245" s="88">
        <v>0</v>
      </c>
    </row>
    <row r="246" spans="1:30" s="238" customFormat="1" ht="96" customHeight="1" outlineLevel="1" x14ac:dyDescent="0.2">
      <c r="A246" s="234" t="s">
        <v>1420</v>
      </c>
      <c r="B246" s="256" t="s">
        <v>361</v>
      </c>
      <c r="C246" s="198">
        <f t="shared" si="122"/>
        <v>0</v>
      </c>
      <c r="D246" s="246">
        <f t="shared" si="123"/>
        <v>0</v>
      </c>
      <c r="E246" s="210">
        <v>0</v>
      </c>
      <c r="F246" s="189">
        <f t="shared" si="124"/>
        <v>0</v>
      </c>
      <c r="G246" s="189">
        <v>0</v>
      </c>
      <c r="H246" s="211">
        <v>0</v>
      </c>
      <c r="I246" s="211">
        <v>0</v>
      </c>
      <c r="J246" s="198">
        <v>0</v>
      </c>
      <c r="K246" s="88">
        <f t="shared" si="125"/>
        <v>0</v>
      </c>
      <c r="L246" s="88">
        <v>0</v>
      </c>
      <c r="M246" s="88">
        <v>0</v>
      </c>
      <c r="N246" s="88">
        <v>0</v>
      </c>
      <c r="O246" s="87">
        <v>0</v>
      </c>
      <c r="P246" s="88">
        <f t="shared" si="126"/>
        <v>0</v>
      </c>
      <c r="Q246" s="88">
        <v>0</v>
      </c>
      <c r="R246" s="88">
        <v>0</v>
      </c>
      <c r="S246" s="88">
        <v>0</v>
      </c>
      <c r="T246" s="87">
        <v>0</v>
      </c>
      <c r="U246" s="88">
        <f t="shared" si="127"/>
        <v>0</v>
      </c>
      <c r="V246" s="88">
        <v>0</v>
      </c>
      <c r="W246" s="88">
        <v>0</v>
      </c>
      <c r="X246" s="88">
        <v>0</v>
      </c>
      <c r="Y246" s="86">
        <v>0</v>
      </c>
      <c r="Z246" s="88">
        <f t="shared" si="128"/>
        <v>0</v>
      </c>
      <c r="AA246" s="88">
        <v>0</v>
      </c>
      <c r="AB246" s="88">
        <v>0</v>
      </c>
      <c r="AC246" s="88">
        <v>0</v>
      </c>
    </row>
    <row r="247" spans="1:30" s="238" customFormat="1" ht="36" customHeight="1" outlineLevel="1" x14ac:dyDescent="0.2">
      <c r="A247" s="234" t="s">
        <v>1421</v>
      </c>
      <c r="B247" s="245" t="s">
        <v>512</v>
      </c>
      <c r="C247" s="198">
        <f t="shared" si="122"/>
        <v>72.13</v>
      </c>
      <c r="D247" s="246">
        <f t="shared" si="123"/>
        <v>273574</v>
      </c>
      <c r="E247" s="210">
        <v>0</v>
      </c>
      <c r="F247" s="189">
        <f t="shared" si="124"/>
        <v>0</v>
      </c>
      <c r="G247" s="189">
        <v>0</v>
      </c>
      <c r="H247" s="211">
        <v>0</v>
      </c>
      <c r="I247" s="211">
        <v>0</v>
      </c>
      <c r="J247" s="198">
        <v>0</v>
      </c>
      <c r="K247" s="88">
        <f t="shared" si="125"/>
        <v>0</v>
      </c>
      <c r="L247" s="88">
        <v>0</v>
      </c>
      <c r="M247" s="88">
        <v>0</v>
      </c>
      <c r="N247" s="88">
        <v>0</v>
      </c>
      <c r="O247" s="87">
        <f>71.96+0.17</f>
        <v>72.13</v>
      </c>
      <c r="P247" s="88">
        <f t="shared" si="126"/>
        <v>273574</v>
      </c>
      <c r="Q247" s="88">
        <v>0</v>
      </c>
      <c r="R247" s="88">
        <f>247769+9938</f>
        <v>257707</v>
      </c>
      <c r="S247" s="88">
        <f>15255+612</f>
        <v>15867</v>
      </c>
      <c r="T247" s="87">
        <v>0</v>
      </c>
      <c r="U247" s="88">
        <f t="shared" si="127"/>
        <v>0</v>
      </c>
      <c r="V247" s="88">
        <v>0</v>
      </c>
      <c r="W247" s="88">
        <v>0</v>
      </c>
      <c r="X247" s="88">
        <v>0</v>
      </c>
      <c r="Y247" s="86">
        <v>0</v>
      </c>
      <c r="Z247" s="88">
        <f t="shared" si="128"/>
        <v>0</v>
      </c>
      <c r="AA247" s="88">
        <v>0</v>
      </c>
      <c r="AB247" s="88">
        <v>0</v>
      </c>
      <c r="AC247" s="88">
        <v>0</v>
      </c>
    </row>
    <row r="248" spans="1:30" s="238" customFormat="1" ht="36" outlineLevel="1" x14ac:dyDescent="0.2">
      <c r="A248" s="234" t="s">
        <v>1422</v>
      </c>
      <c r="B248" s="245" t="s">
        <v>387</v>
      </c>
      <c r="C248" s="198">
        <f t="shared" si="122"/>
        <v>21.39</v>
      </c>
      <c r="D248" s="246">
        <f t="shared" si="123"/>
        <v>48832</v>
      </c>
      <c r="E248" s="210">
        <v>0</v>
      </c>
      <c r="F248" s="189">
        <f t="shared" si="124"/>
        <v>0</v>
      </c>
      <c r="G248" s="189">
        <v>0</v>
      </c>
      <c r="H248" s="211">
        <v>0</v>
      </c>
      <c r="I248" s="189">
        <v>0</v>
      </c>
      <c r="J248" s="198">
        <v>21.39</v>
      </c>
      <c r="K248" s="88">
        <f t="shared" si="125"/>
        <v>48832</v>
      </c>
      <c r="L248" s="88">
        <v>0</v>
      </c>
      <c r="M248" s="88">
        <v>46000</v>
      </c>
      <c r="N248" s="88">
        <v>2832</v>
      </c>
      <c r="O248" s="87">
        <v>0</v>
      </c>
      <c r="P248" s="88">
        <f t="shared" si="126"/>
        <v>0</v>
      </c>
      <c r="Q248" s="88">
        <v>0</v>
      </c>
      <c r="R248" s="88">
        <v>0</v>
      </c>
      <c r="S248" s="88">
        <v>0</v>
      </c>
      <c r="T248" s="87">
        <v>0</v>
      </c>
      <c r="U248" s="88">
        <f t="shared" si="127"/>
        <v>0</v>
      </c>
      <c r="V248" s="88">
        <v>0</v>
      </c>
      <c r="W248" s="88">
        <v>0</v>
      </c>
      <c r="X248" s="88">
        <v>0</v>
      </c>
      <c r="Y248" s="86">
        <v>0</v>
      </c>
      <c r="Z248" s="88">
        <f t="shared" si="128"/>
        <v>0</v>
      </c>
      <c r="AA248" s="88">
        <v>0</v>
      </c>
      <c r="AB248" s="88">
        <v>0</v>
      </c>
      <c r="AC248" s="88">
        <v>0</v>
      </c>
    </row>
    <row r="249" spans="1:30" s="238" customFormat="1" ht="38.25" customHeight="1" outlineLevel="1" x14ac:dyDescent="0.2">
      <c r="A249" s="234" t="s">
        <v>1423</v>
      </c>
      <c r="B249" s="245" t="s">
        <v>402</v>
      </c>
      <c r="C249" s="198">
        <f t="shared" si="122"/>
        <v>7.04</v>
      </c>
      <c r="D249" s="246">
        <f t="shared" si="123"/>
        <v>29826</v>
      </c>
      <c r="E249" s="210">
        <v>0</v>
      </c>
      <c r="F249" s="189">
        <f t="shared" si="124"/>
        <v>0</v>
      </c>
      <c r="G249" s="189">
        <v>0</v>
      </c>
      <c r="H249" s="211">
        <v>0</v>
      </c>
      <c r="I249" s="189">
        <v>0</v>
      </c>
      <c r="J249" s="257">
        <v>7.04</v>
      </c>
      <c r="K249" s="255">
        <f t="shared" si="125"/>
        <v>29826</v>
      </c>
      <c r="L249" s="255">
        <v>0</v>
      </c>
      <c r="M249" s="255">
        <v>28096</v>
      </c>
      <c r="N249" s="255">
        <v>1730</v>
      </c>
      <c r="O249" s="258">
        <v>0</v>
      </c>
      <c r="P249" s="88">
        <f t="shared" si="126"/>
        <v>0</v>
      </c>
      <c r="Q249" s="88">
        <v>0</v>
      </c>
      <c r="R249" s="88">
        <v>0</v>
      </c>
      <c r="S249" s="88">
        <v>0</v>
      </c>
      <c r="T249" s="87">
        <v>0</v>
      </c>
      <c r="U249" s="88">
        <f t="shared" si="127"/>
        <v>0</v>
      </c>
      <c r="V249" s="88">
        <v>0</v>
      </c>
      <c r="W249" s="88">
        <v>0</v>
      </c>
      <c r="X249" s="88">
        <v>0</v>
      </c>
      <c r="Y249" s="86">
        <v>0</v>
      </c>
      <c r="Z249" s="88">
        <f t="shared" si="128"/>
        <v>0</v>
      </c>
      <c r="AA249" s="88">
        <v>0</v>
      </c>
      <c r="AB249" s="88">
        <v>0</v>
      </c>
      <c r="AC249" s="88">
        <v>0</v>
      </c>
    </row>
    <row r="250" spans="1:30" s="238" customFormat="1" ht="36" customHeight="1" outlineLevel="1" x14ac:dyDescent="0.2">
      <c r="A250" s="234" t="s">
        <v>1424</v>
      </c>
      <c r="B250" s="245" t="s">
        <v>399</v>
      </c>
      <c r="C250" s="198">
        <f t="shared" si="122"/>
        <v>8.4</v>
      </c>
      <c r="D250" s="246">
        <f t="shared" si="123"/>
        <v>27392</v>
      </c>
      <c r="E250" s="210">
        <v>0</v>
      </c>
      <c r="F250" s="189">
        <f t="shared" si="124"/>
        <v>0</v>
      </c>
      <c r="G250" s="189">
        <v>0</v>
      </c>
      <c r="H250" s="211">
        <v>0</v>
      </c>
      <c r="I250" s="211">
        <v>0</v>
      </c>
      <c r="J250" s="198">
        <v>8.4</v>
      </c>
      <c r="K250" s="88">
        <f t="shared" si="125"/>
        <v>27392</v>
      </c>
      <c r="L250" s="88">
        <v>0</v>
      </c>
      <c r="M250" s="88">
        <v>25803</v>
      </c>
      <c r="N250" s="88">
        <v>1589</v>
      </c>
      <c r="O250" s="87">
        <v>0</v>
      </c>
      <c r="P250" s="88">
        <f t="shared" si="126"/>
        <v>0</v>
      </c>
      <c r="Q250" s="88">
        <v>0</v>
      </c>
      <c r="R250" s="88">
        <v>0</v>
      </c>
      <c r="S250" s="88">
        <v>0</v>
      </c>
      <c r="T250" s="87">
        <v>0</v>
      </c>
      <c r="U250" s="88">
        <f t="shared" si="127"/>
        <v>0</v>
      </c>
      <c r="V250" s="88">
        <v>0</v>
      </c>
      <c r="W250" s="88">
        <v>0</v>
      </c>
      <c r="X250" s="88">
        <v>0</v>
      </c>
      <c r="Y250" s="86">
        <v>0</v>
      </c>
      <c r="Z250" s="88">
        <f t="shared" si="128"/>
        <v>0</v>
      </c>
      <c r="AA250" s="88">
        <v>0</v>
      </c>
      <c r="AB250" s="88">
        <v>0</v>
      </c>
      <c r="AC250" s="88">
        <v>0</v>
      </c>
    </row>
    <row r="251" spans="1:30" s="238" customFormat="1" ht="36" customHeight="1" outlineLevel="1" x14ac:dyDescent="0.2">
      <c r="A251" s="234" t="s">
        <v>1425</v>
      </c>
      <c r="B251" s="245" t="s">
        <v>400</v>
      </c>
      <c r="C251" s="198">
        <f t="shared" si="122"/>
        <v>38.479999999999997</v>
      </c>
      <c r="D251" s="246">
        <f t="shared" si="123"/>
        <v>117730</v>
      </c>
      <c r="E251" s="210">
        <v>0</v>
      </c>
      <c r="F251" s="189">
        <f t="shared" si="124"/>
        <v>0</v>
      </c>
      <c r="G251" s="189">
        <v>0</v>
      </c>
      <c r="H251" s="211">
        <v>0</v>
      </c>
      <c r="I251" s="211">
        <v>0</v>
      </c>
      <c r="J251" s="198">
        <v>38.479999999999997</v>
      </c>
      <c r="K251" s="88">
        <f t="shared" si="125"/>
        <v>117730</v>
      </c>
      <c r="L251" s="88">
        <v>0</v>
      </c>
      <c r="M251" s="88">
        <v>110902</v>
      </c>
      <c r="N251" s="88">
        <v>6828</v>
      </c>
      <c r="O251" s="87">
        <v>0</v>
      </c>
      <c r="P251" s="88">
        <f t="shared" si="126"/>
        <v>0</v>
      </c>
      <c r="Q251" s="88">
        <v>0</v>
      </c>
      <c r="R251" s="88">
        <v>0</v>
      </c>
      <c r="S251" s="88">
        <v>0</v>
      </c>
      <c r="T251" s="87">
        <v>0</v>
      </c>
      <c r="U251" s="88">
        <f t="shared" si="127"/>
        <v>0</v>
      </c>
      <c r="V251" s="88">
        <v>0</v>
      </c>
      <c r="W251" s="88">
        <v>0</v>
      </c>
      <c r="X251" s="88">
        <v>0</v>
      </c>
      <c r="Y251" s="86">
        <v>0</v>
      </c>
      <c r="Z251" s="88">
        <f t="shared" si="128"/>
        <v>0</v>
      </c>
      <c r="AA251" s="88">
        <v>0</v>
      </c>
      <c r="AB251" s="88">
        <v>0</v>
      </c>
      <c r="AC251" s="88">
        <v>0</v>
      </c>
    </row>
    <row r="252" spans="1:30" s="238" customFormat="1" ht="36" customHeight="1" outlineLevel="1" x14ac:dyDescent="0.2">
      <c r="A252" s="234" t="s">
        <v>1426</v>
      </c>
      <c r="B252" s="245" t="s">
        <v>401</v>
      </c>
      <c r="C252" s="198">
        <f t="shared" si="122"/>
        <v>56.7</v>
      </c>
      <c r="D252" s="246">
        <f t="shared" si="123"/>
        <v>173349</v>
      </c>
      <c r="E252" s="210">
        <v>0</v>
      </c>
      <c r="F252" s="189">
        <f t="shared" si="124"/>
        <v>0</v>
      </c>
      <c r="G252" s="189">
        <v>0</v>
      </c>
      <c r="H252" s="211">
        <v>0</v>
      </c>
      <c r="I252" s="211">
        <v>0</v>
      </c>
      <c r="J252" s="198">
        <v>56.7</v>
      </c>
      <c r="K252" s="88">
        <f t="shared" si="125"/>
        <v>173349</v>
      </c>
      <c r="L252" s="88">
        <v>0</v>
      </c>
      <c r="M252" s="88">
        <v>163295</v>
      </c>
      <c r="N252" s="88">
        <v>10054</v>
      </c>
      <c r="O252" s="87">
        <v>0</v>
      </c>
      <c r="P252" s="88">
        <f t="shared" si="126"/>
        <v>0</v>
      </c>
      <c r="Q252" s="88">
        <v>0</v>
      </c>
      <c r="R252" s="88">
        <v>0</v>
      </c>
      <c r="S252" s="88">
        <v>0</v>
      </c>
      <c r="T252" s="87">
        <v>0</v>
      </c>
      <c r="U252" s="88">
        <f t="shared" si="127"/>
        <v>0</v>
      </c>
      <c r="V252" s="88">
        <v>0</v>
      </c>
      <c r="W252" s="88">
        <v>0</v>
      </c>
      <c r="X252" s="88">
        <v>0</v>
      </c>
      <c r="Y252" s="86">
        <v>0</v>
      </c>
      <c r="Z252" s="88">
        <f t="shared" si="128"/>
        <v>0</v>
      </c>
      <c r="AA252" s="88">
        <v>0</v>
      </c>
      <c r="AB252" s="88">
        <v>0</v>
      </c>
      <c r="AC252" s="88">
        <v>0</v>
      </c>
    </row>
    <row r="253" spans="1:30" s="238" customFormat="1" ht="38.25" customHeight="1" outlineLevel="1" x14ac:dyDescent="0.2">
      <c r="A253" s="234" t="s">
        <v>1427</v>
      </c>
      <c r="B253" s="245" t="s">
        <v>500</v>
      </c>
      <c r="C253" s="198">
        <f t="shared" si="122"/>
        <v>0</v>
      </c>
      <c r="D253" s="246">
        <f t="shared" si="123"/>
        <v>0</v>
      </c>
      <c r="E253" s="210">
        <v>0</v>
      </c>
      <c r="F253" s="189">
        <f t="shared" si="124"/>
        <v>0</v>
      </c>
      <c r="G253" s="189">
        <v>0</v>
      </c>
      <c r="H253" s="211">
        <v>0</v>
      </c>
      <c r="I253" s="189">
        <v>0</v>
      </c>
      <c r="J253" s="257">
        <v>0</v>
      </c>
      <c r="K253" s="255">
        <f t="shared" si="125"/>
        <v>0</v>
      </c>
      <c r="L253" s="255">
        <v>0</v>
      </c>
      <c r="M253" s="255">
        <v>0</v>
      </c>
      <c r="N253" s="255">
        <v>0</v>
      </c>
      <c r="O253" s="258">
        <v>0</v>
      </c>
      <c r="P253" s="88">
        <f t="shared" si="126"/>
        <v>0</v>
      </c>
      <c r="Q253" s="88">
        <v>0</v>
      </c>
      <c r="R253" s="88">
        <v>0</v>
      </c>
      <c r="S253" s="88">
        <v>0</v>
      </c>
      <c r="T253" s="87">
        <v>0</v>
      </c>
      <c r="U253" s="88">
        <f t="shared" si="127"/>
        <v>0</v>
      </c>
      <c r="V253" s="88">
        <v>0</v>
      </c>
      <c r="W253" s="88">
        <v>0</v>
      </c>
      <c r="X253" s="88">
        <v>0</v>
      </c>
      <c r="Y253" s="86">
        <v>0</v>
      </c>
      <c r="Z253" s="88">
        <f t="shared" si="128"/>
        <v>0</v>
      </c>
      <c r="AA253" s="88">
        <v>0</v>
      </c>
      <c r="AB253" s="88">
        <f>14219-14219</f>
        <v>0</v>
      </c>
      <c r="AC253" s="88">
        <f>887-887</f>
        <v>0</v>
      </c>
    </row>
    <row r="254" spans="1:30" s="238" customFormat="1" ht="38.25" customHeight="1" outlineLevel="1" x14ac:dyDescent="0.2">
      <c r="A254" s="234" t="s">
        <v>1428</v>
      </c>
      <c r="B254" s="245" t="s">
        <v>501</v>
      </c>
      <c r="C254" s="198">
        <f t="shared" si="122"/>
        <v>0</v>
      </c>
      <c r="D254" s="246">
        <f t="shared" si="123"/>
        <v>0</v>
      </c>
      <c r="E254" s="210">
        <v>0</v>
      </c>
      <c r="F254" s="189">
        <f t="shared" si="124"/>
        <v>0</v>
      </c>
      <c r="G254" s="189">
        <v>0</v>
      </c>
      <c r="H254" s="211">
        <v>0</v>
      </c>
      <c r="I254" s="189">
        <v>0</v>
      </c>
      <c r="J254" s="257">
        <v>0</v>
      </c>
      <c r="K254" s="255">
        <f t="shared" si="125"/>
        <v>0</v>
      </c>
      <c r="L254" s="255">
        <v>0</v>
      </c>
      <c r="M254" s="255">
        <v>0</v>
      </c>
      <c r="N254" s="255">
        <v>0</v>
      </c>
      <c r="O254" s="258">
        <v>0</v>
      </c>
      <c r="P254" s="88">
        <f t="shared" si="126"/>
        <v>0</v>
      </c>
      <c r="Q254" s="88">
        <v>0</v>
      </c>
      <c r="R254" s="88">
        <v>0</v>
      </c>
      <c r="S254" s="88">
        <v>0</v>
      </c>
      <c r="T254" s="87">
        <v>0</v>
      </c>
      <c r="U254" s="88">
        <f t="shared" si="127"/>
        <v>0</v>
      </c>
      <c r="V254" s="88">
        <v>0</v>
      </c>
      <c r="W254" s="88">
        <v>0</v>
      </c>
      <c r="X254" s="88">
        <v>0</v>
      </c>
      <c r="Y254" s="86">
        <v>0</v>
      </c>
      <c r="Z254" s="88">
        <f t="shared" si="128"/>
        <v>0</v>
      </c>
      <c r="AA254" s="88">
        <v>0</v>
      </c>
      <c r="AB254" s="88">
        <f>92720-92720</f>
        <v>0</v>
      </c>
      <c r="AC254" s="88">
        <f>5709-5709</f>
        <v>0</v>
      </c>
    </row>
    <row r="255" spans="1:30" s="238" customFormat="1" ht="38.25" customHeight="1" outlineLevel="1" x14ac:dyDescent="0.2">
      <c r="A255" s="234" t="s">
        <v>1429</v>
      </c>
      <c r="B255" s="245" t="s">
        <v>502</v>
      </c>
      <c r="C255" s="198">
        <f t="shared" si="122"/>
        <v>0</v>
      </c>
      <c r="D255" s="246">
        <f t="shared" si="123"/>
        <v>0</v>
      </c>
      <c r="E255" s="210">
        <v>0</v>
      </c>
      <c r="F255" s="189">
        <f t="shared" si="124"/>
        <v>0</v>
      </c>
      <c r="G255" s="189">
        <v>0</v>
      </c>
      <c r="H255" s="211">
        <v>0</v>
      </c>
      <c r="I255" s="189">
        <v>0</v>
      </c>
      <c r="J255" s="257">
        <v>0</v>
      </c>
      <c r="K255" s="255">
        <f t="shared" si="125"/>
        <v>0</v>
      </c>
      <c r="L255" s="255">
        <v>0</v>
      </c>
      <c r="M255" s="255">
        <v>0</v>
      </c>
      <c r="N255" s="255">
        <v>0</v>
      </c>
      <c r="O255" s="258">
        <v>0</v>
      </c>
      <c r="P255" s="88">
        <f t="shared" si="126"/>
        <v>0</v>
      </c>
      <c r="Q255" s="88">
        <v>0</v>
      </c>
      <c r="R255" s="88">
        <v>0</v>
      </c>
      <c r="S255" s="88">
        <v>0</v>
      </c>
      <c r="T255" s="87">
        <v>0</v>
      </c>
      <c r="U255" s="88">
        <f t="shared" si="127"/>
        <v>0</v>
      </c>
      <c r="V255" s="88">
        <v>0</v>
      </c>
      <c r="W255" s="88">
        <v>0</v>
      </c>
      <c r="X255" s="88">
        <v>0</v>
      </c>
      <c r="Y255" s="86">
        <v>0</v>
      </c>
      <c r="Z255" s="88">
        <f t="shared" si="128"/>
        <v>0</v>
      </c>
      <c r="AA255" s="88">
        <v>0</v>
      </c>
      <c r="AB255" s="88">
        <f>63616-63616</f>
        <v>0</v>
      </c>
      <c r="AC255" s="88">
        <f>3917-3917</f>
        <v>0</v>
      </c>
    </row>
    <row r="256" spans="1:30" s="238" customFormat="1" ht="38.25" customHeight="1" outlineLevel="1" x14ac:dyDescent="0.2">
      <c r="A256" s="234" t="s">
        <v>1430</v>
      </c>
      <c r="B256" s="245" t="s">
        <v>503</v>
      </c>
      <c r="C256" s="198">
        <f t="shared" si="122"/>
        <v>0</v>
      </c>
      <c r="D256" s="246">
        <f t="shared" si="123"/>
        <v>0</v>
      </c>
      <c r="E256" s="210">
        <v>0</v>
      </c>
      <c r="F256" s="189">
        <f t="shared" si="124"/>
        <v>0</v>
      </c>
      <c r="G256" s="189">
        <v>0</v>
      </c>
      <c r="H256" s="211">
        <v>0</v>
      </c>
      <c r="I256" s="189">
        <v>0</v>
      </c>
      <c r="J256" s="257">
        <v>0</v>
      </c>
      <c r="K256" s="255">
        <f t="shared" si="125"/>
        <v>0</v>
      </c>
      <c r="L256" s="255">
        <v>0</v>
      </c>
      <c r="M256" s="255">
        <v>0</v>
      </c>
      <c r="N256" s="255">
        <v>0</v>
      </c>
      <c r="O256" s="258">
        <v>0</v>
      </c>
      <c r="P256" s="88">
        <f t="shared" si="126"/>
        <v>0</v>
      </c>
      <c r="Q256" s="88">
        <v>0</v>
      </c>
      <c r="R256" s="88">
        <v>0</v>
      </c>
      <c r="S256" s="88">
        <v>0</v>
      </c>
      <c r="T256" s="87">
        <v>0</v>
      </c>
      <c r="U256" s="88">
        <f t="shared" si="127"/>
        <v>0</v>
      </c>
      <c r="V256" s="88">
        <v>0</v>
      </c>
      <c r="W256" s="88">
        <v>0</v>
      </c>
      <c r="X256" s="88">
        <v>0</v>
      </c>
      <c r="Y256" s="86">
        <v>0</v>
      </c>
      <c r="Z256" s="88">
        <f t="shared" si="128"/>
        <v>0</v>
      </c>
      <c r="AA256" s="88">
        <v>0</v>
      </c>
      <c r="AB256" s="88">
        <f>313121-313121</f>
        <v>0</v>
      </c>
      <c r="AC256" s="88">
        <f>19279-19279</f>
        <v>0</v>
      </c>
    </row>
    <row r="257" spans="1:32" s="238" customFormat="1" ht="38.25" customHeight="1" outlineLevel="1" x14ac:dyDescent="0.2">
      <c r="A257" s="234" t="s">
        <v>1431</v>
      </c>
      <c r="B257" s="245" t="s">
        <v>504</v>
      </c>
      <c r="C257" s="198">
        <f t="shared" si="122"/>
        <v>0</v>
      </c>
      <c r="D257" s="246">
        <f t="shared" si="123"/>
        <v>0</v>
      </c>
      <c r="E257" s="210">
        <v>0</v>
      </c>
      <c r="F257" s="189">
        <f t="shared" si="124"/>
        <v>0</v>
      </c>
      <c r="G257" s="189">
        <v>0</v>
      </c>
      <c r="H257" s="211">
        <v>0</v>
      </c>
      <c r="I257" s="189">
        <v>0</v>
      </c>
      <c r="J257" s="257">
        <v>0</v>
      </c>
      <c r="K257" s="255">
        <f t="shared" si="125"/>
        <v>0</v>
      </c>
      <c r="L257" s="255">
        <v>0</v>
      </c>
      <c r="M257" s="255">
        <v>0</v>
      </c>
      <c r="N257" s="255">
        <v>0</v>
      </c>
      <c r="O257" s="258">
        <v>0</v>
      </c>
      <c r="P257" s="88">
        <f t="shared" si="126"/>
        <v>0</v>
      </c>
      <c r="Q257" s="88">
        <v>0</v>
      </c>
      <c r="R257" s="88">
        <v>0</v>
      </c>
      <c r="S257" s="88">
        <v>0</v>
      </c>
      <c r="T257" s="87">
        <v>0</v>
      </c>
      <c r="U257" s="88">
        <f t="shared" si="127"/>
        <v>0</v>
      </c>
      <c r="V257" s="88">
        <v>0</v>
      </c>
      <c r="W257" s="88">
        <v>0</v>
      </c>
      <c r="X257" s="88">
        <v>0</v>
      </c>
      <c r="Y257" s="86">
        <v>0</v>
      </c>
      <c r="Z257" s="88">
        <f t="shared" si="128"/>
        <v>0</v>
      </c>
      <c r="AA257" s="88">
        <v>0</v>
      </c>
      <c r="AB257" s="88">
        <f>216324-216324</f>
        <v>0</v>
      </c>
      <c r="AC257" s="88">
        <f>13308-13308</f>
        <v>0</v>
      </c>
    </row>
    <row r="258" spans="1:32" s="238" customFormat="1" ht="38.25" customHeight="1" outlineLevel="1" x14ac:dyDescent="0.2">
      <c r="A258" s="234" t="s">
        <v>1432</v>
      </c>
      <c r="B258" s="245" t="s">
        <v>565</v>
      </c>
      <c r="C258" s="198">
        <f t="shared" si="122"/>
        <v>1.1200000000000001</v>
      </c>
      <c r="D258" s="246">
        <f t="shared" si="123"/>
        <v>54127</v>
      </c>
      <c r="E258" s="210">
        <v>0</v>
      </c>
      <c r="F258" s="189">
        <f t="shared" ref="F258:F259" si="129">G258+H258+I258</f>
        <v>0</v>
      </c>
      <c r="G258" s="189">
        <v>0</v>
      </c>
      <c r="H258" s="211">
        <v>0</v>
      </c>
      <c r="I258" s="189">
        <v>0</v>
      </c>
      <c r="J258" s="257">
        <v>0</v>
      </c>
      <c r="K258" s="189">
        <f t="shared" si="125"/>
        <v>0</v>
      </c>
      <c r="L258" s="189">
        <v>0</v>
      </c>
      <c r="M258" s="211">
        <v>0</v>
      </c>
      <c r="N258" s="189">
        <v>0</v>
      </c>
      <c r="O258" s="258">
        <v>0</v>
      </c>
      <c r="P258" s="189">
        <f t="shared" si="126"/>
        <v>0</v>
      </c>
      <c r="Q258" s="189">
        <v>0</v>
      </c>
      <c r="R258" s="211">
        <v>0</v>
      </c>
      <c r="S258" s="189">
        <v>0</v>
      </c>
      <c r="T258" s="87">
        <v>1.1200000000000001</v>
      </c>
      <c r="U258" s="88">
        <f t="shared" si="127"/>
        <v>54127</v>
      </c>
      <c r="V258" s="88">
        <v>0</v>
      </c>
      <c r="W258" s="88">
        <v>52503</v>
      </c>
      <c r="X258" s="88">
        <v>1624</v>
      </c>
      <c r="Y258" s="86">
        <v>0</v>
      </c>
      <c r="Z258" s="88">
        <f t="shared" si="128"/>
        <v>0</v>
      </c>
      <c r="AA258" s="88">
        <v>0</v>
      </c>
      <c r="AB258" s="88">
        <v>0</v>
      </c>
      <c r="AC258" s="88">
        <v>0</v>
      </c>
    </row>
    <row r="259" spans="1:32" s="238" customFormat="1" ht="38.25" customHeight="1" outlineLevel="1" x14ac:dyDescent="0.2">
      <c r="A259" s="234" t="s">
        <v>1433</v>
      </c>
      <c r="B259" s="245" t="s">
        <v>566</v>
      </c>
      <c r="C259" s="198">
        <f t="shared" si="122"/>
        <v>1.93</v>
      </c>
      <c r="D259" s="246">
        <f t="shared" si="123"/>
        <v>111362</v>
      </c>
      <c r="E259" s="210">
        <v>0</v>
      </c>
      <c r="F259" s="189">
        <f t="shared" si="129"/>
        <v>0</v>
      </c>
      <c r="G259" s="189">
        <v>0</v>
      </c>
      <c r="H259" s="211">
        <v>0</v>
      </c>
      <c r="I259" s="189">
        <v>0</v>
      </c>
      <c r="J259" s="257">
        <v>0</v>
      </c>
      <c r="K259" s="189">
        <f t="shared" si="125"/>
        <v>0</v>
      </c>
      <c r="L259" s="189">
        <v>0</v>
      </c>
      <c r="M259" s="211">
        <v>0</v>
      </c>
      <c r="N259" s="189">
        <v>0</v>
      </c>
      <c r="O259" s="258">
        <v>0</v>
      </c>
      <c r="P259" s="189">
        <f t="shared" si="126"/>
        <v>0</v>
      </c>
      <c r="Q259" s="189">
        <v>0</v>
      </c>
      <c r="R259" s="211">
        <v>0</v>
      </c>
      <c r="S259" s="189">
        <v>0</v>
      </c>
      <c r="T259" s="87">
        <v>1.93</v>
      </c>
      <c r="U259" s="88">
        <f t="shared" si="127"/>
        <v>111362</v>
      </c>
      <c r="V259" s="88">
        <v>0</v>
      </c>
      <c r="W259" s="88">
        <v>108021</v>
      </c>
      <c r="X259" s="88">
        <v>3341</v>
      </c>
      <c r="Y259" s="86">
        <v>0</v>
      </c>
      <c r="Z259" s="88">
        <f t="shared" si="128"/>
        <v>0</v>
      </c>
      <c r="AA259" s="88">
        <v>0</v>
      </c>
      <c r="AB259" s="88">
        <v>0</v>
      </c>
      <c r="AC259" s="88">
        <v>0</v>
      </c>
    </row>
    <row r="260" spans="1:32" s="238" customFormat="1" ht="38.25" customHeight="1" outlineLevel="1" x14ac:dyDescent="0.2">
      <c r="A260" s="234" t="s">
        <v>1434</v>
      </c>
      <c r="B260" s="259" t="s">
        <v>1396</v>
      </c>
      <c r="C260" s="260">
        <f t="shared" si="122"/>
        <v>2.9129999999999998</v>
      </c>
      <c r="D260" s="246">
        <f t="shared" si="123"/>
        <v>99665</v>
      </c>
      <c r="E260" s="210">
        <v>0</v>
      </c>
      <c r="F260" s="189">
        <f t="shared" ref="F260:F265" si="130">G260+H260+I260</f>
        <v>0</v>
      </c>
      <c r="G260" s="189">
        <v>0</v>
      </c>
      <c r="H260" s="211">
        <v>0</v>
      </c>
      <c r="I260" s="189">
        <v>0</v>
      </c>
      <c r="J260" s="257">
        <v>0</v>
      </c>
      <c r="K260" s="189">
        <f t="shared" ref="K260:K265" si="131">L260+M260+N260</f>
        <v>0</v>
      </c>
      <c r="L260" s="189">
        <v>0</v>
      </c>
      <c r="M260" s="211">
        <v>0</v>
      </c>
      <c r="N260" s="189">
        <v>0</v>
      </c>
      <c r="O260" s="258">
        <v>0</v>
      </c>
      <c r="P260" s="189">
        <f t="shared" ref="P260:P265" si="132">Q260+R260+S260</f>
        <v>0</v>
      </c>
      <c r="Q260" s="189">
        <v>0</v>
      </c>
      <c r="R260" s="211">
        <v>0</v>
      </c>
      <c r="S260" s="189">
        <v>0</v>
      </c>
      <c r="T260" s="258">
        <v>0</v>
      </c>
      <c r="U260" s="189">
        <f t="shared" si="127"/>
        <v>0</v>
      </c>
      <c r="V260" s="189">
        <v>0</v>
      </c>
      <c r="W260" s="211">
        <v>0</v>
      </c>
      <c r="X260" s="189">
        <v>0</v>
      </c>
      <c r="Y260" s="86">
        <v>2.9129999999999998</v>
      </c>
      <c r="Z260" s="88">
        <f t="shared" ref="Z260:Z265" si="133">AA260+AB260+AC260</f>
        <v>99665</v>
      </c>
      <c r="AA260" s="88">
        <v>0</v>
      </c>
      <c r="AB260" s="88">
        <v>92489</v>
      </c>
      <c r="AC260" s="88">
        <v>7176</v>
      </c>
      <c r="AD260" s="253">
        <f>Z260+Z261+Z262+Z263+Z264+Z265+Z266</f>
        <v>754311</v>
      </c>
      <c r="AE260" s="253">
        <f>AB260+AB261+AB262+AB263+AB264+AB265+AB266</f>
        <v>700000</v>
      </c>
      <c r="AF260" s="253">
        <f>AC260+AC261+AC262+AC263+AC264+AC265+AC266</f>
        <v>54311</v>
      </c>
    </row>
    <row r="261" spans="1:32" s="238" customFormat="1" ht="66.75" customHeight="1" outlineLevel="1" x14ac:dyDescent="0.2">
      <c r="A261" s="234" t="s">
        <v>1445</v>
      </c>
      <c r="B261" s="261" t="s">
        <v>1397</v>
      </c>
      <c r="C261" s="198">
        <f t="shared" si="122"/>
        <v>1.4</v>
      </c>
      <c r="D261" s="246">
        <f t="shared" si="123"/>
        <v>205423</v>
      </c>
      <c r="E261" s="210">
        <v>0</v>
      </c>
      <c r="F261" s="189">
        <f t="shared" si="130"/>
        <v>0</v>
      </c>
      <c r="G261" s="189">
        <v>0</v>
      </c>
      <c r="H261" s="211">
        <v>0</v>
      </c>
      <c r="I261" s="189">
        <v>0</v>
      </c>
      <c r="J261" s="257">
        <v>0</v>
      </c>
      <c r="K261" s="189">
        <f t="shared" si="131"/>
        <v>0</v>
      </c>
      <c r="L261" s="189">
        <v>0</v>
      </c>
      <c r="M261" s="211">
        <v>0</v>
      </c>
      <c r="N261" s="189">
        <v>0</v>
      </c>
      <c r="O261" s="258">
        <v>0</v>
      </c>
      <c r="P261" s="189">
        <f t="shared" si="132"/>
        <v>0</v>
      </c>
      <c r="Q261" s="189">
        <v>0</v>
      </c>
      <c r="R261" s="211">
        <v>0</v>
      </c>
      <c r="S261" s="189">
        <v>0</v>
      </c>
      <c r="T261" s="258">
        <v>0</v>
      </c>
      <c r="U261" s="189">
        <f t="shared" si="127"/>
        <v>0</v>
      </c>
      <c r="V261" s="189">
        <v>0</v>
      </c>
      <c r="W261" s="211">
        <v>0</v>
      </c>
      <c r="X261" s="189">
        <v>0</v>
      </c>
      <c r="Y261" s="86">
        <v>1.4</v>
      </c>
      <c r="Z261" s="88">
        <f t="shared" si="133"/>
        <v>205423</v>
      </c>
      <c r="AA261" s="88">
        <v>0</v>
      </c>
      <c r="AB261" s="88">
        <v>190633</v>
      </c>
      <c r="AC261" s="88">
        <v>14790</v>
      </c>
    </row>
    <row r="262" spans="1:32" s="238" customFormat="1" ht="38.25" customHeight="1" outlineLevel="1" x14ac:dyDescent="0.2">
      <c r="A262" s="234" t="s">
        <v>1463</v>
      </c>
      <c r="B262" s="245" t="s">
        <v>1398</v>
      </c>
      <c r="C262" s="260">
        <f t="shared" si="122"/>
        <v>1.708</v>
      </c>
      <c r="D262" s="246">
        <f t="shared" si="123"/>
        <v>128213</v>
      </c>
      <c r="E262" s="210">
        <v>0</v>
      </c>
      <c r="F262" s="189">
        <f t="shared" si="130"/>
        <v>0</v>
      </c>
      <c r="G262" s="189">
        <v>0</v>
      </c>
      <c r="H262" s="211">
        <v>0</v>
      </c>
      <c r="I262" s="189">
        <v>0</v>
      </c>
      <c r="J262" s="257">
        <v>0</v>
      </c>
      <c r="K262" s="189">
        <f t="shared" si="131"/>
        <v>0</v>
      </c>
      <c r="L262" s="189">
        <v>0</v>
      </c>
      <c r="M262" s="211">
        <v>0</v>
      </c>
      <c r="N262" s="189">
        <v>0</v>
      </c>
      <c r="O262" s="258">
        <v>0</v>
      </c>
      <c r="P262" s="189">
        <f t="shared" si="132"/>
        <v>0</v>
      </c>
      <c r="Q262" s="189">
        <v>0</v>
      </c>
      <c r="R262" s="211">
        <v>0</v>
      </c>
      <c r="S262" s="189">
        <v>0</v>
      </c>
      <c r="T262" s="258">
        <v>0</v>
      </c>
      <c r="U262" s="189">
        <f t="shared" si="127"/>
        <v>0</v>
      </c>
      <c r="V262" s="189">
        <v>0</v>
      </c>
      <c r="W262" s="211">
        <v>0</v>
      </c>
      <c r="X262" s="189">
        <v>0</v>
      </c>
      <c r="Y262" s="86">
        <v>1.708</v>
      </c>
      <c r="Z262" s="88">
        <f t="shared" si="133"/>
        <v>128213</v>
      </c>
      <c r="AA262" s="88">
        <v>0</v>
      </c>
      <c r="AB262" s="88">
        <v>118981</v>
      </c>
      <c r="AC262" s="88">
        <v>9232</v>
      </c>
    </row>
    <row r="263" spans="1:32" s="238" customFormat="1" ht="45.75" customHeight="1" outlineLevel="1" x14ac:dyDescent="0.2">
      <c r="A263" s="234" t="s">
        <v>1471</v>
      </c>
      <c r="B263" s="245" t="s">
        <v>1399</v>
      </c>
      <c r="C263" s="260">
        <f t="shared" si="122"/>
        <v>1.032</v>
      </c>
      <c r="D263" s="246">
        <f t="shared" si="123"/>
        <v>64135</v>
      </c>
      <c r="E263" s="210">
        <v>0</v>
      </c>
      <c r="F263" s="189">
        <f t="shared" si="130"/>
        <v>0</v>
      </c>
      <c r="G263" s="189">
        <v>0</v>
      </c>
      <c r="H263" s="211">
        <v>0</v>
      </c>
      <c r="I263" s="189">
        <v>0</v>
      </c>
      <c r="J263" s="257">
        <v>0</v>
      </c>
      <c r="K263" s="189">
        <f t="shared" si="131"/>
        <v>0</v>
      </c>
      <c r="L263" s="189">
        <v>0</v>
      </c>
      <c r="M263" s="211">
        <v>0</v>
      </c>
      <c r="N263" s="189">
        <v>0</v>
      </c>
      <c r="O263" s="258">
        <v>0</v>
      </c>
      <c r="P263" s="189">
        <f t="shared" si="132"/>
        <v>0</v>
      </c>
      <c r="Q263" s="189">
        <v>0</v>
      </c>
      <c r="R263" s="211">
        <v>0</v>
      </c>
      <c r="S263" s="189">
        <v>0</v>
      </c>
      <c r="T263" s="258">
        <v>0</v>
      </c>
      <c r="U263" s="189">
        <f t="shared" si="127"/>
        <v>0</v>
      </c>
      <c r="V263" s="189">
        <v>0</v>
      </c>
      <c r="W263" s="211">
        <v>0</v>
      </c>
      <c r="X263" s="189">
        <v>0</v>
      </c>
      <c r="Y263" s="86">
        <v>1.032</v>
      </c>
      <c r="Z263" s="88">
        <f t="shared" si="133"/>
        <v>64135</v>
      </c>
      <c r="AA263" s="88">
        <v>0</v>
      </c>
      <c r="AB263" s="88">
        <v>59517</v>
      </c>
      <c r="AC263" s="88">
        <v>4618</v>
      </c>
    </row>
    <row r="264" spans="1:32" s="238" customFormat="1" ht="61.5" customHeight="1" outlineLevel="1" x14ac:dyDescent="0.2">
      <c r="A264" s="234" t="s">
        <v>1474</v>
      </c>
      <c r="B264" s="245" t="s">
        <v>1400</v>
      </c>
      <c r="C264" s="260">
        <f t="shared" si="122"/>
        <v>0.316</v>
      </c>
      <c r="D264" s="246">
        <f t="shared" si="123"/>
        <v>16253</v>
      </c>
      <c r="E264" s="210">
        <v>0</v>
      </c>
      <c r="F264" s="189">
        <f t="shared" si="130"/>
        <v>0</v>
      </c>
      <c r="G264" s="189">
        <v>0</v>
      </c>
      <c r="H264" s="211">
        <v>0</v>
      </c>
      <c r="I264" s="189">
        <v>0</v>
      </c>
      <c r="J264" s="257">
        <v>0</v>
      </c>
      <c r="K264" s="189">
        <f t="shared" si="131"/>
        <v>0</v>
      </c>
      <c r="L264" s="189">
        <v>0</v>
      </c>
      <c r="M264" s="211">
        <v>0</v>
      </c>
      <c r="N264" s="189">
        <v>0</v>
      </c>
      <c r="O264" s="258">
        <v>0</v>
      </c>
      <c r="P264" s="189">
        <f t="shared" si="132"/>
        <v>0</v>
      </c>
      <c r="Q264" s="189">
        <v>0</v>
      </c>
      <c r="R264" s="211">
        <v>0</v>
      </c>
      <c r="S264" s="189">
        <v>0</v>
      </c>
      <c r="T264" s="258">
        <v>0</v>
      </c>
      <c r="U264" s="189">
        <f t="shared" si="127"/>
        <v>0</v>
      </c>
      <c r="V264" s="189">
        <v>0</v>
      </c>
      <c r="W264" s="211">
        <v>0</v>
      </c>
      <c r="X264" s="189">
        <v>0</v>
      </c>
      <c r="Y264" s="86">
        <v>0.316</v>
      </c>
      <c r="Z264" s="88">
        <f t="shared" si="133"/>
        <v>16253</v>
      </c>
      <c r="AA264" s="88">
        <v>0</v>
      </c>
      <c r="AB264" s="88">
        <v>15083</v>
      </c>
      <c r="AC264" s="88">
        <v>1170</v>
      </c>
    </row>
    <row r="265" spans="1:32" s="238" customFormat="1" ht="38.25" customHeight="1" outlineLevel="1" x14ac:dyDescent="0.2">
      <c r="A265" s="234" t="s">
        <v>1647</v>
      </c>
      <c r="B265" s="245" t="s">
        <v>1401</v>
      </c>
      <c r="C265" s="260">
        <f t="shared" si="122"/>
        <v>2.3820000000000001</v>
      </c>
      <c r="D265" s="246">
        <f t="shared" si="123"/>
        <v>203319</v>
      </c>
      <c r="E265" s="210">
        <v>0</v>
      </c>
      <c r="F265" s="189">
        <f t="shared" si="130"/>
        <v>0</v>
      </c>
      <c r="G265" s="189">
        <v>0</v>
      </c>
      <c r="H265" s="211">
        <v>0</v>
      </c>
      <c r="I265" s="189">
        <v>0</v>
      </c>
      <c r="J265" s="257">
        <v>0</v>
      </c>
      <c r="K265" s="189">
        <f t="shared" si="131"/>
        <v>0</v>
      </c>
      <c r="L265" s="189">
        <v>0</v>
      </c>
      <c r="M265" s="211">
        <v>0</v>
      </c>
      <c r="N265" s="189">
        <v>0</v>
      </c>
      <c r="O265" s="258">
        <v>0</v>
      </c>
      <c r="P265" s="189">
        <f t="shared" si="132"/>
        <v>0</v>
      </c>
      <c r="Q265" s="189">
        <v>0</v>
      </c>
      <c r="R265" s="211">
        <v>0</v>
      </c>
      <c r="S265" s="189">
        <v>0</v>
      </c>
      <c r="T265" s="258">
        <v>0</v>
      </c>
      <c r="U265" s="189">
        <f t="shared" si="127"/>
        <v>0</v>
      </c>
      <c r="V265" s="189">
        <v>0</v>
      </c>
      <c r="W265" s="211">
        <v>0</v>
      </c>
      <c r="X265" s="189">
        <v>0</v>
      </c>
      <c r="Y265" s="86">
        <v>2.3820000000000001</v>
      </c>
      <c r="Z265" s="88">
        <f t="shared" si="133"/>
        <v>203319</v>
      </c>
      <c r="AA265" s="88">
        <v>0</v>
      </c>
      <c r="AB265" s="88">
        <v>188680</v>
      </c>
      <c r="AC265" s="88">
        <v>14639</v>
      </c>
    </row>
    <row r="266" spans="1:32" s="238" customFormat="1" ht="18.75" customHeight="1" outlineLevel="1" x14ac:dyDescent="0.2">
      <c r="A266" s="234"/>
      <c r="B266" s="245" t="s">
        <v>206</v>
      </c>
      <c r="C266" s="198">
        <f t="shared" si="122"/>
        <v>0</v>
      </c>
      <c r="D266" s="246">
        <f>F266+K266+P266+U266+Z266</f>
        <v>40358</v>
      </c>
      <c r="E266" s="210">
        <v>0</v>
      </c>
      <c r="F266" s="189">
        <f>H266+I266</f>
        <v>0</v>
      </c>
      <c r="G266" s="189">
        <v>0</v>
      </c>
      <c r="H266" s="211">
        <v>0</v>
      </c>
      <c r="I266" s="211">
        <v>0</v>
      </c>
      <c r="J266" s="198">
        <v>0</v>
      </c>
      <c r="K266" s="88">
        <f t="shared" si="109"/>
        <v>99</v>
      </c>
      <c r="L266" s="88">
        <v>0</v>
      </c>
      <c r="M266" s="88">
        <v>0</v>
      </c>
      <c r="N266" s="88">
        <v>99</v>
      </c>
      <c r="O266" s="87">
        <v>0</v>
      </c>
      <c r="P266" s="88">
        <f t="shared" si="126"/>
        <v>2945</v>
      </c>
      <c r="Q266" s="88">
        <v>0</v>
      </c>
      <c r="R266" s="88">
        <f>2774</f>
        <v>2774</v>
      </c>
      <c r="S266" s="88">
        <f>171</f>
        <v>171</v>
      </c>
      <c r="T266" s="87">
        <v>0</v>
      </c>
      <c r="U266" s="88">
        <f t="shared" si="127"/>
        <v>11</v>
      </c>
      <c r="V266" s="88">
        <v>0</v>
      </c>
      <c r="W266" s="88">
        <v>10</v>
      </c>
      <c r="X266" s="88">
        <v>1</v>
      </c>
      <c r="Y266" s="86">
        <v>0</v>
      </c>
      <c r="Z266" s="88">
        <f t="shared" si="128"/>
        <v>37303</v>
      </c>
      <c r="AA266" s="88">
        <v>0</v>
      </c>
      <c r="AB266" s="88">
        <v>34617</v>
      </c>
      <c r="AC266" s="88">
        <v>2686</v>
      </c>
    </row>
    <row r="267" spans="1:32" s="264" customFormat="1" ht="42" customHeight="1" x14ac:dyDescent="0.2">
      <c r="A267" s="234"/>
      <c r="B267" s="227" t="s">
        <v>480</v>
      </c>
      <c r="C267" s="262">
        <f t="shared" ref="C267:AB267" si="134">SUM(C100:C266)</f>
        <v>1206.7750000000005</v>
      </c>
      <c r="D267" s="249">
        <f t="shared" si="134"/>
        <v>6009131.5</v>
      </c>
      <c r="E267" s="262">
        <f t="shared" si="134"/>
        <v>297.87999999999994</v>
      </c>
      <c r="F267" s="249">
        <f t="shared" si="134"/>
        <v>787419</v>
      </c>
      <c r="G267" s="249">
        <f t="shared" si="134"/>
        <v>0</v>
      </c>
      <c r="H267" s="249">
        <f t="shared" si="134"/>
        <v>745331</v>
      </c>
      <c r="I267" s="249">
        <f t="shared" si="134"/>
        <v>42088</v>
      </c>
      <c r="J267" s="262">
        <f t="shared" si="134"/>
        <v>355.79</v>
      </c>
      <c r="K267" s="249">
        <f t="shared" si="134"/>
        <v>934352</v>
      </c>
      <c r="L267" s="249">
        <f t="shared" si="134"/>
        <v>0</v>
      </c>
      <c r="M267" s="249">
        <f t="shared" si="134"/>
        <v>876202</v>
      </c>
      <c r="N267" s="249">
        <f t="shared" si="134"/>
        <v>58150</v>
      </c>
      <c r="O267" s="262">
        <f t="shared" si="134"/>
        <v>361.57</v>
      </c>
      <c r="P267" s="249">
        <f t="shared" si="134"/>
        <v>1216402</v>
      </c>
      <c r="Q267" s="249">
        <f t="shared" si="134"/>
        <v>0</v>
      </c>
      <c r="R267" s="249">
        <f t="shared" si="134"/>
        <v>1032121</v>
      </c>
      <c r="S267" s="249">
        <f t="shared" si="134"/>
        <v>184281</v>
      </c>
      <c r="T267" s="262">
        <f t="shared" si="134"/>
        <v>170.79000000000002</v>
      </c>
      <c r="U267" s="249">
        <f t="shared" si="134"/>
        <v>1427661.5</v>
      </c>
      <c r="V267" s="249">
        <f t="shared" si="134"/>
        <v>0</v>
      </c>
      <c r="W267" s="249">
        <f t="shared" si="134"/>
        <v>1279600</v>
      </c>
      <c r="X267" s="249">
        <f t="shared" si="134"/>
        <v>148061.5</v>
      </c>
      <c r="Y267" s="262">
        <f t="shared" si="134"/>
        <v>20.744999999999997</v>
      </c>
      <c r="Z267" s="249">
        <f>SUM(Z100:Z266)</f>
        <v>1643297</v>
      </c>
      <c r="AA267" s="263">
        <f t="shared" si="134"/>
        <v>0</v>
      </c>
      <c r="AB267" s="249">
        <f t="shared" si="134"/>
        <v>1404069</v>
      </c>
      <c r="AC267" s="249">
        <f>SUM(AC100:AC266)</f>
        <v>239228</v>
      </c>
      <c r="AD267" s="250"/>
    </row>
    <row r="268" spans="1:32" s="266" customFormat="1" ht="27" customHeight="1" x14ac:dyDescent="0.2">
      <c r="A268" s="265" t="s">
        <v>431</v>
      </c>
      <c r="B268" s="526" t="s">
        <v>279</v>
      </c>
      <c r="C268" s="527"/>
      <c r="D268" s="527"/>
      <c r="E268" s="527"/>
      <c r="F268" s="527"/>
      <c r="G268" s="527"/>
      <c r="H268" s="527"/>
      <c r="I268" s="527"/>
      <c r="J268" s="527"/>
      <c r="K268" s="527"/>
      <c r="L268" s="527"/>
      <c r="M268" s="527"/>
      <c r="N268" s="527"/>
      <c r="O268" s="527"/>
      <c r="P268" s="527"/>
      <c r="Q268" s="527"/>
      <c r="R268" s="527"/>
      <c r="S268" s="527"/>
      <c r="T268" s="527"/>
      <c r="U268" s="527"/>
      <c r="V268" s="527"/>
      <c r="W268" s="527"/>
      <c r="X268" s="527"/>
      <c r="Y268" s="527"/>
      <c r="Z268" s="527"/>
      <c r="AA268" s="527"/>
      <c r="AB268" s="527"/>
      <c r="AC268" s="528"/>
    </row>
    <row r="269" spans="1:32" s="264" customFormat="1" ht="78" customHeight="1" outlineLevel="1" x14ac:dyDescent="0.2">
      <c r="A269" s="267" t="s">
        <v>1266</v>
      </c>
      <c r="B269" s="268" t="s">
        <v>17</v>
      </c>
      <c r="C269" s="87">
        <f>E269+J269+O269+T269+Y269</f>
        <v>191.94000000000003</v>
      </c>
      <c r="D269" s="88">
        <f>F269+K269+P269+U269+Z269</f>
        <v>425865</v>
      </c>
      <c r="E269" s="87">
        <v>85.67</v>
      </c>
      <c r="F269" s="189">
        <f>G269+H269+I269</f>
        <v>142702</v>
      </c>
      <c r="G269" s="88">
        <v>0</v>
      </c>
      <c r="H269" s="88">
        <f>135000</f>
        <v>135000</v>
      </c>
      <c r="I269" s="88">
        <v>7702</v>
      </c>
      <c r="J269" s="87">
        <v>87.87</v>
      </c>
      <c r="K269" s="189">
        <f>SUM(L269:N269)</f>
        <v>132502</v>
      </c>
      <c r="L269" s="88">
        <v>0</v>
      </c>
      <c r="M269" s="88">
        <v>0</v>
      </c>
      <c r="N269" s="88">
        <f>132751-249</f>
        <v>132502</v>
      </c>
      <c r="O269" s="87">
        <f>5.8+18.4-5.8</f>
        <v>18.399999999999999</v>
      </c>
      <c r="P269" s="88">
        <f>Q269+R269+S269</f>
        <v>39988</v>
      </c>
      <c r="Q269" s="88">
        <v>0</v>
      </c>
      <c r="R269" s="88">
        <v>0</v>
      </c>
      <c r="S269" s="88">
        <f>47696-7696-12</f>
        <v>39988</v>
      </c>
      <c r="T269" s="87">
        <f>5.8-5.8</f>
        <v>0</v>
      </c>
      <c r="U269" s="88">
        <f>V269+W269+X269</f>
        <v>110673</v>
      </c>
      <c r="V269" s="88">
        <v>0</v>
      </c>
      <c r="W269" s="88">
        <v>0</v>
      </c>
      <c r="X269" s="88">
        <f>62015+43535+6000-877</f>
        <v>110673</v>
      </c>
      <c r="Y269" s="87">
        <f>5.8-5.8</f>
        <v>0</v>
      </c>
      <c r="Z269" s="88">
        <f>AA269+AB269+AC269</f>
        <v>0</v>
      </c>
      <c r="AA269" s="88">
        <v>0</v>
      </c>
      <c r="AB269" s="88">
        <v>0</v>
      </c>
      <c r="AC269" s="88">
        <f>55345-55345</f>
        <v>0</v>
      </c>
      <c r="AE269" s="250"/>
    </row>
    <row r="270" spans="1:32" s="197" customFormat="1" ht="150.75" customHeight="1" outlineLevel="1" x14ac:dyDescent="0.2">
      <c r="A270" s="267" t="s">
        <v>1267</v>
      </c>
      <c r="B270" s="268" t="s">
        <v>544</v>
      </c>
      <c r="C270" s="87">
        <v>0</v>
      </c>
      <c r="D270" s="88">
        <f>F270+K270+P270+U270+Z270</f>
        <v>654</v>
      </c>
      <c r="E270" s="87">
        <v>0</v>
      </c>
      <c r="F270" s="189">
        <v>0</v>
      </c>
      <c r="G270" s="88">
        <v>0</v>
      </c>
      <c r="H270" s="88">
        <v>0</v>
      </c>
      <c r="I270" s="88">
        <v>0</v>
      </c>
      <c r="J270" s="87">
        <v>0</v>
      </c>
      <c r="K270" s="189">
        <f>SUM(L270:N270)</f>
        <v>0</v>
      </c>
      <c r="L270" s="88">
        <v>0</v>
      </c>
      <c r="M270" s="88">
        <v>0</v>
      </c>
      <c r="N270" s="88">
        <v>0</v>
      </c>
      <c r="O270" s="87">
        <v>0</v>
      </c>
      <c r="P270" s="88">
        <f>Q270+R270+S270</f>
        <v>149</v>
      </c>
      <c r="Q270" s="88">
        <v>0</v>
      </c>
      <c r="R270" s="88">
        <v>0</v>
      </c>
      <c r="S270" s="88">
        <f>699-550</f>
        <v>149</v>
      </c>
      <c r="T270" s="87">
        <v>0</v>
      </c>
      <c r="U270" s="88">
        <f>V270+W270+X270</f>
        <v>505</v>
      </c>
      <c r="V270" s="88">
        <v>0</v>
      </c>
      <c r="W270" s="88">
        <v>0</v>
      </c>
      <c r="X270" s="88">
        <f>573-68</f>
        <v>505</v>
      </c>
      <c r="Y270" s="87">
        <v>0</v>
      </c>
      <c r="Z270" s="88">
        <f>AA270+AB270+AC270</f>
        <v>0</v>
      </c>
      <c r="AA270" s="88">
        <v>0</v>
      </c>
      <c r="AB270" s="88">
        <v>0</v>
      </c>
      <c r="AC270" s="88">
        <v>0</v>
      </c>
    </row>
    <row r="271" spans="1:32" s="264" customFormat="1" ht="53.25" customHeight="1" x14ac:dyDescent="0.2">
      <c r="A271" s="267"/>
      <c r="B271" s="269" t="s">
        <v>481</v>
      </c>
      <c r="C271" s="248">
        <f>C269+C270</f>
        <v>191.94000000000003</v>
      </c>
      <c r="D271" s="207">
        <f>D269+D270</f>
        <v>426519</v>
      </c>
      <c r="E271" s="248">
        <f t="shared" ref="E271:J271" si="135">E269+E270</f>
        <v>85.67</v>
      </c>
      <c r="F271" s="249">
        <f>F269+F270</f>
        <v>142702</v>
      </c>
      <c r="G271" s="249">
        <f t="shared" si="135"/>
        <v>0</v>
      </c>
      <c r="H271" s="249">
        <f t="shared" si="135"/>
        <v>135000</v>
      </c>
      <c r="I271" s="249">
        <f t="shared" si="135"/>
        <v>7702</v>
      </c>
      <c r="J271" s="248">
        <f t="shared" si="135"/>
        <v>87.87</v>
      </c>
      <c r="K271" s="249">
        <f>K269+K270</f>
        <v>132502</v>
      </c>
      <c r="L271" s="249">
        <f t="shared" ref="L271:AC271" si="136">L269+L270</f>
        <v>0</v>
      </c>
      <c r="M271" s="249">
        <f t="shared" si="136"/>
        <v>0</v>
      </c>
      <c r="N271" s="249">
        <f t="shared" si="136"/>
        <v>132502</v>
      </c>
      <c r="O271" s="248">
        <f t="shared" si="136"/>
        <v>18.399999999999999</v>
      </c>
      <c r="P271" s="249">
        <f>P269+P270</f>
        <v>40137</v>
      </c>
      <c r="Q271" s="249">
        <f t="shared" si="136"/>
        <v>0</v>
      </c>
      <c r="R271" s="249">
        <f t="shared" si="136"/>
        <v>0</v>
      </c>
      <c r="S271" s="249">
        <f t="shared" si="136"/>
        <v>40137</v>
      </c>
      <c r="T271" s="248">
        <f t="shared" si="136"/>
        <v>0</v>
      </c>
      <c r="U271" s="249">
        <f>U269+U270</f>
        <v>111178</v>
      </c>
      <c r="V271" s="249">
        <f t="shared" si="136"/>
        <v>0</v>
      </c>
      <c r="W271" s="249">
        <f t="shared" si="136"/>
        <v>0</v>
      </c>
      <c r="X271" s="249">
        <f t="shared" si="136"/>
        <v>111178</v>
      </c>
      <c r="Y271" s="248">
        <f t="shared" si="136"/>
        <v>0</v>
      </c>
      <c r="Z271" s="249">
        <f t="shared" si="136"/>
        <v>0</v>
      </c>
      <c r="AA271" s="249">
        <f t="shared" si="136"/>
        <v>0</v>
      </c>
      <c r="AB271" s="249">
        <f t="shared" si="136"/>
        <v>0</v>
      </c>
      <c r="AC271" s="249">
        <f t="shared" si="136"/>
        <v>0</v>
      </c>
      <c r="AD271" s="250"/>
    </row>
    <row r="272" spans="1:32" s="264" customFormat="1" ht="31.5" customHeight="1" x14ac:dyDescent="0.2">
      <c r="A272" s="270" t="s">
        <v>432</v>
      </c>
      <c r="B272" s="509" t="s">
        <v>156</v>
      </c>
      <c r="C272" s="510"/>
      <c r="D272" s="510"/>
      <c r="E272" s="510"/>
      <c r="F272" s="510"/>
      <c r="G272" s="510"/>
      <c r="H272" s="510"/>
      <c r="I272" s="510"/>
      <c r="J272" s="510"/>
      <c r="K272" s="510"/>
      <c r="L272" s="510"/>
      <c r="M272" s="510"/>
      <c r="N272" s="510"/>
      <c r="O272" s="510"/>
      <c r="P272" s="510"/>
      <c r="Q272" s="510"/>
      <c r="R272" s="510"/>
      <c r="S272" s="510"/>
      <c r="T272" s="510"/>
      <c r="U272" s="510"/>
      <c r="V272" s="510"/>
      <c r="W272" s="510"/>
      <c r="X272" s="510"/>
      <c r="Y272" s="510"/>
      <c r="Z272" s="510"/>
      <c r="AA272" s="510"/>
      <c r="AB272" s="510"/>
      <c r="AC272" s="511"/>
      <c r="AD272" s="250"/>
    </row>
    <row r="273" spans="1:30" s="264" customFormat="1" ht="25.15" customHeight="1" x14ac:dyDescent="0.2">
      <c r="A273" s="271"/>
      <c r="B273" s="272" t="s">
        <v>75</v>
      </c>
      <c r="C273" s="273"/>
      <c r="D273" s="274"/>
      <c r="E273" s="248"/>
      <c r="F273" s="263"/>
      <c r="G273" s="263"/>
      <c r="H273" s="263"/>
      <c r="I273" s="263"/>
      <c r="J273" s="248"/>
      <c r="K273" s="262"/>
      <c r="L273" s="263"/>
      <c r="M273" s="263"/>
      <c r="N273" s="263"/>
      <c r="O273" s="248"/>
      <c r="P273" s="275"/>
      <c r="Q273" s="263"/>
      <c r="R273" s="263"/>
      <c r="S273" s="273"/>
      <c r="T273" s="248"/>
      <c r="U273" s="276"/>
      <c r="V273" s="263"/>
      <c r="W273" s="263"/>
      <c r="X273" s="263"/>
      <c r="Y273" s="248"/>
      <c r="Z273" s="277"/>
      <c r="AA273" s="277"/>
      <c r="AB273" s="277"/>
      <c r="AC273" s="277"/>
      <c r="AD273" s="250"/>
    </row>
    <row r="274" spans="1:30" s="264" customFormat="1" ht="31.15" customHeight="1" x14ac:dyDescent="0.2">
      <c r="A274" s="278" t="s">
        <v>1268</v>
      </c>
      <c r="B274" s="272" t="s">
        <v>79</v>
      </c>
      <c r="C274" s="279">
        <f t="shared" ref="C274:D276" si="137">E274+J274+O274+T274+Y274</f>
        <v>0</v>
      </c>
      <c r="D274" s="280">
        <f t="shared" si="137"/>
        <v>0</v>
      </c>
      <c r="E274" s="279">
        <v>0</v>
      </c>
      <c r="F274" s="281">
        <f>SUM(G274:I274)</f>
        <v>0</v>
      </c>
      <c r="G274" s="282">
        <v>0</v>
      </c>
      <c r="H274" s="282">
        <v>0</v>
      </c>
      <c r="I274" s="282">
        <v>0</v>
      </c>
      <c r="J274" s="279">
        <v>0</v>
      </c>
      <c r="K274" s="281">
        <f>SUM(L274:N274)</f>
        <v>0</v>
      </c>
      <c r="L274" s="282">
        <v>0</v>
      </c>
      <c r="M274" s="282">
        <v>0</v>
      </c>
      <c r="N274" s="282">
        <v>0</v>
      </c>
      <c r="O274" s="279">
        <v>0</v>
      </c>
      <c r="P274" s="280">
        <f>Q274+R274+S274</f>
        <v>0</v>
      </c>
      <c r="Q274" s="280">
        <v>0</v>
      </c>
      <c r="R274" s="280">
        <v>0</v>
      </c>
      <c r="S274" s="282">
        <v>0</v>
      </c>
      <c r="T274" s="279">
        <v>0</v>
      </c>
      <c r="U274" s="280">
        <f>V274+W274+X274</f>
        <v>0</v>
      </c>
      <c r="V274" s="282">
        <v>0</v>
      </c>
      <c r="W274" s="282">
        <v>0</v>
      </c>
      <c r="X274" s="282">
        <v>0</v>
      </c>
      <c r="Y274" s="279">
        <v>0</v>
      </c>
      <c r="Z274" s="281">
        <f>AA274+AB274+AC274</f>
        <v>0</v>
      </c>
      <c r="AA274" s="282">
        <v>0</v>
      </c>
      <c r="AB274" s="282">
        <v>0</v>
      </c>
      <c r="AC274" s="282">
        <v>0</v>
      </c>
      <c r="AD274" s="250"/>
    </row>
    <row r="275" spans="1:30" s="264" customFormat="1" ht="27" customHeight="1" outlineLevel="1" x14ac:dyDescent="0.2">
      <c r="A275" s="283" t="s">
        <v>1269</v>
      </c>
      <c r="B275" s="284" t="s">
        <v>86</v>
      </c>
      <c r="C275" s="279">
        <f t="shared" si="137"/>
        <v>10</v>
      </c>
      <c r="D275" s="280">
        <f t="shared" si="137"/>
        <v>3520</v>
      </c>
      <c r="E275" s="283">
        <v>0</v>
      </c>
      <c r="F275" s="281">
        <f>SUM(G275:I275)</f>
        <v>0</v>
      </c>
      <c r="G275" s="281">
        <v>0</v>
      </c>
      <c r="H275" s="281">
        <v>0</v>
      </c>
      <c r="I275" s="281">
        <v>0</v>
      </c>
      <c r="J275" s="283">
        <v>0</v>
      </c>
      <c r="K275" s="281">
        <f>SUM(L275:N275)</f>
        <v>0</v>
      </c>
      <c r="L275" s="281">
        <v>0</v>
      </c>
      <c r="M275" s="281">
        <v>0</v>
      </c>
      <c r="N275" s="281">
        <v>0</v>
      </c>
      <c r="O275" s="283">
        <v>0</v>
      </c>
      <c r="P275" s="280">
        <f>Q275+R275+S275</f>
        <v>0</v>
      </c>
      <c r="Q275" s="281">
        <v>0</v>
      </c>
      <c r="R275" s="281">
        <v>0</v>
      </c>
      <c r="S275" s="281">
        <v>0</v>
      </c>
      <c r="T275" s="283">
        <v>0</v>
      </c>
      <c r="U275" s="280">
        <f>V275+W275+X275</f>
        <v>0</v>
      </c>
      <c r="V275" s="281">
        <v>0</v>
      </c>
      <c r="W275" s="281">
        <v>0</v>
      </c>
      <c r="X275" s="281">
        <v>0</v>
      </c>
      <c r="Y275" s="283">
        <v>10</v>
      </c>
      <c r="Z275" s="281">
        <f>AA275+AB275+AC275</f>
        <v>3520</v>
      </c>
      <c r="AA275" s="281">
        <v>0</v>
      </c>
      <c r="AB275" s="281">
        <v>0</v>
      </c>
      <c r="AC275" s="285">
        <f>AC276</f>
        <v>3520</v>
      </c>
      <c r="AD275" s="250"/>
    </row>
    <row r="276" spans="1:30" s="264" customFormat="1" ht="27" customHeight="1" outlineLevel="1" x14ac:dyDescent="0.2">
      <c r="A276" s="267" t="s">
        <v>1352</v>
      </c>
      <c r="B276" s="286" t="s">
        <v>1353</v>
      </c>
      <c r="C276" s="279">
        <f t="shared" si="137"/>
        <v>10</v>
      </c>
      <c r="D276" s="280">
        <f t="shared" si="137"/>
        <v>3520</v>
      </c>
      <c r="E276" s="267">
        <v>0</v>
      </c>
      <c r="F276" s="287">
        <v>0</v>
      </c>
      <c r="G276" s="287">
        <v>0</v>
      </c>
      <c r="H276" s="287">
        <v>0</v>
      </c>
      <c r="I276" s="287">
        <v>0</v>
      </c>
      <c r="J276" s="267">
        <v>0</v>
      </c>
      <c r="K276" s="287">
        <v>0</v>
      </c>
      <c r="L276" s="287">
        <v>0</v>
      </c>
      <c r="M276" s="287">
        <v>0</v>
      </c>
      <c r="N276" s="287">
        <v>0</v>
      </c>
      <c r="O276" s="267">
        <v>0</v>
      </c>
      <c r="P276" s="288">
        <v>0</v>
      </c>
      <c r="Q276" s="287">
        <v>0</v>
      </c>
      <c r="R276" s="287">
        <v>0</v>
      </c>
      <c r="S276" s="287">
        <v>0</v>
      </c>
      <c r="T276" s="267">
        <v>0</v>
      </c>
      <c r="U276" s="288">
        <v>0</v>
      </c>
      <c r="V276" s="287">
        <v>0</v>
      </c>
      <c r="W276" s="287">
        <v>0</v>
      </c>
      <c r="X276" s="287">
        <v>0</v>
      </c>
      <c r="Y276" s="267">
        <v>10</v>
      </c>
      <c r="Z276" s="281">
        <f>AA276+AB276+AC276</f>
        <v>3520</v>
      </c>
      <c r="AA276" s="287">
        <v>0</v>
      </c>
      <c r="AB276" s="287">
        <v>0</v>
      </c>
      <c r="AC276" s="289">
        <v>3520</v>
      </c>
      <c r="AD276" s="250"/>
    </row>
    <row r="277" spans="1:30" s="264" customFormat="1" ht="32.450000000000003" customHeight="1" outlineLevel="1" x14ac:dyDescent="0.2">
      <c r="A277" s="278" t="s">
        <v>1270</v>
      </c>
      <c r="B277" s="284" t="s">
        <v>80</v>
      </c>
      <c r="C277" s="283">
        <f>SUM(C278:C283)</f>
        <v>23.36</v>
      </c>
      <c r="D277" s="281">
        <f>SUM(D278:D284)</f>
        <v>4672</v>
      </c>
      <c r="E277" s="283">
        <f t="shared" ref="E277:N277" si="138">SUM(E278:E283)</f>
        <v>13.8</v>
      </c>
      <c r="F277" s="281">
        <f t="shared" si="138"/>
        <v>2746</v>
      </c>
      <c r="G277" s="281">
        <f t="shared" si="138"/>
        <v>0</v>
      </c>
      <c r="H277" s="281">
        <f t="shared" si="138"/>
        <v>0</v>
      </c>
      <c r="I277" s="281">
        <f t="shared" si="138"/>
        <v>2746</v>
      </c>
      <c r="J277" s="283">
        <f t="shared" si="138"/>
        <v>0</v>
      </c>
      <c r="K277" s="281">
        <f t="shared" si="138"/>
        <v>0</v>
      </c>
      <c r="L277" s="281">
        <f t="shared" si="138"/>
        <v>0</v>
      </c>
      <c r="M277" s="281">
        <f t="shared" si="138"/>
        <v>0</v>
      </c>
      <c r="N277" s="281">
        <f t="shared" si="138"/>
        <v>0</v>
      </c>
      <c r="O277" s="283">
        <f>SUM(O278:O284)</f>
        <v>6.98</v>
      </c>
      <c r="P277" s="281">
        <f>SUM(P278:P284)</f>
        <v>1210</v>
      </c>
      <c r="Q277" s="281">
        <f>SUM(Q278:Q284)</f>
        <v>0</v>
      </c>
      <c r="R277" s="281">
        <f>SUM(R278:R284)</f>
        <v>0</v>
      </c>
      <c r="S277" s="281">
        <f>SUM(S278:S284)</f>
        <v>1210</v>
      </c>
      <c r="T277" s="283">
        <f t="shared" ref="T277:Y277" si="139">SUM(T278:T283)</f>
        <v>4</v>
      </c>
      <c r="U277" s="281">
        <f t="shared" si="139"/>
        <v>716</v>
      </c>
      <c r="V277" s="281">
        <f t="shared" si="139"/>
        <v>0</v>
      </c>
      <c r="W277" s="281">
        <f t="shared" si="139"/>
        <v>0</v>
      </c>
      <c r="X277" s="281">
        <f t="shared" si="139"/>
        <v>716</v>
      </c>
      <c r="Y277" s="283">
        <f t="shared" si="139"/>
        <v>0</v>
      </c>
      <c r="Z277" s="281">
        <f>SUM(Z278:Z283)</f>
        <v>0</v>
      </c>
      <c r="AA277" s="281">
        <f>SUM(AA278:AA283)</f>
        <v>0</v>
      </c>
      <c r="AB277" s="281">
        <f>SUM(AB278:AB283)</f>
        <v>0</v>
      </c>
      <c r="AC277" s="281">
        <f>SUM(AC278:AC283)</f>
        <v>0</v>
      </c>
      <c r="AD277" s="250"/>
    </row>
    <row r="278" spans="1:30" s="264" customFormat="1" ht="42.75" customHeight="1" outlineLevel="1" x14ac:dyDescent="0.2">
      <c r="A278" s="271" t="s">
        <v>1271</v>
      </c>
      <c r="B278" s="286" t="s">
        <v>282</v>
      </c>
      <c r="C278" s="198">
        <f>E278+J278+P278+T278+Y278</f>
        <v>7.25</v>
      </c>
      <c r="D278" s="88">
        <f>F278+K278+P278+Z278+U278</f>
        <v>831</v>
      </c>
      <c r="E278" s="87">
        <v>7.25</v>
      </c>
      <c r="F278" s="189">
        <f t="shared" ref="F278" si="140">G278+H278+I278</f>
        <v>831</v>
      </c>
      <c r="G278" s="189">
        <v>0</v>
      </c>
      <c r="H278" s="189">
        <v>0</v>
      </c>
      <c r="I278" s="189">
        <v>831</v>
      </c>
      <c r="J278" s="87">
        <f t="shared" ref="J278:K280" si="141">K278+L278+M278</f>
        <v>0</v>
      </c>
      <c r="K278" s="189">
        <f t="shared" si="141"/>
        <v>0</v>
      </c>
      <c r="L278" s="189">
        <v>0</v>
      </c>
      <c r="M278" s="189">
        <v>0</v>
      </c>
      <c r="N278" s="189">
        <v>0</v>
      </c>
      <c r="O278" s="197">
        <v>0</v>
      </c>
      <c r="P278" s="288">
        <v>0</v>
      </c>
      <c r="Q278" s="189">
        <v>0</v>
      </c>
      <c r="R278" s="189">
        <v>0</v>
      </c>
      <c r="S278" s="189">
        <v>0</v>
      </c>
      <c r="T278" s="87">
        <v>0</v>
      </c>
      <c r="U278" s="189">
        <f>V278+W278+X278</f>
        <v>0</v>
      </c>
      <c r="V278" s="189">
        <v>0</v>
      </c>
      <c r="W278" s="189">
        <v>0</v>
      </c>
      <c r="X278" s="189">
        <v>0</v>
      </c>
      <c r="Y278" s="87">
        <v>0</v>
      </c>
      <c r="Z278" s="189">
        <f>AA278+AB278+AC278</f>
        <v>0</v>
      </c>
      <c r="AA278" s="189">
        <v>0</v>
      </c>
      <c r="AB278" s="189">
        <v>0</v>
      </c>
      <c r="AC278" s="189">
        <v>0</v>
      </c>
      <c r="AD278" s="250"/>
    </row>
    <row r="279" spans="1:30" s="264" customFormat="1" ht="31.9" customHeight="1" outlineLevel="1" x14ac:dyDescent="0.2">
      <c r="A279" s="271" t="s">
        <v>1272</v>
      </c>
      <c r="B279" s="290" t="s">
        <v>517</v>
      </c>
      <c r="C279" s="198">
        <f t="shared" ref="C279:C283" si="142">E279+J279+O279+T279+Y279</f>
        <v>4</v>
      </c>
      <c r="D279" s="88">
        <f t="shared" ref="D279:D283" si="143">F279+K279+P279+Z279+U279</f>
        <v>716</v>
      </c>
      <c r="E279" s="87">
        <v>0</v>
      </c>
      <c r="F279" s="189">
        <f t="shared" ref="F279:F283" si="144">G279+H279+I279</f>
        <v>0</v>
      </c>
      <c r="G279" s="288">
        <v>0</v>
      </c>
      <c r="H279" s="288">
        <v>0</v>
      </c>
      <c r="I279" s="288">
        <v>0</v>
      </c>
      <c r="J279" s="87">
        <v>0</v>
      </c>
      <c r="K279" s="189">
        <f t="shared" si="141"/>
        <v>0</v>
      </c>
      <c r="L279" s="288">
        <v>0</v>
      </c>
      <c r="M279" s="288">
        <v>0</v>
      </c>
      <c r="N279" s="288">
        <v>0</v>
      </c>
      <c r="O279" s="198">
        <v>0</v>
      </c>
      <c r="P279" s="288">
        <f t="shared" ref="P279:P290" si="145">Q279+R279+S279</f>
        <v>0</v>
      </c>
      <c r="Q279" s="288">
        <v>0</v>
      </c>
      <c r="R279" s="288">
        <v>0</v>
      </c>
      <c r="S279" s="201">
        <v>0</v>
      </c>
      <c r="T279" s="198">
        <v>4</v>
      </c>
      <c r="U279" s="288">
        <f>V279+W279+X279</f>
        <v>716</v>
      </c>
      <c r="V279" s="288">
        <v>0</v>
      </c>
      <c r="W279" s="288">
        <v>0</v>
      </c>
      <c r="X279" s="288">
        <f>928-212</f>
        <v>716</v>
      </c>
      <c r="Y279" s="198">
        <v>0</v>
      </c>
      <c r="Z279" s="288">
        <f t="shared" ref="Z279:Z281" si="146">AA279+AB279+AC279</f>
        <v>0</v>
      </c>
      <c r="AA279" s="288">
        <v>0</v>
      </c>
      <c r="AB279" s="288">
        <v>0</v>
      </c>
      <c r="AC279" s="201">
        <v>0</v>
      </c>
      <c r="AD279" s="250"/>
    </row>
    <row r="280" spans="1:30" s="264" customFormat="1" ht="24" customHeight="1" outlineLevel="1" x14ac:dyDescent="0.2">
      <c r="A280" s="271" t="s">
        <v>1273</v>
      </c>
      <c r="B280" s="286" t="s">
        <v>514</v>
      </c>
      <c r="C280" s="198">
        <f t="shared" si="142"/>
        <v>4.12</v>
      </c>
      <c r="D280" s="88">
        <f t="shared" si="143"/>
        <v>692</v>
      </c>
      <c r="E280" s="87">
        <v>0</v>
      </c>
      <c r="F280" s="189">
        <f t="shared" si="144"/>
        <v>0</v>
      </c>
      <c r="G280" s="288">
        <v>0</v>
      </c>
      <c r="H280" s="288">
        <v>0</v>
      </c>
      <c r="I280" s="288">
        <v>0</v>
      </c>
      <c r="J280" s="87">
        <v>0</v>
      </c>
      <c r="K280" s="189">
        <f t="shared" si="141"/>
        <v>0</v>
      </c>
      <c r="L280" s="288">
        <v>0</v>
      </c>
      <c r="M280" s="288">
        <v>0</v>
      </c>
      <c r="N280" s="288">
        <v>0</v>
      </c>
      <c r="O280" s="198">
        <v>4.12</v>
      </c>
      <c r="P280" s="288">
        <f t="shared" si="145"/>
        <v>692</v>
      </c>
      <c r="Q280" s="288">
        <v>0</v>
      </c>
      <c r="R280" s="288">
        <v>0</v>
      </c>
      <c r="S280" s="201">
        <f>885-285+92</f>
        <v>692</v>
      </c>
      <c r="T280" s="198">
        <v>0</v>
      </c>
      <c r="U280" s="288">
        <v>0</v>
      </c>
      <c r="V280" s="288">
        <v>0</v>
      </c>
      <c r="W280" s="288">
        <v>0</v>
      </c>
      <c r="X280" s="288">
        <v>0</v>
      </c>
      <c r="Y280" s="198">
        <v>0</v>
      </c>
      <c r="Z280" s="288">
        <f t="shared" si="146"/>
        <v>0</v>
      </c>
      <c r="AA280" s="288">
        <v>0</v>
      </c>
      <c r="AB280" s="288">
        <v>0</v>
      </c>
      <c r="AC280" s="201">
        <v>0</v>
      </c>
      <c r="AD280" s="250"/>
    </row>
    <row r="281" spans="1:30" s="264" customFormat="1" ht="46.9" customHeight="1" outlineLevel="1" x14ac:dyDescent="0.2">
      <c r="A281" s="271" t="s">
        <v>1274</v>
      </c>
      <c r="B281" s="286" t="s">
        <v>515</v>
      </c>
      <c r="C281" s="198">
        <f t="shared" si="142"/>
        <v>1.44</v>
      </c>
      <c r="D281" s="88">
        <f t="shared" si="143"/>
        <v>243</v>
      </c>
      <c r="E281" s="87">
        <v>0</v>
      </c>
      <c r="F281" s="189">
        <f t="shared" si="144"/>
        <v>0</v>
      </c>
      <c r="G281" s="288">
        <v>0</v>
      </c>
      <c r="H281" s="288">
        <v>0</v>
      </c>
      <c r="I281" s="288">
        <v>0</v>
      </c>
      <c r="J281" s="87">
        <v>0</v>
      </c>
      <c r="K281" s="189">
        <f t="shared" ref="K281:K283" si="147">L281+M281+N281</f>
        <v>0</v>
      </c>
      <c r="L281" s="288">
        <v>0</v>
      </c>
      <c r="M281" s="288">
        <v>0</v>
      </c>
      <c r="N281" s="288">
        <v>0</v>
      </c>
      <c r="O281" s="198">
        <v>1.44</v>
      </c>
      <c r="P281" s="288">
        <f t="shared" si="145"/>
        <v>243</v>
      </c>
      <c r="Q281" s="288">
        <v>0</v>
      </c>
      <c r="R281" s="288">
        <v>0</v>
      </c>
      <c r="S281" s="201">
        <f>303-60</f>
        <v>243</v>
      </c>
      <c r="T281" s="198">
        <v>0</v>
      </c>
      <c r="U281" s="288">
        <v>0</v>
      </c>
      <c r="V281" s="288">
        <v>0</v>
      </c>
      <c r="W281" s="288">
        <v>0</v>
      </c>
      <c r="X281" s="288">
        <v>0</v>
      </c>
      <c r="Y281" s="198">
        <v>0</v>
      </c>
      <c r="Z281" s="288">
        <f t="shared" si="146"/>
        <v>0</v>
      </c>
      <c r="AA281" s="288">
        <v>0</v>
      </c>
      <c r="AB281" s="288">
        <v>0</v>
      </c>
      <c r="AC281" s="201">
        <v>0</v>
      </c>
      <c r="AD281" s="250"/>
    </row>
    <row r="282" spans="1:30" s="264" customFormat="1" ht="39.6" customHeight="1" outlineLevel="1" x14ac:dyDescent="0.2">
      <c r="A282" s="271" t="s">
        <v>1275</v>
      </c>
      <c r="B282" s="286" t="s">
        <v>283</v>
      </c>
      <c r="C282" s="198">
        <f t="shared" si="142"/>
        <v>5.65</v>
      </c>
      <c r="D282" s="88">
        <f t="shared" si="143"/>
        <v>648</v>
      </c>
      <c r="E282" s="87">
        <v>5.65</v>
      </c>
      <c r="F282" s="189">
        <f t="shared" si="144"/>
        <v>648</v>
      </c>
      <c r="G282" s="288">
        <v>0</v>
      </c>
      <c r="H282" s="288">
        <v>0</v>
      </c>
      <c r="I282" s="288">
        <v>648</v>
      </c>
      <c r="J282" s="87">
        <v>0</v>
      </c>
      <c r="K282" s="189">
        <f t="shared" si="147"/>
        <v>0</v>
      </c>
      <c r="L282" s="288">
        <v>0</v>
      </c>
      <c r="M282" s="288">
        <v>0</v>
      </c>
      <c r="N282" s="288">
        <v>0</v>
      </c>
      <c r="O282" s="198">
        <v>0</v>
      </c>
      <c r="P282" s="288">
        <f>Q282+R282+S282</f>
        <v>0</v>
      </c>
      <c r="Q282" s="288">
        <v>0</v>
      </c>
      <c r="R282" s="288">
        <v>0</v>
      </c>
      <c r="S282" s="201">
        <v>0</v>
      </c>
      <c r="T282" s="198">
        <v>0</v>
      </c>
      <c r="U282" s="288">
        <v>0</v>
      </c>
      <c r="V282" s="288">
        <v>0</v>
      </c>
      <c r="W282" s="288">
        <v>0</v>
      </c>
      <c r="X282" s="288">
        <v>0</v>
      </c>
      <c r="Y282" s="198">
        <v>0</v>
      </c>
      <c r="Z282" s="288">
        <f>AA282+AB282+AC282</f>
        <v>0</v>
      </c>
      <c r="AA282" s="288">
        <v>0</v>
      </c>
      <c r="AB282" s="288">
        <v>0</v>
      </c>
      <c r="AC282" s="201">
        <v>0</v>
      </c>
      <c r="AD282" s="250"/>
    </row>
    <row r="283" spans="1:30" s="264" customFormat="1" ht="39.6" customHeight="1" outlineLevel="1" x14ac:dyDescent="0.2">
      <c r="A283" s="271" t="s">
        <v>1276</v>
      </c>
      <c r="B283" s="286" t="s">
        <v>314</v>
      </c>
      <c r="C283" s="198">
        <f t="shared" si="142"/>
        <v>0.9</v>
      </c>
      <c r="D283" s="88">
        <f t="shared" si="143"/>
        <v>1267</v>
      </c>
      <c r="E283" s="87">
        <v>0.9</v>
      </c>
      <c r="F283" s="189">
        <f t="shared" si="144"/>
        <v>1267</v>
      </c>
      <c r="G283" s="288">
        <v>0</v>
      </c>
      <c r="H283" s="288">
        <v>0</v>
      </c>
      <c r="I283" s="288">
        <v>1267</v>
      </c>
      <c r="J283" s="87">
        <v>0</v>
      </c>
      <c r="K283" s="189">
        <f t="shared" si="147"/>
        <v>0</v>
      </c>
      <c r="L283" s="288">
        <v>0</v>
      </c>
      <c r="M283" s="288">
        <v>0</v>
      </c>
      <c r="N283" s="288">
        <v>0</v>
      </c>
      <c r="O283" s="198">
        <v>0</v>
      </c>
      <c r="P283" s="288">
        <f>Q283+R283+S283</f>
        <v>0</v>
      </c>
      <c r="Q283" s="288">
        <v>0</v>
      </c>
      <c r="R283" s="288">
        <v>0</v>
      </c>
      <c r="S283" s="201">
        <v>0</v>
      </c>
      <c r="T283" s="198">
        <v>0</v>
      </c>
      <c r="U283" s="288">
        <v>0</v>
      </c>
      <c r="V283" s="288">
        <v>0</v>
      </c>
      <c r="W283" s="288">
        <v>0</v>
      </c>
      <c r="X283" s="288">
        <v>0</v>
      </c>
      <c r="Y283" s="198">
        <v>0</v>
      </c>
      <c r="Z283" s="288">
        <f>AA283+AB283+AC283</f>
        <v>0</v>
      </c>
      <c r="AA283" s="288">
        <v>0</v>
      </c>
      <c r="AB283" s="288">
        <v>0</v>
      </c>
      <c r="AC283" s="201">
        <v>0</v>
      </c>
      <c r="AD283" s="250"/>
    </row>
    <row r="284" spans="1:30" s="264" customFormat="1" ht="39.6" customHeight="1" outlineLevel="1" x14ac:dyDescent="0.2">
      <c r="A284" s="271" t="s">
        <v>1277</v>
      </c>
      <c r="B284" s="286" t="s">
        <v>513</v>
      </c>
      <c r="C284" s="198">
        <f>E284+J284+O284+T284+Y284</f>
        <v>1.42</v>
      </c>
      <c r="D284" s="88">
        <f>F284+K284+P284+Z284+U284</f>
        <v>275</v>
      </c>
      <c r="E284" s="87">
        <v>0</v>
      </c>
      <c r="F284" s="189">
        <f>G284+H284+I284</f>
        <v>0</v>
      </c>
      <c r="G284" s="288">
        <v>0</v>
      </c>
      <c r="H284" s="288">
        <v>0</v>
      </c>
      <c r="I284" s="288">
        <v>0</v>
      </c>
      <c r="J284" s="87">
        <v>0</v>
      </c>
      <c r="K284" s="189">
        <f>L284+M284+N284</f>
        <v>0</v>
      </c>
      <c r="L284" s="288">
        <v>0</v>
      </c>
      <c r="M284" s="288">
        <v>0</v>
      </c>
      <c r="N284" s="288">
        <v>0</v>
      </c>
      <c r="O284" s="198">
        <v>1.42</v>
      </c>
      <c r="P284" s="288">
        <f>Q284+R284+S284</f>
        <v>275</v>
      </c>
      <c r="Q284" s="288">
        <v>0</v>
      </c>
      <c r="R284" s="288">
        <v>0</v>
      </c>
      <c r="S284" s="201">
        <f>345-70</f>
        <v>275</v>
      </c>
      <c r="T284" s="198">
        <v>0</v>
      </c>
      <c r="U284" s="288">
        <v>0</v>
      </c>
      <c r="V284" s="288">
        <v>0</v>
      </c>
      <c r="W284" s="288">
        <v>0</v>
      </c>
      <c r="X284" s="288">
        <v>0</v>
      </c>
      <c r="Y284" s="198">
        <v>0</v>
      </c>
      <c r="Z284" s="288">
        <f>AA284+AB284+AC284</f>
        <v>0</v>
      </c>
      <c r="AA284" s="288">
        <v>0</v>
      </c>
      <c r="AB284" s="288">
        <v>0</v>
      </c>
      <c r="AC284" s="201">
        <v>0</v>
      </c>
      <c r="AD284" s="250"/>
    </row>
    <row r="285" spans="1:30" s="264" customFormat="1" ht="25.9" customHeight="1" x14ac:dyDescent="0.2">
      <c r="A285" s="283"/>
      <c r="B285" s="284" t="s">
        <v>85</v>
      </c>
      <c r="C285" s="283">
        <f t="shared" ref="C285:J285" si="148">SUM(C274,C277,C275)</f>
        <v>33.36</v>
      </c>
      <c r="D285" s="281">
        <f t="shared" si="148"/>
        <v>8192</v>
      </c>
      <c r="E285" s="283">
        <f t="shared" si="148"/>
        <v>13.8</v>
      </c>
      <c r="F285" s="281">
        <f t="shared" si="148"/>
        <v>2746</v>
      </c>
      <c r="G285" s="281">
        <f t="shared" si="148"/>
        <v>0</v>
      </c>
      <c r="H285" s="281">
        <f t="shared" si="148"/>
        <v>0</v>
      </c>
      <c r="I285" s="281">
        <f t="shared" si="148"/>
        <v>2746</v>
      </c>
      <c r="J285" s="283">
        <f t="shared" si="148"/>
        <v>0</v>
      </c>
      <c r="K285" s="281">
        <f>SUM(L285:N285)</f>
        <v>0</v>
      </c>
      <c r="L285" s="281">
        <f>SUM(L274,L277,L275)</f>
        <v>0</v>
      </c>
      <c r="M285" s="281">
        <f>SUM(M274,M277,M275)</f>
        <v>0</v>
      </c>
      <c r="N285" s="281">
        <f>SUM(N274,N277,N275)</f>
        <v>0</v>
      </c>
      <c r="O285" s="283">
        <f>SUM(O274,O277,O275)</f>
        <v>6.98</v>
      </c>
      <c r="P285" s="281">
        <f>Q285+R285+S285</f>
        <v>1210</v>
      </c>
      <c r="Q285" s="281">
        <f>SUM(Q274,Q277,Q275)</f>
        <v>0</v>
      </c>
      <c r="R285" s="281">
        <f>SUM(R274,R277,R275)</f>
        <v>0</v>
      </c>
      <c r="S285" s="281">
        <f>SUM(S274,S277,S275)</f>
        <v>1210</v>
      </c>
      <c r="T285" s="283">
        <f>SUM(T274,T277,T275)</f>
        <v>4</v>
      </c>
      <c r="U285" s="281">
        <f>V285+W285+X285</f>
        <v>716</v>
      </c>
      <c r="V285" s="281">
        <f t="shared" ref="V285:AC285" si="149">SUM(V274,V277,V275)</f>
        <v>0</v>
      </c>
      <c r="W285" s="281">
        <f t="shared" si="149"/>
        <v>0</v>
      </c>
      <c r="X285" s="281">
        <f t="shared" si="149"/>
        <v>716</v>
      </c>
      <c r="Y285" s="283">
        <f t="shared" si="149"/>
        <v>10</v>
      </c>
      <c r="Z285" s="281">
        <f>SUM(Z274,Z277,Z275)</f>
        <v>3520</v>
      </c>
      <c r="AA285" s="281">
        <f t="shared" si="149"/>
        <v>0</v>
      </c>
      <c r="AB285" s="281">
        <f t="shared" si="149"/>
        <v>0</v>
      </c>
      <c r="AC285" s="281">
        <f t="shared" si="149"/>
        <v>3520</v>
      </c>
      <c r="AD285" s="250"/>
    </row>
    <row r="286" spans="1:30" s="264" customFormat="1" ht="24" customHeight="1" x14ac:dyDescent="0.2">
      <c r="A286" s="278"/>
      <c r="B286" s="291" t="s">
        <v>76</v>
      </c>
      <c r="C286" s="292"/>
      <c r="D286" s="288"/>
      <c r="E286" s="87"/>
      <c r="F286" s="281"/>
      <c r="G286" s="293"/>
      <c r="H286" s="293"/>
      <c r="I286" s="293"/>
      <c r="J286" s="248"/>
      <c r="K286" s="287"/>
      <c r="L286" s="293"/>
      <c r="M286" s="293"/>
      <c r="N286" s="293"/>
      <c r="O286" s="292"/>
      <c r="P286" s="288"/>
      <c r="Q286" s="293"/>
      <c r="R286" s="293"/>
      <c r="S286" s="294"/>
      <c r="T286" s="292"/>
      <c r="U286" s="288"/>
      <c r="V286" s="293"/>
      <c r="W286" s="293"/>
      <c r="X286" s="294"/>
      <c r="Y286" s="292"/>
      <c r="Z286" s="288"/>
      <c r="AA286" s="288"/>
      <c r="AB286" s="288"/>
      <c r="AC286" s="294"/>
      <c r="AD286" s="250"/>
    </row>
    <row r="287" spans="1:30" s="264" customFormat="1" ht="34.15" customHeight="1" outlineLevel="1" x14ac:dyDescent="0.2">
      <c r="A287" s="283" t="s">
        <v>1278</v>
      </c>
      <c r="B287" s="295" t="s">
        <v>83</v>
      </c>
      <c r="C287" s="279">
        <f>E287+J287+O287+T287+Y287</f>
        <v>0</v>
      </c>
      <c r="D287" s="282">
        <f>F287+K287+P287+U287+Z287</f>
        <v>0</v>
      </c>
      <c r="E287" s="279">
        <v>0</v>
      </c>
      <c r="F287" s="281">
        <f>G287+H287+I287</f>
        <v>0</v>
      </c>
      <c r="G287" s="282">
        <v>0</v>
      </c>
      <c r="H287" s="282">
        <v>0</v>
      </c>
      <c r="I287" s="282">
        <v>0</v>
      </c>
      <c r="J287" s="279">
        <v>0</v>
      </c>
      <c r="K287" s="282">
        <f>SUM(L287:N287)</f>
        <v>0</v>
      </c>
      <c r="L287" s="282">
        <v>0</v>
      </c>
      <c r="M287" s="282">
        <v>0</v>
      </c>
      <c r="N287" s="282">
        <v>0</v>
      </c>
      <c r="O287" s="279">
        <v>0</v>
      </c>
      <c r="P287" s="280">
        <f t="shared" si="145"/>
        <v>0</v>
      </c>
      <c r="Q287" s="282">
        <v>0</v>
      </c>
      <c r="R287" s="282">
        <v>0</v>
      </c>
      <c r="S287" s="282">
        <v>0</v>
      </c>
      <c r="T287" s="279">
        <v>0</v>
      </c>
      <c r="U287" s="280">
        <v>0</v>
      </c>
      <c r="V287" s="280">
        <v>0</v>
      </c>
      <c r="W287" s="280">
        <v>0</v>
      </c>
      <c r="X287" s="280">
        <v>0</v>
      </c>
      <c r="Y287" s="279">
        <v>0</v>
      </c>
      <c r="Z287" s="280">
        <f t="shared" ref="Z287:Z290" si="150">AA287+AB287+AC287</f>
        <v>0</v>
      </c>
      <c r="AA287" s="282">
        <v>0</v>
      </c>
      <c r="AB287" s="282">
        <v>0</v>
      </c>
      <c r="AC287" s="282">
        <v>0</v>
      </c>
      <c r="AD287" s="250"/>
    </row>
    <row r="288" spans="1:30" s="264" customFormat="1" ht="28.9" customHeight="1" outlineLevel="1" x14ac:dyDescent="0.2">
      <c r="A288" s="278" t="s">
        <v>1279</v>
      </c>
      <c r="B288" s="295" t="s">
        <v>82</v>
      </c>
      <c r="C288" s="279">
        <f t="shared" ref="C288:J288" si="151">SUM(C289:C289)</f>
        <v>4.59</v>
      </c>
      <c r="D288" s="282">
        <f t="shared" si="151"/>
        <v>823</v>
      </c>
      <c r="E288" s="279">
        <f t="shared" si="151"/>
        <v>0</v>
      </c>
      <c r="F288" s="282">
        <f t="shared" si="151"/>
        <v>0</v>
      </c>
      <c r="G288" s="282">
        <f t="shared" si="151"/>
        <v>0</v>
      </c>
      <c r="H288" s="282">
        <f t="shared" si="151"/>
        <v>0</v>
      </c>
      <c r="I288" s="282">
        <f t="shared" si="151"/>
        <v>0</v>
      </c>
      <c r="J288" s="279">
        <f t="shared" si="151"/>
        <v>0</v>
      </c>
      <c r="K288" s="287">
        <f t="shared" ref="K288:K289" si="152">L288+M288+N288</f>
        <v>0</v>
      </c>
      <c r="L288" s="282">
        <f>SUM(L289:L289)</f>
        <v>0</v>
      </c>
      <c r="M288" s="282">
        <f>SUM(M289:M289)</f>
        <v>0</v>
      </c>
      <c r="N288" s="282">
        <f>SUM(N289:N289)</f>
        <v>0</v>
      </c>
      <c r="O288" s="279">
        <f>SUM(O289:O289)</f>
        <v>0</v>
      </c>
      <c r="P288" s="280">
        <f t="shared" si="145"/>
        <v>0</v>
      </c>
      <c r="Q288" s="282">
        <f>SUM(Q289:Q289)</f>
        <v>0</v>
      </c>
      <c r="R288" s="282">
        <f>SUM(R289:R289)</f>
        <v>0</v>
      </c>
      <c r="S288" s="282">
        <f>SUM(S289:S289)</f>
        <v>0</v>
      </c>
      <c r="T288" s="279">
        <f>SUM(T289:T289)</f>
        <v>4.59</v>
      </c>
      <c r="U288" s="280">
        <f t="shared" ref="U288:U290" si="153">V288+W288+X288</f>
        <v>823</v>
      </c>
      <c r="V288" s="280">
        <f>SUM(V289:V289)</f>
        <v>0</v>
      </c>
      <c r="W288" s="280">
        <f>SUM(W289:W289)</f>
        <v>0</v>
      </c>
      <c r="X288" s="280">
        <f>SUM(X289:X289)</f>
        <v>823</v>
      </c>
      <c r="Y288" s="279">
        <f>SUM(Y289:Y289)</f>
        <v>0</v>
      </c>
      <c r="Z288" s="280">
        <f t="shared" si="150"/>
        <v>0</v>
      </c>
      <c r="AA288" s="282">
        <f>SUM(AA289:AA289)</f>
        <v>0</v>
      </c>
      <c r="AB288" s="282">
        <f>SUM(AB289:AB289)</f>
        <v>0</v>
      </c>
      <c r="AC288" s="282">
        <f>SUM(AC289:AC289)</f>
        <v>0</v>
      </c>
      <c r="AD288" s="250"/>
    </row>
    <row r="289" spans="1:30" s="264" customFormat="1" ht="36" customHeight="1" outlineLevel="1" x14ac:dyDescent="0.2">
      <c r="A289" s="271" t="s">
        <v>1280</v>
      </c>
      <c r="B289" s="251" t="s">
        <v>518</v>
      </c>
      <c r="C289" s="198">
        <f t="shared" ref="C289" si="154">E289+J289+O289+Y289+T289</f>
        <v>4.59</v>
      </c>
      <c r="D289" s="288">
        <f t="shared" ref="D289:D291" si="155">F289+K289+P289+Z289+U289</f>
        <v>823</v>
      </c>
      <c r="E289" s="87">
        <v>0</v>
      </c>
      <c r="F289" s="287">
        <f t="shared" ref="F289:F291" si="156">G289+H289+I289</f>
        <v>0</v>
      </c>
      <c r="G289" s="288">
        <v>0</v>
      </c>
      <c r="H289" s="288">
        <v>0</v>
      </c>
      <c r="I289" s="288">
        <v>0</v>
      </c>
      <c r="J289" s="87">
        <v>0</v>
      </c>
      <c r="K289" s="287">
        <f t="shared" si="152"/>
        <v>0</v>
      </c>
      <c r="L289" s="288">
        <v>0</v>
      </c>
      <c r="M289" s="288">
        <v>0</v>
      </c>
      <c r="N289" s="288">
        <v>0</v>
      </c>
      <c r="O289" s="198">
        <v>0</v>
      </c>
      <c r="P289" s="288">
        <f t="shared" ref="P289" si="157">Q289+R289+S289</f>
        <v>0</v>
      </c>
      <c r="Q289" s="288">
        <v>0</v>
      </c>
      <c r="R289" s="288">
        <v>0</v>
      </c>
      <c r="S289" s="201">
        <v>0</v>
      </c>
      <c r="T289" s="198">
        <v>4.59</v>
      </c>
      <c r="U289" s="288">
        <f t="shared" si="153"/>
        <v>823</v>
      </c>
      <c r="V289" s="288">
        <v>0</v>
      </c>
      <c r="W289" s="288">
        <v>0</v>
      </c>
      <c r="X289" s="288">
        <f>1133-310</f>
        <v>823</v>
      </c>
      <c r="Y289" s="198">
        <v>0</v>
      </c>
      <c r="Z289" s="288">
        <f t="shared" si="150"/>
        <v>0</v>
      </c>
      <c r="AA289" s="288">
        <v>0</v>
      </c>
      <c r="AB289" s="288">
        <v>0</v>
      </c>
      <c r="AC289" s="201">
        <v>0</v>
      </c>
      <c r="AD289" s="250"/>
    </row>
    <row r="290" spans="1:30" s="264" customFormat="1" ht="28.15" customHeight="1" outlineLevel="1" x14ac:dyDescent="0.2">
      <c r="A290" s="283" t="s">
        <v>1281</v>
      </c>
      <c r="B290" s="284" t="s">
        <v>81</v>
      </c>
      <c r="C290" s="279">
        <f t="shared" ref="C290:J290" si="158">SUM(C291:C291)</f>
        <v>5.6</v>
      </c>
      <c r="D290" s="282">
        <f t="shared" si="158"/>
        <v>1856</v>
      </c>
      <c r="E290" s="279">
        <f t="shared" si="158"/>
        <v>0</v>
      </c>
      <c r="F290" s="282">
        <f t="shared" si="158"/>
        <v>0</v>
      </c>
      <c r="G290" s="282">
        <f t="shared" si="158"/>
        <v>0</v>
      </c>
      <c r="H290" s="282">
        <f t="shared" si="158"/>
        <v>0</v>
      </c>
      <c r="I290" s="282">
        <f t="shared" si="158"/>
        <v>0</v>
      </c>
      <c r="J290" s="279">
        <f t="shared" si="158"/>
        <v>2.8</v>
      </c>
      <c r="K290" s="282">
        <f>SUM(L290:N290)</f>
        <v>1380</v>
      </c>
      <c r="L290" s="282">
        <f>SUM(L291:L291)</f>
        <v>0</v>
      </c>
      <c r="M290" s="282">
        <f>SUM(M291:M291)</f>
        <v>0</v>
      </c>
      <c r="N290" s="282">
        <f>SUM(N291:N291)</f>
        <v>1380</v>
      </c>
      <c r="O290" s="279">
        <f>SUM(O291:O291)</f>
        <v>2.8</v>
      </c>
      <c r="P290" s="280">
        <f t="shared" si="145"/>
        <v>476</v>
      </c>
      <c r="Q290" s="282">
        <f>SUM(Q291:Q291)</f>
        <v>0</v>
      </c>
      <c r="R290" s="282">
        <f>SUM(R291:R291)</f>
        <v>0</v>
      </c>
      <c r="S290" s="282">
        <f>SUM(S291:S291)</f>
        <v>476</v>
      </c>
      <c r="T290" s="279">
        <f>SUM(T291:T291)</f>
        <v>0</v>
      </c>
      <c r="U290" s="280">
        <f t="shared" si="153"/>
        <v>0</v>
      </c>
      <c r="V290" s="280">
        <f>SUM(V291:V291)</f>
        <v>0</v>
      </c>
      <c r="W290" s="280">
        <f>SUM(W291:W291)</f>
        <v>0</v>
      </c>
      <c r="X290" s="280">
        <f>SUM(X291:X291)</f>
        <v>0</v>
      </c>
      <c r="Y290" s="279">
        <f>SUM(Y291:Y291)</f>
        <v>0</v>
      </c>
      <c r="Z290" s="280">
        <f t="shared" si="150"/>
        <v>0</v>
      </c>
      <c r="AA290" s="282">
        <f>SUM(V291:V291)</f>
        <v>0</v>
      </c>
      <c r="AB290" s="282">
        <f>SUM(W291:W291)</f>
        <v>0</v>
      </c>
      <c r="AC290" s="282">
        <f>SUM(AC291:AC291)</f>
        <v>0</v>
      </c>
      <c r="AD290" s="250"/>
    </row>
    <row r="291" spans="1:30" s="264" customFormat="1" ht="27.75" customHeight="1" outlineLevel="1" x14ac:dyDescent="0.2">
      <c r="A291" s="271" t="s">
        <v>1282</v>
      </c>
      <c r="B291" s="286" t="s">
        <v>516</v>
      </c>
      <c r="C291" s="198">
        <f>E291+J291+O291+T291+Y291</f>
        <v>5.6</v>
      </c>
      <c r="D291" s="288">
        <f t="shared" si="155"/>
        <v>1856</v>
      </c>
      <c r="E291" s="87">
        <v>0</v>
      </c>
      <c r="F291" s="287">
        <f t="shared" si="156"/>
        <v>0</v>
      </c>
      <c r="G291" s="288">
        <v>0</v>
      </c>
      <c r="H291" s="288">
        <v>0</v>
      </c>
      <c r="I291" s="288">
        <v>0</v>
      </c>
      <c r="J291" s="87">
        <v>2.8</v>
      </c>
      <c r="K291" s="287">
        <f t="shared" ref="K291" si="159">L291+M291+N291</f>
        <v>1380</v>
      </c>
      <c r="L291" s="288">
        <v>0</v>
      </c>
      <c r="M291" s="288">
        <v>0</v>
      </c>
      <c r="N291" s="288">
        <v>1380</v>
      </c>
      <c r="O291" s="198">
        <v>2.8</v>
      </c>
      <c r="P291" s="288">
        <f t="shared" ref="P291:P294" si="160">Q291+R291+S291</f>
        <v>476</v>
      </c>
      <c r="Q291" s="288">
        <v>0</v>
      </c>
      <c r="R291" s="288">
        <v>0</v>
      </c>
      <c r="S291" s="201">
        <f>724-248</f>
        <v>476</v>
      </c>
      <c r="T291" s="198">
        <v>0</v>
      </c>
      <c r="U291" s="288">
        <v>0</v>
      </c>
      <c r="V291" s="288">
        <v>0</v>
      </c>
      <c r="W291" s="288">
        <v>0</v>
      </c>
      <c r="X291" s="201">
        <v>0</v>
      </c>
      <c r="Y291" s="198">
        <v>0</v>
      </c>
      <c r="Z291" s="288">
        <f>AA291+AB291+AC291</f>
        <v>0</v>
      </c>
      <c r="AA291" s="288">
        <v>0</v>
      </c>
      <c r="AB291" s="288">
        <v>0</v>
      </c>
      <c r="AC291" s="201">
        <v>0</v>
      </c>
      <c r="AD291" s="250"/>
    </row>
    <row r="292" spans="1:30" s="264" customFormat="1" ht="34.15" customHeight="1" outlineLevel="1" x14ac:dyDescent="0.2">
      <c r="A292" s="283" t="s">
        <v>1365</v>
      </c>
      <c r="B292" s="284" t="s">
        <v>84</v>
      </c>
      <c r="C292" s="283">
        <f>E292+J292+O292+T292+Y292</f>
        <v>0</v>
      </c>
      <c r="D292" s="281">
        <f>F292+K292+P292+U292+Z292</f>
        <v>0</v>
      </c>
      <c r="E292" s="283">
        <v>0</v>
      </c>
      <c r="F292" s="281">
        <f>SUM(G292:I292)</f>
        <v>0</v>
      </c>
      <c r="G292" s="281">
        <v>0</v>
      </c>
      <c r="H292" s="281">
        <v>0</v>
      </c>
      <c r="I292" s="281">
        <v>0</v>
      </c>
      <c r="J292" s="283">
        <v>0</v>
      </c>
      <c r="K292" s="281">
        <f>SUM(L292:N292)</f>
        <v>0</v>
      </c>
      <c r="L292" s="281">
        <v>0</v>
      </c>
      <c r="M292" s="281">
        <v>0</v>
      </c>
      <c r="N292" s="281">
        <v>0</v>
      </c>
      <c r="O292" s="283">
        <v>0</v>
      </c>
      <c r="P292" s="280">
        <f t="shared" si="160"/>
        <v>0</v>
      </c>
      <c r="Q292" s="281">
        <v>0</v>
      </c>
      <c r="R292" s="281">
        <v>0</v>
      </c>
      <c r="S292" s="281">
        <v>0</v>
      </c>
      <c r="T292" s="279">
        <v>0</v>
      </c>
      <c r="U292" s="280">
        <v>0</v>
      </c>
      <c r="V292" s="280">
        <v>0</v>
      </c>
      <c r="W292" s="280">
        <v>0</v>
      </c>
      <c r="X292" s="280">
        <v>0</v>
      </c>
      <c r="Y292" s="283">
        <v>0</v>
      </c>
      <c r="Z292" s="280">
        <f>AA292+AB292+AC292</f>
        <v>0</v>
      </c>
      <c r="AA292" s="281">
        <v>0</v>
      </c>
      <c r="AB292" s="281">
        <v>0</v>
      </c>
      <c r="AC292" s="281">
        <v>0</v>
      </c>
      <c r="AD292" s="250"/>
    </row>
    <row r="293" spans="1:30" s="264" customFormat="1" ht="32.25" customHeight="1" x14ac:dyDescent="0.2">
      <c r="A293" s="267"/>
      <c r="B293" s="296" t="s">
        <v>78</v>
      </c>
      <c r="C293" s="279">
        <f t="shared" ref="C293:J293" si="161">SUM(C292,C290,C288,C287)</f>
        <v>10.19</v>
      </c>
      <c r="D293" s="297">
        <f t="shared" si="161"/>
        <v>2679</v>
      </c>
      <c r="E293" s="279">
        <f t="shared" si="161"/>
        <v>0</v>
      </c>
      <c r="F293" s="297">
        <f t="shared" si="161"/>
        <v>0</v>
      </c>
      <c r="G293" s="297">
        <f t="shared" si="161"/>
        <v>0</v>
      </c>
      <c r="H293" s="297">
        <f t="shared" si="161"/>
        <v>0</v>
      </c>
      <c r="I293" s="297">
        <f t="shared" si="161"/>
        <v>0</v>
      </c>
      <c r="J293" s="279">
        <f t="shared" si="161"/>
        <v>2.8</v>
      </c>
      <c r="K293" s="297">
        <f>SUM(L293:N293)</f>
        <v>1380</v>
      </c>
      <c r="L293" s="297">
        <f>SUM(L292,L290,L288,L287)</f>
        <v>0</v>
      </c>
      <c r="M293" s="297">
        <f>SUM(M292,M290,M288,M287)</f>
        <v>0</v>
      </c>
      <c r="N293" s="297">
        <f>SUM(N292,N290,N288,N287)</f>
        <v>1380</v>
      </c>
      <c r="O293" s="279">
        <f>SUM(O292,,O288,O287,O290)</f>
        <v>2.8</v>
      </c>
      <c r="P293" s="297">
        <f t="shared" si="160"/>
        <v>476</v>
      </c>
      <c r="Q293" s="297">
        <f>SUM(Q292,Q290,Q288,Q287)</f>
        <v>0</v>
      </c>
      <c r="R293" s="297">
        <f>SUM(R292,R290,R288,R287)</f>
        <v>0</v>
      </c>
      <c r="S293" s="297">
        <f>SUM(S292,S290,S288,S287)</f>
        <v>476</v>
      </c>
      <c r="T293" s="279">
        <f>SUM(T292,T290,T288,T287)</f>
        <v>4.59</v>
      </c>
      <c r="U293" s="280">
        <f>V293+W293+X293</f>
        <v>823</v>
      </c>
      <c r="V293" s="280">
        <v>0</v>
      </c>
      <c r="W293" s="280">
        <v>0</v>
      </c>
      <c r="X293" s="280">
        <f>SUM(X292,X290,X288,X287)</f>
        <v>823</v>
      </c>
      <c r="Y293" s="279">
        <f>SUM(Y292,Y290,Y288,Y287)</f>
        <v>0</v>
      </c>
      <c r="Z293" s="297">
        <f>AA293+AB293+AC293</f>
        <v>0</v>
      </c>
      <c r="AA293" s="297">
        <f>SUM(AA292,AA290,AA288,AA287)</f>
        <v>0</v>
      </c>
      <c r="AB293" s="297">
        <f>SUM(AB292,AB290,AB288,AB287)</f>
        <v>0</v>
      </c>
      <c r="AC293" s="297">
        <f>SUM(AC292,AC290,AC288,AC287)</f>
        <v>0</v>
      </c>
      <c r="AD293" s="250"/>
    </row>
    <row r="294" spans="1:30" s="264" customFormat="1" ht="127.5" hidden="1" customHeight="1" x14ac:dyDescent="0.2">
      <c r="A294" s="267"/>
      <c r="B294" s="286" t="s">
        <v>77</v>
      </c>
      <c r="C294" s="198">
        <f>E294+J294+O294+T294+Y294</f>
        <v>0</v>
      </c>
      <c r="D294" s="288">
        <f>F294+K294+P294+U294+Z294</f>
        <v>0</v>
      </c>
      <c r="E294" s="248"/>
      <c r="F294" s="287">
        <f>G294+H294+I294</f>
        <v>0</v>
      </c>
      <c r="G294" s="293"/>
      <c r="H294" s="293"/>
      <c r="I294" s="293"/>
      <c r="J294" s="248"/>
      <c r="K294" s="287">
        <f>SUM(L294:N294)</f>
        <v>0</v>
      </c>
      <c r="L294" s="293"/>
      <c r="M294" s="293"/>
      <c r="N294" s="293"/>
      <c r="O294" s="267">
        <v>0</v>
      </c>
      <c r="P294" s="287">
        <f t="shared" si="160"/>
        <v>0</v>
      </c>
      <c r="Q294" s="293"/>
      <c r="R294" s="293"/>
      <c r="S294" s="287">
        <v>0</v>
      </c>
      <c r="T294" s="267">
        <v>0</v>
      </c>
      <c r="U294" s="287">
        <f>V294+W294+X294</f>
        <v>0</v>
      </c>
      <c r="V294" s="293"/>
      <c r="W294" s="293"/>
      <c r="X294" s="287">
        <v>0</v>
      </c>
      <c r="Y294" s="267">
        <v>0</v>
      </c>
      <c r="Z294" s="287">
        <f t="shared" ref="Z294" si="162">AA294+AB294+AC294</f>
        <v>0</v>
      </c>
      <c r="AA294" s="288">
        <v>0</v>
      </c>
      <c r="AB294" s="288">
        <v>0</v>
      </c>
      <c r="AC294" s="287">
        <v>0</v>
      </c>
      <c r="AD294" s="250"/>
    </row>
    <row r="295" spans="1:30" s="264" customFormat="1" ht="66.75" customHeight="1" x14ac:dyDescent="0.2">
      <c r="A295" s="298"/>
      <c r="B295" s="269" t="s">
        <v>482</v>
      </c>
      <c r="C295" s="248">
        <f t="shared" ref="C295:U295" si="163">C285+C293</f>
        <v>43.55</v>
      </c>
      <c r="D295" s="249">
        <f t="shared" si="163"/>
        <v>10871</v>
      </c>
      <c r="E295" s="248">
        <f t="shared" si="163"/>
        <v>13.8</v>
      </c>
      <c r="F295" s="249">
        <f t="shared" si="163"/>
        <v>2746</v>
      </c>
      <c r="G295" s="249">
        <f t="shared" si="163"/>
        <v>0</v>
      </c>
      <c r="H295" s="249">
        <f t="shared" si="163"/>
        <v>0</v>
      </c>
      <c r="I295" s="249">
        <f t="shared" si="163"/>
        <v>2746</v>
      </c>
      <c r="J295" s="248">
        <f t="shared" si="163"/>
        <v>2.8</v>
      </c>
      <c r="K295" s="249">
        <f t="shared" si="163"/>
        <v>1380</v>
      </c>
      <c r="L295" s="249">
        <f t="shared" si="163"/>
        <v>0</v>
      </c>
      <c r="M295" s="249">
        <f t="shared" si="163"/>
        <v>0</v>
      </c>
      <c r="N295" s="249">
        <f t="shared" si="163"/>
        <v>1380</v>
      </c>
      <c r="O295" s="248">
        <f t="shared" si="163"/>
        <v>9.7800000000000011</v>
      </c>
      <c r="P295" s="249">
        <f t="shared" si="163"/>
        <v>1686</v>
      </c>
      <c r="Q295" s="249">
        <f t="shared" si="163"/>
        <v>0</v>
      </c>
      <c r="R295" s="249">
        <f t="shared" si="163"/>
        <v>0</v>
      </c>
      <c r="S295" s="249">
        <f t="shared" si="163"/>
        <v>1686</v>
      </c>
      <c r="T295" s="248">
        <f t="shared" si="163"/>
        <v>8.59</v>
      </c>
      <c r="U295" s="249">
        <f t="shared" si="163"/>
        <v>1539</v>
      </c>
      <c r="V295" s="249">
        <f>V285+AA293</f>
        <v>0</v>
      </c>
      <c r="W295" s="249">
        <f>W285+AB293</f>
        <v>0</v>
      </c>
      <c r="X295" s="249">
        <f t="shared" ref="X295:AC295" si="164">X285+X293</f>
        <v>1539</v>
      </c>
      <c r="Y295" s="248">
        <f t="shared" si="164"/>
        <v>10</v>
      </c>
      <c r="Z295" s="249">
        <f t="shared" si="164"/>
        <v>3520</v>
      </c>
      <c r="AA295" s="249">
        <f t="shared" si="164"/>
        <v>0</v>
      </c>
      <c r="AB295" s="249">
        <f t="shared" si="164"/>
        <v>0</v>
      </c>
      <c r="AC295" s="249">
        <f t="shared" si="164"/>
        <v>3520</v>
      </c>
      <c r="AD295" s="250"/>
    </row>
    <row r="296" spans="1:30" s="264" customFormat="1" ht="36.75" customHeight="1" x14ac:dyDescent="0.2">
      <c r="A296" s="270" t="s">
        <v>433</v>
      </c>
      <c r="B296" s="509" t="s">
        <v>1054</v>
      </c>
      <c r="C296" s="510"/>
      <c r="D296" s="510"/>
      <c r="E296" s="510"/>
      <c r="F296" s="510"/>
      <c r="G296" s="510"/>
      <c r="H296" s="510"/>
      <c r="I296" s="510"/>
      <c r="J296" s="510"/>
      <c r="K296" s="510"/>
      <c r="L296" s="510"/>
      <c r="M296" s="510"/>
      <c r="N296" s="510"/>
      <c r="O296" s="510"/>
      <c r="P296" s="510"/>
      <c r="Q296" s="510"/>
      <c r="R296" s="510"/>
      <c r="S296" s="510"/>
      <c r="T296" s="510"/>
      <c r="U296" s="510"/>
      <c r="V296" s="510"/>
      <c r="W296" s="510"/>
      <c r="X296" s="510"/>
      <c r="Y296" s="510"/>
      <c r="Z296" s="510"/>
      <c r="AA296" s="510"/>
      <c r="AB296" s="510"/>
      <c r="AC296" s="511"/>
      <c r="AD296" s="250"/>
    </row>
    <row r="297" spans="1:30" s="264" customFormat="1" ht="39.75" customHeight="1" x14ac:dyDescent="0.2">
      <c r="A297" s="267" t="s">
        <v>483</v>
      </c>
      <c r="B297" s="299" t="s">
        <v>303</v>
      </c>
      <c r="C297" s="87">
        <f>E297+J297+O297+T297+Y297</f>
        <v>0</v>
      </c>
      <c r="D297" s="211">
        <f>F297+K297+P297+U297+Z297</f>
        <v>646482</v>
      </c>
      <c r="E297" s="275">
        <v>0</v>
      </c>
      <c r="F297" s="88">
        <f>G297+H297+I297</f>
        <v>155462</v>
      </c>
      <c r="G297" s="88">
        <v>0</v>
      </c>
      <c r="H297" s="88">
        <v>148000</v>
      </c>
      <c r="I297" s="88">
        <v>7462</v>
      </c>
      <c r="J297" s="87">
        <v>0</v>
      </c>
      <c r="K297" s="88">
        <f>SUM(L297:N297)</f>
        <v>212314</v>
      </c>
      <c r="L297" s="88">
        <v>0</v>
      </c>
      <c r="M297" s="88">
        <v>200000</v>
      </c>
      <c r="N297" s="88">
        <v>12314</v>
      </c>
      <c r="O297" s="87">
        <v>0</v>
      </c>
      <c r="P297" s="88">
        <f>Q297+R297+S297</f>
        <v>212314</v>
      </c>
      <c r="Q297" s="288">
        <v>0</v>
      </c>
      <c r="R297" s="88">
        <v>200000</v>
      </c>
      <c r="S297" s="88">
        <v>12314</v>
      </c>
      <c r="T297" s="87">
        <v>0</v>
      </c>
      <c r="U297" s="300">
        <f>V297+W297+X297</f>
        <v>66392</v>
      </c>
      <c r="V297" s="300">
        <v>0</v>
      </c>
      <c r="W297" s="300">
        <f>200000+64400-200000</f>
        <v>64400</v>
      </c>
      <c r="X297" s="301">
        <f>6186+1992-6186</f>
        <v>1992</v>
      </c>
      <c r="Y297" s="87">
        <v>0</v>
      </c>
      <c r="Z297" s="288">
        <f>AA297+AB297+AC297</f>
        <v>0</v>
      </c>
      <c r="AA297" s="288">
        <v>0</v>
      </c>
      <c r="AB297" s="288">
        <v>0</v>
      </c>
      <c r="AC297" s="288">
        <v>0</v>
      </c>
      <c r="AD297" s="250"/>
    </row>
    <row r="298" spans="1:30" s="264" customFormat="1" ht="88.5" customHeight="1" x14ac:dyDescent="0.2">
      <c r="A298" s="298"/>
      <c r="B298" s="269" t="s">
        <v>1358</v>
      </c>
      <c r="C298" s="248">
        <f t="shared" ref="C298:AC298" si="165">C297</f>
        <v>0</v>
      </c>
      <c r="D298" s="221">
        <f t="shared" si="165"/>
        <v>646482</v>
      </c>
      <c r="E298" s="248">
        <f t="shared" si="165"/>
        <v>0</v>
      </c>
      <c r="F298" s="221">
        <f t="shared" si="165"/>
        <v>155462</v>
      </c>
      <c r="G298" s="221">
        <f t="shared" si="165"/>
        <v>0</v>
      </c>
      <c r="H298" s="221">
        <f t="shared" si="165"/>
        <v>148000</v>
      </c>
      <c r="I298" s="221">
        <f t="shared" si="165"/>
        <v>7462</v>
      </c>
      <c r="J298" s="248">
        <f t="shared" si="165"/>
        <v>0</v>
      </c>
      <c r="K298" s="249">
        <f t="shared" si="165"/>
        <v>212314</v>
      </c>
      <c r="L298" s="249">
        <f t="shared" si="165"/>
        <v>0</v>
      </c>
      <c r="M298" s="249">
        <f t="shared" si="165"/>
        <v>200000</v>
      </c>
      <c r="N298" s="249">
        <f t="shared" si="165"/>
        <v>12314</v>
      </c>
      <c r="O298" s="248">
        <f t="shared" si="165"/>
        <v>0</v>
      </c>
      <c r="P298" s="221">
        <f t="shared" si="165"/>
        <v>212314</v>
      </c>
      <c r="Q298" s="221">
        <f t="shared" si="165"/>
        <v>0</v>
      </c>
      <c r="R298" s="221">
        <f t="shared" si="165"/>
        <v>200000</v>
      </c>
      <c r="S298" s="221">
        <f t="shared" si="165"/>
        <v>12314</v>
      </c>
      <c r="T298" s="248">
        <f t="shared" si="165"/>
        <v>0</v>
      </c>
      <c r="U298" s="221">
        <f t="shared" si="165"/>
        <v>66392</v>
      </c>
      <c r="V298" s="221">
        <f t="shared" si="165"/>
        <v>0</v>
      </c>
      <c r="W298" s="221">
        <f t="shared" si="165"/>
        <v>64400</v>
      </c>
      <c r="X298" s="221">
        <f t="shared" si="165"/>
        <v>1992</v>
      </c>
      <c r="Y298" s="248">
        <f t="shared" si="165"/>
        <v>0</v>
      </c>
      <c r="Z298" s="221">
        <f t="shared" si="165"/>
        <v>0</v>
      </c>
      <c r="AA298" s="221">
        <f t="shared" si="165"/>
        <v>0</v>
      </c>
      <c r="AB298" s="221">
        <f t="shared" si="165"/>
        <v>0</v>
      </c>
      <c r="AC298" s="221">
        <f t="shared" si="165"/>
        <v>0</v>
      </c>
      <c r="AD298" s="250"/>
    </row>
    <row r="299" spans="1:30" s="264" customFormat="1" ht="25.5" customHeight="1" x14ac:dyDescent="0.2">
      <c r="A299" s="270" t="s">
        <v>1354</v>
      </c>
      <c r="B299" s="509" t="s">
        <v>1355</v>
      </c>
      <c r="C299" s="510"/>
      <c r="D299" s="510"/>
      <c r="E299" s="510"/>
      <c r="F299" s="510"/>
      <c r="G299" s="510"/>
      <c r="H299" s="510"/>
      <c r="I299" s="510"/>
      <c r="J299" s="510"/>
      <c r="K299" s="510"/>
      <c r="L299" s="510"/>
      <c r="M299" s="510"/>
      <c r="N299" s="510"/>
      <c r="O299" s="510"/>
      <c r="P299" s="510"/>
      <c r="Q299" s="510"/>
      <c r="R299" s="510"/>
      <c r="S299" s="510"/>
      <c r="T299" s="510"/>
      <c r="U299" s="510"/>
      <c r="V299" s="510"/>
      <c r="W299" s="510"/>
      <c r="X299" s="510"/>
      <c r="Y299" s="510"/>
      <c r="Z299" s="510"/>
      <c r="AA299" s="510"/>
      <c r="AB299" s="510"/>
      <c r="AC299" s="511"/>
      <c r="AD299" s="250"/>
    </row>
    <row r="300" spans="1:30" s="264" customFormat="1" ht="88.5" customHeight="1" x14ac:dyDescent="0.2">
      <c r="A300" s="267" t="s">
        <v>1356</v>
      </c>
      <c r="B300" s="299" t="s">
        <v>1357</v>
      </c>
      <c r="C300" s="87">
        <f>E300+J300+O300+T300+Y300</f>
        <v>0</v>
      </c>
      <c r="D300" s="211">
        <f>F300+K300+P300+U300+Z300</f>
        <v>0</v>
      </c>
      <c r="E300" s="275">
        <v>0</v>
      </c>
      <c r="F300" s="88">
        <v>0</v>
      </c>
      <c r="G300" s="88">
        <v>0</v>
      </c>
      <c r="H300" s="88">
        <v>0</v>
      </c>
      <c r="I300" s="88">
        <v>0</v>
      </c>
      <c r="J300" s="87">
        <v>0</v>
      </c>
      <c r="K300" s="88">
        <f>SUM(L300:N300)</f>
        <v>0</v>
      </c>
      <c r="L300" s="88">
        <v>0</v>
      </c>
      <c r="M300" s="88">
        <v>0</v>
      </c>
      <c r="N300" s="88">
        <v>0</v>
      </c>
      <c r="O300" s="87">
        <v>0</v>
      </c>
      <c r="P300" s="88">
        <f>Q300+R300+S300</f>
        <v>0</v>
      </c>
      <c r="Q300" s="288">
        <v>0</v>
      </c>
      <c r="R300" s="88">
        <v>0</v>
      </c>
      <c r="S300" s="88">
        <v>0</v>
      </c>
      <c r="T300" s="87">
        <v>0</v>
      </c>
      <c r="U300" s="300">
        <f>V300+W300+X300</f>
        <v>0</v>
      </c>
      <c r="V300" s="300">
        <v>0</v>
      </c>
      <c r="W300" s="300">
        <v>0</v>
      </c>
      <c r="X300" s="301">
        <v>0</v>
      </c>
      <c r="Y300" s="87">
        <v>0</v>
      </c>
      <c r="Z300" s="288">
        <f>AA300+AB300+AC300</f>
        <v>0</v>
      </c>
      <c r="AA300" s="288">
        <v>0</v>
      </c>
      <c r="AB300" s="288">
        <v>0</v>
      </c>
      <c r="AC300" s="288">
        <f>35000-35000</f>
        <v>0</v>
      </c>
      <c r="AD300" s="250"/>
    </row>
    <row r="301" spans="1:30" s="264" customFormat="1" ht="105.75" customHeight="1" x14ac:dyDescent="0.2">
      <c r="A301" s="298"/>
      <c r="B301" s="269" t="s">
        <v>1359</v>
      </c>
      <c r="C301" s="248">
        <f t="shared" ref="C301:AC301" si="166">C300</f>
        <v>0</v>
      </c>
      <c r="D301" s="221">
        <f t="shared" si="166"/>
        <v>0</v>
      </c>
      <c r="E301" s="248">
        <f t="shared" si="166"/>
        <v>0</v>
      </c>
      <c r="F301" s="221">
        <f t="shared" si="166"/>
        <v>0</v>
      </c>
      <c r="G301" s="221">
        <f t="shared" si="166"/>
        <v>0</v>
      </c>
      <c r="H301" s="221">
        <f t="shared" si="166"/>
        <v>0</v>
      </c>
      <c r="I301" s="221">
        <f t="shared" si="166"/>
        <v>0</v>
      </c>
      <c r="J301" s="248">
        <f t="shared" si="166"/>
        <v>0</v>
      </c>
      <c r="K301" s="249">
        <f t="shared" si="166"/>
        <v>0</v>
      </c>
      <c r="L301" s="249">
        <f t="shared" si="166"/>
        <v>0</v>
      </c>
      <c r="M301" s="249">
        <f t="shared" si="166"/>
        <v>0</v>
      </c>
      <c r="N301" s="249">
        <f t="shared" si="166"/>
        <v>0</v>
      </c>
      <c r="O301" s="248">
        <f t="shared" si="166"/>
        <v>0</v>
      </c>
      <c r="P301" s="221">
        <f t="shared" si="166"/>
        <v>0</v>
      </c>
      <c r="Q301" s="221">
        <f t="shared" si="166"/>
        <v>0</v>
      </c>
      <c r="R301" s="221">
        <f t="shared" si="166"/>
        <v>0</v>
      </c>
      <c r="S301" s="221">
        <f t="shared" si="166"/>
        <v>0</v>
      </c>
      <c r="T301" s="248">
        <f t="shared" si="166"/>
        <v>0</v>
      </c>
      <c r="U301" s="221">
        <f t="shared" si="166"/>
        <v>0</v>
      </c>
      <c r="V301" s="221">
        <f t="shared" si="166"/>
        <v>0</v>
      </c>
      <c r="W301" s="221">
        <f t="shared" si="166"/>
        <v>0</v>
      </c>
      <c r="X301" s="221">
        <f t="shared" si="166"/>
        <v>0</v>
      </c>
      <c r="Y301" s="248">
        <f t="shared" si="166"/>
        <v>0</v>
      </c>
      <c r="Z301" s="221">
        <f t="shared" si="166"/>
        <v>0</v>
      </c>
      <c r="AA301" s="221">
        <f t="shared" si="166"/>
        <v>0</v>
      </c>
      <c r="AB301" s="221">
        <f t="shared" si="166"/>
        <v>0</v>
      </c>
      <c r="AC301" s="221">
        <f t="shared" si="166"/>
        <v>0</v>
      </c>
      <c r="AD301" s="250"/>
    </row>
    <row r="302" spans="1:30" s="264" customFormat="1" ht="33" customHeight="1" x14ac:dyDescent="0.2">
      <c r="A302" s="270" t="s">
        <v>1464</v>
      </c>
      <c r="B302" s="509" t="s">
        <v>1467</v>
      </c>
      <c r="C302" s="510"/>
      <c r="D302" s="510"/>
      <c r="E302" s="510"/>
      <c r="F302" s="510"/>
      <c r="G302" s="510"/>
      <c r="H302" s="510"/>
      <c r="I302" s="510"/>
      <c r="J302" s="510"/>
      <c r="K302" s="510"/>
      <c r="L302" s="510"/>
      <c r="M302" s="510"/>
      <c r="N302" s="510"/>
      <c r="O302" s="510"/>
      <c r="P302" s="510"/>
      <c r="Q302" s="510"/>
      <c r="R302" s="510"/>
      <c r="S302" s="510"/>
      <c r="T302" s="510"/>
      <c r="U302" s="510"/>
      <c r="V302" s="510"/>
      <c r="W302" s="510"/>
      <c r="X302" s="510"/>
      <c r="Y302" s="510"/>
      <c r="Z302" s="510"/>
      <c r="AA302" s="510"/>
      <c r="AB302" s="510"/>
      <c r="AC302" s="511"/>
      <c r="AD302" s="250"/>
    </row>
    <row r="303" spans="1:30" s="264" customFormat="1" ht="64.5" customHeight="1" x14ac:dyDescent="0.2">
      <c r="A303" s="267" t="s">
        <v>1468</v>
      </c>
      <c r="B303" s="302" t="s">
        <v>1466</v>
      </c>
      <c r="C303" s="87">
        <v>0</v>
      </c>
      <c r="D303" s="211">
        <f>F303+K303+P303+U303+Z303</f>
        <v>3728</v>
      </c>
      <c r="E303" s="210">
        <f t="shared" ref="E303" si="167">G303+L303+Q303+V303+AA303</f>
        <v>0</v>
      </c>
      <c r="F303" s="211">
        <f t="shared" ref="F303" si="168">G303+H303+I303</f>
        <v>0</v>
      </c>
      <c r="G303" s="211">
        <v>0</v>
      </c>
      <c r="H303" s="211">
        <v>0</v>
      </c>
      <c r="I303" s="211">
        <v>0</v>
      </c>
      <c r="J303" s="87">
        <v>0</v>
      </c>
      <c r="K303" s="88">
        <f t="shared" ref="K303" si="169">L303+M303+N303</f>
        <v>0</v>
      </c>
      <c r="L303" s="88">
        <v>0</v>
      </c>
      <c r="M303" s="88">
        <v>0</v>
      </c>
      <c r="N303" s="88">
        <v>0</v>
      </c>
      <c r="O303" s="210">
        <f t="shared" ref="O303" si="170">Q303+V303+AA303+AF303+AK303</f>
        <v>0</v>
      </c>
      <c r="P303" s="211">
        <f t="shared" ref="P303" si="171">Q303+R303+S303</f>
        <v>0</v>
      </c>
      <c r="Q303" s="211">
        <v>0</v>
      </c>
      <c r="R303" s="211">
        <v>0</v>
      </c>
      <c r="S303" s="211">
        <v>0</v>
      </c>
      <c r="T303" s="87">
        <v>0</v>
      </c>
      <c r="U303" s="88">
        <f t="shared" ref="U303" si="172">V303+W303+X303</f>
        <v>0</v>
      </c>
      <c r="V303" s="88">
        <v>0</v>
      </c>
      <c r="W303" s="88">
        <v>0</v>
      </c>
      <c r="X303" s="88">
        <v>0</v>
      </c>
      <c r="Y303" s="87">
        <v>0</v>
      </c>
      <c r="Z303" s="211">
        <f>AA303+AB303+AC303</f>
        <v>3728</v>
      </c>
      <c r="AA303" s="211">
        <v>0</v>
      </c>
      <c r="AB303" s="211">
        <v>0</v>
      </c>
      <c r="AC303" s="211">
        <f>4959+1942-1138-805-1230</f>
        <v>3728</v>
      </c>
      <c r="AD303" s="250"/>
    </row>
    <row r="304" spans="1:30" s="264" customFormat="1" ht="76.5" customHeight="1" x14ac:dyDescent="0.2">
      <c r="A304" s="298"/>
      <c r="B304" s="269" t="s">
        <v>1469</v>
      </c>
      <c r="C304" s="248">
        <f t="shared" ref="C304:AC304" si="173">C303</f>
        <v>0</v>
      </c>
      <c r="D304" s="221">
        <f t="shared" si="173"/>
        <v>3728</v>
      </c>
      <c r="E304" s="248">
        <f t="shared" si="173"/>
        <v>0</v>
      </c>
      <c r="F304" s="221">
        <f t="shared" si="173"/>
        <v>0</v>
      </c>
      <c r="G304" s="221">
        <f t="shared" si="173"/>
        <v>0</v>
      </c>
      <c r="H304" s="221">
        <f t="shared" si="173"/>
        <v>0</v>
      </c>
      <c r="I304" s="221">
        <f t="shared" si="173"/>
        <v>0</v>
      </c>
      <c r="J304" s="248">
        <f t="shared" si="173"/>
        <v>0</v>
      </c>
      <c r="K304" s="249">
        <f t="shared" si="173"/>
        <v>0</v>
      </c>
      <c r="L304" s="249">
        <f t="shared" si="173"/>
        <v>0</v>
      </c>
      <c r="M304" s="249">
        <f t="shared" si="173"/>
        <v>0</v>
      </c>
      <c r="N304" s="249">
        <f t="shared" si="173"/>
        <v>0</v>
      </c>
      <c r="O304" s="248">
        <f t="shared" si="173"/>
        <v>0</v>
      </c>
      <c r="P304" s="221">
        <f t="shared" si="173"/>
        <v>0</v>
      </c>
      <c r="Q304" s="221">
        <f t="shared" si="173"/>
        <v>0</v>
      </c>
      <c r="R304" s="221">
        <f t="shared" si="173"/>
        <v>0</v>
      </c>
      <c r="S304" s="221">
        <f t="shared" si="173"/>
        <v>0</v>
      </c>
      <c r="T304" s="248">
        <f t="shared" si="173"/>
        <v>0</v>
      </c>
      <c r="U304" s="221">
        <f t="shared" si="173"/>
        <v>0</v>
      </c>
      <c r="V304" s="221">
        <f t="shared" si="173"/>
        <v>0</v>
      </c>
      <c r="W304" s="221">
        <f t="shared" si="173"/>
        <v>0</v>
      </c>
      <c r="X304" s="221">
        <f t="shared" si="173"/>
        <v>0</v>
      </c>
      <c r="Y304" s="248">
        <f t="shared" si="173"/>
        <v>0</v>
      </c>
      <c r="Z304" s="221">
        <f t="shared" si="173"/>
        <v>3728</v>
      </c>
      <c r="AA304" s="221">
        <f t="shared" si="173"/>
        <v>0</v>
      </c>
      <c r="AB304" s="221">
        <f t="shared" si="173"/>
        <v>0</v>
      </c>
      <c r="AC304" s="221">
        <f t="shared" si="173"/>
        <v>3728</v>
      </c>
      <c r="AD304" s="250"/>
    </row>
    <row r="305" spans="1:31" s="264" customFormat="1" ht="42.75" customHeight="1" x14ac:dyDescent="0.2">
      <c r="A305" s="533" t="s">
        <v>366</v>
      </c>
      <c r="B305" s="533"/>
      <c r="C305" s="533"/>
      <c r="D305" s="207">
        <f>D307-D306</f>
        <v>8684491.5</v>
      </c>
      <c r="E305" s="242">
        <f>E307-E306</f>
        <v>405.98999999999995</v>
      </c>
      <c r="F305" s="207">
        <f>F307-F306</f>
        <v>1584835</v>
      </c>
      <c r="G305" s="207">
        <f t="shared" ref="G305:AB305" si="174">G307-G306</f>
        <v>126793</v>
      </c>
      <c r="H305" s="207">
        <f t="shared" si="174"/>
        <v>1349108</v>
      </c>
      <c r="I305" s="207">
        <f t="shared" si="174"/>
        <v>108934</v>
      </c>
      <c r="J305" s="242">
        <f t="shared" si="174"/>
        <v>492.97</v>
      </c>
      <c r="K305" s="207">
        <f>K307-K306</f>
        <v>1550012</v>
      </c>
      <c r="L305" s="207">
        <f t="shared" si="174"/>
        <v>0</v>
      </c>
      <c r="M305" s="207">
        <f t="shared" si="174"/>
        <v>1290861</v>
      </c>
      <c r="N305" s="207">
        <f t="shared" si="174"/>
        <v>259151</v>
      </c>
      <c r="O305" s="242">
        <f t="shared" si="174"/>
        <v>432.65300000000002</v>
      </c>
      <c r="P305" s="207">
        <f>P307-P306</f>
        <v>2080681</v>
      </c>
      <c r="Q305" s="207">
        <f t="shared" si="174"/>
        <v>0</v>
      </c>
      <c r="R305" s="207">
        <f t="shared" si="174"/>
        <v>1779113</v>
      </c>
      <c r="S305" s="207">
        <f>S307-S306</f>
        <v>301568</v>
      </c>
      <c r="T305" s="242">
        <f t="shared" si="174"/>
        <v>223.51800000000003</v>
      </c>
      <c r="U305" s="207">
        <f>U307-U306</f>
        <v>1797668.5</v>
      </c>
      <c r="V305" s="207">
        <f t="shared" si="174"/>
        <v>0</v>
      </c>
      <c r="W305" s="207">
        <f t="shared" si="174"/>
        <v>1487792</v>
      </c>
      <c r="X305" s="207">
        <f>X307-X306</f>
        <v>309876.5</v>
      </c>
      <c r="Y305" s="242">
        <f t="shared" si="174"/>
        <v>72.155000000000001</v>
      </c>
      <c r="Z305" s="207">
        <f>Z307-Z306</f>
        <v>1671810</v>
      </c>
      <c r="AA305" s="207">
        <f t="shared" si="174"/>
        <v>0</v>
      </c>
      <c r="AB305" s="207">
        <f t="shared" si="174"/>
        <v>1404069</v>
      </c>
      <c r="AC305" s="207">
        <f>AC307-AC306</f>
        <v>267741</v>
      </c>
      <c r="AD305" s="250"/>
    </row>
    <row r="306" spans="1:31" s="233" customFormat="1" ht="26.25" customHeight="1" x14ac:dyDescent="0.2">
      <c r="A306" s="534" t="s">
        <v>370</v>
      </c>
      <c r="B306" s="534"/>
      <c r="C306" s="534"/>
      <c r="D306" s="249">
        <f>F306+K306+P306+U306+Z306</f>
        <v>35654</v>
      </c>
      <c r="E306" s="248">
        <v>0</v>
      </c>
      <c r="F306" s="249">
        <f>G306+H306+I306</f>
        <v>988</v>
      </c>
      <c r="G306" s="249">
        <v>0</v>
      </c>
      <c r="H306" s="249">
        <v>0</v>
      </c>
      <c r="I306" s="249">
        <v>988</v>
      </c>
      <c r="J306" s="248">
        <v>0</v>
      </c>
      <c r="K306" s="249">
        <f>L306+M306+N306</f>
        <v>1584</v>
      </c>
      <c r="L306" s="249">
        <v>0</v>
      </c>
      <c r="M306" s="249">
        <v>0</v>
      </c>
      <c r="N306" s="249">
        <v>1584</v>
      </c>
      <c r="O306" s="248">
        <v>0</v>
      </c>
      <c r="P306" s="249">
        <f>Q306+R306+S306</f>
        <v>0</v>
      </c>
      <c r="Q306" s="249">
        <v>0</v>
      </c>
      <c r="R306" s="249">
        <v>0</v>
      </c>
      <c r="S306" s="249">
        <v>0</v>
      </c>
      <c r="T306" s="248">
        <v>0</v>
      </c>
      <c r="U306" s="249">
        <f>V306+W306+X306</f>
        <v>0</v>
      </c>
      <c r="V306" s="249">
        <v>0</v>
      </c>
      <c r="W306" s="249">
        <v>0</v>
      </c>
      <c r="X306" s="249">
        <v>0</v>
      </c>
      <c r="Y306" s="248">
        <v>0</v>
      </c>
      <c r="Z306" s="249">
        <f>AA306+AB306+AC306</f>
        <v>33082</v>
      </c>
      <c r="AA306" s="249">
        <v>0</v>
      </c>
      <c r="AB306" s="249">
        <v>0</v>
      </c>
      <c r="AC306" s="249">
        <f>23106+9976</f>
        <v>33082</v>
      </c>
      <c r="AD306" s="238"/>
      <c r="AE306" s="238"/>
    </row>
    <row r="307" spans="1:31" ht="47.25" customHeight="1" x14ac:dyDescent="0.2">
      <c r="A307" s="535" t="s">
        <v>365</v>
      </c>
      <c r="B307" s="535"/>
      <c r="C307" s="535"/>
      <c r="D307" s="207">
        <f>D33+D44+D76+D98+D267+D271+D295+D298+D306+D301+D304</f>
        <v>8720145.5</v>
      </c>
      <c r="E307" s="242">
        <f t="shared" ref="E307:Y307" si="175">E33+E44+E76+E98+E267+E271+E295+E298+E306</f>
        <v>405.98999999999995</v>
      </c>
      <c r="F307" s="207">
        <f t="shared" si="175"/>
        <v>1585823</v>
      </c>
      <c r="G307" s="207">
        <f t="shared" si="175"/>
        <v>126793</v>
      </c>
      <c r="H307" s="207">
        <f t="shared" si="175"/>
        <v>1349108</v>
      </c>
      <c r="I307" s="207">
        <f t="shared" si="175"/>
        <v>109922</v>
      </c>
      <c r="J307" s="242">
        <f t="shared" si="175"/>
        <v>492.97</v>
      </c>
      <c r="K307" s="207">
        <f t="shared" si="175"/>
        <v>1551596</v>
      </c>
      <c r="L307" s="207">
        <f t="shared" si="175"/>
        <v>0</v>
      </c>
      <c r="M307" s="207">
        <f t="shared" si="175"/>
        <v>1290861</v>
      </c>
      <c r="N307" s="207">
        <f t="shared" si="175"/>
        <v>260735</v>
      </c>
      <c r="O307" s="242">
        <f t="shared" si="175"/>
        <v>432.65300000000002</v>
      </c>
      <c r="P307" s="207">
        <f t="shared" si="175"/>
        <v>2080681</v>
      </c>
      <c r="Q307" s="207">
        <f t="shared" si="175"/>
        <v>0</v>
      </c>
      <c r="R307" s="207">
        <f t="shared" si="175"/>
        <v>1779113</v>
      </c>
      <c r="S307" s="207">
        <f t="shared" si="175"/>
        <v>301568</v>
      </c>
      <c r="T307" s="242">
        <f t="shared" si="175"/>
        <v>223.51800000000003</v>
      </c>
      <c r="U307" s="207">
        <f t="shared" si="175"/>
        <v>1797668.5</v>
      </c>
      <c r="V307" s="207">
        <f t="shared" si="175"/>
        <v>0</v>
      </c>
      <c r="W307" s="207">
        <f t="shared" si="175"/>
        <v>1487792</v>
      </c>
      <c r="X307" s="207">
        <f t="shared" si="175"/>
        <v>309876.5</v>
      </c>
      <c r="Y307" s="242">
        <f t="shared" si="175"/>
        <v>72.155000000000001</v>
      </c>
      <c r="Z307" s="207">
        <f>Z33+Z44+Z76+Z98+Z267+Z271+Z295+Z298+Z301+Z304+Z306</f>
        <v>1704892</v>
      </c>
      <c r="AA307" s="207">
        <f>AA33+AA44+AA76+AA98+AA267+AA271+AA295+AA298+AA306+AA301+AA304</f>
        <v>0</v>
      </c>
      <c r="AB307" s="207">
        <f>AB33+AB44+AB76+AB98+AB267+AB271+AB295+AB298+AB306+AB301+AB304</f>
        <v>1404069</v>
      </c>
      <c r="AC307" s="207">
        <f>AC33+AC44+AC76+AC98+AC267+AC271+AC295+AC298+AC301+AC304+AC306</f>
        <v>300823</v>
      </c>
    </row>
    <row r="308" spans="1:31" ht="24.75" customHeight="1" x14ac:dyDescent="0.2">
      <c r="A308" s="303"/>
      <c r="B308" s="303"/>
      <c r="C308" s="303"/>
      <c r="D308" s="304"/>
      <c r="E308" s="305"/>
      <c r="F308" s="304"/>
      <c r="G308" s="304"/>
      <c r="H308" s="304"/>
      <c r="I308" s="304"/>
      <c r="J308" s="305"/>
      <c r="K308" s="304"/>
      <c r="L308" s="304"/>
      <c r="M308" s="304"/>
      <c r="N308" s="304"/>
      <c r="O308" s="305"/>
      <c r="P308" s="304"/>
      <c r="Q308" s="304"/>
      <c r="R308" s="304"/>
      <c r="S308" s="304"/>
      <c r="T308" s="305"/>
      <c r="U308" s="304"/>
      <c r="V308" s="304"/>
      <c r="W308" s="304"/>
      <c r="X308" s="304"/>
      <c r="Y308" s="305"/>
      <c r="Z308" s="304"/>
      <c r="AA308" s="304"/>
      <c r="AB308" s="304"/>
      <c r="AC308" s="304"/>
    </row>
    <row r="309" spans="1:31" ht="24.75" customHeight="1" x14ac:dyDescent="0.2">
      <c r="A309" s="303"/>
      <c r="B309" s="306" t="s">
        <v>602</v>
      </c>
      <c r="C309" s="303"/>
      <c r="D309" s="304"/>
      <c r="E309" s="305"/>
      <c r="F309" s="304"/>
      <c r="G309" s="304"/>
      <c r="H309" s="304"/>
      <c r="I309" s="304"/>
      <c r="J309" s="305"/>
      <c r="K309" s="304"/>
      <c r="L309" s="304"/>
      <c r="M309" s="304"/>
      <c r="N309" s="304"/>
      <c r="O309" s="305"/>
      <c r="P309" s="304"/>
      <c r="Q309" s="304"/>
      <c r="R309" s="304"/>
      <c r="S309" s="304"/>
      <c r="T309" s="305"/>
      <c r="U309" s="304"/>
      <c r="V309" s="304"/>
      <c r="W309" s="304"/>
      <c r="X309" s="304"/>
      <c r="Y309" s="305"/>
      <c r="Z309" s="304"/>
      <c r="AA309" s="304"/>
      <c r="AB309" s="304"/>
      <c r="AC309" s="304"/>
    </row>
    <row r="310" spans="1:31" ht="18.75" customHeight="1" x14ac:dyDescent="0.2">
      <c r="B310" s="94" t="s">
        <v>1509</v>
      </c>
      <c r="C310" s="522" t="s">
        <v>1435</v>
      </c>
      <c r="D310" s="522"/>
      <c r="E310" s="522"/>
      <c r="F310" s="522"/>
      <c r="G310" s="522"/>
      <c r="H310" s="522"/>
      <c r="I310" s="522"/>
      <c r="J310" s="522"/>
      <c r="K310" s="522"/>
      <c r="L310" s="522"/>
      <c r="M310" s="522"/>
      <c r="N310" s="522"/>
      <c r="O310" s="522"/>
      <c r="P310" s="522"/>
      <c r="Q310" s="522"/>
      <c r="R310" s="522"/>
      <c r="S310" s="522"/>
      <c r="T310" s="522"/>
      <c r="U310" s="522"/>
      <c r="V310" s="522"/>
      <c r="W310" s="522"/>
      <c r="X310" s="522"/>
      <c r="Y310" s="522"/>
      <c r="Z310" s="522"/>
      <c r="AA310" s="522"/>
      <c r="AB310" s="522"/>
      <c r="AC310" s="522"/>
      <c r="AD310" s="522"/>
    </row>
    <row r="311" spans="1:31" ht="37.5" customHeight="1" x14ac:dyDescent="0.2"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  <c r="AA311" s="94"/>
      <c r="AB311" s="94"/>
    </row>
    <row r="312" spans="1:31" x14ac:dyDescent="0.2">
      <c r="M312" s="310"/>
      <c r="N312" s="310"/>
      <c r="O312" s="311"/>
      <c r="P312" s="312"/>
      <c r="Q312" s="312"/>
    </row>
  </sheetData>
  <mergeCells count="30">
    <mergeCell ref="B302:AC302"/>
    <mergeCell ref="C310:AD310"/>
    <mergeCell ref="A8:AC8"/>
    <mergeCell ref="B9:AC9"/>
    <mergeCell ref="B296:AC296"/>
    <mergeCell ref="B45:AC45"/>
    <mergeCell ref="B77:AC77"/>
    <mergeCell ref="B99:AC99"/>
    <mergeCell ref="B268:AC268"/>
    <mergeCell ref="B272:AC272"/>
    <mergeCell ref="A213:AC213"/>
    <mergeCell ref="B10:AC10"/>
    <mergeCell ref="B34:AC34"/>
    <mergeCell ref="A305:C305"/>
    <mergeCell ref="A306:C306"/>
    <mergeCell ref="A307:C307"/>
    <mergeCell ref="B299:AC299"/>
    <mergeCell ref="Z2:AC2"/>
    <mergeCell ref="Z1:AC1"/>
    <mergeCell ref="T5:X5"/>
    <mergeCell ref="B4:B6"/>
    <mergeCell ref="O5:S5"/>
    <mergeCell ref="E5:I5"/>
    <mergeCell ref="Y5:AC5"/>
    <mergeCell ref="C4:C6"/>
    <mergeCell ref="A3:AC3"/>
    <mergeCell ref="J5:N5"/>
    <mergeCell ref="E4:AC4"/>
    <mergeCell ref="D4:D6"/>
    <mergeCell ref="A4:A6"/>
  </mergeCells>
  <phoneticPr fontId="5" type="noConversion"/>
  <printOptions horizontalCentered="1"/>
  <pageMargins left="0.19685039370078741" right="0.19685039370078741" top="0.59055118110236227" bottom="0.39370078740157483" header="0.19685039370078741" footer="0.19685039370078741"/>
  <pageSetup paperSize="9" scale="46" firstPageNumber="23" fitToHeight="0" orientation="landscape" useFirstPageNumber="1" r:id="rId1"/>
  <headerFooter alignWithMargins="0">
    <oddHeader>&amp;C&amp;P</oddHeader>
  </headerFooter>
  <rowBreaks count="19" manualBreakCount="19">
    <brk id="17" max="28" man="1"/>
    <brk id="30" max="28" man="1"/>
    <brk id="43" max="28" man="1"/>
    <brk id="52" max="28" man="1"/>
    <brk id="60" max="28" man="1"/>
    <brk id="70" max="28" man="1"/>
    <brk id="81" max="28" man="1"/>
    <brk id="90" max="28" man="1"/>
    <brk id="106" max="28" man="1"/>
    <brk id="120" max="28" man="1"/>
    <brk id="135" max="28" man="1"/>
    <brk id="150" max="28" man="1"/>
    <brk id="163" max="28" man="1"/>
    <brk id="176" max="28" man="1"/>
    <brk id="190" max="28" man="1"/>
    <brk id="204" max="28" man="1"/>
    <brk id="224" max="28" man="1"/>
    <brk id="251" max="28" man="1"/>
    <brk id="300" max="2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I118"/>
  <sheetViews>
    <sheetView view="pageBreakPreview" topLeftCell="A76" zoomScale="70" zoomScaleNormal="100" zoomScaleSheetLayoutView="70" workbookViewId="0">
      <selection activeCell="Q27" sqref="Q27"/>
    </sheetView>
  </sheetViews>
  <sheetFormatPr defaultColWidth="9.140625" defaultRowHeight="42" customHeight="1" outlineLevelRow="1" x14ac:dyDescent="0.2"/>
  <cols>
    <col min="1" max="1" width="8.140625" style="94" customWidth="1"/>
    <col min="2" max="2" width="23.85546875" style="374" customWidth="1"/>
    <col min="3" max="3" width="19.7109375" style="117" customWidth="1"/>
    <col min="4" max="4" width="10.28515625" style="94" customWidth="1"/>
    <col min="5" max="5" width="14.140625" style="96" customWidth="1"/>
    <col min="6" max="6" width="12.85546875" style="94" customWidth="1"/>
    <col min="7" max="7" width="13.85546875" style="94" customWidth="1"/>
    <col min="8" max="8" width="12.7109375" style="94" customWidth="1"/>
    <col min="9" max="9" width="8.85546875" style="94" customWidth="1"/>
    <col min="10" max="10" width="13.85546875" style="96" customWidth="1"/>
    <col min="11" max="11" width="13.7109375" style="94" customWidth="1"/>
    <col min="12" max="12" width="13" style="94" customWidth="1"/>
    <col min="13" max="13" width="10.5703125" style="94" customWidth="1"/>
    <col min="14" max="14" width="8.42578125" style="94" customWidth="1"/>
    <col min="15" max="15" width="13.85546875" style="96" customWidth="1"/>
    <col min="16" max="16" width="11.85546875" style="94" customWidth="1"/>
    <col min="17" max="17" width="15.140625" style="94" customWidth="1"/>
    <col min="18" max="18" width="8.5703125" style="94" customWidth="1"/>
    <col min="19" max="19" width="8.42578125" style="94" customWidth="1"/>
    <col min="20" max="20" width="14.42578125" style="96" customWidth="1"/>
    <col min="21" max="21" width="14.42578125" style="94" customWidth="1"/>
    <col min="22" max="22" width="16" style="94" customWidth="1"/>
    <col min="23" max="23" width="8.5703125" style="94" customWidth="1"/>
    <col min="24" max="24" width="8.42578125" style="94" customWidth="1"/>
    <col min="25" max="25" width="13.85546875" style="96" customWidth="1"/>
    <col min="26" max="26" width="14.140625" style="94" customWidth="1"/>
    <col min="27" max="27" width="13.85546875" style="94" customWidth="1"/>
    <col min="28" max="28" width="8.5703125" style="94" customWidth="1"/>
    <col min="29" max="29" width="7.7109375" style="94" customWidth="1"/>
    <col min="30" max="30" width="15.7109375" style="191" customWidth="1"/>
    <col min="31" max="31" width="16.28515625" style="94" bestFit="1" customWidth="1"/>
    <col min="32" max="32" width="14.7109375" style="94" customWidth="1"/>
    <col min="33" max="33" width="16.28515625" style="94" customWidth="1"/>
    <col min="34" max="34" width="9.28515625" style="94" bestFit="1" customWidth="1"/>
    <col min="35" max="16384" width="9.140625" style="94"/>
  </cols>
  <sheetData>
    <row r="1" spans="1:30" s="100" customFormat="1" ht="82.9" customHeight="1" x14ac:dyDescent="0.25">
      <c r="A1" s="98"/>
      <c r="B1" s="315"/>
      <c r="C1" s="316"/>
      <c r="D1" s="317"/>
      <c r="E1" s="99"/>
      <c r="J1" s="101"/>
      <c r="K1" s="102"/>
      <c r="L1" s="102"/>
      <c r="M1" s="102"/>
      <c r="N1" s="102"/>
      <c r="O1" s="94"/>
      <c r="P1" s="94"/>
      <c r="Q1" s="103"/>
      <c r="R1" s="94"/>
      <c r="S1" s="94"/>
      <c r="T1" s="94"/>
      <c r="U1" s="94"/>
      <c r="V1" s="94"/>
      <c r="W1" s="94"/>
      <c r="X1" s="94"/>
      <c r="Y1" s="96"/>
      <c r="Z1" s="94"/>
      <c r="AA1" s="474" t="s">
        <v>1349</v>
      </c>
      <c r="AB1" s="474"/>
      <c r="AC1" s="474"/>
      <c r="AD1" s="474"/>
    </row>
    <row r="2" spans="1:30" s="100" customFormat="1" ht="138" customHeight="1" x14ac:dyDescent="0.25">
      <c r="A2" s="98"/>
      <c r="B2" s="315"/>
      <c r="C2" s="316"/>
      <c r="D2" s="317"/>
      <c r="E2" s="99"/>
      <c r="J2" s="101"/>
      <c r="K2" s="102"/>
      <c r="L2" s="102"/>
      <c r="M2" s="102"/>
      <c r="N2" s="102"/>
      <c r="O2" s="94"/>
      <c r="P2" s="94"/>
      <c r="Q2" s="103"/>
      <c r="R2" s="94"/>
      <c r="S2" s="94"/>
      <c r="T2" s="94"/>
      <c r="U2" s="94"/>
      <c r="V2" s="94"/>
      <c r="W2" s="94"/>
      <c r="X2" s="94"/>
      <c r="Y2" s="96"/>
      <c r="Z2" s="94"/>
      <c r="AA2" s="473" t="s">
        <v>418</v>
      </c>
      <c r="AB2" s="473"/>
      <c r="AC2" s="473"/>
      <c r="AD2" s="473"/>
    </row>
    <row r="3" spans="1:30" ht="47.25" customHeight="1" x14ac:dyDescent="0.4">
      <c r="A3" s="105"/>
      <c r="B3" s="569" t="s">
        <v>1289</v>
      </c>
      <c r="C3" s="569"/>
      <c r="D3" s="569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  <c r="AC3" s="570"/>
      <c r="AD3" s="570"/>
    </row>
    <row r="4" spans="1:30" ht="42" customHeight="1" x14ac:dyDescent="0.2">
      <c r="A4" s="484" t="s">
        <v>68</v>
      </c>
      <c r="B4" s="492" t="s">
        <v>67</v>
      </c>
      <c r="C4" s="492" t="s">
        <v>66</v>
      </c>
      <c r="D4" s="492" t="s">
        <v>74</v>
      </c>
      <c r="E4" s="572" t="s">
        <v>65</v>
      </c>
      <c r="F4" s="572"/>
      <c r="G4" s="572"/>
      <c r="H4" s="572"/>
      <c r="I4" s="572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  <c r="Y4" s="573"/>
      <c r="Z4" s="573"/>
      <c r="AA4" s="573"/>
      <c r="AB4" s="573"/>
      <c r="AC4" s="573"/>
      <c r="AD4" s="478" t="s">
        <v>64</v>
      </c>
    </row>
    <row r="5" spans="1:30" ht="42" customHeight="1" x14ac:dyDescent="0.2">
      <c r="A5" s="484"/>
      <c r="B5" s="540"/>
      <c r="C5" s="492"/>
      <c r="D5" s="571"/>
      <c r="E5" s="564" t="s">
        <v>63</v>
      </c>
      <c r="F5" s="564"/>
      <c r="G5" s="564"/>
      <c r="H5" s="564"/>
      <c r="I5" s="564"/>
      <c r="J5" s="564" t="s">
        <v>62</v>
      </c>
      <c r="K5" s="564"/>
      <c r="L5" s="564"/>
      <c r="M5" s="564"/>
      <c r="N5" s="564"/>
      <c r="O5" s="564" t="s">
        <v>61</v>
      </c>
      <c r="P5" s="564"/>
      <c r="Q5" s="564"/>
      <c r="R5" s="564"/>
      <c r="S5" s="564"/>
      <c r="T5" s="564" t="s">
        <v>60</v>
      </c>
      <c r="U5" s="564"/>
      <c r="V5" s="564"/>
      <c r="W5" s="564"/>
      <c r="X5" s="564"/>
      <c r="Y5" s="564" t="s">
        <v>59</v>
      </c>
      <c r="Z5" s="564"/>
      <c r="AA5" s="564"/>
      <c r="AB5" s="564"/>
      <c r="AC5" s="564"/>
      <c r="AD5" s="478"/>
    </row>
    <row r="6" spans="1:30" ht="57.6" customHeight="1" x14ac:dyDescent="0.2">
      <c r="A6" s="484"/>
      <c r="B6" s="540"/>
      <c r="C6" s="492"/>
      <c r="D6" s="571"/>
      <c r="E6" s="106" t="s">
        <v>58</v>
      </c>
      <c r="F6" s="107" t="s">
        <v>87</v>
      </c>
      <c r="G6" s="107" t="s">
        <v>88</v>
      </c>
      <c r="H6" s="107" t="s">
        <v>56</v>
      </c>
      <c r="I6" s="107" t="s">
        <v>69</v>
      </c>
      <c r="J6" s="106" t="s">
        <v>58</v>
      </c>
      <c r="K6" s="107" t="s">
        <v>87</v>
      </c>
      <c r="L6" s="107" t="s">
        <v>88</v>
      </c>
      <c r="M6" s="107" t="s">
        <v>70</v>
      </c>
      <c r="N6" s="107" t="s">
        <v>69</v>
      </c>
      <c r="O6" s="106" t="s">
        <v>58</v>
      </c>
      <c r="P6" s="107" t="s">
        <v>87</v>
      </c>
      <c r="Q6" s="107" t="s">
        <v>88</v>
      </c>
      <c r="R6" s="107" t="s">
        <v>70</v>
      </c>
      <c r="S6" s="107" t="s">
        <v>69</v>
      </c>
      <c r="T6" s="106" t="s">
        <v>58</v>
      </c>
      <c r="U6" s="107" t="s">
        <v>87</v>
      </c>
      <c r="V6" s="107" t="s">
        <v>88</v>
      </c>
      <c r="W6" s="107" t="s">
        <v>70</v>
      </c>
      <c r="X6" s="107" t="s">
        <v>69</v>
      </c>
      <c r="Y6" s="106" t="s">
        <v>58</v>
      </c>
      <c r="Z6" s="107" t="s">
        <v>87</v>
      </c>
      <c r="AA6" s="107" t="s">
        <v>88</v>
      </c>
      <c r="AB6" s="107" t="s">
        <v>70</v>
      </c>
      <c r="AC6" s="107" t="s">
        <v>69</v>
      </c>
      <c r="AD6" s="478"/>
    </row>
    <row r="7" spans="1:30" s="318" customFormat="1" ht="25.15" customHeight="1" x14ac:dyDescent="0.25">
      <c r="A7" s="108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  <c r="R7" s="108">
        <v>18</v>
      </c>
      <c r="S7" s="108">
        <v>19</v>
      </c>
      <c r="T7" s="108">
        <v>20</v>
      </c>
      <c r="U7" s="108">
        <v>21</v>
      </c>
      <c r="V7" s="108">
        <v>22</v>
      </c>
      <c r="W7" s="108">
        <v>23</v>
      </c>
      <c r="X7" s="108">
        <v>24</v>
      </c>
      <c r="Y7" s="108">
        <v>25</v>
      </c>
      <c r="Z7" s="108">
        <v>26</v>
      </c>
      <c r="AA7" s="108">
        <v>27</v>
      </c>
      <c r="AB7" s="108">
        <v>28</v>
      </c>
      <c r="AC7" s="108">
        <v>29</v>
      </c>
      <c r="AD7" s="108">
        <v>30</v>
      </c>
    </row>
    <row r="8" spans="1:30" s="318" customFormat="1" ht="33" customHeight="1" x14ac:dyDescent="0.25">
      <c r="A8" s="565" t="s">
        <v>1055</v>
      </c>
      <c r="B8" s="565"/>
      <c r="C8" s="565"/>
      <c r="D8" s="565"/>
      <c r="E8" s="565"/>
      <c r="F8" s="565"/>
      <c r="G8" s="565"/>
      <c r="H8" s="565"/>
      <c r="I8" s="565"/>
      <c r="J8" s="565"/>
      <c r="K8" s="565"/>
      <c r="L8" s="565"/>
      <c r="M8" s="565"/>
      <c r="N8" s="565"/>
      <c r="O8" s="565"/>
      <c r="P8" s="565"/>
      <c r="Q8" s="565"/>
      <c r="R8" s="565"/>
      <c r="S8" s="565"/>
      <c r="T8" s="565"/>
      <c r="U8" s="565"/>
      <c r="V8" s="565"/>
      <c r="W8" s="565"/>
      <c r="X8" s="565"/>
      <c r="Y8" s="565"/>
      <c r="Z8" s="565"/>
      <c r="AA8" s="565"/>
      <c r="AB8" s="565"/>
      <c r="AC8" s="565"/>
      <c r="AD8" s="565"/>
    </row>
    <row r="9" spans="1:30" s="318" customFormat="1" ht="34.9" customHeight="1" x14ac:dyDescent="0.25">
      <c r="A9" s="319" t="s">
        <v>427</v>
      </c>
      <c r="B9" s="557" t="s">
        <v>1056</v>
      </c>
      <c r="C9" s="558"/>
      <c r="D9" s="558"/>
      <c r="E9" s="558"/>
      <c r="F9" s="558"/>
      <c r="G9" s="558"/>
      <c r="H9" s="558"/>
      <c r="I9" s="558"/>
      <c r="J9" s="558"/>
      <c r="K9" s="558"/>
      <c r="L9" s="558"/>
      <c r="M9" s="558"/>
      <c r="N9" s="558"/>
      <c r="O9" s="558"/>
      <c r="P9" s="558"/>
      <c r="Q9" s="558"/>
      <c r="R9" s="558"/>
      <c r="S9" s="558"/>
      <c r="T9" s="558"/>
      <c r="U9" s="558"/>
      <c r="V9" s="558"/>
      <c r="W9" s="558"/>
      <c r="X9" s="558"/>
      <c r="Y9" s="558"/>
      <c r="Z9" s="558"/>
      <c r="AA9" s="558"/>
      <c r="AB9" s="558"/>
      <c r="AC9" s="558"/>
      <c r="AD9" s="559"/>
    </row>
    <row r="10" spans="1:30" s="100" customFormat="1" ht="30" customHeight="1" x14ac:dyDescent="0.2">
      <c r="A10" s="567" t="s">
        <v>287</v>
      </c>
      <c r="B10" s="567"/>
      <c r="C10" s="567"/>
      <c r="D10" s="567"/>
      <c r="E10" s="567"/>
      <c r="F10" s="567"/>
      <c r="G10" s="567"/>
      <c r="H10" s="567"/>
      <c r="I10" s="567"/>
      <c r="J10" s="567"/>
      <c r="K10" s="567"/>
      <c r="L10" s="567"/>
      <c r="M10" s="567"/>
      <c r="N10" s="567"/>
      <c r="O10" s="567"/>
      <c r="P10" s="567"/>
      <c r="Q10" s="567"/>
      <c r="R10" s="567"/>
      <c r="S10" s="567"/>
      <c r="T10" s="567"/>
      <c r="U10" s="567"/>
      <c r="V10" s="567"/>
      <c r="W10" s="567"/>
      <c r="X10" s="567"/>
      <c r="Y10" s="567"/>
      <c r="Z10" s="567"/>
      <c r="AA10" s="567"/>
      <c r="AB10" s="567"/>
      <c r="AC10" s="567"/>
      <c r="AD10" s="567"/>
    </row>
    <row r="11" spans="1:30" s="100" customFormat="1" ht="34.9" customHeight="1" outlineLevel="1" x14ac:dyDescent="0.2">
      <c r="A11" s="568" t="s">
        <v>632</v>
      </c>
      <c r="B11" s="568"/>
      <c r="C11" s="568"/>
      <c r="D11" s="568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568"/>
      <c r="W11" s="568"/>
      <c r="X11" s="568"/>
      <c r="Y11" s="568"/>
      <c r="Z11" s="568"/>
      <c r="AA11" s="568"/>
      <c r="AB11" s="568"/>
      <c r="AC11" s="568"/>
      <c r="AD11" s="568"/>
    </row>
    <row r="12" spans="1:30" s="100" customFormat="1" ht="38.25" customHeight="1" outlineLevel="1" x14ac:dyDescent="0.2">
      <c r="A12" s="320" t="s">
        <v>1</v>
      </c>
      <c r="B12" s="544" t="s">
        <v>426</v>
      </c>
      <c r="C12" s="545"/>
      <c r="D12" s="545"/>
      <c r="E12" s="545"/>
      <c r="F12" s="545"/>
      <c r="G12" s="545"/>
      <c r="H12" s="545"/>
      <c r="I12" s="545"/>
      <c r="J12" s="545"/>
      <c r="K12" s="545"/>
      <c r="L12" s="545"/>
      <c r="M12" s="545"/>
      <c r="N12" s="545"/>
      <c r="O12" s="545"/>
      <c r="P12" s="545"/>
      <c r="Q12" s="545"/>
      <c r="R12" s="545"/>
      <c r="S12" s="545"/>
      <c r="T12" s="545"/>
      <c r="U12" s="545"/>
      <c r="V12" s="545"/>
      <c r="W12" s="545"/>
      <c r="X12" s="545"/>
      <c r="Y12" s="545"/>
      <c r="Z12" s="545"/>
      <c r="AA12" s="545"/>
      <c r="AB12" s="545"/>
      <c r="AC12" s="545"/>
      <c r="AD12" s="546"/>
    </row>
    <row r="13" spans="1:30" s="117" customFormat="1" ht="88.15" customHeight="1" outlineLevel="1" x14ac:dyDescent="0.2">
      <c r="A13" s="321" t="s">
        <v>7</v>
      </c>
      <c r="B13" s="322" t="s">
        <v>195</v>
      </c>
      <c r="C13" s="107" t="s">
        <v>46</v>
      </c>
      <c r="D13" s="323" t="s">
        <v>43</v>
      </c>
      <c r="E13" s="324">
        <f t="shared" ref="E13:E21" si="0">F13+G13+H13+I13</f>
        <v>67429</v>
      </c>
      <c r="F13" s="85">
        <f>67429</f>
        <v>67429</v>
      </c>
      <c r="G13" s="85">
        <v>0</v>
      </c>
      <c r="H13" s="85">
        <v>0</v>
      </c>
      <c r="I13" s="85">
        <v>0</v>
      </c>
      <c r="J13" s="324">
        <f t="shared" ref="J13:J21" si="1">K13+L13+M13+N13</f>
        <v>19781</v>
      </c>
      <c r="K13" s="85">
        <f>6885+12896</f>
        <v>19781</v>
      </c>
      <c r="L13" s="85">
        <v>0</v>
      </c>
      <c r="M13" s="85">
        <v>0</v>
      </c>
      <c r="N13" s="85">
        <v>0</v>
      </c>
      <c r="O13" s="324">
        <f t="shared" ref="O13:O20" si="2">SUM(P13:S13)</f>
        <v>757</v>
      </c>
      <c r="P13" s="85">
        <f>30758-12896-17501-30+426</f>
        <v>757</v>
      </c>
      <c r="Q13" s="85">
        <v>0</v>
      </c>
      <c r="R13" s="85">
        <v>0</v>
      </c>
      <c r="S13" s="85">
        <v>0</v>
      </c>
      <c r="T13" s="324">
        <f t="shared" ref="T13:T20" si="3">SUM(U13:X13)</f>
        <v>20213</v>
      </c>
      <c r="U13" s="85">
        <f>30758-22399-1128-23+13546-541</f>
        <v>20213</v>
      </c>
      <c r="V13" s="85">
        <v>0</v>
      </c>
      <c r="W13" s="85">
        <v>0</v>
      </c>
      <c r="X13" s="85">
        <v>0</v>
      </c>
      <c r="Y13" s="324">
        <f t="shared" ref="Y13:Y20" si="4">SUM(Z13:AC13)</f>
        <v>78215</v>
      </c>
      <c r="Z13" s="85">
        <f>34182+3431+38092+4355-1980-951+1284-198</f>
        <v>78215</v>
      </c>
      <c r="AA13" s="85">
        <v>0</v>
      </c>
      <c r="AB13" s="85">
        <v>0</v>
      </c>
      <c r="AC13" s="85">
        <v>0</v>
      </c>
      <c r="AD13" s="324">
        <f t="shared" ref="AD13:AD19" si="5">E13+J13+O13+T13+Y13</f>
        <v>186395</v>
      </c>
    </row>
    <row r="14" spans="1:30" s="117" customFormat="1" ht="117" customHeight="1" outlineLevel="1" x14ac:dyDescent="0.2">
      <c r="A14" s="325" t="s">
        <v>14</v>
      </c>
      <c r="B14" s="322" t="s">
        <v>341</v>
      </c>
      <c r="C14" s="107" t="s">
        <v>46</v>
      </c>
      <c r="D14" s="326" t="s">
        <v>43</v>
      </c>
      <c r="E14" s="324">
        <f t="shared" si="0"/>
        <v>1235</v>
      </c>
      <c r="F14" s="85">
        <v>1235</v>
      </c>
      <c r="G14" s="85">
        <v>0</v>
      </c>
      <c r="H14" s="85">
        <v>0</v>
      </c>
      <c r="I14" s="85">
        <v>0</v>
      </c>
      <c r="J14" s="324">
        <f t="shared" si="1"/>
        <v>741</v>
      </c>
      <c r="K14" s="85">
        <v>741</v>
      </c>
      <c r="L14" s="85">
        <v>0</v>
      </c>
      <c r="M14" s="85">
        <v>0</v>
      </c>
      <c r="N14" s="85">
        <v>0</v>
      </c>
      <c r="O14" s="324">
        <f t="shared" si="2"/>
        <v>115</v>
      </c>
      <c r="P14" s="85">
        <f>0+115</f>
        <v>115</v>
      </c>
      <c r="Q14" s="85">
        <v>0</v>
      </c>
      <c r="R14" s="85">
        <v>0</v>
      </c>
      <c r="S14" s="85">
        <v>0</v>
      </c>
      <c r="T14" s="324">
        <f t="shared" si="3"/>
        <v>1174</v>
      </c>
      <c r="U14" s="85">
        <f>23+119+71+882+79</f>
        <v>1174</v>
      </c>
      <c r="V14" s="85">
        <v>0</v>
      </c>
      <c r="W14" s="85">
        <v>0</v>
      </c>
      <c r="X14" s="85">
        <v>0</v>
      </c>
      <c r="Y14" s="324">
        <f t="shared" si="4"/>
        <v>209</v>
      </c>
      <c r="Z14" s="85">
        <f>11+198</f>
        <v>209</v>
      </c>
      <c r="AA14" s="85">
        <v>0</v>
      </c>
      <c r="AB14" s="85">
        <v>0</v>
      </c>
      <c r="AC14" s="85">
        <v>0</v>
      </c>
      <c r="AD14" s="324">
        <f t="shared" si="5"/>
        <v>3474</v>
      </c>
    </row>
    <row r="15" spans="1:30" ht="99" customHeight="1" outlineLevel="1" x14ac:dyDescent="0.2">
      <c r="A15" s="325" t="s">
        <v>25</v>
      </c>
      <c r="B15" s="322" t="s">
        <v>54</v>
      </c>
      <c r="C15" s="107" t="s">
        <v>46</v>
      </c>
      <c r="D15" s="327" t="s">
        <v>43</v>
      </c>
      <c r="E15" s="324">
        <f t="shared" si="0"/>
        <v>1644</v>
      </c>
      <c r="F15" s="85">
        <v>1644</v>
      </c>
      <c r="G15" s="85">
        <v>0</v>
      </c>
      <c r="H15" s="85">
        <v>0</v>
      </c>
      <c r="I15" s="85">
        <v>0</v>
      </c>
      <c r="J15" s="324">
        <f t="shared" si="1"/>
        <v>1472</v>
      </c>
      <c r="K15" s="85">
        <v>1472</v>
      </c>
      <c r="L15" s="85">
        <v>0</v>
      </c>
      <c r="M15" s="85">
        <v>0</v>
      </c>
      <c r="N15" s="85">
        <v>0</v>
      </c>
      <c r="O15" s="324">
        <f t="shared" si="2"/>
        <v>4212</v>
      </c>
      <c r="P15" s="85">
        <f>1368-668+1946+117-708+676+1409+418+253+200-396-403</f>
        <v>4212</v>
      </c>
      <c r="Q15" s="85">
        <v>0</v>
      </c>
      <c r="R15" s="85">
        <v>0</v>
      </c>
      <c r="S15" s="85">
        <v>0</v>
      </c>
      <c r="T15" s="324">
        <f t="shared" si="3"/>
        <v>8783</v>
      </c>
      <c r="U15" s="85">
        <f>1368+3232-3797+8055+17-92</f>
        <v>8783</v>
      </c>
      <c r="V15" s="85">
        <v>0</v>
      </c>
      <c r="W15" s="85">
        <v>0</v>
      </c>
      <c r="X15" s="85">
        <v>0</v>
      </c>
      <c r="Y15" s="324">
        <f t="shared" si="4"/>
        <v>11361</v>
      </c>
      <c r="Z15" s="85">
        <f>4463-3099+5440+2789+2105-33-125+46-14-211</f>
        <v>11361</v>
      </c>
      <c r="AA15" s="85">
        <v>0</v>
      </c>
      <c r="AB15" s="85">
        <v>0</v>
      </c>
      <c r="AC15" s="85">
        <v>0</v>
      </c>
      <c r="AD15" s="324">
        <f t="shared" si="5"/>
        <v>27472</v>
      </c>
    </row>
    <row r="16" spans="1:30" ht="94.9" customHeight="1" outlineLevel="1" x14ac:dyDescent="0.2">
      <c r="A16" s="325" t="s">
        <v>434</v>
      </c>
      <c r="B16" s="322" t="s">
        <v>300</v>
      </c>
      <c r="C16" s="107" t="s">
        <v>53</v>
      </c>
      <c r="D16" s="326" t="s">
        <v>43</v>
      </c>
      <c r="E16" s="324">
        <f t="shared" si="0"/>
        <v>1020</v>
      </c>
      <c r="F16" s="85">
        <v>1020</v>
      </c>
      <c r="G16" s="85">
        <v>0</v>
      </c>
      <c r="H16" s="85">
        <v>0</v>
      </c>
      <c r="I16" s="85">
        <v>0</v>
      </c>
      <c r="J16" s="324">
        <f t="shared" si="1"/>
        <v>1570</v>
      </c>
      <c r="K16" s="85">
        <f>1286+283+1</f>
        <v>1570</v>
      </c>
      <c r="L16" s="85">
        <v>0</v>
      </c>
      <c r="M16" s="85">
        <v>0</v>
      </c>
      <c r="N16" s="85">
        <v>0</v>
      </c>
      <c r="O16" s="324">
        <f t="shared" si="2"/>
        <v>838</v>
      </c>
      <c r="P16" s="85">
        <f>94+838-94</f>
        <v>838</v>
      </c>
      <c r="Q16" s="85">
        <v>0</v>
      </c>
      <c r="R16" s="85">
        <v>0</v>
      </c>
      <c r="S16" s="85">
        <v>0</v>
      </c>
      <c r="T16" s="324">
        <f t="shared" si="3"/>
        <v>6082</v>
      </c>
      <c r="U16" s="85">
        <f>14338+5164-14339+283+1848-289-180-606-137</f>
        <v>6082</v>
      </c>
      <c r="V16" s="85">
        <v>0</v>
      </c>
      <c r="W16" s="85">
        <v>0</v>
      </c>
      <c r="X16" s="85">
        <v>0</v>
      </c>
      <c r="Y16" s="324">
        <f t="shared" si="4"/>
        <v>4464</v>
      </c>
      <c r="Z16" s="85">
        <f>632+230+3086+1169-332+283-1309+705</f>
        <v>4464</v>
      </c>
      <c r="AA16" s="85">
        <v>0</v>
      </c>
      <c r="AB16" s="85">
        <v>0</v>
      </c>
      <c r="AC16" s="85">
        <v>0</v>
      </c>
      <c r="AD16" s="324">
        <f t="shared" si="5"/>
        <v>13974</v>
      </c>
    </row>
    <row r="17" spans="1:30" ht="96" customHeight="1" outlineLevel="1" x14ac:dyDescent="0.2">
      <c r="A17" s="560" t="s">
        <v>435</v>
      </c>
      <c r="B17" s="555" t="s">
        <v>52</v>
      </c>
      <c r="C17" s="562" t="s">
        <v>46</v>
      </c>
      <c r="D17" s="327" t="s">
        <v>43</v>
      </c>
      <c r="E17" s="324">
        <f t="shared" si="0"/>
        <v>8411</v>
      </c>
      <c r="F17" s="85">
        <v>8411</v>
      </c>
      <c r="G17" s="85">
        <v>0</v>
      </c>
      <c r="H17" s="85">
        <v>0</v>
      </c>
      <c r="I17" s="85">
        <v>0</v>
      </c>
      <c r="J17" s="328">
        <f t="shared" si="1"/>
        <v>3081</v>
      </c>
      <c r="K17" s="329">
        <f>7310-5219+841+153-4</f>
        <v>3081</v>
      </c>
      <c r="L17" s="85">
        <v>0</v>
      </c>
      <c r="M17" s="85">
        <v>0</v>
      </c>
      <c r="N17" s="85">
        <v>0</v>
      </c>
      <c r="O17" s="324">
        <f t="shared" si="2"/>
        <v>4934</v>
      </c>
      <c r="P17" s="85">
        <f>8219-6307+105+772-157-71+3259-1234+348</f>
        <v>4934</v>
      </c>
      <c r="Q17" s="85">
        <v>0</v>
      </c>
      <c r="R17" s="85">
        <v>0</v>
      </c>
      <c r="S17" s="85">
        <v>0</v>
      </c>
      <c r="T17" s="324">
        <f t="shared" si="3"/>
        <v>10726</v>
      </c>
      <c r="U17" s="85">
        <f>4085+4159+70+1617+1168-373</f>
        <v>10726</v>
      </c>
      <c r="V17" s="85">
        <v>0</v>
      </c>
      <c r="W17" s="85">
        <v>0</v>
      </c>
      <c r="X17" s="85">
        <v>0</v>
      </c>
      <c r="Y17" s="324">
        <f>SUM(Z17:AC17)</f>
        <v>14323</v>
      </c>
      <c r="Z17" s="85">
        <f>9782+15692-1169-17210-11+9432+1313-1192-1425-583-634+329+165-59-107</f>
        <v>14323</v>
      </c>
      <c r="AA17" s="85">
        <v>0</v>
      </c>
      <c r="AB17" s="85">
        <v>0</v>
      </c>
      <c r="AC17" s="85">
        <v>0</v>
      </c>
      <c r="AD17" s="324">
        <f t="shared" si="5"/>
        <v>41475</v>
      </c>
    </row>
    <row r="18" spans="1:30" ht="96" customHeight="1" outlineLevel="1" x14ac:dyDescent="0.2">
      <c r="A18" s="561"/>
      <c r="B18" s="556"/>
      <c r="C18" s="563"/>
      <c r="D18" s="327" t="s">
        <v>548</v>
      </c>
      <c r="E18" s="324">
        <v>0</v>
      </c>
      <c r="F18" s="85">
        <v>0</v>
      </c>
      <c r="G18" s="85">
        <v>0</v>
      </c>
      <c r="H18" s="85">
        <v>0</v>
      </c>
      <c r="I18" s="85">
        <v>0</v>
      </c>
      <c r="J18" s="328">
        <v>0</v>
      </c>
      <c r="K18" s="329">
        <v>0</v>
      </c>
      <c r="L18" s="85">
        <v>0</v>
      </c>
      <c r="M18" s="85">
        <v>0</v>
      </c>
      <c r="N18" s="85">
        <v>0</v>
      </c>
      <c r="O18" s="324">
        <f t="shared" si="2"/>
        <v>3417</v>
      </c>
      <c r="P18" s="85">
        <f>3417</f>
        <v>3417</v>
      </c>
      <c r="Q18" s="85">
        <v>0</v>
      </c>
      <c r="R18" s="85">
        <v>0</v>
      </c>
      <c r="S18" s="85">
        <v>0</v>
      </c>
      <c r="T18" s="324">
        <v>0</v>
      </c>
      <c r="U18" s="85">
        <v>0</v>
      </c>
      <c r="V18" s="85">
        <v>0</v>
      </c>
      <c r="W18" s="85">
        <v>0</v>
      </c>
      <c r="X18" s="85">
        <v>0</v>
      </c>
      <c r="Y18" s="324">
        <v>0</v>
      </c>
      <c r="Z18" s="85">
        <v>0</v>
      </c>
      <c r="AA18" s="85">
        <v>0</v>
      </c>
      <c r="AB18" s="85">
        <v>0</v>
      </c>
      <c r="AC18" s="85">
        <v>0</v>
      </c>
      <c r="AD18" s="324">
        <f t="shared" si="5"/>
        <v>3417</v>
      </c>
    </row>
    <row r="19" spans="1:30" ht="135.75" customHeight="1" outlineLevel="1" x14ac:dyDescent="0.2">
      <c r="A19" s="325" t="s">
        <v>436</v>
      </c>
      <c r="B19" s="322" t="s">
        <v>301</v>
      </c>
      <c r="C19" s="107" t="s">
        <v>46</v>
      </c>
      <c r="D19" s="326" t="s">
        <v>43</v>
      </c>
      <c r="E19" s="324">
        <f t="shared" si="0"/>
        <v>817</v>
      </c>
      <c r="F19" s="85">
        <v>817</v>
      </c>
      <c r="G19" s="85">
        <v>0</v>
      </c>
      <c r="H19" s="85">
        <v>0</v>
      </c>
      <c r="I19" s="85">
        <v>0</v>
      </c>
      <c r="J19" s="324">
        <f t="shared" si="1"/>
        <v>2512</v>
      </c>
      <c r="K19" s="85">
        <f>1695+817</f>
        <v>2512</v>
      </c>
      <c r="L19" s="85">
        <v>0</v>
      </c>
      <c r="M19" s="85">
        <v>0</v>
      </c>
      <c r="N19" s="85">
        <v>0</v>
      </c>
      <c r="O19" s="324">
        <f t="shared" si="2"/>
        <v>4617</v>
      </c>
      <c r="P19" s="85">
        <f>615+578+1853+2512-486-423-32</f>
        <v>4617</v>
      </c>
      <c r="Q19" s="85">
        <v>0</v>
      </c>
      <c r="R19" s="85">
        <v>0</v>
      </c>
      <c r="S19" s="85">
        <v>0</v>
      </c>
      <c r="T19" s="324">
        <f t="shared" si="3"/>
        <v>8504</v>
      </c>
      <c r="U19" s="85">
        <f>3573+4915+817-119-71-20-355-79-104-53</f>
        <v>8504</v>
      </c>
      <c r="V19" s="85">
        <v>0</v>
      </c>
      <c r="W19" s="85">
        <v>0</v>
      </c>
      <c r="X19" s="85">
        <v>0</v>
      </c>
      <c r="Y19" s="324">
        <f t="shared" si="4"/>
        <v>10963</v>
      </c>
      <c r="Z19" s="85">
        <f>3719-3719+10355+5568+695-5655</f>
        <v>10963</v>
      </c>
      <c r="AA19" s="85">
        <v>0</v>
      </c>
      <c r="AB19" s="85">
        <v>0</v>
      </c>
      <c r="AC19" s="85">
        <v>0</v>
      </c>
      <c r="AD19" s="324">
        <f t="shared" si="5"/>
        <v>27413</v>
      </c>
    </row>
    <row r="20" spans="1:30" ht="135.75" customHeight="1" outlineLevel="1" x14ac:dyDescent="0.2">
      <c r="A20" s="325" t="s">
        <v>437</v>
      </c>
      <c r="B20" s="322" t="s">
        <v>350</v>
      </c>
      <c r="C20" s="107" t="s">
        <v>592</v>
      </c>
      <c r="D20" s="326" t="s">
        <v>493</v>
      </c>
      <c r="E20" s="324">
        <f t="shared" si="0"/>
        <v>0</v>
      </c>
      <c r="F20" s="85">
        <v>0</v>
      </c>
      <c r="G20" s="85">
        <v>0</v>
      </c>
      <c r="H20" s="85">
        <v>0</v>
      </c>
      <c r="I20" s="85">
        <v>0</v>
      </c>
      <c r="J20" s="324">
        <f t="shared" si="1"/>
        <v>0</v>
      </c>
      <c r="K20" s="85">
        <f>8629-8629</f>
        <v>0</v>
      </c>
      <c r="L20" s="85">
        <v>0</v>
      </c>
      <c r="M20" s="85">
        <v>0</v>
      </c>
      <c r="N20" s="85">
        <v>0</v>
      </c>
      <c r="O20" s="324">
        <f t="shared" si="2"/>
        <v>10733</v>
      </c>
      <c r="P20" s="85">
        <v>10733</v>
      </c>
      <c r="Q20" s="85">
        <v>0</v>
      </c>
      <c r="R20" s="85">
        <v>0</v>
      </c>
      <c r="S20" s="85">
        <v>0</v>
      </c>
      <c r="T20" s="324">
        <f t="shared" si="3"/>
        <v>0</v>
      </c>
      <c r="U20" s="85">
        <v>0</v>
      </c>
      <c r="V20" s="85">
        <v>0</v>
      </c>
      <c r="W20" s="85">
        <v>0</v>
      </c>
      <c r="X20" s="85">
        <v>0</v>
      </c>
      <c r="Y20" s="324">
        <f t="shared" si="4"/>
        <v>0</v>
      </c>
      <c r="Z20" s="85">
        <v>0</v>
      </c>
      <c r="AA20" s="85">
        <v>0</v>
      </c>
      <c r="AB20" s="85">
        <v>0</v>
      </c>
      <c r="AC20" s="85">
        <v>0</v>
      </c>
      <c r="AD20" s="324">
        <f>E20+J20+O20+T20+Y20</f>
        <v>10733</v>
      </c>
    </row>
    <row r="21" spans="1:30" ht="132" customHeight="1" outlineLevel="1" x14ac:dyDescent="0.2">
      <c r="A21" s="325" t="s">
        <v>525</v>
      </c>
      <c r="B21" s="330" t="s">
        <v>530</v>
      </c>
      <c r="C21" s="107" t="s">
        <v>46</v>
      </c>
      <c r="D21" s="331" t="s">
        <v>493</v>
      </c>
      <c r="E21" s="324">
        <f t="shared" si="0"/>
        <v>0</v>
      </c>
      <c r="F21" s="85">
        <v>0</v>
      </c>
      <c r="G21" s="85">
        <v>0</v>
      </c>
      <c r="H21" s="85">
        <v>0</v>
      </c>
      <c r="I21" s="85">
        <v>0</v>
      </c>
      <c r="J21" s="324">
        <f t="shared" si="1"/>
        <v>0</v>
      </c>
      <c r="K21" s="85">
        <f>8629-8629</f>
        <v>0</v>
      </c>
      <c r="L21" s="85">
        <v>0</v>
      </c>
      <c r="M21" s="85">
        <v>0</v>
      </c>
      <c r="N21" s="85">
        <v>0</v>
      </c>
      <c r="O21" s="324">
        <f>SUM(P21:S21)</f>
        <v>296</v>
      </c>
      <c r="P21" s="85">
        <f>486-190</f>
        <v>296</v>
      </c>
      <c r="Q21" s="85">
        <v>0</v>
      </c>
      <c r="R21" s="85">
        <v>0</v>
      </c>
      <c r="S21" s="85">
        <v>0</v>
      </c>
      <c r="T21" s="324">
        <f>SUM(U21:X21)</f>
        <v>0</v>
      </c>
      <c r="U21" s="85">
        <v>0</v>
      </c>
      <c r="V21" s="85">
        <v>0</v>
      </c>
      <c r="W21" s="85">
        <v>0</v>
      </c>
      <c r="X21" s="85">
        <v>0</v>
      </c>
      <c r="Y21" s="324">
        <f>SUM(Z21:AC21)</f>
        <v>0</v>
      </c>
      <c r="Z21" s="85">
        <v>0</v>
      </c>
      <c r="AA21" s="85">
        <v>0</v>
      </c>
      <c r="AB21" s="85">
        <v>0</v>
      </c>
      <c r="AC21" s="85">
        <v>0</v>
      </c>
      <c r="AD21" s="324">
        <f>E21+J21+O21+T21+Y21</f>
        <v>296</v>
      </c>
    </row>
    <row r="22" spans="1:30" ht="132" customHeight="1" outlineLevel="1" x14ac:dyDescent="0.2">
      <c r="A22" s="325" t="s">
        <v>560</v>
      </c>
      <c r="B22" s="332" t="s">
        <v>579</v>
      </c>
      <c r="C22" s="107" t="s">
        <v>46</v>
      </c>
      <c r="D22" s="331" t="s">
        <v>574</v>
      </c>
      <c r="E22" s="324">
        <v>0</v>
      </c>
      <c r="F22" s="85">
        <v>0</v>
      </c>
      <c r="G22" s="85">
        <v>0</v>
      </c>
      <c r="H22" s="85">
        <v>0</v>
      </c>
      <c r="I22" s="85">
        <v>0</v>
      </c>
      <c r="J22" s="324">
        <v>0</v>
      </c>
      <c r="K22" s="85">
        <v>0</v>
      </c>
      <c r="L22" s="85">
        <v>0</v>
      </c>
      <c r="M22" s="85">
        <v>0</v>
      </c>
      <c r="N22" s="85">
        <v>0</v>
      </c>
      <c r="O22" s="324">
        <v>0</v>
      </c>
      <c r="P22" s="85">
        <v>0</v>
      </c>
      <c r="Q22" s="85">
        <v>0</v>
      </c>
      <c r="R22" s="85">
        <v>0</v>
      </c>
      <c r="S22" s="85">
        <v>0</v>
      </c>
      <c r="T22" s="324">
        <f>SUM(U22:X22)</f>
        <v>993</v>
      </c>
      <c r="U22" s="85">
        <v>993</v>
      </c>
      <c r="V22" s="85">
        <v>0</v>
      </c>
      <c r="W22" s="85">
        <v>0</v>
      </c>
      <c r="X22" s="85">
        <v>0</v>
      </c>
      <c r="Y22" s="324">
        <f>SUM(Z22:AC22)</f>
        <v>195</v>
      </c>
      <c r="Z22" s="85">
        <f>1000-805</f>
        <v>195</v>
      </c>
      <c r="AA22" s="85">
        <v>0</v>
      </c>
      <c r="AB22" s="85">
        <v>0</v>
      </c>
      <c r="AC22" s="85">
        <v>0</v>
      </c>
      <c r="AD22" s="324">
        <f>E22+J22+O22+T22+Y22</f>
        <v>1188</v>
      </c>
    </row>
    <row r="23" spans="1:30" ht="132" customHeight="1" outlineLevel="1" x14ac:dyDescent="0.2">
      <c r="A23" s="325" t="s">
        <v>1292</v>
      </c>
      <c r="B23" s="332" t="s">
        <v>1340</v>
      </c>
      <c r="C23" s="107" t="s">
        <v>46</v>
      </c>
      <c r="D23" s="331" t="s">
        <v>1603</v>
      </c>
      <c r="E23" s="324">
        <v>0</v>
      </c>
      <c r="F23" s="85">
        <v>0</v>
      </c>
      <c r="G23" s="85">
        <v>0</v>
      </c>
      <c r="H23" s="85">
        <v>0</v>
      </c>
      <c r="I23" s="85">
        <v>0</v>
      </c>
      <c r="J23" s="324">
        <v>0</v>
      </c>
      <c r="K23" s="85">
        <v>0</v>
      </c>
      <c r="L23" s="85">
        <v>0</v>
      </c>
      <c r="M23" s="85">
        <v>0</v>
      </c>
      <c r="N23" s="85">
        <v>0</v>
      </c>
      <c r="O23" s="324">
        <v>0</v>
      </c>
      <c r="P23" s="85">
        <v>0</v>
      </c>
      <c r="Q23" s="85">
        <v>0</v>
      </c>
      <c r="R23" s="85">
        <v>0</v>
      </c>
      <c r="S23" s="85">
        <v>0</v>
      </c>
      <c r="T23" s="324">
        <f>SUM(U23:X23)</f>
        <v>5751</v>
      </c>
      <c r="U23" s="85">
        <f>626+5125</f>
        <v>5751</v>
      </c>
      <c r="V23" s="85">
        <v>0</v>
      </c>
      <c r="W23" s="85">
        <v>0</v>
      </c>
      <c r="X23" s="85">
        <v>0</v>
      </c>
      <c r="Y23" s="324">
        <f>SUM(Z23:AC23)</f>
        <v>3474</v>
      </c>
      <c r="Z23" s="85">
        <f>2575+1426-633-269-386+761</f>
        <v>3474</v>
      </c>
      <c r="AA23" s="85">
        <v>0</v>
      </c>
      <c r="AB23" s="85">
        <v>0</v>
      </c>
      <c r="AC23" s="85">
        <v>0</v>
      </c>
      <c r="AD23" s="324">
        <f>E23+J23+O23+T23+Y23</f>
        <v>9225</v>
      </c>
    </row>
    <row r="24" spans="1:30" ht="40.9" customHeight="1" outlineLevel="1" x14ac:dyDescent="0.2">
      <c r="A24" s="319" t="s">
        <v>9</v>
      </c>
      <c r="B24" s="557" t="s">
        <v>438</v>
      </c>
      <c r="C24" s="558"/>
      <c r="D24" s="558"/>
      <c r="E24" s="558"/>
      <c r="F24" s="558"/>
      <c r="G24" s="558"/>
      <c r="H24" s="558"/>
      <c r="I24" s="558"/>
      <c r="J24" s="558"/>
      <c r="K24" s="558"/>
      <c r="L24" s="558"/>
      <c r="M24" s="558"/>
      <c r="N24" s="558"/>
      <c r="O24" s="558"/>
      <c r="P24" s="558"/>
      <c r="Q24" s="558"/>
      <c r="R24" s="558"/>
      <c r="S24" s="558"/>
      <c r="T24" s="558"/>
      <c r="U24" s="558"/>
      <c r="V24" s="558"/>
      <c r="W24" s="558"/>
      <c r="X24" s="558"/>
      <c r="Y24" s="558"/>
      <c r="Z24" s="558"/>
      <c r="AA24" s="558"/>
      <c r="AB24" s="558"/>
      <c r="AC24" s="558"/>
      <c r="AD24" s="559"/>
    </row>
    <row r="25" spans="1:30" ht="118.9" customHeight="1" outlineLevel="1" x14ac:dyDescent="0.2">
      <c r="A25" s="321" t="s">
        <v>10</v>
      </c>
      <c r="B25" s="322" t="s">
        <v>212</v>
      </c>
      <c r="C25" s="107" t="s">
        <v>593</v>
      </c>
      <c r="D25" s="323" t="s">
        <v>218</v>
      </c>
      <c r="E25" s="324">
        <f>SUM(F25:I25)</f>
        <v>51269</v>
      </c>
      <c r="F25" s="85">
        <f>46195+1408+1630+2036</f>
        <v>51269</v>
      </c>
      <c r="G25" s="85">
        <v>0</v>
      </c>
      <c r="H25" s="85">
        <v>0</v>
      </c>
      <c r="I25" s="85">
        <v>0</v>
      </c>
      <c r="J25" s="324">
        <f>SUM(K25:N25)</f>
        <v>13924</v>
      </c>
      <c r="K25" s="85">
        <f>11888+2036</f>
        <v>13924</v>
      </c>
      <c r="L25" s="85">
        <v>0</v>
      </c>
      <c r="M25" s="85">
        <v>0</v>
      </c>
      <c r="N25" s="85">
        <v>0</v>
      </c>
      <c r="O25" s="324">
        <f t="shared" ref="O25:O34" si="6">SUM(P25:S25)</f>
        <v>35262</v>
      </c>
      <c r="P25" s="85">
        <f>11888+2036+1353+2370+4401+11012+1873+329</f>
        <v>35262</v>
      </c>
      <c r="Q25" s="85">
        <v>0</v>
      </c>
      <c r="R25" s="85">
        <v>0</v>
      </c>
      <c r="S25" s="85">
        <v>0</v>
      </c>
      <c r="T25" s="324">
        <f t="shared" ref="T25:T33" si="7">SUM(U25:X25)</f>
        <v>45752</v>
      </c>
      <c r="U25" s="85">
        <f>13924-11424+9529+1838+109+31404-2310+2310-477-227+743+596-390+127</f>
        <v>45752</v>
      </c>
      <c r="V25" s="85">
        <v>0</v>
      </c>
      <c r="W25" s="85">
        <v>0</v>
      </c>
      <c r="X25" s="85">
        <v>0</v>
      </c>
      <c r="Y25" s="324">
        <f t="shared" ref="Y25:Y33" si="8">SUM(Z25:AC25)</f>
        <v>52486</v>
      </c>
      <c r="Z25" s="445">
        <f>29000+781-27281-2+8271+164+2206+41272-955-16-955+1</f>
        <v>52486</v>
      </c>
      <c r="AA25" s="85">
        <v>0</v>
      </c>
      <c r="AB25" s="85">
        <v>0</v>
      </c>
      <c r="AC25" s="85">
        <v>0</v>
      </c>
      <c r="AD25" s="324">
        <f t="shared" ref="AD25:AD35" si="9">E25+J25+O25+T25+Y25</f>
        <v>198693</v>
      </c>
    </row>
    <row r="26" spans="1:30" ht="126" customHeight="1" outlineLevel="1" x14ac:dyDescent="0.2">
      <c r="A26" s="144" t="s">
        <v>11</v>
      </c>
      <c r="B26" s="322" t="s">
        <v>51</v>
      </c>
      <c r="C26" s="107" t="s">
        <v>46</v>
      </c>
      <c r="D26" s="323" t="s">
        <v>545</v>
      </c>
      <c r="E26" s="324">
        <f>F26+G26+H26+I26</f>
        <v>0</v>
      </c>
      <c r="F26" s="85">
        <v>0</v>
      </c>
      <c r="G26" s="85">
        <v>0</v>
      </c>
      <c r="H26" s="85">
        <v>0</v>
      </c>
      <c r="I26" s="85">
        <v>0</v>
      </c>
      <c r="J26" s="324">
        <f>K26+L26</f>
        <v>0</v>
      </c>
      <c r="K26" s="85">
        <v>0</v>
      </c>
      <c r="L26" s="85">
        <v>0</v>
      </c>
      <c r="M26" s="85">
        <v>0</v>
      </c>
      <c r="N26" s="85">
        <v>0</v>
      </c>
      <c r="O26" s="324">
        <f t="shared" si="6"/>
        <v>0</v>
      </c>
      <c r="P26" s="85">
        <f>1417-578-583-29-214-13</f>
        <v>0</v>
      </c>
      <c r="Q26" s="85">
        <v>0</v>
      </c>
      <c r="R26" s="85">
        <v>0</v>
      </c>
      <c r="S26" s="85">
        <v>0</v>
      </c>
      <c r="T26" s="324">
        <f t="shared" si="7"/>
        <v>821</v>
      </c>
      <c r="U26" s="85">
        <f>1417+3469-4281-10+271-22-23</f>
        <v>821</v>
      </c>
      <c r="V26" s="85">
        <v>0</v>
      </c>
      <c r="W26" s="85">
        <v>0</v>
      </c>
      <c r="X26" s="85">
        <v>0</v>
      </c>
      <c r="Y26" s="324">
        <f t="shared" si="8"/>
        <v>2871</v>
      </c>
      <c r="Z26" s="85">
        <f>256-69+2060+1309-685</f>
        <v>2871</v>
      </c>
      <c r="AA26" s="85">
        <v>0</v>
      </c>
      <c r="AB26" s="85">
        <v>0</v>
      </c>
      <c r="AC26" s="85">
        <v>0</v>
      </c>
      <c r="AD26" s="324">
        <f t="shared" si="9"/>
        <v>3692</v>
      </c>
    </row>
    <row r="27" spans="1:30" ht="223.5" customHeight="1" outlineLevel="1" x14ac:dyDescent="0.2">
      <c r="A27" s="325" t="s">
        <v>16</v>
      </c>
      <c r="B27" s="322" t="s">
        <v>196</v>
      </c>
      <c r="C27" s="107" t="s">
        <v>1377</v>
      </c>
      <c r="D27" s="323" t="s">
        <v>1504</v>
      </c>
      <c r="E27" s="324">
        <f>F27+G27+H27+I27</f>
        <v>5379</v>
      </c>
      <c r="F27" s="85">
        <v>5379</v>
      </c>
      <c r="G27" s="85">
        <v>0</v>
      </c>
      <c r="H27" s="85">
        <v>0</v>
      </c>
      <c r="I27" s="85">
        <v>0</v>
      </c>
      <c r="J27" s="328">
        <f>K27+L27+M27+N27</f>
        <v>8539</v>
      </c>
      <c r="K27" s="329">
        <f>5209+3483-153</f>
        <v>8539</v>
      </c>
      <c r="L27" s="85">
        <v>0</v>
      </c>
      <c r="M27" s="85">
        <v>0</v>
      </c>
      <c r="N27" s="85">
        <v>0</v>
      </c>
      <c r="O27" s="324">
        <f t="shared" si="6"/>
        <v>1149</v>
      </c>
      <c r="P27" s="85">
        <f>12265-10932-82-20-82</f>
        <v>1149</v>
      </c>
      <c r="Q27" s="85">
        <v>0</v>
      </c>
      <c r="R27" s="85">
        <v>0</v>
      </c>
      <c r="S27" s="85">
        <v>0</v>
      </c>
      <c r="T27" s="324">
        <f t="shared" si="7"/>
        <v>0</v>
      </c>
      <c r="U27" s="85">
        <f>12265-12265+18810-8428-6805-3577</f>
        <v>0</v>
      </c>
      <c r="V27" s="85">
        <v>0</v>
      </c>
      <c r="W27" s="85">
        <v>0</v>
      </c>
      <c r="X27" s="85">
        <v>0</v>
      </c>
      <c r="Y27" s="324">
        <f t="shared" si="8"/>
        <v>3941</v>
      </c>
      <c r="Z27" s="85">
        <f>4698-327-327-103</f>
        <v>3941</v>
      </c>
      <c r="AA27" s="85">
        <v>0</v>
      </c>
      <c r="AB27" s="85">
        <v>0</v>
      </c>
      <c r="AC27" s="85">
        <v>0</v>
      </c>
      <c r="AD27" s="324">
        <f t="shared" si="9"/>
        <v>19008</v>
      </c>
    </row>
    <row r="28" spans="1:30" ht="109.5" customHeight="1" outlineLevel="1" x14ac:dyDescent="0.2">
      <c r="A28" s="325" t="s">
        <v>439</v>
      </c>
      <c r="B28" s="322" t="s">
        <v>217</v>
      </c>
      <c r="C28" s="107" t="s">
        <v>46</v>
      </c>
      <c r="D28" s="323" t="s">
        <v>1657</v>
      </c>
      <c r="E28" s="324">
        <v>0</v>
      </c>
      <c r="F28" s="85">
        <v>0</v>
      </c>
      <c r="G28" s="85">
        <v>0</v>
      </c>
      <c r="H28" s="85">
        <v>0</v>
      </c>
      <c r="I28" s="85">
        <v>0</v>
      </c>
      <c r="J28" s="324">
        <f>K28+L28</f>
        <v>65</v>
      </c>
      <c r="K28" s="85">
        <v>65</v>
      </c>
      <c r="L28" s="85">
        <v>0</v>
      </c>
      <c r="M28" s="85">
        <v>0</v>
      </c>
      <c r="N28" s="85">
        <v>0</v>
      </c>
      <c r="O28" s="324">
        <f t="shared" si="6"/>
        <v>1041</v>
      </c>
      <c r="P28" s="85">
        <f>1076-35</f>
        <v>1041</v>
      </c>
      <c r="Q28" s="85">
        <v>0</v>
      </c>
      <c r="R28" s="85">
        <v>0</v>
      </c>
      <c r="S28" s="85">
        <v>0</v>
      </c>
      <c r="T28" s="324">
        <f t="shared" si="7"/>
        <v>0</v>
      </c>
      <c r="U28" s="85">
        <f>1752-1752</f>
        <v>0</v>
      </c>
      <c r="V28" s="85">
        <v>0</v>
      </c>
      <c r="W28" s="85">
        <v>0</v>
      </c>
      <c r="X28" s="85">
        <v>0</v>
      </c>
      <c r="Y28" s="324">
        <f t="shared" si="8"/>
        <v>0</v>
      </c>
      <c r="Z28" s="85">
        <f>498+152-650</f>
        <v>0</v>
      </c>
      <c r="AA28" s="85">
        <v>0</v>
      </c>
      <c r="AB28" s="85">
        <v>0</v>
      </c>
      <c r="AC28" s="85">
        <v>0</v>
      </c>
      <c r="AD28" s="324">
        <f t="shared" si="9"/>
        <v>1106</v>
      </c>
    </row>
    <row r="29" spans="1:30" ht="82.9" customHeight="1" outlineLevel="1" x14ac:dyDescent="0.2">
      <c r="A29" s="325" t="s">
        <v>440</v>
      </c>
      <c r="B29" s="322" t="s">
        <v>200</v>
      </c>
      <c r="C29" s="107" t="s">
        <v>46</v>
      </c>
      <c r="D29" s="323" t="s">
        <v>1658</v>
      </c>
      <c r="E29" s="324">
        <f>F29+G29+H29+I29</f>
        <v>3478</v>
      </c>
      <c r="F29" s="85">
        <v>3478</v>
      </c>
      <c r="G29" s="85">
        <v>0</v>
      </c>
      <c r="H29" s="85">
        <v>0</v>
      </c>
      <c r="I29" s="85">
        <v>0</v>
      </c>
      <c r="J29" s="324">
        <f>K29+L29+M29+N29</f>
        <v>797</v>
      </c>
      <c r="K29" s="85">
        <f>4667-3870</f>
        <v>797</v>
      </c>
      <c r="L29" s="85">
        <v>0</v>
      </c>
      <c r="M29" s="85">
        <v>0</v>
      </c>
      <c r="N29" s="85">
        <v>0</v>
      </c>
      <c r="O29" s="324">
        <f t="shared" si="6"/>
        <v>2723</v>
      </c>
      <c r="P29" s="85">
        <f>57-57+2619+104</f>
        <v>2723</v>
      </c>
      <c r="Q29" s="85">
        <v>0</v>
      </c>
      <c r="R29" s="85">
        <v>0</v>
      </c>
      <c r="S29" s="85">
        <v>0</v>
      </c>
      <c r="T29" s="324">
        <f t="shared" si="7"/>
        <v>0</v>
      </c>
      <c r="U29" s="85">
        <v>0</v>
      </c>
      <c r="V29" s="85">
        <v>0</v>
      </c>
      <c r="W29" s="85">
        <v>0</v>
      </c>
      <c r="X29" s="85">
        <v>0</v>
      </c>
      <c r="Y29" s="324">
        <f t="shared" si="8"/>
        <v>0</v>
      </c>
      <c r="Z29" s="85">
        <f>19123-8961-10162</f>
        <v>0</v>
      </c>
      <c r="AA29" s="85">
        <v>0</v>
      </c>
      <c r="AB29" s="85">
        <v>0</v>
      </c>
      <c r="AC29" s="85">
        <v>0</v>
      </c>
      <c r="AD29" s="324">
        <f t="shared" si="9"/>
        <v>6998</v>
      </c>
    </row>
    <row r="30" spans="1:30" ht="94.9" customHeight="1" outlineLevel="1" x14ac:dyDescent="0.2">
      <c r="A30" s="325" t="s">
        <v>441</v>
      </c>
      <c r="B30" s="322" t="s">
        <v>214</v>
      </c>
      <c r="C30" s="107" t="s">
        <v>594</v>
      </c>
      <c r="D30" s="322" t="s">
        <v>609</v>
      </c>
      <c r="E30" s="324">
        <f>F30</f>
        <v>1700</v>
      </c>
      <c r="F30" s="85">
        <v>1700</v>
      </c>
      <c r="G30" s="85">
        <v>0</v>
      </c>
      <c r="H30" s="85">
        <v>0</v>
      </c>
      <c r="I30" s="85">
        <v>0</v>
      </c>
      <c r="J30" s="324">
        <f>K30</f>
        <v>2742</v>
      </c>
      <c r="K30" s="85">
        <f>2000+147+411+184</f>
        <v>2742</v>
      </c>
      <c r="L30" s="85">
        <v>0</v>
      </c>
      <c r="M30" s="85">
        <v>0</v>
      </c>
      <c r="N30" s="85">
        <v>0</v>
      </c>
      <c r="O30" s="324">
        <f t="shared" si="6"/>
        <v>2996</v>
      </c>
      <c r="P30" s="85">
        <f>2000+996</f>
        <v>2996</v>
      </c>
      <c r="Q30" s="85">
        <v>0</v>
      </c>
      <c r="R30" s="85">
        <v>0</v>
      </c>
      <c r="S30" s="85">
        <v>0</v>
      </c>
      <c r="T30" s="324">
        <f t="shared" si="7"/>
        <v>5529</v>
      </c>
      <c r="U30" s="85">
        <f>2000+3529+1838-1838</f>
        <v>5529</v>
      </c>
      <c r="V30" s="85">
        <v>0</v>
      </c>
      <c r="W30" s="85">
        <v>0</v>
      </c>
      <c r="X30" s="85">
        <v>0</v>
      </c>
      <c r="Y30" s="324">
        <f t="shared" si="8"/>
        <v>0</v>
      </c>
      <c r="Z30" s="85">
        <f>4500+1029+2742-8271</f>
        <v>0</v>
      </c>
      <c r="AA30" s="85">
        <v>0</v>
      </c>
      <c r="AB30" s="85">
        <v>0</v>
      </c>
      <c r="AC30" s="85">
        <v>0</v>
      </c>
      <c r="AD30" s="324">
        <f t="shared" si="9"/>
        <v>12967</v>
      </c>
    </row>
    <row r="31" spans="1:30" ht="100.9" customHeight="1" outlineLevel="1" x14ac:dyDescent="0.2">
      <c r="A31" s="325" t="s">
        <v>442</v>
      </c>
      <c r="B31" s="322" t="s">
        <v>1335</v>
      </c>
      <c r="C31" s="107" t="s">
        <v>594</v>
      </c>
      <c r="D31" s="322">
        <v>2024</v>
      </c>
      <c r="E31" s="324">
        <f>SUM(F31:I31)</f>
        <v>0</v>
      </c>
      <c r="F31" s="85">
        <v>0</v>
      </c>
      <c r="G31" s="85">
        <v>0</v>
      </c>
      <c r="H31" s="85">
        <v>0</v>
      </c>
      <c r="I31" s="85">
        <v>0</v>
      </c>
      <c r="J31" s="324">
        <f>SUM(K31:N31)</f>
        <v>0</v>
      </c>
      <c r="K31" s="85">
        <v>0</v>
      </c>
      <c r="L31" s="85">
        <v>0</v>
      </c>
      <c r="M31" s="85">
        <v>0</v>
      </c>
      <c r="N31" s="85">
        <v>0</v>
      </c>
      <c r="O31" s="324">
        <f t="shared" si="6"/>
        <v>0</v>
      </c>
      <c r="P31" s="85">
        <v>0</v>
      </c>
      <c r="Q31" s="85">
        <v>0</v>
      </c>
      <c r="R31" s="85">
        <v>0</v>
      </c>
      <c r="S31" s="85">
        <v>0</v>
      </c>
      <c r="T31" s="324">
        <f t="shared" si="7"/>
        <v>6896</v>
      </c>
      <c r="U31" s="85">
        <f>7370-474</f>
        <v>6896</v>
      </c>
      <c r="V31" s="85">
        <v>0</v>
      </c>
      <c r="W31" s="85">
        <v>0</v>
      </c>
      <c r="X31" s="85">
        <v>0</v>
      </c>
      <c r="Y31" s="324">
        <f t="shared" si="8"/>
        <v>0</v>
      </c>
      <c r="Z31" s="85">
        <f>893-893</f>
        <v>0</v>
      </c>
      <c r="AA31" s="85">
        <v>0</v>
      </c>
      <c r="AB31" s="85">
        <v>0</v>
      </c>
      <c r="AC31" s="85">
        <v>0</v>
      </c>
      <c r="AD31" s="324">
        <f t="shared" si="9"/>
        <v>6896</v>
      </c>
    </row>
    <row r="32" spans="1:30" ht="112.9" customHeight="1" outlineLevel="1" x14ac:dyDescent="0.2">
      <c r="A32" s="325" t="s">
        <v>443</v>
      </c>
      <c r="B32" s="322" t="s">
        <v>49</v>
      </c>
      <c r="C32" s="107" t="s">
        <v>594</v>
      </c>
      <c r="D32" s="327" t="s">
        <v>43</v>
      </c>
      <c r="E32" s="324">
        <f>SUM(F32:I32)</f>
        <v>3594</v>
      </c>
      <c r="F32" s="85">
        <v>3594</v>
      </c>
      <c r="G32" s="85">
        <v>0</v>
      </c>
      <c r="H32" s="85">
        <v>0</v>
      </c>
      <c r="I32" s="85">
        <v>0</v>
      </c>
      <c r="J32" s="324">
        <f>SUM(K32:N32)</f>
        <v>3788</v>
      </c>
      <c r="K32" s="85">
        <f>4176-388</f>
        <v>3788</v>
      </c>
      <c r="L32" s="85">
        <v>0</v>
      </c>
      <c r="M32" s="85">
        <v>0</v>
      </c>
      <c r="N32" s="85">
        <v>0</v>
      </c>
      <c r="O32" s="324">
        <f t="shared" si="6"/>
        <v>5988</v>
      </c>
      <c r="P32" s="85">
        <f>4575-399+1812</f>
        <v>5988</v>
      </c>
      <c r="Q32" s="85">
        <v>0</v>
      </c>
      <c r="R32" s="85">
        <v>0</v>
      </c>
      <c r="S32" s="85">
        <v>0</v>
      </c>
      <c r="T32" s="324">
        <f t="shared" si="7"/>
        <v>4666</v>
      </c>
      <c r="U32" s="85">
        <f>4575-233-4342+5347-1608-95-536-617+2175</f>
        <v>4666</v>
      </c>
      <c r="V32" s="85">
        <v>0</v>
      </c>
      <c r="W32" s="85">
        <v>0</v>
      </c>
      <c r="X32" s="85">
        <v>0</v>
      </c>
      <c r="Y32" s="324">
        <f t="shared" si="8"/>
        <v>951</v>
      </c>
      <c r="Z32" s="85">
        <f>1200-249</f>
        <v>951</v>
      </c>
      <c r="AA32" s="85">
        <v>0</v>
      </c>
      <c r="AB32" s="85">
        <v>0</v>
      </c>
      <c r="AC32" s="85">
        <v>0</v>
      </c>
      <c r="AD32" s="324">
        <f t="shared" si="9"/>
        <v>18987</v>
      </c>
    </row>
    <row r="33" spans="1:34" ht="202.5" customHeight="1" outlineLevel="1" x14ac:dyDescent="0.25">
      <c r="A33" s="325" t="s">
        <v>444</v>
      </c>
      <c r="B33" s="322" t="s">
        <v>417</v>
      </c>
      <c r="C33" s="107" t="s">
        <v>1366</v>
      </c>
      <c r="D33" s="322" t="s">
        <v>134</v>
      </c>
      <c r="E33" s="324">
        <f>SUM(F33:I33)</f>
        <v>0</v>
      </c>
      <c r="F33" s="85">
        <v>0</v>
      </c>
      <c r="G33" s="85">
        <v>0</v>
      </c>
      <c r="H33" s="85">
        <v>0</v>
      </c>
      <c r="I33" s="85">
        <v>0</v>
      </c>
      <c r="J33" s="324">
        <f>SUM(K33:N33)</f>
        <v>716</v>
      </c>
      <c r="K33" s="85">
        <f>1557-841</f>
        <v>716</v>
      </c>
      <c r="L33" s="85">
        <v>0</v>
      </c>
      <c r="M33" s="85">
        <v>0</v>
      </c>
      <c r="N33" s="85">
        <v>0</v>
      </c>
      <c r="O33" s="324">
        <f t="shared" si="6"/>
        <v>1049</v>
      </c>
      <c r="P33" s="85">
        <f>117+684-117-486+518+687+161+23+130-668</f>
        <v>1049</v>
      </c>
      <c r="Q33" s="85">
        <v>0</v>
      </c>
      <c r="R33" s="85">
        <v>0</v>
      </c>
      <c r="S33" s="85">
        <v>0</v>
      </c>
      <c r="T33" s="324">
        <f t="shared" si="7"/>
        <v>5020</v>
      </c>
      <c r="U33" s="85">
        <f>716-113+4656-408+221-52</f>
        <v>5020</v>
      </c>
      <c r="V33" s="85">
        <v>0</v>
      </c>
      <c r="W33" s="85">
        <v>0</v>
      </c>
      <c r="X33" s="85">
        <v>0</v>
      </c>
      <c r="Y33" s="324">
        <f t="shared" si="8"/>
        <v>32663</v>
      </c>
      <c r="Z33" s="85">
        <f>1785+11900+10315+8331-205+537</f>
        <v>32663</v>
      </c>
      <c r="AA33" s="85">
        <v>0</v>
      </c>
      <c r="AB33" s="85">
        <v>0</v>
      </c>
      <c r="AC33" s="85">
        <v>0</v>
      </c>
      <c r="AD33" s="324">
        <f t="shared" si="9"/>
        <v>39448</v>
      </c>
      <c r="AE33" s="333" t="s">
        <v>1606</v>
      </c>
      <c r="AF33" s="334" t="s">
        <v>1607</v>
      </c>
    </row>
    <row r="34" spans="1:34" ht="225" customHeight="1" outlineLevel="1" x14ac:dyDescent="0.2">
      <c r="A34" s="325" t="s">
        <v>445</v>
      </c>
      <c r="B34" s="322" t="s">
        <v>597</v>
      </c>
      <c r="C34" s="107" t="s">
        <v>608</v>
      </c>
      <c r="D34" s="322" t="s">
        <v>492</v>
      </c>
      <c r="E34" s="324">
        <f>F34+G34+H34+I34</f>
        <v>0</v>
      </c>
      <c r="F34" s="85">
        <v>0</v>
      </c>
      <c r="G34" s="85">
        <v>0</v>
      </c>
      <c r="H34" s="85">
        <v>0</v>
      </c>
      <c r="I34" s="85">
        <v>0</v>
      </c>
      <c r="J34" s="324">
        <f>K34+L34+M34+N34</f>
        <v>314</v>
      </c>
      <c r="K34" s="85">
        <v>314</v>
      </c>
      <c r="L34" s="85">
        <v>0</v>
      </c>
      <c r="M34" s="85">
        <v>0</v>
      </c>
      <c r="N34" s="85">
        <v>0</v>
      </c>
      <c r="O34" s="324">
        <f t="shared" si="6"/>
        <v>314</v>
      </c>
      <c r="P34" s="85">
        <v>314</v>
      </c>
      <c r="Q34" s="85">
        <v>0</v>
      </c>
      <c r="R34" s="85">
        <v>0</v>
      </c>
      <c r="S34" s="85">
        <v>0</v>
      </c>
      <c r="T34" s="324">
        <f>SUM(U34:X34)</f>
        <v>3317</v>
      </c>
      <c r="U34" s="85">
        <f>458+2386+1183-458-126-126</f>
        <v>3317</v>
      </c>
      <c r="V34" s="85">
        <v>0</v>
      </c>
      <c r="W34" s="85">
        <v>0</v>
      </c>
      <c r="X34" s="85">
        <v>0</v>
      </c>
      <c r="Y34" s="324">
        <f>SUM(Z34:AC34)</f>
        <v>0</v>
      </c>
      <c r="Z34" s="85">
        <v>0</v>
      </c>
      <c r="AA34" s="85">
        <v>0</v>
      </c>
      <c r="AB34" s="85">
        <v>0</v>
      </c>
      <c r="AC34" s="85">
        <v>0</v>
      </c>
      <c r="AD34" s="324">
        <f t="shared" si="9"/>
        <v>3945</v>
      </c>
    </row>
    <row r="35" spans="1:34" ht="112.9" customHeight="1" outlineLevel="1" x14ac:dyDescent="0.2">
      <c r="A35" s="325" t="s">
        <v>446</v>
      </c>
      <c r="B35" s="322" t="s">
        <v>392</v>
      </c>
      <c r="C35" s="107" t="s">
        <v>46</v>
      </c>
      <c r="D35" s="322" t="s">
        <v>610</v>
      </c>
      <c r="E35" s="324">
        <f>SUM(F35:I35)</f>
        <v>0</v>
      </c>
      <c r="F35" s="85">
        <v>0</v>
      </c>
      <c r="G35" s="85">
        <v>0</v>
      </c>
      <c r="H35" s="85">
        <v>0</v>
      </c>
      <c r="I35" s="85">
        <v>0</v>
      </c>
      <c r="J35" s="324">
        <f>K35+L35+M35+N35</f>
        <v>2279</v>
      </c>
      <c r="K35" s="85">
        <v>2279</v>
      </c>
      <c r="L35" s="85">
        <v>0</v>
      </c>
      <c r="M35" s="85">
        <v>0</v>
      </c>
      <c r="N35" s="85">
        <v>0</v>
      </c>
      <c r="O35" s="324">
        <f>SUM(P35:S35)</f>
        <v>0</v>
      </c>
      <c r="P35" s="85">
        <v>0</v>
      </c>
      <c r="Q35" s="85">
        <v>0</v>
      </c>
      <c r="R35" s="85">
        <v>0</v>
      </c>
      <c r="S35" s="85">
        <v>0</v>
      </c>
      <c r="T35" s="324">
        <f>SUM(U35:X35)</f>
        <v>245</v>
      </c>
      <c r="U35" s="85">
        <f>456-209-2</f>
        <v>245</v>
      </c>
      <c r="V35" s="85">
        <v>0</v>
      </c>
      <c r="W35" s="85">
        <v>0</v>
      </c>
      <c r="X35" s="85">
        <v>0</v>
      </c>
      <c r="Y35" s="324">
        <f>SUM(Z35:AC35)</f>
        <v>0</v>
      </c>
      <c r="Z35" s="85">
        <v>0</v>
      </c>
      <c r="AA35" s="85">
        <v>0</v>
      </c>
      <c r="AB35" s="85">
        <v>0</v>
      </c>
      <c r="AC35" s="85">
        <v>0</v>
      </c>
      <c r="AD35" s="324">
        <f t="shared" si="9"/>
        <v>2524</v>
      </c>
    </row>
    <row r="36" spans="1:34" ht="112.9" customHeight="1" outlineLevel="1" x14ac:dyDescent="0.2">
      <c r="A36" s="325" t="s">
        <v>447</v>
      </c>
      <c r="B36" s="322" t="s">
        <v>396</v>
      </c>
      <c r="C36" s="107" t="s">
        <v>46</v>
      </c>
      <c r="D36" s="322" t="s">
        <v>134</v>
      </c>
      <c r="E36" s="324">
        <f>SUM(F36:I36)</f>
        <v>0</v>
      </c>
      <c r="F36" s="85">
        <v>0</v>
      </c>
      <c r="G36" s="85">
        <v>0</v>
      </c>
      <c r="H36" s="85">
        <v>0</v>
      </c>
      <c r="I36" s="85">
        <v>0</v>
      </c>
      <c r="J36" s="324">
        <f>K36+L36+M36+N36</f>
        <v>6496</v>
      </c>
      <c r="K36" s="85">
        <v>6496</v>
      </c>
      <c r="L36" s="85">
        <v>0</v>
      </c>
      <c r="M36" s="85">
        <v>0</v>
      </c>
      <c r="N36" s="85">
        <v>0</v>
      </c>
      <c r="O36" s="324">
        <f>SUM(P36:S36)</f>
        <v>4570</v>
      </c>
      <c r="P36" s="85">
        <f>3914+214+442</f>
        <v>4570</v>
      </c>
      <c r="Q36" s="85">
        <v>0</v>
      </c>
      <c r="R36" s="85">
        <v>0</v>
      </c>
      <c r="S36" s="85">
        <v>0</v>
      </c>
      <c r="T36" s="324">
        <f>SUM(U36:X36)</f>
        <v>3164</v>
      </c>
      <c r="U36" s="85">
        <f>1403+1255+539-227+227-33</f>
        <v>3164</v>
      </c>
      <c r="V36" s="85">
        <v>0</v>
      </c>
      <c r="W36" s="85">
        <v>0</v>
      </c>
      <c r="X36" s="85">
        <v>0</v>
      </c>
      <c r="Y36" s="324">
        <f>SUM(Z36:AC36)</f>
        <v>1778</v>
      </c>
      <c r="Z36" s="85">
        <f>1812-1812+2011-39-194</f>
        <v>1778</v>
      </c>
      <c r="AA36" s="85">
        <v>0</v>
      </c>
      <c r="AB36" s="85">
        <v>0</v>
      </c>
      <c r="AC36" s="85">
        <v>0</v>
      </c>
      <c r="AD36" s="324">
        <f>E36+J36+O36+T36+Y36</f>
        <v>16008</v>
      </c>
    </row>
    <row r="37" spans="1:34" ht="46.9" customHeight="1" outlineLevel="1" x14ac:dyDescent="0.2">
      <c r="A37" s="319" t="s">
        <v>15</v>
      </c>
      <c r="B37" s="557" t="s">
        <v>425</v>
      </c>
      <c r="C37" s="558"/>
      <c r="D37" s="558"/>
      <c r="E37" s="558"/>
      <c r="F37" s="558"/>
      <c r="G37" s="558"/>
      <c r="H37" s="558"/>
      <c r="I37" s="558"/>
      <c r="J37" s="558"/>
      <c r="K37" s="558"/>
      <c r="L37" s="558"/>
      <c r="M37" s="558"/>
      <c r="N37" s="558"/>
      <c r="O37" s="558"/>
      <c r="P37" s="558"/>
      <c r="Q37" s="558"/>
      <c r="R37" s="558"/>
      <c r="S37" s="558"/>
      <c r="T37" s="558"/>
      <c r="U37" s="558"/>
      <c r="V37" s="558"/>
      <c r="W37" s="558"/>
      <c r="X37" s="558"/>
      <c r="Y37" s="558"/>
      <c r="Z37" s="558"/>
      <c r="AA37" s="558"/>
      <c r="AB37" s="558"/>
      <c r="AC37" s="558"/>
      <c r="AD37" s="559"/>
    </row>
    <row r="38" spans="1:34" ht="94.9" customHeight="1" outlineLevel="1" x14ac:dyDescent="0.2">
      <c r="A38" s="335" t="s">
        <v>125</v>
      </c>
      <c r="B38" s="336" t="s">
        <v>47</v>
      </c>
      <c r="C38" s="337" t="s">
        <v>594</v>
      </c>
      <c r="D38" s="327" t="s">
        <v>43</v>
      </c>
      <c r="E38" s="338">
        <f>F38+G38+H38+I38</f>
        <v>27036</v>
      </c>
      <c r="F38" s="85">
        <v>27036</v>
      </c>
      <c r="G38" s="85">
        <v>0</v>
      </c>
      <c r="H38" s="85">
        <v>0</v>
      </c>
      <c r="I38" s="85">
        <v>0</v>
      </c>
      <c r="J38" s="324">
        <f>K38+L38+M38+N38</f>
        <v>35037</v>
      </c>
      <c r="K38" s="85">
        <f>34053+19+526+786-411-184+388-1-139</f>
        <v>35037</v>
      </c>
      <c r="L38" s="85">
        <v>0</v>
      </c>
      <c r="M38" s="85">
        <v>0</v>
      </c>
      <c r="N38" s="85">
        <v>0</v>
      </c>
      <c r="O38" s="324">
        <f>SUM(P38:S38)</f>
        <v>44468</v>
      </c>
      <c r="P38" s="85">
        <f>32839+12411+642-2-121+130-1431</f>
        <v>44468</v>
      </c>
      <c r="Q38" s="85">
        <v>0</v>
      </c>
      <c r="R38" s="85">
        <v>0</v>
      </c>
      <c r="S38" s="85">
        <v>0</v>
      </c>
      <c r="T38" s="324">
        <f>SUM(U38:X38)</f>
        <v>71296</v>
      </c>
      <c r="U38" s="85">
        <f>32839+12529+4342+22211+3858+17024-16499-607-170+379+462-5212-571+711</f>
        <v>71296</v>
      </c>
      <c r="V38" s="85">
        <v>0</v>
      </c>
      <c r="W38" s="85">
        <v>0</v>
      </c>
      <c r="X38" s="85">
        <v>0</v>
      </c>
      <c r="Y38" s="324">
        <f>SUM(Z38:AC38)</f>
        <v>71479</v>
      </c>
      <c r="Z38" s="85">
        <f>26539+300+18529+1768+18371+1516+7202+5175-4577-2005-32+265-973+62-661</f>
        <v>71479</v>
      </c>
      <c r="AA38" s="85">
        <f>0</f>
        <v>0</v>
      </c>
      <c r="AB38" s="85">
        <v>0</v>
      </c>
      <c r="AC38" s="85">
        <v>0</v>
      </c>
      <c r="AD38" s="324">
        <f>E38+J38+O38+T38+Y38</f>
        <v>249316</v>
      </c>
    </row>
    <row r="39" spans="1:34" ht="94.9" customHeight="1" outlineLevel="1" x14ac:dyDescent="0.2">
      <c r="A39" s="339" t="s">
        <v>1303</v>
      </c>
      <c r="B39" s="557" t="s">
        <v>1317</v>
      </c>
      <c r="C39" s="558"/>
      <c r="D39" s="558"/>
      <c r="E39" s="558"/>
      <c r="F39" s="558"/>
      <c r="G39" s="558"/>
      <c r="H39" s="558"/>
      <c r="I39" s="558"/>
      <c r="J39" s="558"/>
      <c r="K39" s="558"/>
      <c r="L39" s="558"/>
      <c r="M39" s="558"/>
      <c r="N39" s="558"/>
      <c r="O39" s="558"/>
      <c r="P39" s="558"/>
      <c r="Q39" s="558"/>
      <c r="R39" s="558"/>
      <c r="S39" s="558"/>
      <c r="T39" s="558"/>
      <c r="U39" s="558"/>
      <c r="V39" s="558"/>
      <c r="W39" s="558"/>
      <c r="X39" s="558"/>
      <c r="Y39" s="558"/>
      <c r="Z39" s="558"/>
      <c r="AA39" s="558"/>
      <c r="AB39" s="558"/>
      <c r="AC39" s="558"/>
      <c r="AD39" s="559"/>
    </row>
    <row r="40" spans="1:34" ht="156.75" customHeight="1" outlineLevel="1" x14ac:dyDescent="0.2">
      <c r="A40" s="340" t="s">
        <v>1304</v>
      </c>
      <c r="B40" s="322" t="s">
        <v>1312</v>
      </c>
      <c r="C40" s="107" t="s">
        <v>1310</v>
      </c>
      <c r="D40" s="341" t="s">
        <v>545</v>
      </c>
      <c r="E40" s="85" t="s">
        <v>97</v>
      </c>
      <c r="F40" s="85" t="s">
        <v>97</v>
      </c>
      <c r="G40" s="85" t="s">
        <v>97</v>
      </c>
      <c r="H40" s="85" t="s">
        <v>97</v>
      </c>
      <c r="I40" s="85" t="s">
        <v>97</v>
      </c>
      <c r="J40" s="85" t="s">
        <v>97</v>
      </c>
      <c r="K40" s="85" t="s">
        <v>97</v>
      </c>
      <c r="L40" s="85" t="s">
        <v>97</v>
      </c>
      <c r="M40" s="85" t="s">
        <v>97</v>
      </c>
      <c r="N40" s="85" t="s">
        <v>97</v>
      </c>
      <c r="O40" s="85" t="s">
        <v>97</v>
      </c>
      <c r="P40" s="85" t="s">
        <v>97</v>
      </c>
      <c r="Q40" s="85" t="s">
        <v>97</v>
      </c>
      <c r="R40" s="85" t="s">
        <v>97</v>
      </c>
      <c r="S40" s="85" t="s">
        <v>97</v>
      </c>
      <c r="T40" s="324">
        <v>0</v>
      </c>
      <c r="U40" s="85">
        <v>0</v>
      </c>
      <c r="V40" s="85">
        <v>0</v>
      </c>
      <c r="W40" s="85">
        <v>0</v>
      </c>
      <c r="X40" s="85">
        <v>0</v>
      </c>
      <c r="Y40" s="324">
        <v>0</v>
      </c>
      <c r="Z40" s="85">
        <v>0</v>
      </c>
      <c r="AA40" s="85">
        <v>0</v>
      </c>
      <c r="AB40" s="85">
        <v>0</v>
      </c>
      <c r="AC40" s="85">
        <v>0</v>
      </c>
      <c r="AD40" s="324">
        <v>0</v>
      </c>
    </row>
    <row r="41" spans="1:34" ht="262.5" customHeight="1" outlineLevel="1" x14ac:dyDescent="0.2">
      <c r="A41" s="340" t="s">
        <v>1305</v>
      </c>
      <c r="B41" s="322" t="s">
        <v>1339</v>
      </c>
      <c r="C41" s="107" t="s">
        <v>1310</v>
      </c>
      <c r="D41" s="341" t="s">
        <v>545</v>
      </c>
      <c r="E41" s="85" t="s">
        <v>97</v>
      </c>
      <c r="F41" s="85" t="s">
        <v>97</v>
      </c>
      <c r="G41" s="85" t="s">
        <v>97</v>
      </c>
      <c r="H41" s="85" t="s">
        <v>97</v>
      </c>
      <c r="I41" s="85" t="s">
        <v>97</v>
      </c>
      <c r="J41" s="85" t="s">
        <v>97</v>
      </c>
      <c r="K41" s="85" t="s">
        <v>97</v>
      </c>
      <c r="L41" s="85" t="s">
        <v>97</v>
      </c>
      <c r="M41" s="85" t="s">
        <v>97</v>
      </c>
      <c r="N41" s="85" t="s">
        <v>97</v>
      </c>
      <c r="O41" s="85" t="s">
        <v>97</v>
      </c>
      <c r="P41" s="85" t="s">
        <v>97</v>
      </c>
      <c r="Q41" s="85" t="s">
        <v>97</v>
      </c>
      <c r="R41" s="85" t="s">
        <v>97</v>
      </c>
      <c r="S41" s="85" t="s">
        <v>97</v>
      </c>
      <c r="T41" s="324">
        <v>0</v>
      </c>
      <c r="U41" s="85">
        <v>0</v>
      </c>
      <c r="V41" s="85">
        <v>0</v>
      </c>
      <c r="W41" s="85">
        <v>0</v>
      </c>
      <c r="X41" s="85">
        <v>0</v>
      </c>
      <c r="Y41" s="324">
        <v>0</v>
      </c>
      <c r="Z41" s="85">
        <v>0</v>
      </c>
      <c r="AA41" s="85">
        <v>0</v>
      </c>
      <c r="AB41" s="85">
        <v>0</v>
      </c>
      <c r="AC41" s="85">
        <v>0</v>
      </c>
      <c r="AD41" s="324">
        <v>0</v>
      </c>
    </row>
    <row r="42" spans="1:34" ht="135" customHeight="1" outlineLevel="1" x14ac:dyDescent="0.2">
      <c r="A42" s="340" t="s">
        <v>1306</v>
      </c>
      <c r="B42" s="322" t="s">
        <v>1311</v>
      </c>
      <c r="C42" s="107" t="s">
        <v>1310</v>
      </c>
      <c r="D42" s="341" t="s">
        <v>545</v>
      </c>
      <c r="E42" s="85" t="s">
        <v>97</v>
      </c>
      <c r="F42" s="85" t="s">
        <v>97</v>
      </c>
      <c r="G42" s="85" t="s">
        <v>97</v>
      </c>
      <c r="H42" s="85" t="s">
        <v>97</v>
      </c>
      <c r="I42" s="85" t="s">
        <v>97</v>
      </c>
      <c r="J42" s="85" t="s">
        <v>97</v>
      </c>
      <c r="K42" s="85" t="s">
        <v>97</v>
      </c>
      <c r="L42" s="85" t="s">
        <v>97</v>
      </c>
      <c r="M42" s="85" t="s">
        <v>97</v>
      </c>
      <c r="N42" s="85" t="s">
        <v>97</v>
      </c>
      <c r="O42" s="85" t="s">
        <v>97</v>
      </c>
      <c r="P42" s="85" t="s">
        <v>97</v>
      </c>
      <c r="Q42" s="85" t="s">
        <v>97</v>
      </c>
      <c r="R42" s="85" t="s">
        <v>97</v>
      </c>
      <c r="S42" s="85" t="s">
        <v>97</v>
      </c>
      <c r="T42" s="324">
        <v>0</v>
      </c>
      <c r="U42" s="85">
        <v>0</v>
      </c>
      <c r="V42" s="85">
        <v>0</v>
      </c>
      <c r="W42" s="85">
        <v>0</v>
      </c>
      <c r="X42" s="85">
        <v>0</v>
      </c>
      <c r="Y42" s="324">
        <v>0</v>
      </c>
      <c r="Z42" s="85">
        <v>0</v>
      </c>
      <c r="AA42" s="85">
        <v>0</v>
      </c>
      <c r="AB42" s="85">
        <v>0</v>
      </c>
      <c r="AC42" s="85">
        <v>0</v>
      </c>
      <c r="AD42" s="324">
        <v>0</v>
      </c>
    </row>
    <row r="43" spans="1:34" ht="120" customHeight="1" outlineLevel="1" x14ac:dyDescent="0.2">
      <c r="A43" s="340" t="s">
        <v>1307</v>
      </c>
      <c r="B43" s="322" t="s">
        <v>1316</v>
      </c>
      <c r="C43" s="107" t="s">
        <v>1310</v>
      </c>
      <c r="D43" s="341" t="s">
        <v>545</v>
      </c>
      <c r="E43" s="85" t="s">
        <v>97</v>
      </c>
      <c r="F43" s="85" t="s">
        <v>97</v>
      </c>
      <c r="G43" s="85" t="s">
        <v>97</v>
      </c>
      <c r="H43" s="85" t="s">
        <v>97</v>
      </c>
      <c r="I43" s="85" t="s">
        <v>97</v>
      </c>
      <c r="J43" s="85" t="s">
        <v>97</v>
      </c>
      <c r="K43" s="85" t="s">
        <v>97</v>
      </c>
      <c r="L43" s="85" t="s">
        <v>97</v>
      </c>
      <c r="M43" s="85" t="s">
        <v>97</v>
      </c>
      <c r="N43" s="85" t="s">
        <v>97</v>
      </c>
      <c r="O43" s="85" t="s">
        <v>97</v>
      </c>
      <c r="P43" s="85" t="s">
        <v>97</v>
      </c>
      <c r="Q43" s="85" t="s">
        <v>97</v>
      </c>
      <c r="R43" s="85" t="s">
        <v>97</v>
      </c>
      <c r="S43" s="85" t="s">
        <v>97</v>
      </c>
      <c r="T43" s="324">
        <v>0</v>
      </c>
      <c r="U43" s="85">
        <v>0</v>
      </c>
      <c r="V43" s="85">
        <v>0</v>
      </c>
      <c r="W43" s="85">
        <v>0</v>
      </c>
      <c r="X43" s="85">
        <v>0</v>
      </c>
      <c r="Y43" s="324">
        <v>0</v>
      </c>
      <c r="Z43" s="85">
        <v>0</v>
      </c>
      <c r="AA43" s="85">
        <v>0</v>
      </c>
      <c r="AB43" s="85">
        <v>0</v>
      </c>
      <c r="AC43" s="85">
        <v>0</v>
      </c>
      <c r="AD43" s="324">
        <v>0</v>
      </c>
    </row>
    <row r="44" spans="1:34" ht="94.9" customHeight="1" outlineLevel="1" x14ac:dyDescent="0.2">
      <c r="A44" s="340" t="s">
        <v>1308</v>
      </c>
      <c r="B44" s="107" t="s">
        <v>1321</v>
      </c>
      <c r="C44" s="107" t="s">
        <v>1310</v>
      </c>
      <c r="D44" s="341" t="s">
        <v>545</v>
      </c>
      <c r="E44" s="85" t="s">
        <v>97</v>
      </c>
      <c r="F44" s="85" t="s">
        <v>97</v>
      </c>
      <c r="G44" s="85" t="s">
        <v>97</v>
      </c>
      <c r="H44" s="85" t="s">
        <v>97</v>
      </c>
      <c r="I44" s="85" t="s">
        <v>97</v>
      </c>
      <c r="J44" s="85" t="s">
        <v>97</v>
      </c>
      <c r="K44" s="85" t="s">
        <v>97</v>
      </c>
      <c r="L44" s="85" t="s">
        <v>97</v>
      </c>
      <c r="M44" s="85" t="s">
        <v>97</v>
      </c>
      <c r="N44" s="85" t="s">
        <v>97</v>
      </c>
      <c r="O44" s="85" t="s">
        <v>97</v>
      </c>
      <c r="P44" s="85" t="s">
        <v>97</v>
      </c>
      <c r="Q44" s="85" t="s">
        <v>97</v>
      </c>
      <c r="R44" s="85" t="s">
        <v>97</v>
      </c>
      <c r="S44" s="85" t="s">
        <v>97</v>
      </c>
      <c r="T44" s="324">
        <v>0</v>
      </c>
      <c r="U44" s="85">
        <v>0</v>
      </c>
      <c r="V44" s="85">
        <v>0</v>
      </c>
      <c r="W44" s="85">
        <v>0</v>
      </c>
      <c r="X44" s="85">
        <v>0</v>
      </c>
      <c r="Y44" s="324">
        <v>0</v>
      </c>
      <c r="Z44" s="85">
        <v>0</v>
      </c>
      <c r="AA44" s="85">
        <v>0</v>
      </c>
      <c r="AB44" s="85">
        <v>0</v>
      </c>
      <c r="AC44" s="85">
        <v>0</v>
      </c>
      <c r="AD44" s="324">
        <v>0</v>
      </c>
    </row>
    <row r="45" spans="1:34" ht="94.9" customHeight="1" outlineLevel="1" x14ac:dyDescent="0.2">
      <c r="A45" s="340" t="s">
        <v>1309</v>
      </c>
      <c r="B45" s="107" t="s">
        <v>1323</v>
      </c>
      <c r="C45" s="107" t="s">
        <v>1310</v>
      </c>
      <c r="D45" s="341" t="s">
        <v>545</v>
      </c>
      <c r="E45" s="85" t="s">
        <v>97</v>
      </c>
      <c r="F45" s="85" t="s">
        <v>97</v>
      </c>
      <c r="G45" s="85" t="s">
        <v>97</v>
      </c>
      <c r="H45" s="85" t="s">
        <v>97</v>
      </c>
      <c r="I45" s="85" t="s">
        <v>97</v>
      </c>
      <c r="J45" s="85" t="s">
        <v>97</v>
      </c>
      <c r="K45" s="85" t="s">
        <v>97</v>
      </c>
      <c r="L45" s="85" t="s">
        <v>97</v>
      </c>
      <c r="M45" s="85" t="s">
        <v>97</v>
      </c>
      <c r="N45" s="85" t="s">
        <v>97</v>
      </c>
      <c r="O45" s="85" t="s">
        <v>97</v>
      </c>
      <c r="P45" s="85" t="s">
        <v>97</v>
      </c>
      <c r="Q45" s="85" t="s">
        <v>97</v>
      </c>
      <c r="R45" s="85" t="s">
        <v>97</v>
      </c>
      <c r="S45" s="85" t="s">
        <v>97</v>
      </c>
      <c r="T45" s="324">
        <v>0</v>
      </c>
      <c r="U45" s="85">
        <v>0</v>
      </c>
      <c r="V45" s="85">
        <v>0</v>
      </c>
      <c r="W45" s="85">
        <v>0</v>
      </c>
      <c r="X45" s="85">
        <v>0</v>
      </c>
      <c r="Y45" s="324">
        <v>0</v>
      </c>
      <c r="Z45" s="85">
        <v>0</v>
      </c>
      <c r="AA45" s="85">
        <v>0</v>
      </c>
      <c r="AB45" s="85">
        <v>0</v>
      </c>
      <c r="AC45" s="85">
        <v>0</v>
      </c>
      <c r="AD45" s="324">
        <v>0</v>
      </c>
    </row>
    <row r="46" spans="1:34" ht="149.25" customHeight="1" outlineLevel="1" x14ac:dyDescent="0.2">
      <c r="A46" s="340" t="s">
        <v>1325</v>
      </c>
      <c r="B46" s="107" t="s">
        <v>1328</v>
      </c>
      <c r="C46" s="337" t="s">
        <v>1370</v>
      </c>
      <c r="D46" s="341" t="s">
        <v>545</v>
      </c>
      <c r="E46" s="85" t="s">
        <v>97</v>
      </c>
      <c r="F46" s="85" t="s">
        <v>97</v>
      </c>
      <c r="G46" s="85" t="s">
        <v>97</v>
      </c>
      <c r="H46" s="85" t="s">
        <v>97</v>
      </c>
      <c r="I46" s="85" t="s">
        <v>97</v>
      </c>
      <c r="J46" s="85" t="s">
        <v>97</v>
      </c>
      <c r="K46" s="85" t="s">
        <v>97</v>
      </c>
      <c r="L46" s="85" t="s">
        <v>97</v>
      </c>
      <c r="M46" s="85" t="s">
        <v>97</v>
      </c>
      <c r="N46" s="85" t="s">
        <v>97</v>
      </c>
      <c r="O46" s="85" t="s">
        <v>97</v>
      </c>
      <c r="P46" s="85" t="s">
        <v>97</v>
      </c>
      <c r="Q46" s="85" t="s">
        <v>97</v>
      </c>
      <c r="R46" s="85" t="s">
        <v>97</v>
      </c>
      <c r="S46" s="85" t="s">
        <v>97</v>
      </c>
      <c r="T46" s="324">
        <v>0</v>
      </c>
      <c r="U46" s="85">
        <v>0</v>
      </c>
      <c r="V46" s="85">
        <v>0</v>
      </c>
      <c r="W46" s="85">
        <v>0</v>
      </c>
      <c r="X46" s="85">
        <v>0</v>
      </c>
      <c r="Y46" s="324">
        <v>0</v>
      </c>
      <c r="Z46" s="85">
        <v>0</v>
      </c>
      <c r="AA46" s="85">
        <v>0</v>
      </c>
      <c r="AB46" s="85">
        <v>0</v>
      </c>
      <c r="AC46" s="85">
        <v>0</v>
      </c>
      <c r="AD46" s="324">
        <v>0</v>
      </c>
    </row>
    <row r="47" spans="1:34" ht="103.5" customHeight="1" outlineLevel="1" x14ac:dyDescent="0.2">
      <c r="A47" s="340" t="s">
        <v>1326</v>
      </c>
      <c r="B47" s="107" t="s">
        <v>1381</v>
      </c>
      <c r="C47" s="107" t="s">
        <v>1510</v>
      </c>
      <c r="D47" s="341" t="s">
        <v>545</v>
      </c>
      <c r="E47" s="85" t="s">
        <v>97</v>
      </c>
      <c r="F47" s="85" t="s">
        <v>97</v>
      </c>
      <c r="G47" s="85" t="s">
        <v>97</v>
      </c>
      <c r="H47" s="85" t="s">
        <v>97</v>
      </c>
      <c r="I47" s="85" t="s">
        <v>97</v>
      </c>
      <c r="J47" s="85" t="s">
        <v>97</v>
      </c>
      <c r="K47" s="85" t="s">
        <v>97</v>
      </c>
      <c r="L47" s="85" t="s">
        <v>97</v>
      </c>
      <c r="M47" s="85" t="s">
        <v>97</v>
      </c>
      <c r="N47" s="85" t="s">
        <v>97</v>
      </c>
      <c r="O47" s="85" t="s">
        <v>97</v>
      </c>
      <c r="P47" s="85" t="s">
        <v>97</v>
      </c>
      <c r="Q47" s="85" t="s">
        <v>97</v>
      </c>
      <c r="R47" s="85" t="s">
        <v>97</v>
      </c>
      <c r="S47" s="85" t="s">
        <v>97</v>
      </c>
      <c r="T47" s="324">
        <v>0</v>
      </c>
      <c r="U47" s="85">
        <v>0</v>
      </c>
      <c r="V47" s="85">
        <v>0</v>
      </c>
      <c r="W47" s="85">
        <v>0</v>
      </c>
      <c r="X47" s="85">
        <v>0</v>
      </c>
      <c r="Y47" s="324">
        <v>0</v>
      </c>
      <c r="Z47" s="85">
        <v>0</v>
      </c>
      <c r="AA47" s="85">
        <v>0</v>
      </c>
      <c r="AB47" s="85">
        <v>0</v>
      </c>
      <c r="AC47" s="85">
        <v>0</v>
      </c>
      <c r="AD47" s="324">
        <v>0</v>
      </c>
    </row>
    <row r="48" spans="1:34" ht="50.25" customHeight="1" outlineLevel="1" x14ac:dyDescent="0.2">
      <c r="A48" s="549" t="s">
        <v>549</v>
      </c>
      <c r="B48" s="550"/>
      <c r="C48" s="551"/>
      <c r="D48" s="327"/>
      <c r="E48" s="338">
        <f>F48+G48+H48+I48</f>
        <v>173012</v>
      </c>
      <c r="F48" s="85">
        <f>SUM(F13:F38)</f>
        <v>173012</v>
      </c>
      <c r="G48" s="85">
        <f>SUM(G13:G38)</f>
        <v>0</v>
      </c>
      <c r="H48" s="85">
        <f>SUM(H13:H38)</f>
        <v>0</v>
      </c>
      <c r="I48" s="85">
        <f>SUM(I13:I38)</f>
        <v>0</v>
      </c>
      <c r="J48" s="324">
        <f>K48+L48+M48+N48</f>
        <v>103854</v>
      </c>
      <c r="K48" s="85">
        <f>SUM(K13:K38)</f>
        <v>103854</v>
      </c>
      <c r="L48" s="85">
        <f>SUM(L13:L38)</f>
        <v>0</v>
      </c>
      <c r="M48" s="85">
        <f>SUM(M13:M38)</f>
        <v>0</v>
      </c>
      <c r="N48" s="85">
        <f>SUM(N13:N38)</f>
        <v>0</v>
      </c>
      <c r="O48" s="324">
        <f>O50-O49</f>
        <v>126062</v>
      </c>
      <c r="P48" s="85">
        <f>P50-P49</f>
        <v>126062</v>
      </c>
      <c r="Q48" s="85">
        <f t="shared" ref="Q48:S48" si="10">Q50-Q49</f>
        <v>0</v>
      </c>
      <c r="R48" s="85">
        <f t="shared" si="10"/>
        <v>0</v>
      </c>
      <c r="S48" s="85">
        <f t="shared" si="10"/>
        <v>0</v>
      </c>
      <c r="T48" s="324">
        <f t="shared" ref="T48:T49" si="11">SUM(U48:X48)</f>
        <v>208932</v>
      </c>
      <c r="U48" s="85">
        <f>SUM(U13:U38)</f>
        <v>208932</v>
      </c>
      <c r="V48" s="85">
        <v>0</v>
      </c>
      <c r="W48" s="85">
        <v>0</v>
      </c>
      <c r="X48" s="85">
        <v>0</v>
      </c>
      <c r="Y48" s="324">
        <f>SUM(Z48:AC48)</f>
        <v>289373</v>
      </c>
      <c r="Z48" s="85">
        <f>SUM(Z13:Z38)</f>
        <v>289373</v>
      </c>
      <c r="AA48" s="85">
        <v>0</v>
      </c>
      <c r="AB48" s="85">
        <v>0</v>
      </c>
      <c r="AC48" s="85">
        <v>0</v>
      </c>
      <c r="AD48" s="324">
        <f>E48+J48+O48+T48+Y48</f>
        <v>901233</v>
      </c>
      <c r="AE48" s="342">
        <f t="shared" ref="AE48:AE49" si="12">F48+K48+P48+U48+Z48</f>
        <v>901233</v>
      </c>
      <c r="AF48" s="342">
        <f t="shared" ref="AF48:AF49" si="13">G48+L48+Q48+V48+AA48</f>
        <v>0</v>
      </c>
      <c r="AG48" s="342">
        <f t="shared" ref="AG48:AG49" si="14">H48+M48+R48+W48+AB48</f>
        <v>0</v>
      </c>
      <c r="AH48" s="342">
        <f t="shared" ref="AH48:AH49" si="15">I48+N48+S48+X48+AC48</f>
        <v>0</v>
      </c>
    </row>
    <row r="49" spans="1:34" ht="39.75" customHeight="1" outlineLevel="1" x14ac:dyDescent="0.2">
      <c r="A49" s="552" t="s">
        <v>367</v>
      </c>
      <c r="B49" s="553"/>
      <c r="C49" s="554"/>
      <c r="D49" s="327"/>
      <c r="E49" s="343">
        <f>F49+G49+H49+I49</f>
        <v>0</v>
      </c>
      <c r="F49" s="85">
        <v>0</v>
      </c>
      <c r="G49" s="85">
        <v>0</v>
      </c>
      <c r="H49" s="85">
        <v>0</v>
      </c>
      <c r="I49" s="85">
        <v>0</v>
      </c>
      <c r="J49" s="324">
        <f>K49+L49+M49+N49</f>
        <v>0</v>
      </c>
      <c r="K49" s="85">
        <v>0</v>
      </c>
      <c r="L49" s="85">
        <v>0</v>
      </c>
      <c r="M49" s="85">
        <v>0</v>
      </c>
      <c r="N49" s="85">
        <v>0</v>
      </c>
      <c r="O49" s="324">
        <f t="shared" ref="O49" si="16">SUM(P49:S49)</f>
        <v>3417</v>
      </c>
      <c r="P49" s="85">
        <f>P18</f>
        <v>3417</v>
      </c>
      <c r="Q49" s="85">
        <v>0</v>
      </c>
      <c r="R49" s="85">
        <v>0</v>
      </c>
      <c r="S49" s="85">
        <v>0</v>
      </c>
      <c r="T49" s="324">
        <f t="shared" si="11"/>
        <v>0</v>
      </c>
      <c r="U49" s="85">
        <v>0</v>
      </c>
      <c r="V49" s="85">
        <v>0</v>
      </c>
      <c r="W49" s="85">
        <v>0</v>
      </c>
      <c r="X49" s="85">
        <v>0</v>
      </c>
      <c r="Y49" s="324">
        <f>SUM(Z49:AC49)</f>
        <v>0</v>
      </c>
      <c r="Z49" s="85">
        <v>0</v>
      </c>
      <c r="AA49" s="85">
        <v>0</v>
      </c>
      <c r="AB49" s="85">
        <v>0</v>
      </c>
      <c r="AC49" s="85">
        <v>0</v>
      </c>
      <c r="AD49" s="324">
        <f t="shared" ref="AD49" si="17">E49+J49+O49+T49+Y49</f>
        <v>3417</v>
      </c>
      <c r="AE49" s="342">
        <f t="shared" si="12"/>
        <v>3417</v>
      </c>
      <c r="AF49" s="342">
        <f t="shared" si="13"/>
        <v>0</v>
      </c>
      <c r="AG49" s="342">
        <f t="shared" si="14"/>
        <v>0</v>
      </c>
      <c r="AH49" s="342">
        <f t="shared" si="15"/>
        <v>0</v>
      </c>
    </row>
    <row r="50" spans="1:34" ht="61.5" customHeight="1" outlineLevel="1" x14ac:dyDescent="0.2">
      <c r="A50" s="535" t="s">
        <v>550</v>
      </c>
      <c r="B50" s="535"/>
      <c r="C50" s="535"/>
      <c r="D50" s="344"/>
      <c r="E50" s="324">
        <f t="shared" ref="E50:AD50" si="18">SUM(E13:E38)</f>
        <v>173012</v>
      </c>
      <c r="F50" s="324">
        <f t="shared" si="18"/>
        <v>173012</v>
      </c>
      <c r="G50" s="324">
        <f t="shared" si="18"/>
        <v>0</v>
      </c>
      <c r="H50" s="324">
        <f t="shared" si="18"/>
        <v>0</v>
      </c>
      <c r="I50" s="324">
        <f t="shared" si="18"/>
        <v>0</v>
      </c>
      <c r="J50" s="324">
        <f t="shared" si="18"/>
        <v>103854</v>
      </c>
      <c r="K50" s="324">
        <f t="shared" si="18"/>
        <v>103854</v>
      </c>
      <c r="L50" s="324">
        <f t="shared" si="18"/>
        <v>0</v>
      </c>
      <c r="M50" s="324">
        <f t="shared" si="18"/>
        <v>0</v>
      </c>
      <c r="N50" s="324">
        <f t="shared" si="18"/>
        <v>0</v>
      </c>
      <c r="O50" s="324">
        <f t="shared" si="18"/>
        <v>129479</v>
      </c>
      <c r="P50" s="324">
        <f t="shared" si="18"/>
        <v>129479</v>
      </c>
      <c r="Q50" s="324">
        <f t="shared" si="18"/>
        <v>0</v>
      </c>
      <c r="R50" s="324">
        <f t="shared" si="18"/>
        <v>0</v>
      </c>
      <c r="S50" s="324">
        <f t="shared" si="18"/>
        <v>0</v>
      </c>
      <c r="T50" s="324">
        <f t="shared" si="18"/>
        <v>208932</v>
      </c>
      <c r="U50" s="324">
        <f t="shared" si="18"/>
        <v>208932</v>
      </c>
      <c r="V50" s="324">
        <f t="shared" si="18"/>
        <v>0</v>
      </c>
      <c r="W50" s="324">
        <f t="shared" si="18"/>
        <v>0</v>
      </c>
      <c r="X50" s="324">
        <f t="shared" si="18"/>
        <v>0</v>
      </c>
      <c r="Y50" s="324">
        <f t="shared" si="18"/>
        <v>289373</v>
      </c>
      <c r="Z50" s="324">
        <f>SUM(Z13:Z38)</f>
        <v>289373</v>
      </c>
      <c r="AA50" s="324">
        <f t="shared" si="18"/>
        <v>0</v>
      </c>
      <c r="AB50" s="324">
        <f t="shared" si="18"/>
        <v>0</v>
      </c>
      <c r="AC50" s="324">
        <f t="shared" si="18"/>
        <v>0</v>
      </c>
      <c r="AD50" s="324">
        <f t="shared" si="18"/>
        <v>904650</v>
      </c>
      <c r="AE50" s="342">
        <f>F50+K50+P50+U50+Z50</f>
        <v>904650</v>
      </c>
      <c r="AF50" s="342">
        <f>G50+L50+Q50+V50+AA50</f>
        <v>0</v>
      </c>
      <c r="AG50" s="342">
        <f>H50+M50+R50+W50+AB50</f>
        <v>0</v>
      </c>
      <c r="AH50" s="342">
        <f>I50+N50+S50+X50+AC50</f>
        <v>0</v>
      </c>
    </row>
    <row r="51" spans="1:34" s="109" customFormat="1" ht="55.15" customHeight="1" x14ac:dyDescent="0.2">
      <c r="A51" s="320" t="s">
        <v>428</v>
      </c>
      <c r="B51" s="544" t="s">
        <v>1060</v>
      </c>
      <c r="C51" s="545"/>
      <c r="D51" s="545"/>
      <c r="E51" s="545"/>
      <c r="F51" s="545"/>
      <c r="G51" s="545"/>
      <c r="H51" s="545"/>
      <c r="I51" s="545"/>
      <c r="J51" s="545"/>
      <c r="K51" s="545"/>
      <c r="L51" s="545"/>
      <c r="M51" s="545"/>
      <c r="N51" s="545"/>
      <c r="O51" s="545"/>
      <c r="P51" s="545"/>
      <c r="Q51" s="545"/>
      <c r="R51" s="545"/>
      <c r="S51" s="545"/>
      <c r="T51" s="545"/>
      <c r="U51" s="545"/>
      <c r="V51" s="545"/>
      <c r="W51" s="545"/>
      <c r="X51" s="545"/>
      <c r="Y51" s="545"/>
      <c r="Z51" s="545"/>
      <c r="AA51" s="545"/>
      <c r="AB51" s="545"/>
      <c r="AC51" s="545"/>
      <c r="AD51" s="546"/>
      <c r="AE51" s="94"/>
      <c r="AF51" s="94"/>
      <c r="AG51" s="94"/>
      <c r="AH51" s="94"/>
    </row>
    <row r="52" spans="1:34" ht="42" customHeight="1" x14ac:dyDescent="0.2">
      <c r="A52" s="567" t="s">
        <v>189</v>
      </c>
      <c r="B52" s="567"/>
      <c r="C52" s="567"/>
      <c r="D52" s="567"/>
      <c r="E52" s="567"/>
      <c r="F52" s="567"/>
      <c r="G52" s="567"/>
      <c r="H52" s="567"/>
      <c r="I52" s="567"/>
      <c r="J52" s="567"/>
      <c r="K52" s="567"/>
      <c r="L52" s="567"/>
      <c r="M52" s="567"/>
      <c r="N52" s="567"/>
      <c r="O52" s="567"/>
      <c r="P52" s="567"/>
      <c r="Q52" s="567"/>
      <c r="R52" s="567"/>
      <c r="S52" s="567"/>
      <c r="T52" s="567"/>
      <c r="U52" s="567"/>
      <c r="V52" s="567"/>
      <c r="W52" s="567"/>
      <c r="X52" s="567"/>
      <c r="Y52" s="567"/>
      <c r="Z52" s="567"/>
      <c r="AA52" s="567"/>
      <c r="AB52" s="567"/>
      <c r="AC52" s="567"/>
      <c r="AD52" s="567"/>
    </row>
    <row r="53" spans="1:34" s="345" customFormat="1" ht="43.15" customHeight="1" outlineLevel="1" x14ac:dyDescent="0.2">
      <c r="A53" s="568" t="s">
        <v>1048</v>
      </c>
      <c r="B53" s="568"/>
      <c r="C53" s="568"/>
      <c r="D53" s="568"/>
      <c r="E53" s="568"/>
      <c r="F53" s="568"/>
      <c r="G53" s="568"/>
      <c r="H53" s="568"/>
      <c r="I53" s="568"/>
      <c r="J53" s="568"/>
      <c r="K53" s="568"/>
      <c r="L53" s="568"/>
      <c r="M53" s="568"/>
      <c r="N53" s="568"/>
      <c r="O53" s="568"/>
      <c r="P53" s="568"/>
      <c r="Q53" s="568"/>
      <c r="R53" s="568"/>
      <c r="S53" s="568"/>
      <c r="T53" s="568"/>
      <c r="U53" s="568"/>
      <c r="V53" s="568"/>
      <c r="W53" s="568"/>
      <c r="X53" s="568"/>
      <c r="Y53" s="568"/>
      <c r="Z53" s="568"/>
      <c r="AA53" s="568"/>
      <c r="AB53" s="568"/>
      <c r="AC53" s="568"/>
      <c r="AD53" s="568"/>
      <c r="AE53" s="94"/>
      <c r="AF53" s="94"/>
      <c r="AG53" s="94"/>
      <c r="AH53" s="94"/>
    </row>
    <row r="54" spans="1:34" s="345" customFormat="1" ht="54" customHeight="1" outlineLevel="1" x14ac:dyDescent="0.2">
      <c r="A54" s="320" t="s">
        <v>2</v>
      </c>
      <c r="B54" s="544" t="s">
        <v>1049</v>
      </c>
      <c r="C54" s="545"/>
      <c r="D54" s="545"/>
      <c r="E54" s="545"/>
      <c r="F54" s="545"/>
      <c r="G54" s="545"/>
      <c r="H54" s="545"/>
      <c r="I54" s="545"/>
      <c r="J54" s="545"/>
      <c r="K54" s="545"/>
      <c r="L54" s="545"/>
      <c r="M54" s="545"/>
      <c r="N54" s="545"/>
      <c r="O54" s="545"/>
      <c r="P54" s="545"/>
      <c r="Q54" s="545"/>
      <c r="R54" s="545"/>
      <c r="S54" s="545"/>
      <c r="T54" s="545"/>
      <c r="U54" s="545"/>
      <c r="V54" s="545"/>
      <c r="W54" s="545"/>
      <c r="X54" s="545"/>
      <c r="Y54" s="545"/>
      <c r="Z54" s="545"/>
      <c r="AA54" s="545"/>
      <c r="AB54" s="545"/>
      <c r="AC54" s="545"/>
      <c r="AD54" s="546"/>
      <c r="AE54" s="94"/>
      <c r="AF54" s="94"/>
      <c r="AG54" s="94"/>
      <c r="AH54" s="94"/>
    </row>
    <row r="55" spans="1:34" ht="290.25" customHeight="1" outlineLevel="1" x14ac:dyDescent="0.2">
      <c r="A55" s="325" t="s">
        <v>8</v>
      </c>
      <c r="B55" s="322" t="s">
        <v>596</v>
      </c>
      <c r="C55" s="107" t="s">
        <v>346</v>
      </c>
      <c r="D55" s="322" t="s">
        <v>609</v>
      </c>
      <c r="E55" s="324">
        <f t="shared" ref="E55:E65" si="19">F55+G55+H55+I55</f>
        <v>321465</v>
      </c>
      <c r="F55" s="346">
        <f>ROUND('2.переченьМРАД'!$I$33,0)</f>
        <v>12402</v>
      </c>
      <c r="G55" s="346">
        <f>ROUND('2.переченьМРАД'!$H$33,0)</f>
        <v>182270</v>
      </c>
      <c r="H55" s="346">
        <f>ROUND('2.переченьМРАД'!G33,0)</f>
        <v>126793</v>
      </c>
      <c r="I55" s="347">
        <v>0</v>
      </c>
      <c r="J55" s="324">
        <f>K55+L55+M55+N55</f>
        <v>8332</v>
      </c>
      <c r="K55" s="346">
        <f>'2.переченьМРАД'!$N$33</f>
        <v>8332</v>
      </c>
      <c r="L55" s="346">
        <f>'2.переченьМРАД'!$M$33</f>
        <v>0</v>
      </c>
      <c r="M55" s="346">
        <f>'2.переченьМРАД'!$L$33</f>
        <v>0</v>
      </c>
      <c r="N55" s="347">
        <v>0</v>
      </c>
      <c r="O55" s="324">
        <f>SUM(P55:S55)</f>
        <v>67626</v>
      </c>
      <c r="P55" s="346">
        <f>'2.переченьМРАД'!$S$33</f>
        <v>3465</v>
      </c>
      <c r="Q55" s="346">
        <f>'2.переченьМРАД'!$R$33</f>
        <v>64161</v>
      </c>
      <c r="R55" s="346">
        <v>0</v>
      </c>
      <c r="S55" s="347">
        <v>0</v>
      </c>
      <c r="T55" s="324">
        <f t="shared" ref="T55:T72" si="20">SUM(U55:X55)</f>
        <v>43044</v>
      </c>
      <c r="U55" s="85">
        <f>ROUND('2.переченьМРАД'!$X$33,0)</f>
        <v>2252</v>
      </c>
      <c r="V55" s="85">
        <f>ROUND('2.переченьМРАД'!$W$33,0)</f>
        <v>40792</v>
      </c>
      <c r="W55" s="85">
        <v>0</v>
      </c>
      <c r="X55" s="85">
        <v>0</v>
      </c>
      <c r="Y55" s="324">
        <f t="shared" ref="Y55:Y67" si="21">SUM(Z55:AC55)</f>
        <v>0</v>
      </c>
      <c r="Z55" s="85">
        <f>'2.переченьМРАД'!$AC$33</f>
        <v>0</v>
      </c>
      <c r="AA55" s="85">
        <f>'2.переченьМРАД'!$AB$33</f>
        <v>0</v>
      </c>
      <c r="AB55" s="85">
        <v>0</v>
      </c>
      <c r="AC55" s="85">
        <v>0</v>
      </c>
      <c r="AD55" s="324">
        <f>E55+J55+O55+T55+Y55</f>
        <v>440467</v>
      </c>
    </row>
    <row r="56" spans="1:34" ht="49.5" customHeight="1" outlineLevel="1" x14ac:dyDescent="0.2">
      <c r="A56" s="560" t="s">
        <v>36</v>
      </c>
      <c r="B56" s="555" t="s">
        <v>586</v>
      </c>
      <c r="C56" s="562" t="s">
        <v>346</v>
      </c>
      <c r="D56" s="322" t="s">
        <v>611</v>
      </c>
      <c r="E56" s="324">
        <f t="shared" si="19"/>
        <v>66560</v>
      </c>
      <c r="F56" s="346">
        <f>'2.переченьМРАД'!$I$44</f>
        <v>4500</v>
      </c>
      <c r="G56" s="346">
        <f>'2.переченьМРАД'!$H$44</f>
        <v>62060</v>
      </c>
      <c r="H56" s="346">
        <f>'2.переченьМРАД'!G34</f>
        <v>0</v>
      </c>
      <c r="I56" s="347">
        <v>0</v>
      </c>
      <c r="J56" s="324">
        <f>K56+L56+M56+N56</f>
        <v>2196</v>
      </c>
      <c r="K56" s="346">
        <f>'2.переченьМРАД'!$N$44</f>
        <v>2196</v>
      </c>
      <c r="L56" s="346">
        <f>'2.переченьМРАД'!$M$44</f>
        <v>0</v>
      </c>
      <c r="M56" s="346">
        <v>0</v>
      </c>
      <c r="N56" s="347">
        <v>0</v>
      </c>
      <c r="O56" s="324">
        <f t="shared" ref="O56:O72" si="22">SUM(P56:S56)</f>
        <v>336779</v>
      </c>
      <c r="P56" s="346">
        <f>'2.переченьМРАД'!$S$44</f>
        <v>28827</v>
      </c>
      <c r="Q56" s="346">
        <f>'2.переченьМРАД'!$R$44</f>
        <v>307952</v>
      </c>
      <c r="R56" s="346">
        <v>0</v>
      </c>
      <c r="S56" s="347">
        <v>0</v>
      </c>
      <c r="T56" s="324">
        <f t="shared" si="20"/>
        <v>1157</v>
      </c>
      <c r="U56" s="85">
        <f>ROUND('2.переченьМРАД'!$X$44,0)</f>
        <v>1157</v>
      </c>
      <c r="V56" s="85">
        <f>ROUND('2.переченьМРАД'!$W$44,0)</f>
        <v>0</v>
      </c>
      <c r="W56" s="85">
        <v>0</v>
      </c>
      <c r="X56" s="85">
        <v>0</v>
      </c>
      <c r="Y56" s="324">
        <f t="shared" si="21"/>
        <v>0</v>
      </c>
      <c r="Z56" s="85">
        <f>'2.переченьМРАД'!$AC$44</f>
        <v>0</v>
      </c>
      <c r="AA56" s="85">
        <f>'2.переченьМРАД'!$AB$44</f>
        <v>0</v>
      </c>
      <c r="AB56" s="85">
        <v>0</v>
      </c>
      <c r="AC56" s="85">
        <v>0</v>
      </c>
      <c r="AD56" s="324">
        <f t="shared" ref="AD56:AD69" si="23">E56+J56+O56+T56+Y56</f>
        <v>406692</v>
      </c>
    </row>
    <row r="57" spans="1:34" ht="133.5" customHeight="1" outlineLevel="1" x14ac:dyDescent="0.2">
      <c r="A57" s="561"/>
      <c r="B57" s="556"/>
      <c r="C57" s="563"/>
      <c r="D57" s="322" t="s">
        <v>1350</v>
      </c>
      <c r="E57" s="324">
        <v>0</v>
      </c>
      <c r="F57" s="346">
        <v>0</v>
      </c>
      <c r="G57" s="346">
        <v>0</v>
      </c>
      <c r="H57" s="346">
        <v>0</v>
      </c>
      <c r="I57" s="347">
        <v>0</v>
      </c>
      <c r="J57" s="324">
        <v>0</v>
      </c>
      <c r="K57" s="346">
        <v>0</v>
      </c>
      <c r="L57" s="346">
        <v>0</v>
      </c>
      <c r="M57" s="346">
        <v>0</v>
      </c>
      <c r="N57" s="347">
        <v>0</v>
      </c>
      <c r="O57" s="324">
        <v>0</v>
      </c>
      <c r="P57" s="346">
        <v>0</v>
      </c>
      <c r="Q57" s="346">
        <v>0</v>
      </c>
      <c r="R57" s="346">
        <v>0</v>
      </c>
      <c r="S57" s="347">
        <v>0</v>
      </c>
      <c r="T57" s="324">
        <v>0</v>
      </c>
      <c r="U57" s="346">
        <v>0</v>
      </c>
      <c r="V57" s="346">
        <v>0</v>
      </c>
      <c r="W57" s="346">
        <v>0</v>
      </c>
      <c r="X57" s="347">
        <v>0</v>
      </c>
      <c r="Y57" s="324">
        <f t="shared" si="21"/>
        <v>23106</v>
      </c>
      <c r="Z57" s="85">
        <v>23106</v>
      </c>
      <c r="AA57" s="85">
        <v>0</v>
      </c>
      <c r="AB57" s="85">
        <v>0</v>
      </c>
      <c r="AC57" s="85">
        <v>0</v>
      </c>
      <c r="AD57" s="324">
        <f t="shared" si="23"/>
        <v>23106</v>
      </c>
    </row>
    <row r="58" spans="1:34" ht="120" customHeight="1" outlineLevel="1" x14ac:dyDescent="0.2">
      <c r="A58" s="540" t="s">
        <v>124</v>
      </c>
      <c r="B58" s="555" t="s">
        <v>381</v>
      </c>
      <c r="C58" s="562" t="s">
        <v>346</v>
      </c>
      <c r="D58" s="322" t="s">
        <v>43</v>
      </c>
      <c r="E58" s="324">
        <f t="shared" si="19"/>
        <v>44356</v>
      </c>
      <c r="F58" s="346">
        <f>'2.переченьМРАД'!$I$76</f>
        <v>28021</v>
      </c>
      <c r="G58" s="346">
        <f>'2.переченьМРАД'!$H$76</f>
        <v>16335</v>
      </c>
      <c r="H58" s="346">
        <f>'2.переченьМРАД'!G35</f>
        <v>0</v>
      </c>
      <c r="I58" s="347">
        <v>0</v>
      </c>
      <c r="J58" s="324">
        <f>K58+L58+M58+N58</f>
        <v>16962</v>
      </c>
      <c r="K58" s="346">
        <f>'2.переченьМРАД'!$N$76</f>
        <v>16962</v>
      </c>
      <c r="L58" s="346">
        <f>'2.переченьМРАД'!$M$76</f>
        <v>0</v>
      </c>
      <c r="M58" s="346">
        <v>0</v>
      </c>
      <c r="N58" s="347">
        <v>0</v>
      </c>
      <c r="O58" s="324">
        <f t="shared" si="22"/>
        <v>15511</v>
      </c>
      <c r="P58" s="346">
        <f>'2.переченьМРАД'!$S$76</f>
        <v>15511</v>
      </c>
      <c r="Q58" s="346">
        <f>'2.переченьМРАД'!$R$76</f>
        <v>0</v>
      </c>
      <c r="R58" s="346">
        <v>0</v>
      </c>
      <c r="S58" s="347">
        <v>0</v>
      </c>
      <c r="T58" s="324">
        <f t="shared" si="20"/>
        <v>36893</v>
      </c>
      <c r="U58" s="85">
        <f>'2.переченьМРАД'!$X$76</f>
        <v>36893</v>
      </c>
      <c r="V58" s="85">
        <f>'2.переченьМРАД'!$W$76</f>
        <v>0</v>
      </c>
      <c r="W58" s="85">
        <v>0</v>
      </c>
      <c r="X58" s="85">
        <v>0</v>
      </c>
      <c r="Y58" s="324">
        <f t="shared" si="21"/>
        <v>21265</v>
      </c>
      <c r="Z58" s="85">
        <f>'2.переченьМРАД'!$AC$76</f>
        <v>21265</v>
      </c>
      <c r="AA58" s="85">
        <f>'2.переченьМРАД'!$AB$76</f>
        <v>0</v>
      </c>
      <c r="AB58" s="85">
        <v>0</v>
      </c>
      <c r="AC58" s="85">
        <v>0</v>
      </c>
      <c r="AD58" s="324">
        <f>E58+J58+O58+T58+Y58</f>
        <v>134987</v>
      </c>
    </row>
    <row r="59" spans="1:34" ht="132.75" customHeight="1" outlineLevel="1" x14ac:dyDescent="0.2">
      <c r="A59" s="540"/>
      <c r="B59" s="556"/>
      <c r="C59" s="563"/>
      <c r="D59" s="322" t="s">
        <v>508</v>
      </c>
      <c r="E59" s="324">
        <f t="shared" si="19"/>
        <v>988</v>
      </c>
      <c r="F59" s="346">
        <v>988</v>
      </c>
      <c r="G59" s="346">
        <v>0</v>
      </c>
      <c r="H59" s="346">
        <v>0</v>
      </c>
      <c r="I59" s="347">
        <v>0</v>
      </c>
      <c r="J59" s="324">
        <f>K59+L59+M59+N59</f>
        <v>1584</v>
      </c>
      <c r="K59" s="346">
        <v>1584</v>
      </c>
      <c r="L59" s="346">
        <v>0</v>
      </c>
      <c r="M59" s="346">
        <v>0</v>
      </c>
      <c r="N59" s="347">
        <v>0</v>
      </c>
      <c r="O59" s="324">
        <f t="shared" si="22"/>
        <v>0</v>
      </c>
      <c r="P59" s="346">
        <v>0</v>
      </c>
      <c r="Q59" s="346">
        <f>'2.переченьМРАД'!$R$76</f>
        <v>0</v>
      </c>
      <c r="R59" s="346">
        <v>0</v>
      </c>
      <c r="S59" s="347">
        <v>0</v>
      </c>
      <c r="T59" s="324">
        <f t="shared" si="20"/>
        <v>0</v>
      </c>
      <c r="U59" s="85">
        <v>0</v>
      </c>
      <c r="V59" s="85">
        <f>'2.переченьМРАД'!$W$76</f>
        <v>0</v>
      </c>
      <c r="W59" s="85">
        <v>0</v>
      </c>
      <c r="X59" s="85">
        <v>0</v>
      </c>
      <c r="Y59" s="324">
        <f t="shared" si="21"/>
        <v>0</v>
      </c>
      <c r="Z59" s="85">
        <v>0</v>
      </c>
      <c r="AA59" s="85">
        <f>'2.переченьМРАД'!$AB$76</f>
        <v>0</v>
      </c>
      <c r="AB59" s="85">
        <v>0</v>
      </c>
      <c r="AC59" s="85">
        <v>0</v>
      </c>
      <c r="AD59" s="324">
        <f>E59+J59+O59+T59+Y59</f>
        <v>2572</v>
      </c>
    </row>
    <row r="60" spans="1:34" ht="175.5" customHeight="1" outlineLevel="1" x14ac:dyDescent="0.2">
      <c r="A60" s="540" t="s">
        <v>429</v>
      </c>
      <c r="B60" s="555" t="s">
        <v>587</v>
      </c>
      <c r="C60" s="542" t="s">
        <v>44</v>
      </c>
      <c r="D60" s="322" t="s">
        <v>43</v>
      </c>
      <c r="E60" s="324">
        <f>F60+G60+H60+I60</f>
        <v>64125</v>
      </c>
      <c r="F60" s="346">
        <f>SUM('2.переченьМРАД'!$I$98,0)</f>
        <v>4013</v>
      </c>
      <c r="G60" s="346">
        <f>SUM('2.переченьМРАД'!$H$98,0)</f>
        <v>60112</v>
      </c>
      <c r="H60" s="346">
        <v>0</v>
      </c>
      <c r="I60" s="347">
        <v>0</v>
      </c>
      <c r="J60" s="324">
        <f t="shared" ref="J60:J67" si="24">K60+L60+M60+N60</f>
        <v>241974</v>
      </c>
      <c r="K60" s="346">
        <f>ROUND('2.переченьМРАД'!$N$98,0)</f>
        <v>27315</v>
      </c>
      <c r="L60" s="346">
        <f>'2.переченьМРАД'!$M$98</f>
        <v>214659</v>
      </c>
      <c r="M60" s="346">
        <v>0</v>
      </c>
      <c r="N60" s="347">
        <v>0</v>
      </c>
      <c r="O60" s="324">
        <f t="shared" si="22"/>
        <v>190226</v>
      </c>
      <c r="P60" s="346">
        <f>'2.переченьМРАД'!$S$98</f>
        <v>15347</v>
      </c>
      <c r="Q60" s="346">
        <f>'2.переченьМРАД'!$R$98</f>
        <v>174879</v>
      </c>
      <c r="R60" s="346">
        <v>0</v>
      </c>
      <c r="S60" s="347">
        <v>0</v>
      </c>
      <c r="T60" s="324">
        <f>SUM(U60:X60)</f>
        <v>109804</v>
      </c>
      <c r="U60" s="85">
        <f>ROUND('2.переченьМРАД'!$X$98,0)</f>
        <v>6804</v>
      </c>
      <c r="V60" s="85">
        <f>'2.переченьМРАД'!$W$98</f>
        <v>103000</v>
      </c>
      <c r="W60" s="85">
        <v>0</v>
      </c>
      <c r="X60" s="85">
        <v>0</v>
      </c>
      <c r="Y60" s="324">
        <f t="shared" si="21"/>
        <v>0</v>
      </c>
      <c r="Z60" s="85">
        <f>'2.переченьМРАД'!$AC$98</f>
        <v>0</v>
      </c>
      <c r="AA60" s="85">
        <f>ROUND('2.переченьМРАД'!$AB$98,0)</f>
        <v>0</v>
      </c>
      <c r="AB60" s="85">
        <v>0</v>
      </c>
      <c r="AC60" s="85">
        <v>0</v>
      </c>
      <c r="AD60" s="324">
        <f>E60+J60+O60+T60+Y60</f>
        <v>606129</v>
      </c>
    </row>
    <row r="61" spans="1:34" ht="152.25" customHeight="1" outlineLevel="1" x14ac:dyDescent="0.2">
      <c r="A61" s="540"/>
      <c r="B61" s="556"/>
      <c r="C61" s="542"/>
      <c r="D61" s="322" t="s">
        <v>1299</v>
      </c>
      <c r="E61" s="324">
        <v>0</v>
      </c>
      <c r="F61" s="346">
        <v>0</v>
      </c>
      <c r="G61" s="346">
        <v>0</v>
      </c>
      <c r="H61" s="346">
        <v>0</v>
      </c>
      <c r="I61" s="347">
        <v>0</v>
      </c>
      <c r="J61" s="324">
        <v>0</v>
      </c>
      <c r="K61" s="346">
        <v>0</v>
      </c>
      <c r="L61" s="346">
        <v>0</v>
      </c>
      <c r="M61" s="346">
        <v>0</v>
      </c>
      <c r="N61" s="347">
        <v>0</v>
      </c>
      <c r="O61" s="324">
        <v>0</v>
      </c>
      <c r="P61" s="346">
        <v>0</v>
      </c>
      <c r="Q61" s="346">
        <v>0</v>
      </c>
      <c r="R61" s="346">
        <v>0</v>
      </c>
      <c r="S61" s="347">
        <v>0</v>
      </c>
      <c r="T61" s="324">
        <f>SUM(U61:X61)</f>
        <v>0</v>
      </c>
      <c r="U61" s="85">
        <f>10002-10002</f>
        <v>0</v>
      </c>
      <c r="V61" s="85">
        <v>0</v>
      </c>
      <c r="W61" s="85">
        <v>0</v>
      </c>
      <c r="X61" s="85">
        <v>0</v>
      </c>
      <c r="Y61" s="324">
        <f t="shared" si="21"/>
        <v>9976</v>
      </c>
      <c r="Z61" s="85">
        <v>9976</v>
      </c>
      <c r="AA61" s="85">
        <v>0</v>
      </c>
      <c r="AB61" s="85">
        <v>0</v>
      </c>
      <c r="AC61" s="85">
        <v>0</v>
      </c>
      <c r="AD61" s="324">
        <f>E61+J61+O61+T61+Y61</f>
        <v>9976</v>
      </c>
    </row>
    <row r="62" spans="1:34" ht="117.75" customHeight="1" outlineLevel="1" x14ac:dyDescent="0.2">
      <c r="A62" s="540"/>
      <c r="B62" s="322" t="s">
        <v>349</v>
      </c>
      <c r="C62" s="542"/>
      <c r="D62" s="322"/>
      <c r="E62" s="324">
        <f t="shared" si="19"/>
        <v>0</v>
      </c>
      <c r="F62" s="346">
        <f>SUM('2.переченьМРАД'!I97:I97)</f>
        <v>0</v>
      </c>
      <c r="G62" s="346">
        <f>SUM('2.переченьМРАД'!H97:H97)</f>
        <v>0</v>
      </c>
      <c r="H62" s="346">
        <f>'2.переченьМРАД'!G98</f>
        <v>0</v>
      </c>
      <c r="I62" s="347">
        <v>0</v>
      </c>
      <c r="J62" s="324">
        <f t="shared" si="24"/>
        <v>0</v>
      </c>
      <c r="K62" s="346">
        <f>SUM('2.переченьМРАД'!N97:N97)</f>
        <v>0</v>
      </c>
      <c r="L62" s="346">
        <f>SUM('2.переченьМРАД'!M97:M97)</f>
        <v>0</v>
      </c>
      <c r="M62" s="346">
        <f>'2.переченьМРАД'!L98</f>
        <v>0</v>
      </c>
      <c r="N62" s="347">
        <v>0</v>
      </c>
      <c r="O62" s="324">
        <f t="shared" si="22"/>
        <v>0</v>
      </c>
      <c r="P62" s="346">
        <f>SUM('2.переченьМРАД'!S97:S97)</f>
        <v>0</v>
      </c>
      <c r="Q62" s="346">
        <f>SUM('2.переченьМРАД'!R97:R97)</f>
        <v>0</v>
      </c>
      <c r="R62" s="346">
        <f>'[2]3.переченьМРАД'!Q96</f>
        <v>0</v>
      </c>
      <c r="S62" s="347">
        <v>0</v>
      </c>
      <c r="T62" s="324">
        <f t="shared" si="20"/>
        <v>0</v>
      </c>
      <c r="U62" s="85">
        <f>SUM('2.переченьМРАД'!X97:X97)</f>
        <v>0</v>
      </c>
      <c r="V62" s="85">
        <f>SUM('2.переченьМРАД'!W97:W97)</f>
        <v>0</v>
      </c>
      <c r="W62" s="85">
        <f>'[2]3.переченьМРАД'!V96</f>
        <v>0</v>
      </c>
      <c r="X62" s="85">
        <v>0</v>
      </c>
      <c r="Y62" s="324">
        <f>SUM(Z62:AC62)</f>
        <v>0</v>
      </c>
      <c r="Z62" s="85">
        <v>0</v>
      </c>
      <c r="AA62" s="85">
        <f>SUM('2.переченьМРАД'!AB97:AB97)</f>
        <v>0</v>
      </c>
      <c r="AB62" s="85">
        <f>'[2]3.переченьМРАД'!AA96</f>
        <v>0</v>
      </c>
      <c r="AC62" s="85">
        <v>0</v>
      </c>
      <c r="AD62" s="324">
        <f t="shared" si="23"/>
        <v>0</v>
      </c>
    </row>
    <row r="63" spans="1:34" ht="191.25" customHeight="1" outlineLevel="1" x14ac:dyDescent="0.2">
      <c r="A63" s="540" t="s">
        <v>430</v>
      </c>
      <c r="B63" s="322" t="s">
        <v>588</v>
      </c>
      <c r="C63" s="542" t="s">
        <v>44</v>
      </c>
      <c r="D63" s="322" t="s">
        <v>43</v>
      </c>
      <c r="E63" s="324">
        <f>F63+G63+H63+I63</f>
        <v>787419</v>
      </c>
      <c r="F63" s="346">
        <f>ROUND('2.переченьМРАД'!$I$267,0)</f>
        <v>42088</v>
      </c>
      <c r="G63" s="346">
        <f>ROUND('2.переченьМРАД'!$H$267,0)</f>
        <v>745331</v>
      </c>
      <c r="H63" s="346">
        <v>0</v>
      </c>
      <c r="I63" s="347">
        <v>0</v>
      </c>
      <c r="J63" s="324">
        <f>K63+L63+M63+N63</f>
        <v>934352</v>
      </c>
      <c r="K63" s="346">
        <f>ROUND('2.переченьМРАД'!$N$267,0)</f>
        <v>58150</v>
      </c>
      <c r="L63" s="346">
        <f>ROUND('2.переченьМРАД'!$M$267,0)</f>
        <v>876202</v>
      </c>
      <c r="M63" s="346">
        <v>0</v>
      </c>
      <c r="N63" s="347">
        <v>0</v>
      </c>
      <c r="O63" s="324">
        <f t="shared" si="22"/>
        <v>1216402</v>
      </c>
      <c r="P63" s="346">
        <f>ROUND('2.переченьМРАД'!$S$267,0)</f>
        <v>184281</v>
      </c>
      <c r="Q63" s="346">
        <f>ROUND('2.переченьМРАД'!$R$267,0)</f>
        <v>1032121</v>
      </c>
      <c r="R63" s="346">
        <v>0</v>
      </c>
      <c r="S63" s="347">
        <v>0</v>
      </c>
      <c r="T63" s="324">
        <f t="shared" si="20"/>
        <v>1427662</v>
      </c>
      <c r="U63" s="85">
        <f>ROUND('2.переченьМРАД'!$X$267,0)</f>
        <v>148062</v>
      </c>
      <c r="V63" s="85">
        <f>ROUND('2.переченьМРАД'!$W$267,0)</f>
        <v>1279600</v>
      </c>
      <c r="W63" s="85">
        <v>0</v>
      </c>
      <c r="X63" s="85">
        <v>0</v>
      </c>
      <c r="Y63" s="324">
        <f t="shared" si="21"/>
        <v>1643297</v>
      </c>
      <c r="Z63" s="85">
        <f>ROUND('2.переченьМРАД'!$AC$267,0)</f>
        <v>239228</v>
      </c>
      <c r="AA63" s="85">
        <f>ROUND('2.переченьМРАД'!$AB$267,0)</f>
        <v>1404069</v>
      </c>
      <c r="AB63" s="85">
        <v>0</v>
      </c>
      <c r="AC63" s="85">
        <v>0</v>
      </c>
      <c r="AD63" s="324">
        <f>E63+J63+O63+T63+Y63</f>
        <v>6009132</v>
      </c>
    </row>
    <row r="64" spans="1:34" ht="146.25" customHeight="1" outlineLevel="1" x14ac:dyDescent="0.2">
      <c r="A64" s="540"/>
      <c r="B64" s="322" t="s">
        <v>1389</v>
      </c>
      <c r="C64" s="542"/>
      <c r="D64" s="322" t="s">
        <v>43</v>
      </c>
      <c r="E64" s="324">
        <f t="shared" si="19"/>
        <v>682680</v>
      </c>
      <c r="F64" s="346">
        <f>SUM('2.переченьМРАД'!I214:I266)</f>
        <v>32769</v>
      </c>
      <c r="G64" s="346">
        <f>SUM('2.переченьМРАД'!H214:H266)</f>
        <v>649911</v>
      </c>
      <c r="H64" s="346">
        <f>SUM('[2]3.переченьМРАД'!G215:G227)</f>
        <v>0</v>
      </c>
      <c r="I64" s="347">
        <v>0</v>
      </c>
      <c r="J64" s="324">
        <f t="shared" si="24"/>
        <v>930249</v>
      </c>
      <c r="K64" s="346">
        <f>SUM('2.переченьМРАД'!N214:N266)</f>
        <v>54047</v>
      </c>
      <c r="L64" s="346">
        <f>SUM('2.переченьМРАД'!M214:M266)</f>
        <v>876202</v>
      </c>
      <c r="M64" s="346">
        <f>SUM('[2]3.переченьМРАД'!L215:L227)</f>
        <v>0</v>
      </c>
      <c r="N64" s="347">
        <v>0</v>
      </c>
      <c r="O64" s="324">
        <f t="shared" si="22"/>
        <v>743100</v>
      </c>
      <c r="P64" s="346">
        <f>SUM('2.переченьМРАД'!S214:S266)</f>
        <v>43100</v>
      </c>
      <c r="Q64" s="346">
        <f>SUM('2.переченьМРАД'!R214:R266)</f>
        <v>700000</v>
      </c>
      <c r="R64" s="346">
        <f>SUM('[2]3.переченьМРАД'!Q215:Q227)</f>
        <v>0</v>
      </c>
      <c r="S64" s="347">
        <v>0</v>
      </c>
      <c r="T64" s="324">
        <f t="shared" si="20"/>
        <v>721650</v>
      </c>
      <c r="U64" s="85">
        <f>SUM('2.переченьМРАД'!X214:X266)</f>
        <v>21650</v>
      </c>
      <c r="V64" s="85">
        <f>SUM('2.переченьМРАД'!W214:W266)</f>
        <v>700000</v>
      </c>
      <c r="W64" s="85">
        <f>SUM('2.переченьМРАД'!V214:V266)</f>
        <v>0</v>
      </c>
      <c r="X64" s="85">
        <v>0</v>
      </c>
      <c r="Y64" s="324">
        <f t="shared" si="21"/>
        <v>754311</v>
      </c>
      <c r="Z64" s="85">
        <f>SUM('2.переченьМРАД'!AC214:AC266)</f>
        <v>54311</v>
      </c>
      <c r="AA64" s="85">
        <f>SUM('2.переченьМРАД'!AB214:AB266)</f>
        <v>700000</v>
      </c>
      <c r="AB64" s="85">
        <f>SUM('[2]3.переченьМРАД'!AA215:AA227)</f>
        <v>0</v>
      </c>
      <c r="AC64" s="85">
        <v>0</v>
      </c>
      <c r="AD64" s="324">
        <f t="shared" si="23"/>
        <v>3831990</v>
      </c>
    </row>
    <row r="65" spans="1:34" ht="156.75" customHeight="1" outlineLevel="1" x14ac:dyDescent="0.2">
      <c r="A65" s="325" t="s">
        <v>431</v>
      </c>
      <c r="B65" s="322" t="s">
        <v>154</v>
      </c>
      <c r="C65" s="107" t="s">
        <v>50</v>
      </c>
      <c r="D65" s="322" t="s">
        <v>43</v>
      </c>
      <c r="E65" s="324">
        <f t="shared" si="19"/>
        <v>142702</v>
      </c>
      <c r="F65" s="346">
        <f>'2.переченьМРАД'!$I$271</f>
        <v>7702</v>
      </c>
      <c r="G65" s="346">
        <f>'2.переченьМРАД'!$H$271</f>
        <v>135000</v>
      </c>
      <c r="H65" s="346">
        <f>'2.переченьМРАД'!G36</f>
        <v>0</v>
      </c>
      <c r="I65" s="347">
        <v>0</v>
      </c>
      <c r="J65" s="324">
        <f t="shared" si="24"/>
        <v>132502</v>
      </c>
      <c r="K65" s="346">
        <f>'2.переченьМРАД'!$N$271</f>
        <v>132502</v>
      </c>
      <c r="L65" s="346">
        <f>'2.переченьМРАД'!$M$271</f>
        <v>0</v>
      </c>
      <c r="M65" s="346">
        <v>0</v>
      </c>
      <c r="N65" s="347">
        <v>0</v>
      </c>
      <c r="O65" s="324">
        <f t="shared" si="22"/>
        <v>40137</v>
      </c>
      <c r="P65" s="346">
        <f>'2.переченьМРАД'!$S$271</f>
        <v>40137</v>
      </c>
      <c r="Q65" s="346">
        <f>'2.переченьМРАД'!$R$271</f>
        <v>0</v>
      </c>
      <c r="R65" s="346">
        <v>0</v>
      </c>
      <c r="S65" s="347">
        <v>0</v>
      </c>
      <c r="T65" s="324">
        <f t="shared" si="20"/>
        <v>111178</v>
      </c>
      <c r="U65" s="85">
        <f>ROUND('2.переченьМРАД'!$X$271,0)</f>
        <v>111178</v>
      </c>
      <c r="V65" s="85">
        <f>ROUND('2.переченьМРАД'!$W$271,0)</f>
        <v>0</v>
      </c>
      <c r="W65" s="85">
        <v>0</v>
      </c>
      <c r="X65" s="85">
        <v>0</v>
      </c>
      <c r="Y65" s="324">
        <f t="shared" si="21"/>
        <v>0</v>
      </c>
      <c r="Z65" s="85">
        <f>ROUND('2.переченьМРАД'!$AC$271,0)</f>
        <v>0</v>
      </c>
      <c r="AA65" s="85">
        <f>ROUND('2.переченьМРАД'!$AB$271,0)</f>
        <v>0</v>
      </c>
      <c r="AB65" s="85">
        <v>0</v>
      </c>
      <c r="AC65" s="85">
        <v>0</v>
      </c>
      <c r="AD65" s="324">
        <f t="shared" si="23"/>
        <v>426519</v>
      </c>
    </row>
    <row r="66" spans="1:34" s="109" customFormat="1" ht="310.5" customHeight="1" outlineLevel="1" x14ac:dyDescent="0.2">
      <c r="A66" s="325" t="s">
        <v>432</v>
      </c>
      <c r="B66" s="322" t="s">
        <v>156</v>
      </c>
      <c r="C66" s="107" t="s">
        <v>50</v>
      </c>
      <c r="D66" s="322" t="s">
        <v>43</v>
      </c>
      <c r="E66" s="324">
        <f>F66+G66+H66+I66</f>
        <v>2746</v>
      </c>
      <c r="F66" s="346">
        <v>2746</v>
      </c>
      <c r="G66" s="346">
        <f>'2.переченьМРАД'!$H$295</f>
        <v>0</v>
      </c>
      <c r="H66" s="346">
        <f>'2.переченьМРАД'!G295</f>
        <v>0</v>
      </c>
      <c r="I66" s="347">
        <v>0</v>
      </c>
      <c r="J66" s="324">
        <f t="shared" si="24"/>
        <v>1380</v>
      </c>
      <c r="K66" s="346">
        <f>'2.переченьМРАД'!N295</f>
        <v>1380</v>
      </c>
      <c r="L66" s="346">
        <f>'[3]2.переченьМРАД'!$M$510</f>
        <v>0</v>
      </c>
      <c r="M66" s="346">
        <v>0</v>
      </c>
      <c r="N66" s="347">
        <v>0</v>
      </c>
      <c r="O66" s="324">
        <f t="shared" si="22"/>
        <v>1686</v>
      </c>
      <c r="P66" s="346">
        <f>'2.переченьМРАД'!S295</f>
        <v>1686</v>
      </c>
      <c r="Q66" s="346">
        <f>'[3]2.переченьМРАД'!$R$510</f>
        <v>0</v>
      </c>
      <c r="R66" s="346">
        <v>0</v>
      </c>
      <c r="S66" s="347">
        <v>0</v>
      </c>
      <c r="T66" s="324">
        <f t="shared" si="20"/>
        <v>1539</v>
      </c>
      <c r="U66" s="85">
        <f>'2.переченьМРАД'!X295</f>
        <v>1539</v>
      </c>
      <c r="V66" s="85">
        <f>'2.переченьМРАД'!$W$295</f>
        <v>0</v>
      </c>
      <c r="W66" s="85">
        <v>0</v>
      </c>
      <c r="X66" s="85">
        <v>0</v>
      </c>
      <c r="Y66" s="324">
        <f t="shared" si="21"/>
        <v>3520</v>
      </c>
      <c r="Z66" s="85">
        <f>ROUND('2.переченьМРАД'!$AC$295,0)</f>
        <v>3520</v>
      </c>
      <c r="AA66" s="85">
        <f>'2.переченьМРАД'!$AB$295</f>
        <v>0</v>
      </c>
      <c r="AB66" s="85">
        <v>0</v>
      </c>
      <c r="AC66" s="85">
        <v>0</v>
      </c>
      <c r="AD66" s="324">
        <f>E66+J66+O66+T66+Y66</f>
        <v>10871</v>
      </c>
      <c r="AE66" s="348"/>
      <c r="AF66" s="348"/>
      <c r="AG66" s="348"/>
      <c r="AH66" s="349"/>
    </row>
    <row r="67" spans="1:34" s="109" customFormat="1" ht="162" customHeight="1" outlineLevel="1" x14ac:dyDescent="0.2">
      <c r="A67" s="322" t="s">
        <v>433</v>
      </c>
      <c r="B67" s="322" t="s">
        <v>589</v>
      </c>
      <c r="C67" s="107" t="s">
        <v>50</v>
      </c>
      <c r="D67" s="322" t="s">
        <v>609</v>
      </c>
      <c r="E67" s="324">
        <f>F67+G67+H67+I67</f>
        <v>155462</v>
      </c>
      <c r="F67" s="346">
        <f>'2.переченьМРАД'!I297</f>
        <v>7462</v>
      </c>
      <c r="G67" s="346">
        <f>'2.переченьМРАД'!H297</f>
        <v>148000</v>
      </c>
      <c r="H67" s="346">
        <f>'2.переченьМРАД'!G297</f>
        <v>0</v>
      </c>
      <c r="I67" s="347">
        <v>0</v>
      </c>
      <c r="J67" s="324">
        <f t="shared" si="24"/>
        <v>212314</v>
      </c>
      <c r="K67" s="346">
        <f>'2.переченьМРАД'!N298</f>
        <v>12314</v>
      </c>
      <c r="L67" s="346">
        <f>'2.переченьМРАД'!M298</f>
        <v>200000</v>
      </c>
      <c r="M67" s="346">
        <f>'2.переченьМРАД'!L297</f>
        <v>0</v>
      </c>
      <c r="N67" s="347">
        <v>0</v>
      </c>
      <c r="O67" s="324">
        <f t="shared" si="22"/>
        <v>212314</v>
      </c>
      <c r="P67" s="346">
        <f>'2.переченьМРАД'!S297</f>
        <v>12314</v>
      </c>
      <c r="Q67" s="346">
        <f>'2.переченьМРАД'!R297</f>
        <v>200000</v>
      </c>
      <c r="R67" s="346">
        <f>'2.переченьМРАД'!Q297</f>
        <v>0</v>
      </c>
      <c r="S67" s="347">
        <v>0</v>
      </c>
      <c r="T67" s="324">
        <f t="shared" si="20"/>
        <v>66392</v>
      </c>
      <c r="U67" s="85">
        <f>'2.переченьМРАД'!X297</f>
        <v>1992</v>
      </c>
      <c r="V67" s="85">
        <f>'2.переченьМРАД'!W297</f>
        <v>64400</v>
      </c>
      <c r="W67" s="85">
        <f>'2.переченьМРАД'!V297</f>
        <v>0</v>
      </c>
      <c r="X67" s="85">
        <v>0</v>
      </c>
      <c r="Y67" s="324">
        <f t="shared" si="21"/>
        <v>0</v>
      </c>
      <c r="Z67" s="85">
        <f>'2.переченьМРАД'!AC297</f>
        <v>0</v>
      </c>
      <c r="AA67" s="85">
        <f>'2.переченьМРАД'!AB297</f>
        <v>0</v>
      </c>
      <c r="AB67" s="85">
        <f>'2.переченьМРАД'!AA297</f>
        <v>0</v>
      </c>
      <c r="AC67" s="85">
        <v>0</v>
      </c>
      <c r="AD67" s="324">
        <f t="shared" si="23"/>
        <v>646482</v>
      </c>
      <c r="AE67" s="348"/>
      <c r="AF67" s="348"/>
      <c r="AG67" s="348"/>
      <c r="AH67" s="349"/>
    </row>
    <row r="68" spans="1:34" s="109" customFormat="1" ht="162" customHeight="1" outlineLevel="1" x14ac:dyDescent="0.2">
      <c r="A68" s="187" t="s">
        <v>1354</v>
      </c>
      <c r="B68" s="322" t="s">
        <v>1360</v>
      </c>
      <c r="C68" s="107" t="s">
        <v>50</v>
      </c>
      <c r="D68" s="322">
        <v>2025</v>
      </c>
      <c r="E68" s="85">
        <v>0</v>
      </c>
      <c r="F68" s="85">
        <v>0</v>
      </c>
      <c r="G68" s="85">
        <v>0</v>
      </c>
      <c r="H68" s="85">
        <v>0</v>
      </c>
      <c r="I68" s="85">
        <v>0</v>
      </c>
      <c r="J68" s="85">
        <v>0</v>
      </c>
      <c r="K68" s="85">
        <f>'2.переченьМРАД'!J298</f>
        <v>0</v>
      </c>
      <c r="L68" s="85">
        <v>0</v>
      </c>
      <c r="M68" s="85">
        <f>'2.переченьМРАД'!L298</f>
        <v>0</v>
      </c>
      <c r="N68" s="85">
        <v>0</v>
      </c>
      <c r="O68" s="85">
        <v>0</v>
      </c>
      <c r="P68" s="85">
        <v>0</v>
      </c>
      <c r="Q68" s="85">
        <v>0</v>
      </c>
      <c r="R68" s="85">
        <v>0</v>
      </c>
      <c r="S68" s="85">
        <v>0</v>
      </c>
      <c r="T68" s="85">
        <v>0</v>
      </c>
      <c r="U68" s="85">
        <f>'2.переченьМРАД'!T298</f>
        <v>0</v>
      </c>
      <c r="V68" s="85">
        <v>0</v>
      </c>
      <c r="W68" s="85">
        <f>'2.переченьМРАД'!V298</f>
        <v>0</v>
      </c>
      <c r="X68" s="85">
        <v>0</v>
      </c>
      <c r="Y68" s="324">
        <f>'2.переченьМРАД'!Z301</f>
        <v>0</v>
      </c>
      <c r="Z68" s="85">
        <f>'2.переченьМРАД'!AC301</f>
        <v>0</v>
      </c>
      <c r="AA68" s="85">
        <v>0</v>
      </c>
      <c r="AB68" s="85">
        <v>0</v>
      </c>
      <c r="AC68" s="85">
        <v>0</v>
      </c>
      <c r="AD68" s="324">
        <f>E68+J68+O68+T68+Y68</f>
        <v>0</v>
      </c>
      <c r="AE68" s="348"/>
      <c r="AF68" s="348"/>
      <c r="AG68" s="348"/>
      <c r="AH68" s="349"/>
    </row>
    <row r="69" spans="1:34" s="109" customFormat="1" ht="162" customHeight="1" outlineLevel="1" x14ac:dyDescent="0.2">
      <c r="A69" s="187" t="s">
        <v>1464</v>
      </c>
      <c r="B69" s="322" t="s">
        <v>1466</v>
      </c>
      <c r="C69" s="107" t="s">
        <v>50</v>
      </c>
      <c r="D69" s="322">
        <v>2025</v>
      </c>
      <c r="E69" s="85">
        <v>0</v>
      </c>
      <c r="F69" s="85">
        <v>0</v>
      </c>
      <c r="G69" s="85">
        <v>0</v>
      </c>
      <c r="H69" s="85">
        <v>0</v>
      </c>
      <c r="I69" s="85">
        <v>0</v>
      </c>
      <c r="J69" s="85">
        <v>0</v>
      </c>
      <c r="K69" s="85">
        <f>'2.переченьМРАД'!J299</f>
        <v>0</v>
      </c>
      <c r="L69" s="85">
        <v>0</v>
      </c>
      <c r="M69" s="85">
        <f>'2.переченьМРАД'!L299</f>
        <v>0</v>
      </c>
      <c r="N69" s="85">
        <v>0</v>
      </c>
      <c r="O69" s="85">
        <v>0</v>
      </c>
      <c r="P69" s="85">
        <v>0</v>
      </c>
      <c r="Q69" s="85">
        <v>0</v>
      </c>
      <c r="R69" s="85">
        <v>0</v>
      </c>
      <c r="S69" s="85">
        <v>0</v>
      </c>
      <c r="T69" s="85">
        <v>0</v>
      </c>
      <c r="U69" s="85">
        <f>'2.переченьМРАД'!T299</f>
        <v>0</v>
      </c>
      <c r="V69" s="85">
        <v>0</v>
      </c>
      <c r="W69" s="85">
        <f>'2.переченьМРАД'!V299</f>
        <v>0</v>
      </c>
      <c r="X69" s="85">
        <v>0</v>
      </c>
      <c r="Y69" s="324">
        <f>'2.переченьМРАД'!Z304</f>
        <v>3728</v>
      </c>
      <c r="Z69" s="85">
        <f>'2.переченьМРАД'!AC304</f>
        <v>3728</v>
      </c>
      <c r="AA69" s="85">
        <v>0</v>
      </c>
      <c r="AB69" s="85">
        <v>0</v>
      </c>
      <c r="AC69" s="85">
        <v>0</v>
      </c>
      <c r="AD69" s="324">
        <f t="shared" si="23"/>
        <v>3728</v>
      </c>
      <c r="AE69" s="348"/>
      <c r="AF69" s="348"/>
      <c r="AG69" s="348"/>
      <c r="AH69" s="349"/>
    </row>
    <row r="70" spans="1:34" s="352" customFormat="1" ht="51" customHeight="1" outlineLevel="1" x14ac:dyDescent="0.25">
      <c r="A70" s="535" t="s">
        <v>366</v>
      </c>
      <c r="B70" s="535"/>
      <c r="C70" s="535"/>
      <c r="D70" s="111"/>
      <c r="E70" s="324">
        <f>F70+G70+H70+I70</f>
        <v>1584835</v>
      </c>
      <c r="F70" s="350">
        <f>F72-F71</f>
        <v>108934</v>
      </c>
      <c r="G70" s="350">
        <f>G72-G71</f>
        <v>1349108</v>
      </c>
      <c r="H70" s="350">
        <f>H72-H71</f>
        <v>126793</v>
      </c>
      <c r="I70" s="350">
        <f>I72-I59</f>
        <v>0</v>
      </c>
      <c r="J70" s="324">
        <f>K70+L70+M70+N70</f>
        <v>1550012</v>
      </c>
      <c r="K70" s="350">
        <f>K72-K71</f>
        <v>259151</v>
      </c>
      <c r="L70" s="350">
        <f>L72-L71</f>
        <v>1290861</v>
      </c>
      <c r="M70" s="350">
        <f>M72-M71</f>
        <v>0</v>
      </c>
      <c r="N70" s="350">
        <f>N72-N71</f>
        <v>0</v>
      </c>
      <c r="O70" s="350">
        <f t="shared" si="22"/>
        <v>2080681</v>
      </c>
      <c r="P70" s="350">
        <f>P72-P71</f>
        <v>301568</v>
      </c>
      <c r="Q70" s="350">
        <f>Q72-Q71</f>
        <v>1779113</v>
      </c>
      <c r="R70" s="350">
        <f>R72-R71</f>
        <v>0</v>
      </c>
      <c r="S70" s="350">
        <f>S72-S71</f>
        <v>0</v>
      </c>
      <c r="T70" s="324">
        <f>SUM(U70:X70)</f>
        <v>1797669</v>
      </c>
      <c r="U70" s="324">
        <f>U72-U71</f>
        <v>309877</v>
      </c>
      <c r="V70" s="324">
        <f>V72-V71</f>
        <v>1487792</v>
      </c>
      <c r="W70" s="324">
        <f>W72-W71</f>
        <v>0</v>
      </c>
      <c r="X70" s="324">
        <f>X72-X71</f>
        <v>0</v>
      </c>
      <c r="Y70" s="324">
        <f>SUM(Z70:AC70)</f>
        <v>1671810</v>
      </c>
      <c r="Z70" s="324">
        <f>Z72-Z71</f>
        <v>267741</v>
      </c>
      <c r="AA70" s="324">
        <f>AA72-AA71</f>
        <v>1404069</v>
      </c>
      <c r="AB70" s="324">
        <f>AB72-AB71</f>
        <v>0</v>
      </c>
      <c r="AC70" s="324">
        <f>AC72-AC71</f>
        <v>0</v>
      </c>
      <c r="AD70" s="324">
        <f>E70+J70+O70+T70+Y70</f>
        <v>8685007</v>
      </c>
      <c r="AE70" s="351">
        <f t="shared" ref="AE70:AE71" si="25">F70+K70+P70+U70+Z70</f>
        <v>1247271</v>
      </c>
      <c r="AF70" s="351">
        <f t="shared" ref="AF70:AF71" si="26">G70+L70+Q70+V70+AA70</f>
        <v>7310943</v>
      </c>
      <c r="AG70" s="351">
        <f t="shared" ref="AG70:AG71" si="27">H70+M70+R70+W70+AB70</f>
        <v>126793</v>
      </c>
      <c r="AH70" s="351">
        <f t="shared" ref="AH70:AH71" si="28">I70+N70+S70+X70+AC70</f>
        <v>0</v>
      </c>
    </row>
    <row r="71" spans="1:34" s="352" customFormat="1" ht="40.5" customHeight="1" outlineLevel="1" x14ac:dyDescent="0.25">
      <c r="A71" s="535" t="s">
        <v>367</v>
      </c>
      <c r="B71" s="535"/>
      <c r="C71" s="535"/>
      <c r="D71" s="111"/>
      <c r="E71" s="324">
        <f>F71+G71+H71+I71</f>
        <v>988</v>
      </c>
      <c r="F71" s="350">
        <f>F59</f>
        <v>988</v>
      </c>
      <c r="G71" s="350">
        <f>G59</f>
        <v>0</v>
      </c>
      <c r="H71" s="350">
        <f>H59</f>
        <v>0</v>
      </c>
      <c r="I71" s="350">
        <f>I59</f>
        <v>0</v>
      </c>
      <c r="J71" s="324">
        <f>K71+L71+M71+N71</f>
        <v>1584</v>
      </c>
      <c r="K71" s="350">
        <f>K59</f>
        <v>1584</v>
      </c>
      <c r="L71" s="350">
        <f>L59</f>
        <v>0</v>
      </c>
      <c r="M71" s="350">
        <f>M59</f>
        <v>0</v>
      </c>
      <c r="N71" s="353">
        <f>N59</f>
        <v>0</v>
      </c>
      <c r="O71" s="324">
        <f t="shared" si="22"/>
        <v>0</v>
      </c>
      <c r="P71" s="350">
        <f>P59</f>
        <v>0</v>
      </c>
      <c r="Q71" s="350">
        <f>Q59</f>
        <v>0</v>
      </c>
      <c r="R71" s="350">
        <f>R59</f>
        <v>0</v>
      </c>
      <c r="S71" s="353">
        <f>S59</f>
        <v>0</v>
      </c>
      <c r="T71" s="324">
        <f t="shared" si="20"/>
        <v>0</v>
      </c>
      <c r="U71" s="324">
        <f>U59+U61</f>
        <v>0</v>
      </c>
      <c r="V71" s="324">
        <f>V59</f>
        <v>0</v>
      </c>
      <c r="W71" s="324">
        <f>W59</f>
        <v>0</v>
      </c>
      <c r="X71" s="324">
        <f>X59</f>
        <v>0</v>
      </c>
      <c r="Y71" s="324">
        <f>Z71+AA71+AB71+AC71</f>
        <v>33082</v>
      </c>
      <c r="Z71" s="324">
        <f>Z57+Z61</f>
        <v>33082</v>
      </c>
      <c r="AA71" s="324">
        <f>AA59</f>
        <v>0</v>
      </c>
      <c r="AB71" s="324">
        <f>AB59</f>
        <v>0</v>
      </c>
      <c r="AC71" s="324">
        <f>AC59</f>
        <v>0</v>
      </c>
      <c r="AD71" s="324">
        <f>E71+J71+O71+T71+Y71</f>
        <v>35654</v>
      </c>
      <c r="AE71" s="351">
        <f t="shared" si="25"/>
        <v>35654</v>
      </c>
      <c r="AF71" s="351">
        <f t="shared" si="26"/>
        <v>0</v>
      </c>
      <c r="AG71" s="351">
        <f t="shared" si="27"/>
        <v>0</v>
      </c>
      <c r="AH71" s="351">
        <f t="shared" si="28"/>
        <v>0</v>
      </c>
    </row>
    <row r="72" spans="1:34" ht="42" customHeight="1" x14ac:dyDescent="0.2">
      <c r="A72" s="535" t="s">
        <v>365</v>
      </c>
      <c r="B72" s="535"/>
      <c r="C72" s="535"/>
      <c r="D72" s="144"/>
      <c r="E72" s="324">
        <f t="shared" ref="E72:N72" si="29">SUM(E55:E67)-E64-E62</f>
        <v>1585823</v>
      </c>
      <c r="F72" s="324">
        <f t="shared" si="29"/>
        <v>109922</v>
      </c>
      <c r="G72" s="324">
        <f t="shared" si="29"/>
        <v>1349108</v>
      </c>
      <c r="H72" s="324">
        <f t="shared" si="29"/>
        <v>126793</v>
      </c>
      <c r="I72" s="324">
        <f t="shared" si="29"/>
        <v>0</v>
      </c>
      <c r="J72" s="324">
        <f t="shared" si="29"/>
        <v>1551596</v>
      </c>
      <c r="K72" s="324">
        <f t="shared" si="29"/>
        <v>260735</v>
      </c>
      <c r="L72" s="324">
        <f t="shared" si="29"/>
        <v>1290861</v>
      </c>
      <c r="M72" s="324">
        <f t="shared" si="29"/>
        <v>0</v>
      </c>
      <c r="N72" s="324">
        <f t="shared" si="29"/>
        <v>0</v>
      </c>
      <c r="O72" s="324">
        <f t="shared" si="22"/>
        <v>2080681</v>
      </c>
      <c r="P72" s="324">
        <f>SUM(P55:P67)-P64-P62</f>
        <v>301568</v>
      </c>
      <c r="Q72" s="324">
        <f>SUM(Q55:Q67)-Q64-Q62</f>
        <v>1779113</v>
      </c>
      <c r="R72" s="324">
        <f>SUM(R55:R67)-R64-R62</f>
        <v>0</v>
      </c>
      <c r="S72" s="324">
        <f>SUM(S55:S67)-S64-S62</f>
        <v>0</v>
      </c>
      <c r="T72" s="324">
        <f t="shared" si="20"/>
        <v>1797669</v>
      </c>
      <c r="U72" s="324">
        <f>SUM(U55:U67)-U64-U62</f>
        <v>309877</v>
      </c>
      <c r="V72" s="324">
        <f>SUM(V55:V67)-V64-V62</f>
        <v>1487792</v>
      </c>
      <c r="W72" s="324">
        <f>SUM(W55:W67)-W64-W62</f>
        <v>0</v>
      </c>
      <c r="X72" s="324">
        <f>SUM(X55:X67)-X64-X62</f>
        <v>0</v>
      </c>
      <c r="Y72" s="324">
        <f>SUM(Y55:Y69)-Y64-Y62</f>
        <v>1704892</v>
      </c>
      <c r="Z72" s="324">
        <f>SUM(Z55:Z69)-Z64-Z62</f>
        <v>300823</v>
      </c>
      <c r="AA72" s="324">
        <f>SUM(AA55:AA67)-AA64-AA62</f>
        <v>1404069</v>
      </c>
      <c r="AB72" s="324">
        <f>SUM(AB55:AB67)-AB64-AB62</f>
        <v>0</v>
      </c>
      <c r="AC72" s="324">
        <f>SUM(AC55:AC67)-AC64-AC62</f>
        <v>0</v>
      </c>
      <c r="AD72" s="324">
        <f>SUM(AD55:AD69)-AD64-AD62</f>
        <v>8720661</v>
      </c>
      <c r="AE72" s="351">
        <f>F72+K72+P72+U72+Z72</f>
        <v>1282925</v>
      </c>
      <c r="AF72" s="351">
        <f>G72+L72+Q72+V72+AA72</f>
        <v>7310943</v>
      </c>
      <c r="AG72" s="351">
        <f>H72+M72+R72+W72+AB72</f>
        <v>126793</v>
      </c>
      <c r="AH72" s="351">
        <f>I72+N72+S72+X72+AC72</f>
        <v>0</v>
      </c>
    </row>
    <row r="73" spans="1:34" ht="42" customHeight="1" x14ac:dyDescent="0.2">
      <c r="A73" s="320" t="s">
        <v>448</v>
      </c>
      <c r="B73" s="544" t="s">
        <v>1061</v>
      </c>
      <c r="C73" s="545"/>
      <c r="D73" s="545"/>
      <c r="E73" s="545"/>
      <c r="F73" s="545"/>
      <c r="G73" s="545"/>
      <c r="H73" s="545"/>
      <c r="I73" s="545"/>
      <c r="J73" s="545"/>
      <c r="K73" s="545"/>
      <c r="L73" s="545"/>
      <c r="M73" s="545"/>
      <c r="N73" s="545"/>
      <c r="O73" s="545"/>
      <c r="P73" s="545"/>
      <c r="Q73" s="545"/>
      <c r="R73" s="545"/>
      <c r="S73" s="545"/>
      <c r="T73" s="545"/>
      <c r="U73" s="545"/>
      <c r="V73" s="545"/>
      <c r="W73" s="545"/>
      <c r="X73" s="545"/>
      <c r="Y73" s="545"/>
      <c r="Z73" s="545"/>
      <c r="AA73" s="545"/>
      <c r="AB73" s="545"/>
      <c r="AC73" s="545"/>
      <c r="AD73" s="545"/>
      <c r="AE73" s="354"/>
      <c r="AF73" s="354"/>
      <c r="AG73" s="354"/>
      <c r="AH73" s="354"/>
    </row>
    <row r="74" spans="1:34" ht="37.9" customHeight="1" x14ac:dyDescent="0.2">
      <c r="A74" s="567" t="s">
        <v>403</v>
      </c>
      <c r="B74" s="567"/>
      <c r="C74" s="567"/>
      <c r="D74" s="567"/>
      <c r="E74" s="567"/>
      <c r="F74" s="567"/>
      <c r="G74" s="567"/>
      <c r="H74" s="567"/>
      <c r="I74" s="567"/>
      <c r="J74" s="567"/>
      <c r="K74" s="567"/>
      <c r="L74" s="567"/>
      <c r="M74" s="567"/>
      <c r="N74" s="567"/>
      <c r="O74" s="567"/>
      <c r="P74" s="567"/>
      <c r="Q74" s="567"/>
      <c r="R74" s="567"/>
      <c r="S74" s="567"/>
      <c r="T74" s="567"/>
      <c r="U74" s="567"/>
      <c r="V74" s="567"/>
      <c r="W74" s="567"/>
      <c r="X74" s="567"/>
      <c r="Y74" s="567"/>
      <c r="Z74" s="567"/>
      <c r="AA74" s="567"/>
      <c r="AB74" s="567"/>
      <c r="AC74" s="567"/>
      <c r="AD74" s="567"/>
    </row>
    <row r="75" spans="1:34" ht="36" customHeight="1" x14ac:dyDescent="0.2">
      <c r="A75" s="566" t="s">
        <v>1059</v>
      </c>
      <c r="B75" s="566"/>
      <c r="C75" s="566"/>
      <c r="D75" s="566"/>
      <c r="E75" s="566"/>
      <c r="F75" s="566"/>
      <c r="G75" s="566"/>
      <c r="H75" s="566"/>
      <c r="I75" s="566"/>
      <c r="J75" s="566"/>
      <c r="K75" s="566"/>
      <c r="L75" s="566"/>
      <c r="M75" s="566"/>
      <c r="N75" s="566"/>
      <c r="O75" s="566"/>
      <c r="P75" s="566"/>
      <c r="Q75" s="566"/>
      <c r="R75" s="566"/>
      <c r="S75" s="566"/>
      <c r="T75" s="566"/>
      <c r="U75" s="566"/>
      <c r="V75" s="566"/>
      <c r="W75" s="566"/>
      <c r="X75" s="566"/>
      <c r="Y75" s="566"/>
      <c r="Z75" s="566"/>
      <c r="AA75" s="566"/>
      <c r="AB75" s="566"/>
      <c r="AC75" s="566"/>
      <c r="AD75" s="566"/>
    </row>
    <row r="76" spans="1:34" ht="36.6" customHeight="1" outlineLevel="1" x14ac:dyDescent="0.2">
      <c r="A76" s="355" t="s">
        <v>38</v>
      </c>
      <c r="B76" s="557" t="s">
        <v>449</v>
      </c>
      <c r="C76" s="558"/>
      <c r="D76" s="558"/>
      <c r="E76" s="558"/>
      <c r="F76" s="558"/>
      <c r="G76" s="558"/>
      <c r="H76" s="558"/>
      <c r="I76" s="558"/>
      <c r="J76" s="558"/>
      <c r="K76" s="558"/>
      <c r="L76" s="558"/>
      <c r="M76" s="558"/>
      <c r="N76" s="558"/>
      <c r="O76" s="558"/>
      <c r="P76" s="558"/>
      <c r="Q76" s="558"/>
      <c r="R76" s="558"/>
      <c r="S76" s="558"/>
      <c r="T76" s="558"/>
      <c r="U76" s="558"/>
      <c r="V76" s="558"/>
      <c r="W76" s="558"/>
      <c r="X76" s="558"/>
      <c r="Y76" s="558"/>
      <c r="Z76" s="558"/>
      <c r="AA76" s="558"/>
      <c r="AB76" s="558"/>
      <c r="AC76" s="558"/>
      <c r="AD76" s="559"/>
    </row>
    <row r="77" spans="1:34" ht="207.75" customHeight="1" outlineLevel="1" x14ac:dyDescent="0.2">
      <c r="A77" s="325" t="s">
        <v>420</v>
      </c>
      <c r="B77" s="322" t="s">
        <v>1465</v>
      </c>
      <c r="C77" s="107" t="s">
        <v>48</v>
      </c>
      <c r="D77" s="322" t="s">
        <v>43</v>
      </c>
      <c r="E77" s="324">
        <f>F77+G77+H77+I77</f>
        <v>242392</v>
      </c>
      <c r="F77" s="85">
        <f>390702-125000-25030+1720</f>
        <v>242392</v>
      </c>
      <c r="G77" s="85">
        <v>0</v>
      </c>
      <c r="H77" s="85">
        <v>0</v>
      </c>
      <c r="I77" s="85">
        <v>0</v>
      </c>
      <c r="J77" s="324">
        <f>K77+L77+M77+N77</f>
        <v>221307</v>
      </c>
      <c r="K77" s="85">
        <v>221307</v>
      </c>
      <c r="L77" s="85">
        <v>0</v>
      </c>
      <c r="M77" s="85">
        <v>0</v>
      </c>
      <c r="N77" s="85">
        <v>0</v>
      </c>
      <c r="O77" s="324">
        <f t="shared" ref="O77:O83" si="30">SUM(P77:S77)</f>
        <v>227644</v>
      </c>
      <c r="P77" s="85">
        <f>424611+1857+3174-212314+10316</f>
        <v>227644</v>
      </c>
      <c r="Q77" s="85">
        <v>0</v>
      </c>
      <c r="R77" s="85">
        <v>0</v>
      </c>
      <c r="S77" s="85">
        <v>0</v>
      </c>
      <c r="T77" s="324">
        <f>SUM(U77:X77)</f>
        <v>403216</v>
      </c>
      <c r="U77" s="85">
        <f>426468+20169+22080+910-6186-200000-66392+262+206220-315</f>
        <v>403216</v>
      </c>
      <c r="V77" s="85">
        <v>0</v>
      </c>
      <c r="W77" s="85">
        <v>0</v>
      </c>
      <c r="X77" s="85">
        <v>0</v>
      </c>
      <c r="Y77" s="324">
        <f>SUM(Z77:AC77)</f>
        <v>546584</v>
      </c>
      <c r="Z77" s="85">
        <f>422583+24054+51413+40480+2510+5544</f>
        <v>546584</v>
      </c>
      <c r="AA77" s="85">
        <v>0</v>
      </c>
      <c r="AB77" s="85">
        <v>0</v>
      </c>
      <c r="AC77" s="85">
        <v>0</v>
      </c>
      <c r="AD77" s="324">
        <f t="shared" ref="AD77:AD78" si="31">E77+J77+O77+T77+Y77</f>
        <v>1641143</v>
      </c>
    </row>
    <row r="78" spans="1:34" ht="95.25" customHeight="1" outlineLevel="1" x14ac:dyDescent="0.2">
      <c r="A78" s="325" t="s">
        <v>450</v>
      </c>
      <c r="B78" s="322" t="s">
        <v>117</v>
      </c>
      <c r="C78" s="107" t="s">
        <v>48</v>
      </c>
      <c r="D78" s="322" t="s">
        <v>43</v>
      </c>
      <c r="E78" s="324">
        <v>846</v>
      </c>
      <c r="F78" s="85">
        <v>846</v>
      </c>
      <c r="G78" s="85">
        <v>0</v>
      </c>
      <c r="H78" s="85">
        <v>0</v>
      </c>
      <c r="I78" s="85">
        <v>0</v>
      </c>
      <c r="J78" s="324">
        <f>K78+L78+M78+N78</f>
        <v>846</v>
      </c>
      <c r="K78" s="85">
        <v>846</v>
      </c>
      <c r="L78" s="85">
        <v>0</v>
      </c>
      <c r="M78" s="85">
        <v>0</v>
      </c>
      <c r="N78" s="85">
        <v>0</v>
      </c>
      <c r="O78" s="324">
        <f t="shared" si="30"/>
        <v>868</v>
      </c>
      <c r="P78" s="85">
        <f>846+22</f>
        <v>868</v>
      </c>
      <c r="Q78" s="85">
        <v>0</v>
      </c>
      <c r="R78" s="85">
        <v>0</v>
      </c>
      <c r="S78" s="85">
        <v>0</v>
      </c>
      <c r="T78" s="324">
        <f>SUM(U78:X78)</f>
        <v>964</v>
      </c>
      <c r="U78" s="85">
        <f>846+118</f>
        <v>964</v>
      </c>
      <c r="V78" s="85">
        <v>0</v>
      </c>
      <c r="W78" s="85">
        <v>0</v>
      </c>
      <c r="X78" s="85">
        <v>0</v>
      </c>
      <c r="Y78" s="324">
        <f>SUM(Z78:AC78)</f>
        <v>2241</v>
      </c>
      <c r="Z78" s="85">
        <f>846+122+87+1186</f>
        <v>2241</v>
      </c>
      <c r="AA78" s="85">
        <v>0</v>
      </c>
      <c r="AB78" s="85">
        <v>0</v>
      </c>
      <c r="AC78" s="85">
        <v>0</v>
      </c>
      <c r="AD78" s="324">
        <f t="shared" si="31"/>
        <v>5765</v>
      </c>
    </row>
    <row r="79" spans="1:34" ht="36.6" customHeight="1" outlineLevel="1" x14ac:dyDescent="0.2">
      <c r="A79" s="355" t="s">
        <v>39</v>
      </c>
      <c r="B79" s="557" t="s">
        <v>462</v>
      </c>
      <c r="C79" s="558"/>
      <c r="D79" s="558"/>
      <c r="E79" s="558"/>
      <c r="F79" s="558"/>
      <c r="G79" s="558"/>
      <c r="H79" s="558"/>
      <c r="I79" s="558"/>
      <c r="J79" s="558"/>
      <c r="K79" s="558"/>
      <c r="L79" s="558"/>
      <c r="M79" s="558"/>
      <c r="N79" s="558"/>
      <c r="O79" s="558"/>
      <c r="P79" s="558"/>
      <c r="Q79" s="558"/>
      <c r="R79" s="558"/>
      <c r="S79" s="558"/>
      <c r="T79" s="558"/>
      <c r="U79" s="558"/>
      <c r="V79" s="558"/>
      <c r="W79" s="558"/>
      <c r="X79" s="558"/>
      <c r="Y79" s="558"/>
      <c r="Z79" s="558"/>
      <c r="AA79" s="558"/>
      <c r="AB79" s="558"/>
      <c r="AC79" s="558"/>
      <c r="AD79" s="559"/>
      <c r="AE79" s="356"/>
      <c r="AF79" s="191"/>
      <c r="AG79" s="191"/>
      <c r="AH79" s="191"/>
    </row>
    <row r="80" spans="1:34" ht="106.5" customHeight="1" outlineLevel="1" x14ac:dyDescent="0.2">
      <c r="A80" s="325" t="s">
        <v>421</v>
      </c>
      <c r="B80" s="322" t="s">
        <v>72</v>
      </c>
      <c r="C80" s="107" t="s">
        <v>48</v>
      </c>
      <c r="D80" s="322" t="s">
        <v>43</v>
      </c>
      <c r="E80" s="324">
        <f>F80+G80+H80+I80</f>
        <v>29931</v>
      </c>
      <c r="F80" s="85">
        <f>30000-69</f>
        <v>29931</v>
      </c>
      <c r="G80" s="85">
        <v>0</v>
      </c>
      <c r="H80" s="85">
        <v>0</v>
      </c>
      <c r="I80" s="85">
        <v>0</v>
      </c>
      <c r="J80" s="324">
        <f>K80+L80+M80+N80</f>
        <v>30000</v>
      </c>
      <c r="K80" s="85">
        <v>30000</v>
      </c>
      <c r="L80" s="85">
        <v>0</v>
      </c>
      <c r="M80" s="85">
        <v>0</v>
      </c>
      <c r="N80" s="85">
        <v>0</v>
      </c>
      <c r="O80" s="324">
        <f t="shared" si="30"/>
        <v>25868</v>
      </c>
      <c r="P80" s="85">
        <f>30000-4132</f>
        <v>25868</v>
      </c>
      <c r="Q80" s="85">
        <v>0</v>
      </c>
      <c r="R80" s="85">
        <v>0</v>
      </c>
      <c r="S80" s="85">
        <v>0</v>
      </c>
      <c r="T80" s="324">
        <f>SUM(U80:X80)</f>
        <v>49918</v>
      </c>
      <c r="U80" s="85">
        <f>31200-1200+25000-1836-2062-262-34-226-662</f>
        <v>49918</v>
      </c>
      <c r="V80" s="85">
        <v>0</v>
      </c>
      <c r="W80" s="85">
        <v>0</v>
      </c>
      <c r="X80" s="85">
        <v>0</v>
      </c>
      <c r="Y80" s="324">
        <f>SUM(Z80:AC80)</f>
        <v>58921</v>
      </c>
      <c r="Z80" s="85">
        <f>31200+4800+33885+751-14-6157-5544</f>
        <v>58921</v>
      </c>
      <c r="AA80" s="85">
        <v>0</v>
      </c>
      <c r="AB80" s="85">
        <v>0</v>
      </c>
      <c r="AC80" s="85">
        <v>0</v>
      </c>
      <c r="AD80" s="324">
        <f>E80+J80+O80+T80+Y80</f>
        <v>194638</v>
      </c>
    </row>
    <row r="81" spans="1:347" ht="179.25" customHeight="1" outlineLevel="1" x14ac:dyDescent="0.2">
      <c r="A81" s="325" t="s">
        <v>451</v>
      </c>
      <c r="B81" s="322" t="s">
        <v>506</v>
      </c>
      <c r="C81" s="107" t="s">
        <v>48</v>
      </c>
      <c r="D81" s="322" t="s">
        <v>43</v>
      </c>
      <c r="E81" s="324">
        <f>F81+G81+H81+I81</f>
        <v>8312</v>
      </c>
      <c r="F81" s="85">
        <v>8312</v>
      </c>
      <c r="G81" s="85">
        <v>0</v>
      </c>
      <c r="H81" s="85">
        <v>0</v>
      </c>
      <c r="I81" s="85">
        <v>0</v>
      </c>
      <c r="J81" s="324">
        <f>K81+L81+M81+N81</f>
        <v>8031</v>
      </c>
      <c r="K81" s="85">
        <f>831+7200</f>
        <v>8031</v>
      </c>
      <c r="L81" s="85">
        <v>0</v>
      </c>
      <c r="M81" s="85">
        <v>0</v>
      </c>
      <c r="N81" s="85">
        <v>0</v>
      </c>
      <c r="O81" s="324">
        <f t="shared" si="30"/>
        <v>1200</v>
      </c>
      <c r="P81" s="85">
        <f>1219-9-10</f>
        <v>1200</v>
      </c>
      <c r="Q81" s="85">
        <v>0</v>
      </c>
      <c r="R81" s="85">
        <v>0</v>
      </c>
      <c r="S81" s="85">
        <v>0</v>
      </c>
      <c r="T81" s="324">
        <f>SUM(U81:X81)</f>
        <v>1200</v>
      </c>
      <c r="U81" s="85">
        <v>1200</v>
      </c>
      <c r="V81" s="85">
        <v>0</v>
      </c>
      <c r="W81" s="85">
        <v>0</v>
      </c>
      <c r="X81" s="85">
        <v>0</v>
      </c>
      <c r="Y81" s="324">
        <f>SUM(Z81:AC81)</f>
        <v>1200</v>
      </c>
      <c r="Z81" s="85">
        <f>2817-344+1200-2473</f>
        <v>1200</v>
      </c>
      <c r="AA81" s="85">
        <v>0</v>
      </c>
      <c r="AB81" s="85">
        <v>0</v>
      </c>
      <c r="AC81" s="85">
        <v>0</v>
      </c>
      <c r="AD81" s="324">
        <f>E81+J81+O81+T81+Y81</f>
        <v>19943</v>
      </c>
    </row>
    <row r="82" spans="1:347" ht="381.75" customHeight="1" outlineLevel="1" x14ac:dyDescent="0.2">
      <c r="A82" s="325" t="s">
        <v>452</v>
      </c>
      <c r="B82" s="322" t="s">
        <v>1643</v>
      </c>
      <c r="C82" s="107" t="s">
        <v>48</v>
      </c>
      <c r="D82" s="322" t="s">
        <v>1291</v>
      </c>
      <c r="E82" s="324">
        <f>F82+G82+H82+I82</f>
        <v>111</v>
      </c>
      <c r="F82" s="85">
        <f>625-257-257</f>
        <v>111</v>
      </c>
      <c r="G82" s="85">
        <v>0</v>
      </c>
      <c r="H82" s="85">
        <v>0</v>
      </c>
      <c r="I82" s="85">
        <v>0</v>
      </c>
      <c r="J82" s="324">
        <f>K82+L82+M82+N82</f>
        <v>0</v>
      </c>
      <c r="K82" s="85">
        <v>0</v>
      </c>
      <c r="L82" s="85">
        <v>0</v>
      </c>
      <c r="M82" s="85">
        <v>0</v>
      </c>
      <c r="N82" s="85">
        <v>0</v>
      </c>
      <c r="O82" s="324">
        <f t="shared" si="30"/>
        <v>0</v>
      </c>
      <c r="P82" s="85">
        <v>0</v>
      </c>
      <c r="Q82" s="85">
        <v>0</v>
      </c>
      <c r="R82" s="85">
        <v>0</v>
      </c>
      <c r="S82" s="85">
        <v>0</v>
      </c>
      <c r="T82" s="324">
        <f>SUM(U82:X82)</f>
        <v>93</v>
      </c>
      <c r="U82" s="85">
        <f>291-198</f>
        <v>93</v>
      </c>
      <c r="V82" s="85">
        <v>0</v>
      </c>
      <c r="W82" s="85">
        <v>0</v>
      </c>
      <c r="X82" s="85">
        <v>0</v>
      </c>
      <c r="Y82" s="324">
        <f>SUM(Z82:AC82)</f>
        <v>0</v>
      </c>
      <c r="Z82" s="85">
        <v>0</v>
      </c>
      <c r="AA82" s="85">
        <v>0</v>
      </c>
      <c r="AB82" s="85">
        <v>0</v>
      </c>
      <c r="AC82" s="85">
        <v>0</v>
      </c>
      <c r="AD82" s="324">
        <f>E82+J82+O82+T82+Y82</f>
        <v>204</v>
      </c>
    </row>
    <row r="83" spans="1:347" ht="86.25" customHeight="1" outlineLevel="1" x14ac:dyDescent="0.2">
      <c r="A83" s="325" t="s">
        <v>453</v>
      </c>
      <c r="B83" s="322" t="s">
        <v>325</v>
      </c>
      <c r="C83" s="107" t="s">
        <v>48</v>
      </c>
      <c r="D83" s="322">
        <v>2021</v>
      </c>
      <c r="E83" s="324">
        <f>F83+G83+H83+I83</f>
        <v>269</v>
      </c>
      <c r="F83" s="85">
        <v>269</v>
      </c>
      <c r="G83" s="85">
        <v>0</v>
      </c>
      <c r="H83" s="85">
        <v>0</v>
      </c>
      <c r="I83" s="85">
        <v>0</v>
      </c>
      <c r="J83" s="324">
        <f>K83+L83+M83+N83</f>
        <v>0</v>
      </c>
      <c r="K83" s="85">
        <v>0</v>
      </c>
      <c r="L83" s="85">
        <v>0</v>
      </c>
      <c r="M83" s="85">
        <v>0</v>
      </c>
      <c r="N83" s="85">
        <v>0</v>
      </c>
      <c r="O83" s="324">
        <f t="shared" si="30"/>
        <v>0</v>
      </c>
      <c r="P83" s="85">
        <v>0</v>
      </c>
      <c r="Q83" s="85">
        <v>0</v>
      </c>
      <c r="R83" s="85">
        <v>0</v>
      </c>
      <c r="S83" s="85">
        <v>0</v>
      </c>
      <c r="T83" s="324">
        <f>SUM(U83:X83)</f>
        <v>0</v>
      </c>
      <c r="U83" s="85">
        <v>0</v>
      </c>
      <c r="V83" s="85">
        <v>0</v>
      </c>
      <c r="W83" s="85">
        <v>0</v>
      </c>
      <c r="X83" s="85">
        <v>0</v>
      </c>
      <c r="Y83" s="324">
        <f>SUM(Z83:AC83)</f>
        <v>0</v>
      </c>
      <c r="Z83" s="85">
        <v>0</v>
      </c>
      <c r="AA83" s="85">
        <v>0</v>
      </c>
      <c r="AB83" s="85">
        <v>0</v>
      </c>
      <c r="AC83" s="85">
        <v>0</v>
      </c>
      <c r="AD83" s="324">
        <f>E83+J83+O83+T83+Y83</f>
        <v>269</v>
      </c>
    </row>
    <row r="84" spans="1:347" ht="409.5" customHeight="1" outlineLevel="1" x14ac:dyDescent="0.2">
      <c r="A84" s="325" t="s">
        <v>540</v>
      </c>
      <c r="B84" s="357" t="s">
        <v>1644</v>
      </c>
      <c r="C84" s="107" t="s">
        <v>48</v>
      </c>
      <c r="D84" s="322" t="s">
        <v>1065</v>
      </c>
      <c r="E84" s="324">
        <f>F84+G84+H84+I84</f>
        <v>0</v>
      </c>
      <c r="F84" s="85">
        <v>0</v>
      </c>
      <c r="G84" s="85">
        <v>0</v>
      </c>
      <c r="H84" s="85">
        <v>0</v>
      </c>
      <c r="I84" s="85">
        <v>0</v>
      </c>
      <c r="J84" s="324">
        <f>K84+L84+M84+N84</f>
        <v>0</v>
      </c>
      <c r="K84" s="85">
        <v>0</v>
      </c>
      <c r="L84" s="85">
        <v>0</v>
      </c>
      <c r="M84" s="85">
        <v>0</v>
      </c>
      <c r="N84" s="85">
        <v>0</v>
      </c>
      <c r="O84" s="324">
        <f>S84+R84+Q84+P84</f>
        <v>298</v>
      </c>
      <c r="P84" s="85">
        <f>400-102</f>
        <v>298</v>
      </c>
      <c r="Q84" s="85">
        <v>0</v>
      </c>
      <c r="R84" s="85">
        <v>0</v>
      </c>
      <c r="S84" s="85">
        <v>0</v>
      </c>
      <c r="T84" s="324">
        <f>U84+V84+W84+X84</f>
        <v>397</v>
      </c>
      <c r="U84" s="85">
        <f>1529-291-841</f>
        <v>397</v>
      </c>
      <c r="V84" s="85">
        <v>0</v>
      </c>
      <c r="W84" s="85">
        <v>0</v>
      </c>
      <c r="X84" s="85">
        <v>0</v>
      </c>
      <c r="Y84" s="324">
        <f>Z84+AA84+AB84+AC84</f>
        <v>0</v>
      </c>
      <c r="Z84" s="85">
        <v>0</v>
      </c>
      <c r="AA84" s="85">
        <v>0</v>
      </c>
      <c r="AB84" s="85">
        <v>0</v>
      </c>
      <c r="AC84" s="85">
        <v>0</v>
      </c>
      <c r="AD84" s="324">
        <f>E84+J84+O84+T84+Y84</f>
        <v>695</v>
      </c>
    </row>
    <row r="85" spans="1:347" ht="39" customHeight="1" outlineLevel="1" x14ac:dyDescent="0.2">
      <c r="A85" s="541" t="s">
        <v>73</v>
      </c>
      <c r="B85" s="541"/>
      <c r="C85" s="541"/>
      <c r="D85" s="358"/>
      <c r="E85" s="324">
        <f t="shared" ref="E85:AD85" si="32">SUM(E77:E84)</f>
        <v>281861</v>
      </c>
      <c r="F85" s="324">
        <f t="shared" si="32"/>
        <v>281861</v>
      </c>
      <c r="G85" s="324">
        <f t="shared" si="32"/>
        <v>0</v>
      </c>
      <c r="H85" s="324">
        <f t="shared" si="32"/>
        <v>0</v>
      </c>
      <c r="I85" s="324">
        <f t="shared" si="32"/>
        <v>0</v>
      </c>
      <c r="J85" s="324">
        <f t="shared" si="32"/>
        <v>260184</v>
      </c>
      <c r="K85" s="324">
        <f t="shared" si="32"/>
        <v>260184</v>
      </c>
      <c r="L85" s="324">
        <f t="shared" si="32"/>
        <v>0</v>
      </c>
      <c r="M85" s="324">
        <f t="shared" si="32"/>
        <v>0</v>
      </c>
      <c r="N85" s="324">
        <f t="shared" si="32"/>
        <v>0</v>
      </c>
      <c r="O85" s="324">
        <f t="shared" si="32"/>
        <v>255878</v>
      </c>
      <c r="P85" s="324">
        <f>SUM(P77:P84)</f>
        <v>255878</v>
      </c>
      <c r="Q85" s="324">
        <f t="shared" si="32"/>
        <v>0</v>
      </c>
      <c r="R85" s="324">
        <f t="shared" si="32"/>
        <v>0</v>
      </c>
      <c r="S85" s="324">
        <f t="shared" si="32"/>
        <v>0</v>
      </c>
      <c r="T85" s="324">
        <f>SUM(T77:T84)</f>
        <v>455788</v>
      </c>
      <c r="U85" s="324">
        <f>SUM(U77:U84)</f>
        <v>455788</v>
      </c>
      <c r="V85" s="324">
        <f t="shared" si="32"/>
        <v>0</v>
      </c>
      <c r="W85" s="324">
        <f t="shared" si="32"/>
        <v>0</v>
      </c>
      <c r="X85" s="324">
        <f t="shared" si="32"/>
        <v>0</v>
      </c>
      <c r="Y85" s="324">
        <f t="shared" si="32"/>
        <v>608946</v>
      </c>
      <c r="Z85" s="324">
        <f t="shared" si="32"/>
        <v>608946</v>
      </c>
      <c r="AA85" s="324">
        <f t="shared" si="32"/>
        <v>0</v>
      </c>
      <c r="AB85" s="324">
        <f t="shared" si="32"/>
        <v>0</v>
      </c>
      <c r="AC85" s="324">
        <f t="shared" si="32"/>
        <v>0</v>
      </c>
      <c r="AD85" s="324">
        <f t="shared" si="32"/>
        <v>1862657</v>
      </c>
      <c r="AE85" s="342">
        <f>F85+K85+P85+U85+Z85</f>
        <v>1862657</v>
      </c>
      <c r="AF85" s="342">
        <f>G85+L85+Q85+V85+AA85</f>
        <v>0</v>
      </c>
      <c r="AG85" s="342">
        <f>H85+M85+R85+W85+AB85</f>
        <v>0</v>
      </c>
      <c r="AH85" s="342">
        <f>I85+N85+S85+X85+AC85</f>
        <v>0</v>
      </c>
    </row>
    <row r="86" spans="1:347" ht="39" customHeight="1" outlineLevel="1" x14ac:dyDescent="0.2">
      <c r="A86" s="320" t="s">
        <v>454</v>
      </c>
      <c r="B86" s="544" t="s">
        <v>1058</v>
      </c>
      <c r="C86" s="545"/>
      <c r="D86" s="545"/>
      <c r="E86" s="545"/>
      <c r="F86" s="545"/>
      <c r="G86" s="545"/>
      <c r="H86" s="545"/>
      <c r="I86" s="545"/>
      <c r="J86" s="545"/>
      <c r="K86" s="545"/>
      <c r="L86" s="545"/>
      <c r="M86" s="545"/>
      <c r="N86" s="545"/>
      <c r="O86" s="545"/>
      <c r="P86" s="545"/>
      <c r="Q86" s="545"/>
      <c r="R86" s="545"/>
      <c r="S86" s="545"/>
      <c r="T86" s="545"/>
      <c r="U86" s="545"/>
      <c r="V86" s="545"/>
      <c r="W86" s="545"/>
      <c r="X86" s="545"/>
      <c r="Y86" s="545"/>
      <c r="Z86" s="545"/>
      <c r="AA86" s="545"/>
      <c r="AB86" s="545"/>
      <c r="AC86" s="545"/>
      <c r="AD86" s="546"/>
      <c r="AE86" s="109"/>
      <c r="AF86" s="109"/>
      <c r="AG86" s="109"/>
      <c r="AH86" s="109"/>
    </row>
    <row r="87" spans="1:347" s="109" customFormat="1" ht="38.450000000000003" customHeight="1" outlineLevel="1" x14ac:dyDescent="0.2">
      <c r="A87" s="567" t="s">
        <v>127</v>
      </c>
      <c r="B87" s="567"/>
      <c r="C87" s="567"/>
      <c r="D87" s="567"/>
      <c r="E87" s="567"/>
      <c r="F87" s="567"/>
      <c r="G87" s="567"/>
      <c r="H87" s="567"/>
      <c r="I87" s="567"/>
      <c r="J87" s="567"/>
      <c r="K87" s="567"/>
      <c r="L87" s="567"/>
      <c r="M87" s="567"/>
      <c r="N87" s="567"/>
      <c r="O87" s="567"/>
      <c r="P87" s="567"/>
      <c r="Q87" s="567"/>
      <c r="R87" s="567"/>
      <c r="S87" s="567"/>
      <c r="T87" s="567"/>
      <c r="U87" s="567"/>
      <c r="V87" s="567"/>
      <c r="W87" s="567"/>
      <c r="X87" s="567"/>
      <c r="Y87" s="567"/>
      <c r="Z87" s="567"/>
      <c r="AA87" s="567"/>
      <c r="AB87" s="567"/>
      <c r="AC87" s="567"/>
      <c r="AD87" s="567"/>
      <c r="AE87" s="94"/>
      <c r="AF87" s="94"/>
      <c r="AG87" s="94"/>
      <c r="AH87" s="94"/>
    </row>
    <row r="88" spans="1:347" ht="34.15" customHeight="1" x14ac:dyDescent="0.2">
      <c r="A88" s="566" t="s">
        <v>1057</v>
      </c>
      <c r="B88" s="566"/>
      <c r="C88" s="566"/>
      <c r="D88" s="566"/>
      <c r="E88" s="566"/>
      <c r="F88" s="566"/>
      <c r="G88" s="566"/>
      <c r="H88" s="566"/>
      <c r="I88" s="566"/>
      <c r="J88" s="566"/>
      <c r="K88" s="566"/>
      <c r="L88" s="566"/>
      <c r="M88" s="566"/>
      <c r="N88" s="566"/>
      <c r="O88" s="566"/>
      <c r="P88" s="566"/>
      <c r="Q88" s="566"/>
      <c r="R88" s="566"/>
      <c r="S88" s="566"/>
      <c r="T88" s="566"/>
      <c r="U88" s="566"/>
      <c r="V88" s="566"/>
      <c r="W88" s="566"/>
      <c r="X88" s="566"/>
      <c r="Y88" s="566"/>
      <c r="Z88" s="566"/>
      <c r="AA88" s="566"/>
      <c r="AB88" s="566"/>
      <c r="AC88" s="566"/>
      <c r="AD88" s="566"/>
      <c r="AE88" s="345"/>
      <c r="AF88" s="345"/>
      <c r="AG88" s="345"/>
      <c r="AH88" s="345"/>
    </row>
    <row r="89" spans="1:347" ht="42" customHeight="1" x14ac:dyDescent="0.2">
      <c r="A89" s="319" t="s">
        <v>32</v>
      </c>
      <c r="B89" s="557" t="s">
        <v>455</v>
      </c>
      <c r="C89" s="558"/>
      <c r="D89" s="558"/>
      <c r="E89" s="558"/>
      <c r="F89" s="558"/>
      <c r="G89" s="558"/>
      <c r="H89" s="558"/>
      <c r="I89" s="558"/>
      <c r="J89" s="558"/>
      <c r="K89" s="558"/>
      <c r="L89" s="558"/>
      <c r="M89" s="558"/>
      <c r="N89" s="558"/>
      <c r="O89" s="558"/>
      <c r="P89" s="558"/>
      <c r="Q89" s="558"/>
      <c r="R89" s="558"/>
      <c r="S89" s="558"/>
      <c r="T89" s="558"/>
      <c r="U89" s="558"/>
      <c r="V89" s="558"/>
      <c r="W89" s="558"/>
      <c r="X89" s="558"/>
      <c r="Y89" s="558"/>
      <c r="Z89" s="558"/>
      <c r="AA89" s="558"/>
      <c r="AB89" s="558"/>
      <c r="AC89" s="558"/>
      <c r="AD89" s="559"/>
      <c r="AE89" s="345"/>
      <c r="AF89" s="345"/>
      <c r="AG89" s="345"/>
      <c r="AH89" s="345"/>
    </row>
    <row r="90" spans="1:347" ht="96" customHeight="1" x14ac:dyDescent="0.2">
      <c r="A90" s="325" t="s">
        <v>422</v>
      </c>
      <c r="B90" s="322" t="s">
        <v>45</v>
      </c>
      <c r="C90" s="107" t="s">
        <v>44</v>
      </c>
      <c r="D90" s="322" t="s">
        <v>43</v>
      </c>
      <c r="E90" s="324">
        <f>F90+G90+H90+I90</f>
        <v>112</v>
      </c>
      <c r="F90" s="85">
        <v>0</v>
      </c>
      <c r="G90" s="85">
        <v>0</v>
      </c>
      <c r="H90" s="85">
        <v>0</v>
      </c>
      <c r="I90" s="85">
        <v>112</v>
      </c>
      <c r="J90" s="324">
        <f>K90+L90+M90+N90</f>
        <v>112</v>
      </c>
      <c r="K90" s="85">
        <v>0</v>
      </c>
      <c r="L90" s="85">
        <v>0</v>
      </c>
      <c r="M90" s="85">
        <v>0</v>
      </c>
      <c r="N90" s="85">
        <v>112</v>
      </c>
      <c r="O90" s="324">
        <f>SUM(P90:S90)</f>
        <v>0</v>
      </c>
      <c r="P90" s="85">
        <v>0</v>
      </c>
      <c r="Q90" s="85">
        <v>0</v>
      </c>
      <c r="R90" s="85">
        <v>0</v>
      </c>
      <c r="S90" s="85">
        <f>112-112</f>
        <v>0</v>
      </c>
      <c r="T90" s="324">
        <f>SUM(U90:X90)</f>
        <v>681</v>
      </c>
      <c r="U90" s="85">
        <f>681</f>
        <v>681</v>
      </c>
      <c r="V90" s="85">
        <v>0</v>
      </c>
      <c r="W90" s="85">
        <v>0</v>
      </c>
      <c r="X90" s="85">
        <f>112-112</f>
        <v>0</v>
      </c>
      <c r="Y90" s="324">
        <f>SUM(Z90:AC90)</f>
        <v>913</v>
      </c>
      <c r="Z90" s="85">
        <f>913</f>
        <v>913</v>
      </c>
      <c r="AA90" s="85">
        <v>0</v>
      </c>
      <c r="AB90" s="85">
        <v>0</v>
      </c>
      <c r="AC90" s="85">
        <f>112-112</f>
        <v>0</v>
      </c>
      <c r="AD90" s="324">
        <f>E90+J90+O90+T90+Y90</f>
        <v>1818</v>
      </c>
    </row>
    <row r="91" spans="1:347" ht="38.25" customHeight="1" x14ac:dyDescent="0.2">
      <c r="A91" s="320" t="s">
        <v>3</v>
      </c>
      <c r="B91" s="544" t="s">
        <v>456</v>
      </c>
      <c r="C91" s="545"/>
      <c r="D91" s="545"/>
      <c r="E91" s="545"/>
      <c r="F91" s="545"/>
      <c r="G91" s="545"/>
      <c r="H91" s="545"/>
      <c r="I91" s="545"/>
      <c r="J91" s="545"/>
      <c r="K91" s="545"/>
      <c r="L91" s="545"/>
      <c r="M91" s="545"/>
      <c r="N91" s="545"/>
      <c r="O91" s="545"/>
      <c r="P91" s="545"/>
      <c r="Q91" s="545"/>
      <c r="R91" s="545"/>
      <c r="S91" s="545"/>
      <c r="T91" s="545"/>
      <c r="U91" s="545"/>
      <c r="V91" s="545"/>
      <c r="W91" s="545"/>
      <c r="X91" s="545"/>
      <c r="Y91" s="545"/>
      <c r="Z91" s="545"/>
      <c r="AA91" s="545"/>
      <c r="AB91" s="545"/>
      <c r="AC91" s="545"/>
      <c r="AD91" s="546"/>
    </row>
    <row r="92" spans="1:347" s="191" customFormat="1" ht="171" customHeight="1" x14ac:dyDescent="0.2">
      <c r="A92" s="325" t="s">
        <v>423</v>
      </c>
      <c r="B92" s="359" t="s">
        <v>322</v>
      </c>
      <c r="C92" s="360" t="s">
        <v>44</v>
      </c>
      <c r="D92" s="361" t="s">
        <v>43</v>
      </c>
      <c r="E92" s="362">
        <f>F92+G92+H92+I92</f>
        <v>17888</v>
      </c>
      <c r="F92" s="363">
        <v>17888</v>
      </c>
      <c r="G92" s="363">
        <v>0</v>
      </c>
      <c r="H92" s="363">
        <v>0</v>
      </c>
      <c r="I92" s="363">
        <v>0</v>
      </c>
      <c r="J92" s="362">
        <f>K92+L92+M92+N92</f>
        <v>15100</v>
      </c>
      <c r="K92" s="363">
        <f>11647+3453</f>
        <v>15100</v>
      </c>
      <c r="L92" s="363">
        <v>0</v>
      </c>
      <c r="M92" s="363">
        <v>0</v>
      </c>
      <c r="N92" s="363">
        <v>0</v>
      </c>
      <c r="O92" s="362">
        <f>SUM(P92:S92)</f>
        <v>17715</v>
      </c>
      <c r="P92" s="363">
        <f>15105+2610</f>
        <v>17715</v>
      </c>
      <c r="Q92" s="363">
        <v>0</v>
      </c>
      <c r="R92" s="363">
        <v>0</v>
      </c>
      <c r="S92" s="363">
        <v>0</v>
      </c>
      <c r="T92" s="362">
        <f>SUM(U92:X92)</f>
        <v>20138</v>
      </c>
      <c r="U92" s="363">
        <f>15105+5033</f>
        <v>20138</v>
      </c>
      <c r="V92" s="363">
        <v>0</v>
      </c>
      <c r="W92" s="363">
        <v>0</v>
      </c>
      <c r="X92" s="363">
        <v>0</v>
      </c>
      <c r="Y92" s="362">
        <f>SUM(Z92:AC92)</f>
        <v>21886</v>
      </c>
      <c r="Z92" s="363">
        <f>15105+2395+4386</f>
        <v>21886</v>
      </c>
      <c r="AA92" s="363">
        <v>0</v>
      </c>
      <c r="AB92" s="363">
        <v>0</v>
      </c>
      <c r="AC92" s="363">
        <v>0</v>
      </c>
      <c r="AD92" s="362">
        <f>E92+J92+O92+T92+Y92</f>
        <v>92727</v>
      </c>
      <c r="AE92" s="94"/>
      <c r="AF92" s="94"/>
      <c r="AG92" s="94"/>
      <c r="AH92" s="94"/>
    </row>
    <row r="93" spans="1:347" s="191" customFormat="1" ht="399.75" customHeight="1" x14ac:dyDescent="0.2">
      <c r="A93" s="325" t="s">
        <v>457</v>
      </c>
      <c r="B93" s="359" t="s">
        <v>321</v>
      </c>
      <c r="C93" s="360" t="s">
        <v>44</v>
      </c>
      <c r="D93" s="361" t="s">
        <v>351</v>
      </c>
      <c r="E93" s="362">
        <f>F93+G93+H93+I93</f>
        <v>29008</v>
      </c>
      <c r="F93" s="363">
        <v>290</v>
      </c>
      <c r="G93" s="363">
        <v>28718</v>
      </c>
      <c r="H93" s="363">
        <v>0</v>
      </c>
      <c r="I93" s="363">
        <v>0</v>
      </c>
      <c r="J93" s="364">
        <f>K93+L93+M93+N93</f>
        <v>68767</v>
      </c>
      <c r="K93" s="365">
        <f>435+253</f>
        <v>688</v>
      </c>
      <c r="L93" s="365">
        <f>43081+24998</f>
        <v>68079</v>
      </c>
      <c r="M93" s="363">
        <v>0</v>
      </c>
      <c r="N93" s="363">
        <v>0</v>
      </c>
      <c r="O93" s="362">
        <f>SUM(P93:S93)</f>
        <v>0</v>
      </c>
      <c r="P93" s="363">
        <v>0</v>
      </c>
      <c r="Q93" s="363">
        <v>0</v>
      </c>
      <c r="R93" s="363">
        <v>0</v>
      </c>
      <c r="S93" s="363">
        <v>0</v>
      </c>
      <c r="T93" s="362">
        <f>SUM(U93:X93)</f>
        <v>0</v>
      </c>
      <c r="U93" s="363">
        <v>0</v>
      </c>
      <c r="V93" s="363">
        <v>0</v>
      </c>
      <c r="W93" s="363">
        <v>0</v>
      </c>
      <c r="X93" s="363">
        <v>0</v>
      </c>
      <c r="Y93" s="362">
        <f>SUM(Z93:AC93)</f>
        <v>0</v>
      </c>
      <c r="Z93" s="363">
        <v>0</v>
      </c>
      <c r="AA93" s="363">
        <v>0</v>
      </c>
      <c r="AB93" s="363">
        <v>0</v>
      </c>
      <c r="AC93" s="363">
        <v>0</v>
      </c>
      <c r="AD93" s="362">
        <f>E93+J93+O93+T93+Y93</f>
        <v>97775</v>
      </c>
      <c r="AE93" s="94"/>
      <c r="AF93" s="94"/>
      <c r="AG93" s="94"/>
      <c r="AH93" s="94"/>
    </row>
    <row r="94" spans="1:347" s="191" customFormat="1" ht="181.5" customHeight="1" x14ac:dyDescent="0.2">
      <c r="A94" s="325" t="s">
        <v>458</v>
      </c>
      <c r="B94" s="366" t="s">
        <v>590</v>
      </c>
      <c r="C94" s="322" t="s">
        <v>44</v>
      </c>
      <c r="D94" s="322" t="s">
        <v>43</v>
      </c>
      <c r="E94" s="324">
        <f>F94+G94+H94+I94</f>
        <v>214462</v>
      </c>
      <c r="F94" s="85">
        <f>214652+100-290</f>
        <v>214462</v>
      </c>
      <c r="G94" s="85">
        <v>0</v>
      </c>
      <c r="H94" s="85">
        <v>0</v>
      </c>
      <c r="I94" s="85">
        <v>0</v>
      </c>
      <c r="J94" s="324">
        <f>K94+L94+M94+N94</f>
        <v>258636</v>
      </c>
      <c r="K94" s="85">
        <f>214752+384</f>
        <v>215136</v>
      </c>
      <c r="L94" s="85">
        <v>43500</v>
      </c>
      <c r="M94" s="85">
        <v>0</v>
      </c>
      <c r="N94" s="85">
        <v>0</v>
      </c>
      <c r="O94" s="324">
        <f>SUM(P94:S94)</f>
        <v>298863</v>
      </c>
      <c r="P94" s="85">
        <f>214752+40676+544-609</f>
        <v>255363</v>
      </c>
      <c r="Q94" s="85">
        <v>43500</v>
      </c>
      <c r="R94" s="85">
        <v>0</v>
      </c>
      <c r="S94" s="85">
        <v>0</v>
      </c>
      <c r="T94" s="324">
        <f>SUM(U94:X94)</f>
        <v>889358</v>
      </c>
      <c r="U94" s="85">
        <f>214752+50870+17934-2500+187599-25854-200</f>
        <v>442601</v>
      </c>
      <c r="V94" s="85">
        <f>43500+35747+473763-106253</f>
        <v>446757</v>
      </c>
      <c r="W94" s="85">
        <v>0</v>
      </c>
      <c r="X94" s="85">
        <v>0</v>
      </c>
      <c r="Y94" s="324">
        <f>SUM(Z94:AC94)</f>
        <v>1666448</v>
      </c>
      <c r="Z94" s="85">
        <f>214652+100+50870+22298+314647-47397-193272-51564-169325+30420-30835-108-1502+1</f>
        <v>138985</v>
      </c>
      <c r="AA94" s="445">
        <f>43500+35747+1712189-243898+30419-50493-1</f>
        <v>1527463</v>
      </c>
      <c r="AB94" s="85">
        <v>0</v>
      </c>
      <c r="AC94" s="85">
        <v>0</v>
      </c>
      <c r="AD94" s="324">
        <f>E94+J94+O94+T94+Y94</f>
        <v>3327767</v>
      </c>
      <c r="AE94" s="94"/>
      <c r="AF94" s="94"/>
      <c r="AG94" s="94"/>
      <c r="AH94" s="94"/>
    </row>
    <row r="95" spans="1:347" s="369" customFormat="1" ht="39" customHeight="1" x14ac:dyDescent="0.2">
      <c r="A95" s="320" t="s">
        <v>33</v>
      </c>
      <c r="B95" s="545" t="s">
        <v>459</v>
      </c>
      <c r="C95" s="545"/>
      <c r="D95" s="545"/>
      <c r="E95" s="545"/>
      <c r="F95" s="545"/>
      <c r="G95" s="545"/>
      <c r="H95" s="545"/>
      <c r="I95" s="545"/>
      <c r="J95" s="545"/>
      <c r="K95" s="545"/>
      <c r="L95" s="545"/>
      <c r="M95" s="545"/>
      <c r="N95" s="545"/>
      <c r="O95" s="545"/>
      <c r="P95" s="545"/>
      <c r="Q95" s="545"/>
      <c r="R95" s="545"/>
      <c r="S95" s="545"/>
      <c r="T95" s="545"/>
      <c r="U95" s="545"/>
      <c r="V95" s="545"/>
      <c r="W95" s="545"/>
      <c r="X95" s="545"/>
      <c r="Y95" s="545"/>
      <c r="Z95" s="545"/>
      <c r="AA95" s="545"/>
      <c r="AB95" s="545"/>
      <c r="AC95" s="545"/>
      <c r="AD95" s="546"/>
      <c r="AE95" s="367"/>
      <c r="AF95" s="367"/>
      <c r="AG95" s="367"/>
      <c r="AH95" s="368"/>
      <c r="AI95" s="368"/>
      <c r="AJ95" s="368"/>
      <c r="AK95" s="368"/>
      <c r="AL95" s="368"/>
      <c r="AM95" s="368"/>
      <c r="AN95" s="368"/>
      <c r="AO95" s="368"/>
      <c r="AP95" s="368"/>
      <c r="AQ95" s="368"/>
      <c r="AR95" s="368"/>
      <c r="AS95" s="368"/>
      <c r="AT95" s="368"/>
      <c r="AU95" s="368"/>
      <c r="AV95" s="368"/>
      <c r="AW95" s="368"/>
      <c r="AX95" s="368"/>
      <c r="AY95" s="368"/>
      <c r="AZ95" s="368"/>
      <c r="BA95" s="368"/>
      <c r="BB95" s="368"/>
      <c r="BC95" s="368"/>
      <c r="BD95" s="368"/>
      <c r="BE95" s="368"/>
      <c r="BF95" s="368"/>
      <c r="BG95" s="368"/>
      <c r="BH95" s="368"/>
      <c r="BI95" s="368"/>
      <c r="BJ95" s="368"/>
      <c r="BK95" s="368"/>
      <c r="BL95" s="368"/>
      <c r="BM95" s="368"/>
      <c r="BN95" s="368"/>
      <c r="BO95" s="368"/>
      <c r="BP95" s="368"/>
      <c r="BQ95" s="368"/>
      <c r="BR95" s="368"/>
      <c r="BS95" s="368"/>
      <c r="BT95" s="368"/>
      <c r="BU95" s="368"/>
      <c r="BV95" s="368"/>
      <c r="BW95" s="368"/>
      <c r="BX95" s="368"/>
      <c r="BY95" s="368"/>
      <c r="BZ95" s="368"/>
      <c r="CA95" s="368"/>
      <c r="CB95" s="368"/>
      <c r="CC95" s="368"/>
      <c r="CD95" s="368"/>
      <c r="CE95" s="368"/>
      <c r="CF95" s="368"/>
      <c r="CG95" s="368"/>
      <c r="CH95" s="368"/>
      <c r="CI95" s="368"/>
      <c r="CJ95" s="368"/>
      <c r="CK95" s="368"/>
      <c r="CL95" s="368"/>
      <c r="CM95" s="368"/>
      <c r="CN95" s="368"/>
      <c r="CO95" s="368"/>
      <c r="CP95" s="368"/>
      <c r="CQ95" s="368"/>
      <c r="CR95" s="368"/>
      <c r="CS95" s="368"/>
      <c r="CT95" s="368"/>
      <c r="CU95" s="368"/>
      <c r="CV95" s="368"/>
      <c r="CW95" s="368"/>
      <c r="CX95" s="368"/>
      <c r="CY95" s="368"/>
      <c r="CZ95" s="368"/>
      <c r="DA95" s="368"/>
      <c r="DB95" s="368"/>
      <c r="DC95" s="368"/>
      <c r="DD95" s="368"/>
      <c r="DE95" s="368"/>
      <c r="DF95" s="368"/>
      <c r="DG95" s="368"/>
      <c r="DH95" s="368"/>
      <c r="DI95" s="368"/>
      <c r="DJ95" s="368"/>
      <c r="DK95" s="368"/>
      <c r="DL95" s="368"/>
      <c r="DM95" s="368"/>
      <c r="DN95" s="368"/>
      <c r="DO95" s="368"/>
      <c r="DP95" s="368"/>
      <c r="DQ95" s="368"/>
      <c r="DR95" s="368"/>
      <c r="DS95" s="368"/>
      <c r="DT95" s="368"/>
      <c r="DU95" s="368"/>
      <c r="DV95" s="368"/>
      <c r="DW95" s="368"/>
      <c r="DX95" s="368"/>
      <c r="DY95" s="368"/>
      <c r="DZ95" s="368"/>
      <c r="EA95" s="368"/>
      <c r="EB95" s="368"/>
      <c r="EC95" s="368"/>
      <c r="ED95" s="368"/>
      <c r="EE95" s="368"/>
      <c r="EF95" s="368"/>
      <c r="EG95" s="368"/>
      <c r="EH95" s="368"/>
      <c r="EI95" s="368"/>
      <c r="EJ95" s="368"/>
      <c r="EK95" s="368"/>
      <c r="EL95" s="368"/>
      <c r="EM95" s="368"/>
      <c r="EN95" s="368"/>
      <c r="EO95" s="368"/>
      <c r="EP95" s="368"/>
      <c r="EQ95" s="368"/>
      <c r="ER95" s="368"/>
      <c r="ES95" s="368"/>
      <c r="ET95" s="368"/>
      <c r="EU95" s="368"/>
      <c r="EV95" s="368"/>
      <c r="EW95" s="368"/>
      <c r="EX95" s="368"/>
      <c r="EY95" s="368"/>
      <c r="EZ95" s="368"/>
      <c r="FA95" s="368"/>
      <c r="FB95" s="368"/>
      <c r="FC95" s="368"/>
      <c r="FD95" s="368"/>
      <c r="FE95" s="368"/>
      <c r="FF95" s="368"/>
      <c r="FG95" s="368"/>
      <c r="FH95" s="368"/>
      <c r="FI95" s="368"/>
      <c r="FJ95" s="368"/>
      <c r="FK95" s="368"/>
      <c r="FL95" s="368"/>
      <c r="FM95" s="368"/>
      <c r="FN95" s="368"/>
      <c r="FO95" s="368"/>
      <c r="FP95" s="368"/>
      <c r="FQ95" s="368"/>
      <c r="FR95" s="368"/>
      <c r="FS95" s="368"/>
      <c r="FT95" s="368"/>
      <c r="FU95" s="368"/>
      <c r="FV95" s="368"/>
      <c r="FW95" s="368"/>
      <c r="FX95" s="368"/>
      <c r="FY95" s="368"/>
      <c r="FZ95" s="368"/>
      <c r="GA95" s="368"/>
      <c r="GB95" s="368"/>
      <c r="GC95" s="368"/>
      <c r="GD95" s="368"/>
      <c r="GE95" s="368"/>
      <c r="GF95" s="368"/>
      <c r="GG95" s="368"/>
      <c r="GH95" s="368"/>
      <c r="GI95" s="368"/>
      <c r="GJ95" s="368"/>
      <c r="GK95" s="368"/>
      <c r="GL95" s="368"/>
      <c r="GM95" s="368"/>
      <c r="GN95" s="368"/>
      <c r="GO95" s="368"/>
      <c r="GP95" s="368"/>
      <c r="GQ95" s="368"/>
      <c r="GR95" s="368"/>
      <c r="GS95" s="368"/>
      <c r="GT95" s="368"/>
      <c r="GU95" s="368"/>
      <c r="GV95" s="368"/>
      <c r="GW95" s="368"/>
      <c r="GX95" s="368"/>
      <c r="GY95" s="368"/>
      <c r="GZ95" s="368"/>
      <c r="HA95" s="368"/>
      <c r="HB95" s="368"/>
      <c r="HC95" s="368"/>
      <c r="HD95" s="368"/>
      <c r="HE95" s="368"/>
      <c r="HF95" s="368"/>
      <c r="HG95" s="368"/>
      <c r="HH95" s="368"/>
      <c r="HI95" s="368"/>
      <c r="HJ95" s="368"/>
      <c r="HK95" s="368"/>
      <c r="HL95" s="368"/>
      <c r="HM95" s="368"/>
      <c r="HN95" s="368"/>
      <c r="HO95" s="368"/>
      <c r="HP95" s="368"/>
      <c r="HQ95" s="368"/>
      <c r="HR95" s="368"/>
      <c r="HS95" s="368"/>
      <c r="HT95" s="368"/>
      <c r="HU95" s="368"/>
      <c r="HV95" s="368"/>
      <c r="HW95" s="368"/>
      <c r="HX95" s="368"/>
      <c r="HY95" s="368"/>
      <c r="HZ95" s="368"/>
      <c r="IA95" s="368"/>
      <c r="IB95" s="368"/>
      <c r="IC95" s="368"/>
      <c r="ID95" s="368"/>
      <c r="IE95" s="368"/>
      <c r="IF95" s="368"/>
      <c r="IG95" s="368"/>
      <c r="IH95" s="368"/>
      <c r="II95" s="368"/>
      <c r="IJ95" s="368"/>
      <c r="IK95" s="368"/>
      <c r="IL95" s="368"/>
      <c r="IM95" s="368"/>
      <c r="IN95" s="368"/>
      <c r="IO95" s="368"/>
      <c r="IP95" s="368"/>
      <c r="IQ95" s="368"/>
      <c r="IR95" s="368"/>
      <c r="IS95" s="368"/>
      <c r="IT95" s="368"/>
      <c r="IU95" s="368"/>
      <c r="IV95" s="368"/>
      <c r="IW95" s="368"/>
      <c r="IX95" s="368"/>
      <c r="IY95" s="368"/>
      <c r="IZ95" s="368"/>
      <c r="JA95" s="368"/>
      <c r="JB95" s="368"/>
      <c r="JC95" s="368"/>
      <c r="JD95" s="368"/>
      <c r="JE95" s="368"/>
      <c r="JF95" s="368"/>
      <c r="JG95" s="368"/>
      <c r="JH95" s="368"/>
      <c r="JI95" s="368"/>
      <c r="JJ95" s="368"/>
      <c r="JK95" s="368"/>
      <c r="JL95" s="368"/>
      <c r="JM95" s="368"/>
      <c r="JN95" s="368"/>
      <c r="JO95" s="368"/>
      <c r="JP95" s="368"/>
      <c r="JQ95" s="368"/>
      <c r="JR95" s="368"/>
      <c r="JS95" s="368"/>
      <c r="JT95" s="368"/>
      <c r="JU95" s="368"/>
      <c r="JV95" s="368"/>
      <c r="JW95" s="368"/>
      <c r="JX95" s="368"/>
      <c r="JY95" s="368"/>
      <c r="JZ95" s="368"/>
      <c r="KA95" s="368"/>
      <c r="KB95" s="368"/>
      <c r="KC95" s="368"/>
      <c r="KD95" s="368"/>
      <c r="KE95" s="368"/>
      <c r="KF95" s="368"/>
      <c r="KG95" s="368"/>
      <c r="KH95" s="368"/>
      <c r="KI95" s="368"/>
      <c r="KJ95" s="368"/>
      <c r="KK95" s="368"/>
      <c r="KL95" s="368"/>
      <c r="KM95" s="368"/>
      <c r="KN95" s="368"/>
      <c r="KO95" s="368"/>
      <c r="KP95" s="368"/>
      <c r="KQ95" s="368"/>
      <c r="KR95" s="368"/>
      <c r="KS95" s="368"/>
      <c r="KT95" s="368"/>
      <c r="KU95" s="368"/>
      <c r="KV95" s="368"/>
      <c r="KW95" s="368"/>
      <c r="KX95" s="368"/>
      <c r="KY95" s="368"/>
      <c r="KZ95" s="368"/>
      <c r="LA95" s="368"/>
      <c r="LB95" s="368"/>
      <c r="LC95" s="368"/>
      <c r="LD95" s="368"/>
      <c r="LE95" s="368"/>
      <c r="LF95" s="368"/>
      <c r="LG95" s="368"/>
      <c r="LH95" s="368"/>
      <c r="LI95" s="368"/>
      <c r="LJ95" s="368"/>
      <c r="LK95" s="368"/>
      <c r="LL95" s="368"/>
      <c r="LM95" s="368"/>
      <c r="LN95" s="368"/>
      <c r="LO95" s="368"/>
      <c r="LP95" s="368"/>
      <c r="LQ95" s="368"/>
      <c r="LR95" s="368"/>
      <c r="LS95" s="368"/>
      <c r="LT95" s="368"/>
      <c r="LU95" s="368"/>
      <c r="LV95" s="368"/>
      <c r="LW95" s="368"/>
      <c r="LX95" s="368"/>
      <c r="LY95" s="368"/>
      <c r="LZ95" s="368"/>
      <c r="MA95" s="368"/>
      <c r="MB95" s="368"/>
      <c r="MC95" s="368"/>
      <c r="MD95" s="368"/>
      <c r="ME95" s="368"/>
      <c r="MF95" s="368"/>
      <c r="MG95" s="368"/>
      <c r="MH95" s="368"/>
      <c r="MI95" s="368"/>
    </row>
    <row r="96" spans="1:347" s="191" customFormat="1" ht="44.45" customHeight="1" x14ac:dyDescent="0.2">
      <c r="A96" s="540" t="s">
        <v>424</v>
      </c>
      <c r="B96" s="543" t="s">
        <v>591</v>
      </c>
      <c r="C96" s="542" t="s">
        <v>44</v>
      </c>
      <c r="D96" s="485" t="s">
        <v>43</v>
      </c>
      <c r="E96" s="548">
        <f>F96+G96+H96+I96</f>
        <v>76067</v>
      </c>
      <c r="F96" s="547">
        <v>761</v>
      </c>
      <c r="G96" s="547">
        <f>75306</f>
        <v>75306</v>
      </c>
      <c r="H96" s="547">
        <v>0</v>
      </c>
      <c r="I96" s="547">
        <v>0</v>
      </c>
      <c r="J96" s="548">
        <f>K96+L96+M96+N96</f>
        <v>76067</v>
      </c>
      <c r="K96" s="547">
        <v>761</v>
      </c>
      <c r="L96" s="547">
        <v>75306</v>
      </c>
      <c r="M96" s="547">
        <v>0</v>
      </c>
      <c r="N96" s="547">
        <v>0</v>
      </c>
      <c r="O96" s="548">
        <f t="shared" ref="O96:O107" si="33">SUM(P96:S96)</f>
        <v>75512</v>
      </c>
      <c r="P96" s="547">
        <f>761-5</f>
        <v>756</v>
      </c>
      <c r="Q96" s="547">
        <v>74756</v>
      </c>
      <c r="R96" s="547">
        <v>0</v>
      </c>
      <c r="S96" s="547">
        <v>0</v>
      </c>
      <c r="T96" s="548">
        <f>SUM(U96:X96)</f>
        <v>75511</v>
      </c>
      <c r="U96" s="547">
        <f>761-5-1</f>
        <v>755</v>
      </c>
      <c r="V96" s="547">
        <v>74756</v>
      </c>
      <c r="W96" s="547">
        <v>0</v>
      </c>
      <c r="X96" s="547">
        <v>0</v>
      </c>
      <c r="Y96" s="548">
        <f>SUM(Z96:AC96)</f>
        <v>62987</v>
      </c>
      <c r="Z96" s="547">
        <f>630+60</f>
        <v>690</v>
      </c>
      <c r="AA96" s="547">
        <f>62297</f>
        <v>62297</v>
      </c>
      <c r="AB96" s="547">
        <v>0</v>
      </c>
      <c r="AC96" s="547">
        <v>0</v>
      </c>
      <c r="AD96" s="548">
        <f>E96+J96+O96+T96+Y96</f>
        <v>366144</v>
      </c>
      <c r="AE96" s="94"/>
      <c r="AF96" s="94"/>
      <c r="AG96" s="94"/>
      <c r="AH96" s="94"/>
    </row>
    <row r="97" spans="1:34" s="191" customFormat="1" ht="285" customHeight="1" x14ac:dyDescent="0.2">
      <c r="A97" s="540"/>
      <c r="B97" s="543"/>
      <c r="C97" s="542"/>
      <c r="D97" s="485"/>
      <c r="E97" s="548"/>
      <c r="F97" s="547"/>
      <c r="G97" s="547"/>
      <c r="H97" s="547"/>
      <c r="I97" s="547"/>
      <c r="J97" s="548"/>
      <c r="K97" s="547"/>
      <c r="L97" s="547"/>
      <c r="M97" s="547"/>
      <c r="N97" s="547"/>
      <c r="O97" s="548">
        <f t="shared" si="33"/>
        <v>0</v>
      </c>
      <c r="P97" s="547"/>
      <c r="Q97" s="547"/>
      <c r="R97" s="547"/>
      <c r="S97" s="547"/>
      <c r="T97" s="548">
        <f>SUM(U97:X97)</f>
        <v>0</v>
      </c>
      <c r="U97" s="547"/>
      <c r="V97" s="547"/>
      <c r="W97" s="547"/>
      <c r="X97" s="547"/>
      <c r="Y97" s="548">
        <f>SUM(Z97:AC97)</f>
        <v>0</v>
      </c>
      <c r="Z97" s="547"/>
      <c r="AA97" s="547"/>
      <c r="AB97" s="547"/>
      <c r="AC97" s="547"/>
      <c r="AD97" s="548"/>
    </row>
    <row r="98" spans="1:34" s="191" customFormat="1" ht="150" customHeight="1" x14ac:dyDescent="0.2">
      <c r="A98" s="325" t="s">
        <v>489</v>
      </c>
      <c r="B98" s="366" t="s">
        <v>490</v>
      </c>
      <c r="C98" s="107" t="s">
        <v>44</v>
      </c>
      <c r="D98" s="322" t="s">
        <v>134</v>
      </c>
      <c r="E98" s="324">
        <f>F98+G98+H98+I98</f>
        <v>0</v>
      </c>
      <c r="F98" s="85">
        <v>0</v>
      </c>
      <c r="G98" s="85">
        <v>0</v>
      </c>
      <c r="H98" s="85">
        <v>0</v>
      </c>
      <c r="I98" s="85">
        <v>0</v>
      </c>
      <c r="J98" s="324">
        <f>K98+L98+M98+N98</f>
        <v>143197</v>
      </c>
      <c r="K98" s="85">
        <v>0</v>
      </c>
      <c r="L98" s="85">
        <v>143197</v>
      </c>
      <c r="M98" s="85">
        <v>0</v>
      </c>
      <c r="N98" s="85">
        <v>0</v>
      </c>
      <c r="O98" s="324">
        <f t="shared" si="33"/>
        <v>28398</v>
      </c>
      <c r="P98" s="85">
        <v>28398</v>
      </c>
      <c r="Q98" s="85">
        <v>0</v>
      </c>
      <c r="R98" s="85">
        <v>0</v>
      </c>
      <c r="S98" s="85">
        <v>0</v>
      </c>
      <c r="T98" s="324">
        <f>SUM(U98:X98)</f>
        <v>48682</v>
      </c>
      <c r="U98" s="85">
        <v>48682</v>
      </c>
      <c r="V98" s="85">
        <v>0</v>
      </c>
      <c r="W98" s="85">
        <v>0</v>
      </c>
      <c r="X98" s="85">
        <v>0</v>
      </c>
      <c r="Y98" s="324">
        <f>SUM(Z98:AC98)</f>
        <v>48682</v>
      </c>
      <c r="Z98" s="85">
        <v>48682</v>
      </c>
      <c r="AA98" s="85">
        <v>0</v>
      </c>
      <c r="AB98" s="85">
        <v>0</v>
      </c>
      <c r="AC98" s="85">
        <v>0</v>
      </c>
      <c r="AD98" s="324">
        <f>J98+O98+T98+Y98</f>
        <v>268959</v>
      </c>
    </row>
    <row r="99" spans="1:34" s="191" customFormat="1" ht="198" customHeight="1" x14ac:dyDescent="0.2">
      <c r="A99" s="325" t="s">
        <v>547</v>
      </c>
      <c r="B99" s="366" t="s">
        <v>575</v>
      </c>
      <c r="C99" s="107" t="s">
        <v>44</v>
      </c>
      <c r="D99" s="322">
        <v>2024</v>
      </c>
      <c r="E99" s="324">
        <f>F99+G99+H99+I99</f>
        <v>0</v>
      </c>
      <c r="F99" s="85">
        <v>0</v>
      </c>
      <c r="G99" s="85">
        <v>0</v>
      </c>
      <c r="H99" s="85">
        <v>0</v>
      </c>
      <c r="I99" s="85">
        <v>0</v>
      </c>
      <c r="J99" s="324">
        <f>K99+L99+M99+N99</f>
        <v>0</v>
      </c>
      <c r="K99" s="85">
        <v>0</v>
      </c>
      <c r="L99" s="85">
        <v>0</v>
      </c>
      <c r="M99" s="85">
        <v>0</v>
      </c>
      <c r="N99" s="85">
        <v>0</v>
      </c>
      <c r="O99" s="324">
        <f t="shared" si="33"/>
        <v>0</v>
      </c>
      <c r="P99" s="85">
        <v>0</v>
      </c>
      <c r="Q99" s="85">
        <v>0</v>
      </c>
      <c r="R99" s="85">
        <v>0</v>
      </c>
      <c r="S99" s="85">
        <v>0</v>
      </c>
      <c r="T99" s="324">
        <f>SUM(U99:X99)</f>
        <v>217638</v>
      </c>
      <c r="U99" s="85">
        <v>2176</v>
      </c>
      <c r="V99" s="85">
        <v>215462</v>
      </c>
      <c r="W99" s="85">
        <v>0</v>
      </c>
      <c r="X99" s="85">
        <v>0</v>
      </c>
      <c r="Y99" s="324">
        <f>SUM(Z99:AC99)</f>
        <v>0</v>
      </c>
      <c r="Z99" s="85">
        <v>0</v>
      </c>
      <c r="AA99" s="85">
        <v>0</v>
      </c>
      <c r="AB99" s="85">
        <v>0</v>
      </c>
      <c r="AC99" s="85">
        <v>0</v>
      </c>
      <c r="AD99" s="324">
        <f>J99+O99+T99+Y99</f>
        <v>217638</v>
      </c>
    </row>
    <row r="100" spans="1:34" s="191" customFormat="1" ht="38.25" customHeight="1" x14ac:dyDescent="0.2">
      <c r="A100" s="319" t="s">
        <v>533</v>
      </c>
      <c r="B100" s="544" t="s">
        <v>539</v>
      </c>
      <c r="C100" s="545"/>
      <c r="D100" s="545"/>
      <c r="E100" s="545"/>
      <c r="F100" s="545"/>
      <c r="G100" s="545"/>
      <c r="H100" s="545"/>
      <c r="I100" s="545"/>
      <c r="J100" s="545"/>
      <c r="K100" s="545"/>
      <c r="L100" s="545"/>
      <c r="M100" s="545"/>
      <c r="N100" s="545"/>
      <c r="O100" s="545"/>
      <c r="P100" s="545"/>
      <c r="Q100" s="545"/>
      <c r="R100" s="545"/>
      <c r="S100" s="545"/>
      <c r="T100" s="545"/>
      <c r="U100" s="545"/>
      <c r="V100" s="545"/>
      <c r="W100" s="545"/>
      <c r="X100" s="545"/>
      <c r="Y100" s="545"/>
      <c r="Z100" s="545"/>
      <c r="AA100" s="545"/>
      <c r="AB100" s="545"/>
      <c r="AC100" s="545"/>
      <c r="AD100" s="546"/>
    </row>
    <row r="101" spans="1:34" s="191" customFormat="1" ht="333" customHeight="1" x14ac:dyDescent="0.2">
      <c r="A101" s="325" t="s">
        <v>534</v>
      </c>
      <c r="B101" s="370" t="s">
        <v>535</v>
      </c>
      <c r="C101" s="322" t="s">
        <v>44</v>
      </c>
      <c r="D101" s="322" t="s">
        <v>532</v>
      </c>
      <c r="E101" s="324">
        <f>SUM(F101:I101)</f>
        <v>0</v>
      </c>
      <c r="F101" s="85">
        <v>0</v>
      </c>
      <c r="G101" s="85">
        <v>0</v>
      </c>
      <c r="H101" s="85">
        <v>0</v>
      </c>
      <c r="I101" s="85">
        <v>0</v>
      </c>
      <c r="J101" s="324">
        <f>SUM(K101:N101)</f>
        <v>0</v>
      </c>
      <c r="K101" s="85">
        <v>0</v>
      </c>
      <c r="L101" s="85">
        <v>0</v>
      </c>
      <c r="M101" s="85">
        <v>0</v>
      </c>
      <c r="N101" s="85">
        <v>0</v>
      </c>
      <c r="O101" s="324">
        <f>SUM(P101:S101)</f>
        <v>3854</v>
      </c>
      <c r="P101" s="85">
        <v>3854</v>
      </c>
      <c r="Q101" s="85">
        <v>0</v>
      </c>
      <c r="R101" s="85">
        <v>0</v>
      </c>
      <c r="S101" s="85">
        <v>0</v>
      </c>
      <c r="T101" s="324">
        <f>SUM(U101:X101)</f>
        <v>2706</v>
      </c>
      <c r="U101" s="85">
        <f>3854-1148</f>
        <v>2706</v>
      </c>
      <c r="V101" s="85">
        <v>0</v>
      </c>
      <c r="W101" s="85">
        <v>0</v>
      </c>
      <c r="X101" s="85">
        <v>0</v>
      </c>
      <c r="Y101" s="324">
        <f>SUM(Z101:AC101)</f>
        <v>3330</v>
      </c>
      <c r="Z101" s="85">
        <f>3854-1148+209+415</f>
        <v>3330</v>
      </c>
      <c r="AA101" s="85">
        <v>0</v>
      </c>
      <c r="AB101" s="85">
        <v>0</v>
      </c>
      <c r="AC101" s="85">
        <v>0</v>
      </c>
      <c r="AD101" s="324">
        <f>E101+J101+O101+T101+Y101</f>
        <v>9890</v>
      </c>
    </row>
    <row r="102" spans="1:34" s="191" customFormat="1" ht="48" customHeight="1" x14ac:dyDescent="0.2">
      <c r="A102" s="371" t="s">
        <v>1382</v>
      </c>
      <c r="B102" s="536" t="s">
        <v>1383</v>
      </c>
      <c r="C102" s="537"/>
      <c r="D102" s="537"/>
      <c r="E102" s="537"/>
      <c r="F102" s="537"/>
      <c r="G102" s="537"/>
      <c r="H102" s="537"/>
      <c r="I102" s="537"/>
      <c r="J102" s="537"/>
      <c r="K102" s="537"/>
      <c r="L102" s="537"/>
      <c r="M102" s="537"/>
      <c r="N102" s="537"/>
      <c r="O102" s="537"/>
      <c r="P102" s="537"/>
      <c r="Q102" s="537"/>
      <c r="R102" s="537"/>
      <c r="S102" s="537"/>
      <c r="T102" s="537"/>
      <c r="U102" s="537"/>
      <c r="V102" s="537"/>
      <c r="W102" s="537"/>
      <c r="X102" s="537"/>
      <c r="Y102" s="537"/>
      <c r="Z102" s="537"/>
      <c r="AA102" s="537"/>
      <c r="AB102" s="537"/>
      <c r="AC102" s="537"/>
      <c r="AD102" s="538"/>
    </row>
    <row r="103" spans="1:34" s="191" customFormat="1" ht="106.5" customHeight="1" x14ac:dyDescent="0.2">
      <c r="A103" s="325" t="s">
        <v>1384</v>
      </c>
      <c r="B103" s="370" t="s">
        <v>1385</v>
      </c>
      <c r="C103" s="107" t="s">
        <v>44</v>
      </c>
      <c r="D103" s="322">
        <v>2025</v>
      </c>
      <c r="E103" s="324">
        <v>0</v>
      </c>
      <c r="F103" s="85">
        <v>0</v>
      </c>
      <c r="G103" s="85">
        <v>0</v>
      </c>
      <c r="H103" s="85">
        <v>0</v>
      </c>
      <c r="I103" s="85">
        <v>0</v>
      </c>
      <c r="J103" s="324">
        <v>0</v>
      </c>
      <c r="K103" s="85">
        <v>0</v>
      </c>
      <c r="L103" s="85">
        <v>0</v>
      </c>
      <c r="M103" s="85">
        <v>0</v>
      </c>
      <c r="N103" s="85">
        <v>0</v>
      </c>
      <c r="O103" s="324">
        <v>0</v>
      </c>
      <c r="P103" s="85">
        <v>0</v>
      </c>
      <c r="Q103" s="85">
        <v>0</v>
      </c>
      <c r="R103" s="85">
        <v>0</v>
      </c>
      <c r="S103" s="85">
        <v>0</v>
      </c>
      <c r="T103" s="324">
        <v>0</v>
      </c>
      <c r="U103" s="85">
        <v>0</v>
      </c>
      <c r="V103" s="85">
        <v>0</v>
      </c>
      <c r="W103" s="85">
        <v>0</v>
      </c>
      <c r="X103" s="85">
        <v>0</v>
      </c>
      <c r="Y103" s="324">
        <f>Z103+AA103+AB103+AC103</f>
        <v>5552</v>
      </c>
      <c r="Z103" s="85">
        <f>37160-9520-22087-1</f>
        <v>5552</v>
      </c>
      <c r="AA103" s="85">
        <f>37160-37160</f>
        <v>0</v>
      </c>
      <c r="AB103" s="85">
        <v>0</v>
      </c>
      <c r="AC103" s="85">
        <v>0</v>
      </c>
      <c r="AD103" s="324">
        <f>Y103</f>
        <v>5552</v>
      </c>
    </row>
    <row r="104" spans="1:34" s="99" customFormat="1" ht="42" customHeight="1" x14ac:dyDescent="0.25">
      <c r="A104" s="541" t="s">
        <v>42</v>
      </c>
      <c r="B104" s="541"/>
      <c r="C104" s="541"/>
      <c r="D104" s="372"/>
      <c r="E104" s="324">
        <f>SUM(F104:I104)</f>
        <v>337537</v>
      </c>
      <c r="F104" s="324">
        <f>SUM(F90:F101)</f>
        <v>233401</v>
      </c>
      <c r="G104" s="324">
        <f>SUM(G90:G101)</f>
        <v>104024</v>
      </c>
      <c r="H104" s="324">
        <f>SUM(H90:H97)</f>
        <v>0</v>
      </c>
      <c r="I104" s="324">
        <f>SUM(I90:I98)</f>
        <v>112</v>
      </c>
      <c r="J104" s="324">
        <f>SUM(K104:N104)</f>
        <v>561879</v>
      </c>
      <c r="K104" s="324">
        <f>SUM(K90:K101)</f>
        <v>231685</v>
      </c>
      <c r="L104" s="324">
        <f>SUM(L90:L101)</f>
        <v>330082</v>
      </c>
      <c r="M104" s="324">
        <f>SUM(M90:M97)</f>
        <v>0</v>
      </c>
      <c r="N104" s="324">
        <f>SUM(N90:N97)</f>
        <v>112</v>
      </c>
      <c r="O104" s="324">
        <f>SUM(P104:S104)</f>
        <v>424342</v>
      </c>
      <c r="P104" s="324">
        <f>SUM(P90:P101)</f>
        <v>306086</v>
      </c>
      <c r="Q104" s="324">
        <f>SUM(Q90:Q101)</f>
        <v>118256</v>
      </c>
      <c r="R104" s="324">
        <f>SUM(R90:R98)</f>
        <v>0</v>
      </c>
      <c r="S104" s="324">
        <f>SUM(S90:S98)</f>
        <v>0</v>
      </c>
      <c r="T104" s="324">
        <f>SUM(U104:X104)</f>
        <v>1254714</v>
      </c>
      <c r="U104" s="324">
        <f>SUM(U90:U101)</f>
        <v>517739</v>
      </c>
      <c r="V104" s="324">
        <f>SUM(V90:V101)</f>
        <v>736975</v>
      </c>
      <c r="W104" s="324">
        <f>SUM(W90:W98)</f>
        <v>0</v>
      </c>
      <c r="X104" s="324">
        <f>SUM(X90:X98)</f>
        <v>0</v>
      </c>
      <c r="Y104" s="324">
        <f>SUM(Z104:AC104)</f>
        <v>1809798</v>
      </c>
      <c r="Z104" s="324">
        <f>SUM(Z90:Z103)</f>
        <v>220038</v>
      </c>
      <c r="AA104" s="324">
        <f>SUM(AA90:AA103)</f>
        <v>1589760</v>
      </c>
      <c r="AB104" s="324">
        <f>SUM(AB90:AB98)</f>
        <v>0</v>
      </c>
      <c r="AC104" s="324">
        <f>SUM(AC90:AC98)</f>
        <v>0</v>
      </c>
      <c r="AD104" s="324">
        <f>SUM(AD90:AD103)</f>
        <v>4388270</v>
      </c>
      <c r="AE104" s="351">
        <f>F104+K104+P104+U104+Z104</f>
        <v>1508949</v>
      </c>
      <c r="AF104" s="351">
        <f>G104+L104+Q104+V104+AA104</f>
        <v>2879097</v>
      </c>
      <c r="AG104" s="351">
        <f>H104+M104+R104+W104+AB104</f>
        <v>0</v>
      </c>
      <c r="AH104" s="351">
        <f>I104+N104+S104+X104+AC104</f>
        <v>224</v>
      </c>
    </row>
    <row r="105" spans="1:34" s="99" customFormat="1" ht="42" customHeight="1" x14ac:dyDescent="0.25">
      <c r="A105" s="535" t="s">
        <v>368</v>
      </c>
      <c r="B105" s="535"/>
      <c r="C105" s="535"/>
      <c r="D105" s="372"/>
      <c r="E105" s="324">
        <f>E107-E106</f>
        <v>2377245</v>
      </c>
      <c r="F105" s="324">
        <f t="shared" ref="F105:AC105" si="34">F107-F106</f>
        <v>797208</v>
      </c>
      <c r="G105" s="324">
        <f t="shared" si="34"/>
        <v>1453132</v>
      </c>
      <c r="H105" s="324">
        <f t="shared" si="34"/>
        <v>126793</v>
      </c>
      <c r="I105" s="324">
        <f t="shared" si="34"/>
        <v>112</v>
      </c>
      <c r="J105" s="324">
        <f>J107-J106</f>
        <v>2475929</v>
      </c>
      <c r="K105" s="324">
        <f>K107-K106</f>
        <v>854874</v>
      </c>
      <c r="L105" s="324">
        <f t="shared" si="34"/>
        <v>1620943</v>
      </c>
      <c r="M105" s="324">
        <f t="shared" si="34"/>
        <v>0</v>
      </c>
      <c r="N105" s="324">
        <f t="shared" si="34"/>
        <v>112</v>
      </c>
      <c r="O105" s="324">
        <f t="shared" si="33"/>
        <v>2886963</v>
      </c>
      <c r="P105" s="324">
        <f t="shared" si="34"/>
        <v>989594</v>
      </c>
      <c r="Q105" s="324">
        <f t="shared" si="34"/>
        <v>1897369</v>
      </c>
      <c r="R105" s="324">
        <f t="shared" si="34"/>
        <v>0</v>
      </c>
      <c r="S105" s="324">
        <f t="shared" si="34"/>
        <v>0</v>
      </c>
      <c r="T105" s="324">
        <f>SUM(U105:X105)</f>
        <v>3717103</v>
      </c>
      <c r="U105" s="324">
        <f t="shared" si="34"/>
        <v>1492336</v>
      </c>
      <c r="V105" s="324">
        <f t="shared" si="34"/>
        <v>2224767</v>
      </c>
      <c r="W105" s="324">
        <f t="shared" si="34"/>
        <v>0</v>
      </c>
      <c r="X105" s="324">
        <f t="shared" si="34"/>
        <v>0</v>
      </c>
      <c r="Y105" s="324">
        <f>SUM(Z105:AC105)</f>
        <v>4379927</v>
      </c>
      <c r="Z105" s="324">
        <f t="shared" si="34"/>
        <v>1386098</v>
      </c>
      <c r="AA105" s="324">
        <f>AA107-AA106</f>
        <v>2993829</v>
      </c>
      <c r="AB105" s="324">
        <f t="shared" si="34"/>
        <v>0</v>
      </c>
      <c r="AC105" s="324">
        <f t="shared" si="34"/>
        <v>0</v>
      </c>
      <c r="AD105" s="324">
        <f>E105+J105+O105+T105+Y105</f>
        <v>15837167</v>
      </c>
      <c r="AE105" s="351">
        <f>AE107-AD106</f>
        <v>5520110</v>
      </c>
      <c r="AF105" s="351">
        <f>AF107</f>
        <v>10190040</v>
      </c>
      <c r="AG105" s="351">
        <f>AG107</f>
        <v>126793</v>
      </c>
      <c r="AH105" s="351">
        <f>AH107</f>
        <v>224</v>
      </c>
    </row>
    <row r="106" spans="1:34" s="99" customFormat="1" ht="35.25" customHeight="1" x14ac:dyDescent="0.25">
      <c r="A106" s="541" t="s">
        <v>367</v>
      </c>
      <c r="B106" s="541"/>
      <c r="C106" s="541"/>
      <c r="D106" s="372"/>
      <c r="E106" s="324">
        <f>F106+G106+H106+I106</f>
        <v>988</v>
      </c>
      <c r="F106" s="324">
        <f>F59</f>
        <v>988</v>
      </c>
      <c r="G106" s="324">
        <f>G59</f>
        <v>0</v>
      </c>
      <c r="H106" s="324">
        <f>H59</f>
        <v>0</v>
      </c>
      <c r="I106" s="324">
        <f>I59</f>
        <v>0</v>
      </c>
      <c r="J106" s="324">
        <f>K106+L106+M106+N106</f>
        <v>1584</v>
      </c>
      <c r="K106" s="324">
        <f>K59</f>
        <v>1584</v>
      </c>
      <c r="L106" s="324">
        <f>L59</f>
        <v>0</v>
      </c>
      <c r="M106" s="324">
        <f>M59</f>
        <v>0</v>
      </c>
      <c r="N106" s="324">
        <f>N59</f>
        <v>0</v>
      </c>
      <c r="O106" s="324">
        <f t="shared" si="33"/>
        <v>3417</v>
      </c>
      <c r="P106" s="324">
        <f>O49</f>
        <v>3417</v>
      </c>
      <c r="Q106" s="324">
        <f>Q59</f>
        <v>0</v>
      </c>
      <c r="R106" s="324">
        <f>R59</f>
        <v>0</v>
      </c>
      <c r="S106" s="324">
        <f>S59</f>
        <v>0</v>
      </c>
      <c r="T106" s="324">
        <f>SUM(U106:X106)</f>
        <v>0</v>
      </c>
      <c r="U106" s="324">
        <f>U59+U61</f>
        <v>0</v>
      </c>
      <c r="V106" s="324">
        <f>V59</f>
        <v>0</v>
      </c>
      <c r="W106" s="324">
        <f>W59</f>
        <v>0</v>
      </c>
      <c r="X106" s="324">
        <f>X59</f>
        <v>0</v>
      </c>
      <c r="Y106" s="324">
        <f>SUM(Z106:AC106)</f>
        <v>33082</v>
      </c>
      <c r="Z106" s="324">
        <f>Z57+Z61</f>
        <v>33082</v>
      </c>
      <c r="AA106" s="324">
        <f>AA59</f>
        <v>0</v>
      </c>
      <c r="AB106" s="324">
        <f>AB59</f>
        <v>0</v>
      </c>
      <c r="AC106" s="324">
        <f>AC59</f>
        <v>0</v>
      </c>
      <c r="AD106" s="324">
        <f>E106+J106+O106+T106+Y106</f>
        <v>39071</v>
      </c>
      <c r="AE106" s="351"/>
      <c r="AF106" s="351"/>
      <c r="AG106" s="351"/>
      <c r="AH106" s="351"/>
    </row>
    <row r="107" spans="1:34" s="373" customFormat="1" ht="42" customHeight="1" x14ac:dyDescent="0.25">
      <c r="A107" s="535" t="s">
        <v>369</v>
      </c>
      <c r="B107" s="535"/>
      <c r="C107" s="535"/>
      <c r="D107" s="358"/>
      <c r="E107" s="324">
        <f t="shared" ref="E107:N107" si="35">E50+E104+E72+E85</f>
        <v>2378233</v>
      </c>
      <c r="F107" s="324">
        <f t="shared" si="35"/>
        <v>798196</v>
      </c>
      <c r="G107" s="324">
        <f t="shared" si="35"/>
        <v>1453132</v>
      </c>
      <c r="H107" s="324">
        <f t="shared" si="35"/>
        <v>126793</v>
      </c>
      <c r="I107" s="324">
        <f t="shared" si="35"/>
        <v>112</v>
      </c>
      <c r="J107" s="324">
        <f t="shared" si="35"/>
        <v>2477513</v>
      </c>
      <c r="K107" s="324">
        <f t="shared" si="35"/>
        <v>856458</v>
      </c>
      <c r="L107" s="324">
        <f t="shared" si="35"/>
        <v>1620943</v>
      </c>
      <c r="M107" s="324">
        <f t="shared" si="35"/>
        <v>0</v>
      </c>
      <c r="N107" s="324">
        <f t="shared" si="35"/>
        <v>112</v>
      </c>
      <c r="O107" s="324">
        <f t="shared" si="33"/>
        <v>2890380</v>
      </c>
      <c r="P107" s="324">
        <f>P50+P104+P72+P85</f>
        <v>993011</v>
      </c>
      <c r="Q107" s="324">
        <f>Q50+Q104+Q72+Q85</f>
        <v>1897369</v>
      </c>
      <c r="R107" s="324">
        <f>R50+R104+R72+R85</f>
        <v>0</v>
      </c>
      <c r="S107" s="324">
        <f>S50+S104+S72+S85</f>
        <v>0</v>
      </c>
      <c r="T107" s="324">
        <f>SUM(U107:X107)</f>
        <v>3717103</v>
      </c>
      <c r="U107" s="324">
        <f>U50+U104+U72+U85</f>
        <v>1492336</v>
      </c>
      <c r="V107" s="324">
        <f>V50+V104+V72+V85</f>
        <v>2224767</v>
      </c>
      <c r="W107" s="324">
        <f>W50+W104+W72+W85</f>
        <v>0</v>
      </c>
      <c r="X107" s="324">
        <f>X50+X104+X72+X85</f>
        <v>0</v>
      </c>
      <c r="Y107" s="324">
        <f>SUM(Z107:AC107)</f>
        <v>4413009</v>
      </c>
      <c r="Z107" s="324">
        <f t="shared" ref="Z107:AH107" si="36">Z50+Z104+Z72+Z85</f>
        <v>1419180</v>
      </c>
      <c r="AA107" s="324">
        <f t="shared" si="36"/>
        <v>2993829</v>
      </c>
      <c r="AB107" s="324">
        <f t="shared" si="36"/>
        <v>0</v>
      </c>
      <c r="AC107" s="324">
        <f t="shared" si="36"/>
        <v>0</v>
      </c>
      <c r="AD107" s="324">
        <f t="shared" si="36"/>
        <v>15876238</v>
      </c>
      <c r="AE107" s="351">
        <f t="shared" si="36"/>
        <v>5559181</v>
      </c>
      <c r="AF107" s="351">
        <f t="shared" si="36"/>
        <v>10190040</v>
      </c>
      <c r="AG107" s="351">
        <f t="shared" si="36"/>
        <v>126793</v>
      </c>
      <c r="AH107" s="351">
        <f t="shared" si="36"/>
        <v>224</v>
      </c>
    </row>
    <row r="108" spans="1:34" ht="42" customHeight="1" x14ac:dyDescent="0.2">
      <c r="E108" s="375"/>
      <c r="M108" s="376"/>
      <c r="N108" s="376"/>
      <c r="O108" s="377"/>
      <c r="P108" s="376"/>
      <c r="Q108" s="376"/>
    </row>
    <row r="109" spans="1:34" ht="42" customHeight="1" x14ac:dyDescent="0.2">
      <c r="C109" s="539" t="s">
        <v>316</v>
      </c>
      <c r="E109" s="378">
        <v>172475</v>
      </c>
      <c r="F109" s="324">
        <v>172475</v>
      </c>
      <c r="G109" s="324">
        <v>0</v>
      </c>
      <c r="H109" s="324">
        <v>0</v>
      </c>
      <c r="I109" s="324">
        <v>0</v>
      </c>
      <c r="J109" s="324">
        <v>98858</v>
      </c>
      <c r="K109" s="324">
        <v>98858</v>
      </c>
      <c r="L109" s="324">
        <v>0</v>
      </c>
      <c r="M109" s="324">
        <v>0</v>
      </c>
      <c r="N109" s="324">
        <v>0</v>
      </c>
      <c r="O109" s="324">
        <v>98858</v>
      </c>
      <c r="P109" s="324">
        <v>98858</v>
      </c>
      <c r="Q109" s="324">
        <v>0</v>
      </c>
      <c r="R109" s="324">
        <v>0</v>
      </c>
      <c r="S109" s="324">
        <v>0</v>
      </c>
      <c r="T109" s="324">
        <v>68359</v>
      </c>
      <c r="U109" s="324">
        <v>68359</v>
      </c>
      <c r="V109" s="324">
        <v>0</v>
      </c>
      <c r="W109" s="324">
        <v>0</v>
      </c>
      <c r="X109" s="324">
        <v>0</v>
      </c>
      <c r="Y109" s="324">
        <v>68359</v>
      </c>
      <c r="Z109" s="324">
        <v>68359</v>
      </c>
      <c r="AA109" s="324">
        <v>0</v>
      </c>
      <c r="AB109" s="324">
        <v>0</v>
      </c>
      <c r="AC109" s="324">
        <v>0</v>
      </c>
      <c r="AD109" s="324">
        <v>506909</v>
      </c>
      <c r="AE109" s="379">
        <f t="shared" ref="AE109:AE116" si="37">F109+K109+P109+U109+Z109</f>
        <v>506909</v>
      </c>
      <c r="AF109" s="379">
        <f t="shared" ref="AF109:AF116" si="38">G109+L109+Q109+V109+AA109</f>
        <v>0</v>
      </c>
      <c r="AG109" s="379">
        <f t="shared" ref="AG109:AG116" si="39">H109+M109+R109+W109+AB109</f>
        <v>0</v>
      </c>
      <c r="AH109" s="380">
        <f t="shared" ref="AH109:AH116" si="40">I109+N109+S109+X109+AC109</f>
        <v>0</v>
      </c>
    </row>
    <row r="110" spans="1:34" ht="42" customHeight="1" x14ac:dyDescent="0.2">
      <c r="C110" s="539"/>
      <c r="E110" s="324">
        <f t="shared" ref="E110:AD110" si="41">E50-E109</f>
        <v>537</v>
      </c>
      <c r="F110" s="324">
        <f t="shared" si="41"/>
        <v>537</v>
      </c>
      <c r="G110" s="324">
        <f t="shared" si="41"/>
        <v>0</v>
      </c>
      <c r="H110" s="324">
        <f t="shared" si="41"/>
        <v>0</v>
      </c>
      <c r="I110" s="324">
        <f t="shared" si="41"/>
        <v>0</v>
      </c>
      <c r="J110" s="324">
        <f t="shared" si="41"/>
        <v>4996</v>
      </c>
      <c r="K110" s="324">
        <f t="shared" si="41"/>
        <v>4996</v>
      </c>
      <c r="L110" s="324">
        <f t="shared" si="41"/>
        <v>0</v>
      </c>
      <c r="M110" s="324">
        <f t="shared" si="41"/>
        <v>0</v>
      </c>
      <c r="N110" s="324">
        <f t="shared" si="41"/>
        <v>0</v>
      </c>
      <c r="O110" s="324">
        <f t="shared" si="41"/>
        <v>30621</v>
      </c>
      <c r="P110" s="324">
        <f t="shared" si="41"/>
        <v>30621</v>
      </c>
      <c r="Q110" s="324">
        <f t="shared" si="41"/>
        <v>0</v>
      </c>
      <c r="R110" s="324">
        <f t="shared" si="41"/>
        <v>0</v>
      </c>
      <c r="S110" s="324">
        <f t="shared" si="41"/>
        <v>0</v>
      </c>
      <c r="T110" s="324">
        <f t="shared" si="41"/>
        <v>140573</v>
      </c>
      <c r="U110" s="324">
        <f t="shared" si="41"/>
        <v>140573</v>
      </c>
      <c r="V110" s="324">
        <f t="shared" si="41"/>
        <v>0</v>
      </c>
      <c r="W110" s="324">
        <f t="shared" si="41"/>
        <v>0</v>
      </c>
      <c r="X110" s="324">
        <f t="shared" si="41"/>
        <v>0</v>
      </c>
      <c r="Y110" s="324">
        <f t="shared" si="41"/>
        <v>221014</v>
      </c>
      <c r="Z110" s="324">
        <f>Z50-Z109</f>
        <v>221014</v>
      </c>
      <c r="AA110" s="324">
        <f t="shared" si="41"/>
        <v>0</v>
      </c>
      <c r="AB110" s="324">
        <f t="shared" si="41"/>
        <v>0</v>
      </c>
      <c r="AC110" s="324">
        <f t="shared" si="41"/>
        <v>0</v>
      </c>
      <c r="AD110" s="324">
        <f t="shared" si="41"/>
        <v>397741</v>
      </c>
      <c r="AE110" s="379">
        <f t="shared" si="37"/>
        <v>397741</v>
      </c>
      <c r="AF110" s="379">
        <f t="shared" si="38"/>
        <v>0</v>
      </c>
      <c r="AG110" s="379">
        <f t="shared" si="39"/>
        <v>0</v>
      </c>
      <c r="AH110" s="380">
        <f t="shared" si="40"/>
        <v>0</v>
      </c>
    </row>
    <row r="111" spans="1:34" ht="42" customHeight="1" x14ac:dyDescent="0.2">
      <c r="C111" s="539" t="s">
        <v>317</v>
      </c>
      <c r="E111" s="324">
        <v>1479778</v>
      </c>
      <c r="F111" s="324">
        <v>103538</v>
      </c>
      <c r="G111" s="324">
        <v>1249447</v>
      </c>
      <c r="H111" s="324">
        <v>126793</v>
      </c>
      <c r="I111" s="324">
        <v>0</v>
      </c>
      <c r="J111" s="324">
        <v>886241</v>
      </c>
      <c r="K111" s="324">
        <v>133580</v>
      </c>
      <c r="L111" s="324">
        <v>714418</v>
      </c>
      <c r="M111" s="324">
        <v>38243</v>
      </c>
      <c r="N111" s="324">
        <v>0</v>
      </c>
      <c r="O111" s="324">
        <v>832699</v>
      </c>
      <c r="P111" s="324">
        <v>132699</v>
      </c>
      <c r="Q111" s="324">
        <v>700000</v>
      </c>
      <c r="R111" s="324">
        <v>0</v>
      </c>
      <c r="S111" s="324">
        <v>0</v>
      </c>
      <c r="T111" s="324">
        <v>3082707</v>
      </c>
      <c r="U111" s="324">
        <v>345627</v>
      </c>
      <c r="V111" s="324">
        <v>2737080</v>
      </c>
      <c r="W111" s="324">
        <v>0</v>
      </c>
      <c r="X111" s="324">
        <v>0</v>
      </c>
      <c r="Y111" s="324">
        <v>2507975</v>
      </c>
      <c r="Z111" s="324">
        <v>188906</v>
      </c>
      <c r="AA111" s="324">
        <v>2319069</v>
      </c>
      <c r="AB111" s="324">
        <v>0</v>
      </c>
      <c r="AC111" s="324">
        <v>0</v>
      </c>
      <c r="AD111" s="324">
        <v>8789400</v>
      </c>
      <c r="AE111" s="379">
        <f t="shared" si="37"/>
        <v>904350</v>
      </c>
      <c r="AF111" s="379">
        <f t="shared" si="38"/>
        <v>7720014</v>
      </c>
      <c r="AG111" s="379">
        <f t="shared" si="39"/>
        <v>165036</v>
      </c>
      <c r="AH111" s="380">
        <f t="shared" si="40"/>
        <v>0</v>
      </c>
    </row>
    <row r="112" spans="1:34" ht="42" customHeight="1" x14ac:dyDescent="0.2">
      <c r="C112" s="539"/>
      <c r="E112" s="324">
        <f t="shared" ref="E112:AD112" si="42">E72-E111</f>
        <v>106045</v>
      </c>
      <c r="F112" s="324">
        <f t="shared" si="42"/>
        <v>6384</v>
      </c>
      <c r="G112" s="324">
        <f t="shared" si="42"/>
        <v>99661</v>
      </c>
      <c r="H112" s="324">
        <f t="shared" si="42"/>
        <v>0</v>
      </c>
      <c r="I112" s="324">
        <f t="shared" si="42"/>
        <v>0</v>
      </c>
      <c r="J112" s="324">
        <f t="shared" si="42"/>
        <v>665355</v>
      </c>
      <c r="K112" s="324">
        <f t="shared" si="42"/>
        <v>127155</v>
      </c>
      <c r="L112" s="324">
        <f t="shared" si="42"/>
        <v>576443</v>
      </c>
      <c r="M112" s="324">
        <f t="shared" si="42"/>
        <v>-38243</v>
      </c>
      <c r="N112" s="324">
        <f t="shared" si="42"/>
        <v>0</v>
      </c>
      <c r="O112" s="324">
        <f t="shared" si="42"/>
        <v>1247982</v>
      </c>
      <c r="P112" s="324">
        <f t="shared" si="42"/>
        <v>168869</v>
      </c>
      <c r="Q112" s="324">
        <f t="shared" si="42"/>
        <v>1079113</v>
      </c>
      <c r="R112" s="324">
        <f t="shared" si="42"/>
        <v>0</v>
      </c>
      <c r="S112" s="324">
        <f t="shared" si="42"/>
        <v>0</v>
      </c>
      <c r="T112" s="324">
        <f t="shared" si="42"/>
        <v>-1285038</v>
      </c>
      <c r="U112" s="324">
        <f t="shared" si="42"/>
        <v>-35750</v>
      </c>
      <c r="V112" s="324">
        <f t="shared" si="42"/>
        <v>-1249288</v>
      </c>
      <c r="W112" s="324">
        <f t="shared" si="42"/>
        <v>0</v>
      </c>
      <c r="X112" s="324">
        <f t="shared" si="42"/>
        <v>0</v>
      </c>
      <c r="Y112" s="324">
        <f t="shared" si="42"/>
        <v>-803083</v>
      </c>
      <c r="Z112" s="324">
        <f t="shared" si="42"/>
        <v>111917</v>
      </c>
      <c r="AA112" s="324">
        <f t="shared" si="42"/>
        <v>-915000</v>
      </c>
      <c r="AB112" s="324">
        <f t="shared" si="42"/>
        <v>0</v>
      </c>
      <c r="AC112" s="324">
        <f t="shared" si="42"/>
        <v>0</v>
      </c>
      <c r="AD112" s="324">
        <f t="shared" si="42"/>
        <v>-68739</v>
      </c>
      <c r="AE112" s="379">
        <f t="shared" si="37"/>
        <v>378575</v>
      </c>
      <c r="AF112" s="379">
        <f t="shared" si="38"/>
        <v>-409071</v>
      </c>
      <c r="AG112" s="379">
        <f t="shared" si="39"/>
        <v>-38243</v>
      </c>
      <c r="AH112" s="380">
        <f t="shared" si="40"/>
        <v>0</v>
      </c>
    </row>
    <row r="113" spans="3:34" ht="42" customHeight="1" x14ac:dyDescent="0.2">
      <c r="C113" s="381" t="s">
        <v>318</v>
      </c>
      <c r="E113" s="324">
        <v>305611</v>
      </c>
      <c r="F113" s="324">
        <v>305611</v>
      </c>
      <c r="G113" s="324">
        <v>0</v>
      </c>
      <c r="H113" s="324">
        <v>0</v>
      </c>
      <c r="I113" s="324">
        <v>0</v>
      </c>
      <c r="J113" s="324">
        <v>421548</v>
      </c>
      <c r="K113" s="324">
        <v>421548</v>
      </c>
      <c r="L113" s="324">
        <v>0</v>
      </c>
      <c r="M113" s="324">
        <v>0</v>
      </c>
      <c r="N113" s="324">
        <v>0</v>
      </c>
      <c r="O113" s="324">
        <v>421548</v>
      </c>
      <c r="P113" s="324">
        <v>421548</v>
      </c>
      <c r="Q113" s="324">
        <v>0</v>
      </c>
      <c r="R113" s="324">
        <v>0</v>
      </c>
      <c r="S113" s="324">
        <v>0</v>
      </c>
      <c r="T113" s="324">
        <v>438410</v>
      </c>
      <c r="U113" s="324">
        <v>438410</v>
      </c>
      <c r="V113" s="324">
        <v>0</v>
      </c>
      <c r="W113" s="324">
        <v>0</v>
      </c>
      <c r="X113" s="324">
        <v>0</v>
      </c>
      <c r="Y113" s="324">
        <v>455946</v>
      </c>
      <c r="Z113" s="324">
        <v>455946</v>
      </c>
      <c r="AA113" s="324">
        <v>0</v>
      </c>
      <c r="AB113" s="324">
        <v>0</v>
      </c>
      <c r="AC113" s="324">
        <v>0</v>
      </c>
      <c r="AD113" s="324">
        <v>2043063</v>
      </c>
      <c r="AE113" s="379">
        <f t="shared" si="37"/>
        <v>2043063</v>
      </c>
      <c r="AF113" s="379">
        <f t="shared" si="38"/>
        <v>0</v>
      </c>
      <c r="AG113" s="379">
        <f t="shared" si="39"/>
        <v>0</v>
      </c>
      <c r="AH113" s="380">
        <f t="shared" si="40"/>
        <v>0</v>
      </c>
    </row>
    <row r="114" spans="3:34" ht="42" customHeight="1" x14ac:dyDescent="0.2">
      <c r="C114" s="381"/>
      <c r="E114" s="324">
        <f t="shared" ref="E114:AD114" si="43">E85-E113</f>
        <v>-23750</v>
      </c>
      <c r="F114" s="324">
        <f t="shared" si="43"/>
        <v>-23750</v>
      </c>
      <c r="G114" s="324">
        <f t="shared" si="43"/>
        <v>0</v>
      </c>
      <c r="H114" s="324">
        <f t="shared" si="43"/>
        <v>0</v>
      </c>
      <c r="I114" s="324">
        <f t="shared" si="43"/>
        <v>0</v>
      </c>
      <c r="J114" s="324">
        <f t="shared" si="43"/>
        <v>-161364</v>
      </c>
      <c r="K114" s="324">
        <f t="shared" si="43"/>
        <v>-161364</v>
      </c>
      <c r="L114" s="324">
        <f t="shared" si="43"/>
        <v>0</v>
      </c>
      <c r="M114" s="324">
        <f t="shared" si="43"/>
        <v>0</v>
      </c>
      <c r="N114" s="324">
        <f t="shared" si="43"/>
        <v>0</v>
      </c>
      <c r="O114" s="324">
        <f t="shared" si="43"/>
        <v>-165670</v>
      </c>
      <c r="P114" s="324">
        <f t="shared" si="43"/>
        <v>-165670</v>
      </c>
      <c r="Q114" s="324">
        <f t="shared" si="43"/>
        <v>0</v>
      </c>
      <c r="R114" s="324">
        <f t="shared" si="43"/>
        <v>0</v>
      </c>
      <c r="S114" s="324">
        <f t="shared" si="43"/>
        <v>0</v>
      </c>
      <c r="T114" s="324">
        <f t="shared" si="43"/>
        <v>17378</v>
      </c>
      <c r="U114" s="324">
        <f t="shared" si="43"/>
        <v>17378</v>
      </c>
      <c r="V114" s="324">
        <f t="shared" si="43"/>
        <v>0</v>
      </c>
      <c r="W114" s="324">
        <f t="shared" si="43"/>
        <v>0</v>
      </c>
      <c r="X114" s="324">
        <f t="shared" si="43"/>
        <v>0</v>
      </c>
      <c r="Y114" s="324">
        <f t="shared" si="43"/>
        <v>153000</v>
      </c>
      <c r="Z114" s="324">
        <f t="shared" si="43"/>
        <v>153000</v>
      </c>
      <c r="AA114" s="324">
        <f t="shared" si="43"/>
        <v>0</v>
      </c>
      <c r="AB114" s="324">
        <f t="shared" si="43"/>
        <v>0</v>
      </c>
      <c r="AC114" s="324">
        <f t="shared" si="43"/>
        <v>0</v>
      </c>
      <c r="AD114" s="324">
        <f t="shared" si="43"/>
        <v>-180406</v>
      </c>
      <c r="AE114" s="379">
        <f t="shared" si="37"/>
        <v>-180406</v>
      </c>
      <c r="AF114" s="379">
        <f t="shared" si="38"/>
        <v>0</v>
      </c>
      <c r="AG114" s="379">
        <f t="shared" si="39"/>
        <v>0</v>
      </c>
      <c r="AH114" s="380">
        <f t="shared" si="40"/>
        <v>0</v>
      </c>
    </row>
    <row r="115" spans="3:34" ht="42" customHeight="1" x14ac:dyDescent="0.2">
      <c r="C115" s="381" t="s">
        <v>319</v>
      </c>
      <c r="E115" s="324">
        <v>316674</v>
      </c>
      <c r="F115" s="324">
        <v>241256</v>
      </c>
      <c r="G115" s="324">
        <v>75306</v>
      </c>
      <c r="H115" s="324">
        <v>0</v>
      </c>
      <c r="I115" s="324">
        <v>112</v>
      </c>
      <c r="J115" s="324">
        <v>317340</v>
      </c>
      <c r="K115" s="324">
        <v>241922</v>
      </c>
      <c r="L115" s="324">
        <v>75306</v>
      </c>
      <c r="M115" s="324">
        <v>0</v>
      </c>
      <c r="N115" s="324">
        <v>112</v>
      </c>
      <c r="O115" s="324">
        <v>317340</v>
      </c>
      <c r="P115" s="324">
        <v>241922</v>
      </c>
      <c r="Q115" s="324">
        <v>75306</v>
      </c>
      <c r="R115" s="324">
        <v>0</v>
      </c>
      <c r="S115" s="324">
        <v>112</v>
      </c>
      <c r="T115" s="324">
        <v>316784</v>
      </c>
      <c r="U115" s="324">
        <v>241916</v>
      </c>
      <c r="V115" s="324">
        <v>74756</v>
      </c>
      <c r="W115" s="324">
        <v>0</v>
      </c>
      <c r="X115" s="324">
        <v>112</v>
      </c>
      <c r="Y115" s="324">
        <v>304259</v>
      </c>
      <c r="Z115" s="324">
        <v>241791</v>
      </c>
      <c r="AA115" s="324">
        <v>62356</v>
      </c>
      <c r="AB115" s="324">
        <v>0</v>
      </c>
      <c r="AC115" s="324">
        <v>112</v>
      </c>
      <c r="AD115" s="324">
        <v>1572397</v>
      </c>
      <c r="AE115" s="379">
        <f t="shared" si="37"/>
        <v>1208807</v>
      </c>
      <c r="AF115" s="379">
        <f t="shared" si="38"/>
        <v>363030</v>
      </c>
      <c r="AG115" s="379">
        <f t="shared" si="39"/>
        <v>0</v>
      </c>
      <c r="AH115" s="380">
        <f t="shared" si="40"/>
        <v>560</v>
      </c>
    </row>
    <row r="116" spans="3:34" ht="42" customHeight="1" x14ac:dyDescent="0.2">
      <c r="E116" s="324">
        <f>E104-E115</f>
        <v>20863</v>
      </c>
      <c r="F116" s="324">
        <f t="shared" ref="F116:AD116" si="44">F104-F115</f>
        <v>-7855</v>
      </c>
      <c r="G116" s="324">
        <f t="shared" si="44"/>
        <v>28718</v>
      </c>
      <c r="H116" s="324">
        <f t="shared" si="44"/>
        <v>0</v>
      </c>
      <c r="I116" s="324">
        <f t="shared" si="44"/>
        <v>0</v>
      </c>
      <c r="J116" s="324">
        <f t="shared" si="44"/>
        <v>244539</v>
      </c>
      <c r="K116" s="324">
        <f t="shared" si="44"/>
        <v>-10237</v>
      </c>
      <c r="L116" s="324">
        <f t="shared" si="44"/>
        <v>254776</v>
      </c>
      <c r="M116" s="324">
        <f t="shared" si="44"/>
        <v>0</v>
      </c>
      <c r="N116" s="324">
        <f t="shared" si="44"/>
        <v>0</v>
      </c>
      <c r="O116" s="324">
        <f t="shared" si="44"/>
        <v>107002</v>
      </c>
      <c r="P116" s="324">
        <f t="shared" si="44"/>
        <v>64164</v>
      </c>
      <c r="Q116" s="324">
        <f t="shared" si="44"/>
        <v>42950</v>
      </c>
      <c r="R116" s="324">
        <f t="shared" si="44"/>
        <v>0</v>
      </c>
      <c r="S116" s="324">
        <f t="shared" si="44"/>
        <v>-112</v>
      </c>
      <c r="T116" s="324">
        <f t="shared" si="44"/>
        <v>937930</v>
      </c>
      <c r="U116" s="324">
        <f t="shared" si="44"/>
        <v>275823</v>
      </c>
      <c r="V116" s="324">
        <f t="shared" si="44"/>
        <v>662219</v>
      </c>
      <c r="W116" s="324">
        <f t="shared" si="44"/>
        <v>0</v>
      </c>
      <c r="X116" s="324">
        <f t="shared" si="44"/>
        <v>-112</v>
      </c>
      <c r="Y116" s="324">
        <f t="shared" si="44"/>
        <v>1505539</v>
      </c>
      <c r="Z116" s="324">
        <f t="shared" si="44"/>
        <v>-21753</v>
      </c>
      <c r="AA116" s="324">
        <f t="shared" si="44"/>
        <v>1527404</v>
      </c>
      <c r="AB116" s="324">
        <f t="shared" si="44"/>
        <v>0</v>
      </c>
      <c r="AC116" s="324">
        <f t="shared" si="44"/>
        <v>-112</v>
      </c>
      <c r="AD116" s="324">
        <f t="shared" si="44"/>
        <v>2815873</v>
      </c>
      <c r="AE116" s="379">
        <f t="shared" si="37"/>
        <v>300142</v>
      </c>
      <c r="AF116" s="379">
        <f t="shared" si="38"/>
        <v>2516067</v>
      </c>
      <c r="AG116" s="379">
        <f t="shared" si="39"/>
        <v>0</v>
      </c>
      <c r="AH116" s="380">
        <f t="shared" si="40"/>
        <v>-336</v>
      </c>
    </row>
    <row r="117" spans="3:34" ht="42" customHeight="1" x14ac:dyDescent="0.2">
      <c r="E117" s="379">
        <v>2274538</v>
      </c>
      <c r="F117" s="379">
        <v>822880</v>
      </c>
      <c r="G117" s="379">
        <v>1324753</v>
      </c>
      <c r="H117" s="379">
        <v>126793</v>
      </c>
      <c r="I117" s="379">
        <v>112</v>
      </c>
      <c r="J117" s="379">
        <v>1723987</v>
      </c>
      <c r="K117" s="379">
        <v>895908</v>
      </c>
      <c r="L117" s="379">
        <v>789724</v>
      </c>
      <c r="M117" s="379">
        <v>38243</v>
      </c>
      <c r="N117" s="379">
        <v>112</v>
      </c>
      <c r="O117" s="379">
        <v>1670445</v>
      </c>
      <c r="P117" s="379">
        <v>895027</v>
      </c>
      <c r="Q117" s="379">
        <v>775306</v>
      </c>
      <c r="R117" s="379">
        <v>0</v>
      </c>
      <c r="S117" s="379">
        <v>112</v>
      </c>
      <c r="T117" s="379">
        <v>3906260</v>
      </c>
      <c r="U117" s="379">
        <v>1094312</v>
      </c>
      <c r="V117" s="379">
        <v>2811836</v>
      </c>
      <c r="W117" s="379">
        <v>0</v>
      </c>
      <c r="X117" s="379">
        <v>112</v>
      </c>
      <c r="Y117" s="379">
        <v>3336539</v>
      </c>
      <c r="Z117" s="379">
        <v>955002</v>
      </c>
      <c r="AA117" s="379">
        <v>2381425</v>
      </c>
      <c r="AB117" s="379">
        <v>0</v>
      </c>
      <c r="AC117" s="379">
        <v>112</v>
      </c>
      <c r="AD117" s="379">
        <v>12911769</v>
      </c>
      <c r="AE117" s="379">
        <f>F117+K117+P117+U117+Z117</f>
        <v>4663129</v>
      </c>
      <c r="AF117" s="379">
        <f>G117+L117+Q117+V117+AA117</f>
        <v>8083044</v>
      </c>
      <c r="AG117" s="379">
        <f>H117+M117+R117+W117+AB117</f>
        <v>165036</v>
      </c>
      <c r="AH117" s="380">
        <f>I117+N117+S117+X117+AC117</f>
        <v>560</v>
      </c>
    </row>
    <row r="118" spans="3:34" ht="42" customHeight="1" x14ac:dyDescent="0.2">
      <c r="E118" s="379">
        <f>E107-E117</f>
        <v>103695</v>
      </c>
      <c r="F118" s="379">
        <f t="shared" ref="F118:AD118" si="45">F107-F117</f>
        <v>-24684</v>
      </c>
      <c r="G118" s="379">
        <f t="shared" si="45"/>
        <v>128379</v>
      </c>
      <c r="H118" s="379">
        <f t="shared" si="45"/>
        <v>0</v>
      </c>
      <c r="I118" s="379">
        <f t="shared" si="45"/>
        <v>0</v>
      </c>
      <c r="J118" s="379">
        <f t="shared" si="45"/>
        <v>753526</v>
      </c>
      <c r="K118" s="379">
        <f t="shared" si="45"/>
        <v>-39450</v>
      </c>
      <c r="L118" s="379">
        <f t="shared" si="45"/>
        <v>831219</v>
      </c>
      <c r="M118" s="379">
        <f t="shared" si="45"/>
        <v>-38243</v>
      </c>
      <c r="N118" s="379">
        <f t="shared" si="45"/>
        <v>0</v>
      </c>
      <c r="O118" s="379">
        <f t="shared" si="45"/>
        <v>1219935</v>
      </c>
      <c r="P118" s="379">
        <f t="shared" si="45"/>
        <v>97984</v>
      </c>
      <c r="Q118" s="379">
        <f t="shared" si="45"/>
        <v>1122063</v>
      </c>
      <c r="R118" s="379">
        <f t="shared" si="45"/>
        <v>0</v>
      </c>
      <c r="S118" s="379">
        <f t="shared" si="45"/>
        <v>-112</v>
      </c>
      <c r="T118" s="379">
        <f t="shared" si="45"/>
        <v>-189157</v>
      </c>
      <c r="U118" s="379">
        <f t="shared" si="45"/>
        <v>398024</v>
      </c>
      <c r="V118" s="379">
        <f t="shared" si="45"/>
        <v>-587069</v>
      </c>
      <c r="W118" s="379">
        <f t="shared" si="45"/>
        <v>0</v>
      </c>
      <c r="X118" s="379">
        <f t="shared" si="45"/>
        <v>-112</v>
      </c>
      <c r="Y118" s="379">
        <f t="shared" si="45"/>
        <v>1076470</v>
      </c>
      <c r="Z118" s="379">
        <f t="shared" si="45"/>
        <v>464178</v>
      </c>
      <c r="AA118" s="379">
        <f t="shared" si="45"/>
        <v>612404</v>
      </c>
      <c r="AB118" s="379">
        <f t="shared" si="45"/>
        <v>0</v>
      </c>
      <c r="AC118" s="379">
        <f t="shared" si="45"/>
        <v>-112</v>
      </c>
      <c r="AD118" s="379">
        <f t="shared" si="45"/>
        <v>2964469</v>
      </c>
      <c r="AE118" s="379">
        <f>AE107-AE117</f>
        <v>896052</v>
      </c>
      <c r="AF118" s="379">
        <f>AF107-AF117</f>
        <v>2106996</v>
      </c>
      <c r="AG118" s="379">
        <f>AG107-AG117</f>
        <v>-38243</v>
      </c>
      <c r="AH118" s="379">
        <f>AH107-AH117</f>
        <v>-336</v>
      </c>
    </row>
  </sheetData>
  <mergeCells count="96">
    <mergeCell ref="D96:D97"/>
    <mergeCell ref="L96:L97"/>
    <mergeCell ref="B76:AD76"/>
    <mergeCell ref="B73:AD73"/>
    <mergeCell ref="B79:AD79"/>
    <mergeCell ref="A75:AD75"/>
    <mergeCell ref="E96:E97"/>
    <mergeCell ref="F96:F97"/>
    <mergeCell ref="M96:M97"/>
    <mergeCell ref="I96:I97"/>
    <mergeCell ref="G96:G97"/>
    <mergeCell ref="H96:H97"/>
    <mergeCell ref="A85:C85"/>
    <mergeCell ref="B86:AD86"/>
    <mergeCell ref="B89:AD89"/>
    <mergeCell ref="B91:AD91"/>
    <mergeCell ref="D4:D6"/>
    <mergeCell ref="E4:AC4"/>
    <mergeCell ref="AD4:AD6"/>
    <mergeCell ref="A74:AD74"/>
    <mergeCell ref="B58:B59"/>
    <mergeCell ref="A58:A59"/>
    <mergeCell ref="C58:C59"/>
    <mergeCell ref="A71:C71"/>
    <mergeCell ref="A70:C70"/>
    <mergeCell ref="A17:A18"/>
    <mergeCell ref="A60:A62"/>
    <mergeCell ref="C60:C62"/>
    <mergeCell ref="A63:A64"/>
    <mergeCell ref="C63:C64"/>
    <mergeCell ref="A4:A6"/>
    <mergeCell ref="C17:C18"/>
    <mergeCell ref="T96:T97"/>
    <mergeCell ref="X96:X97"/>
    <mergeCell ref="J5:N5"/>
    <mergeCell ref="T5:X5"/>
    <mergeCell ref="B3:AD3"/>
    <mergeCell ref="B12:AD12"/>
    <mergeCell ref="B54:AD54"/>
    <mergeCell ref="B51:AD51"/>
    <mergeCell ref="B24:AD24"/>
    <mergeCell ref="B37:AD37"/>
    <mergeCell ref="B4:B6"/>
    <mergeCell ref="C4:C6"/>
    <mergeCell ref="B17:B18"/>
    <mergeCell ref="E5:I5"/>
    <mergeCell ref="A50:C50"/>
    <mergeCell ref="B95:AD95"/>
    <mergeCell ref="AA1:AD1"/>
    <mergeCell ref="AC96:AC97"/>
    <mergeCell ref="AD96:AD97"/>
    <mergeCell ref="AB96:AB97"/>
    <mergeCell ref="W96:W97"/>
    <mergeCell ref="AA2:AD2"/>
    <mergeCell ref="Y5:AC5"/>
    <mergeCell ref="AA96:AA97"/>
    <mergeCell ref="Z96:Z97"/>
    <mergeCell ref="P96:P97"/>
    <mergeCell ref="Q96:Q97"/>
    <mergeCell ref="R96:R97"/>
    <mergeCell ref="S96:S97"/>
    <mergeCell ref="O5:S5"/>
    <mergeCell ref="A8:AD8"/>
    <mergeCell ref="A88:AD88"/>
    <mergeCell ref="A87:AD87"/>
    <mergeCell ref="A10:AD10"/>
    <mergeCell ref="A11:AD11"/>
    <mergeCell ref="J96:J97"/>
    <mergeCell ref="K96:K97"/>
    <mergeCell ref="A72:C72"/>
    <mergeCell ref="A52:AD52"/>
    <mergeCell ref="A53:AD53"/>
    <mergeCell ref="B9:AD9"/>
    <mergeCell ref="A48:C48"/>
    <mergeCell ref="A49:C49"/>
    <mergeCell ref="B60:B61"/>
    <mergeCell ref="B39:AD39"/>
    <mergeCell ref="A56:A57"/>
    <mergeCell ref="B56:B57"/>
    <mergeCell ref="C56:C57"/>
    <mergeCell ref="B102:AD102"/>
    <mergeCell ref="C111:C112"/>
    <mergeCell ref="A96:A97"/>
    <mergeCell ref="A107:C107"/>
    <mergeCell ref="A105:C105"/>
    <mergeCell ref="A106:C106"/>
    <mergeCell ref="C96:C97"/>
    <mergeCell ref="B96:B97"/>
    <mergeCell ref="C109:C110"/>
    <mergeCell ref="A104:C104"/>
    <mergeCell ref="B100:AD100"/>
    <mergeCell ref="N96:N97"/>
    <mergeCell ref="O96:O97"/>
    <mergeCell ref="U96:U97"/>
    <mergeCell ref="V96:V97"/>
    <mergeCell ref="Y96:Y97"/>
  </mergeCells>
  <phoneticPr fontId="5" type="noConversion"/>
  <printOptions horizontalCentered="1"/>
  <pageMargins left="7.874015748031496E-2" right="7.874015748031496E-2" top="0.62992125984251968" bottom="0.39370078740157483" header="0.19685039370078741" footer="0.15748031496062992"/>
  <pageSetup paperSize="8" scale="39" firstPageNumber="44" fitToHeight="0" orientation="landscape" useFirstPageNumber="1" r:id="rId1"/>
  <headerFooter alignWithMargins="0">
    <oddHeader>&amp;C&amp;P</oddHeader>
  </headerFooter>
  <rowBreaks count="10" manualBreakCount="10">
    <brk id="19" max="29" man="1"/>
    <brk id="28" max="29" man="1"/>
    <brk id="38" max="29" man="1"/>
    <brk id="46" max="29" man="1"/>
    <brk id="59" max="29" man="1"/>
    <brk id="65" max="29" man="1"/>
    <brk id="76" max="29" man="1"/>
    <brk id="83" max="29" man="1"/>
    <brk id="92" max="29" man="1"/>
    <brk id="97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151"/>
  <sheetViews>
    <sheetView tabSelected="1" view="pageBreakPreview" topLeftCell="A7" zoomScale="110" zoomScaleNormal="100" zoomScaleSheetLayoutView="110" workbookViewId="0">
      <selection activeCell="J18" sqref="J18"/>
    </sheetView>
  </sheetViews>
  <sheetFormatPr defaultColWidth="9.140625" defaultRowHeight="12.75" x14ac:dyDescent="0.2"/>
  <cols>
    <col min="1" max="1" width="6.140625" style="94" customWidth="1"/>
    <col min="2" max="2" width="34.140625" style="94" customWidth="1"/>
    <col min="3" max="3" width="58.28515625" style="94" customWidth="1"/>
    <col min="4" max="4" width="9.140625" style="94"/>
    <col min="5" max="5" width="9.140625" style="94" customWidth="1"/>
    <col min="6" max="6" width="11.28515625" style="94" customWidth="1"/>
    <col min="7" max="7" width="11.5703125" style="94" customWidth="1"/>
    <col min="8" max="8" width="14" style="94" customWidth="1"/>
    <col min="9" max="9" width="13.85546875" style="94" customWidth="1"/>
    <col min="10" max="10" width="14.5703125" style="94" customWidth="1"/>
    <col min="11" max="11" width="13.5703125" style="94" customWidth="1"/>
    <col min="12" max="16" width="9.140625" style="94"/>
    <col min="17" max="17" width="14.140625" style="94" customWidth="1"/>
    <col min="18" max="16384" width="9.140625" style="94"/>
  </cols>
  <sheetData>
    <row r="1" spans="1:14" ht="58.5" customHeight="1" x14ac:dyDescent="0.2">
      <c r="G1" s="610" t="s">
        <v>1648</v>
      </c>
      <c r="H1" s="610"/>
      <c r="I1" s="610"/>
      <c r="J1" s="610"/>
    </row>
    <row r="2" spans="1:14" ht="85.5" customHeight="1" x14ac:dyDescent="0.2">
      <c r="G2" s="611" t="s">
        <v>419</v>
      </c>
      <c r="H2" s="611"/>
      <c r="I2" s="611"/>
      <c r="J2" s="611"/>
    </row>
    <row r="3" spans="1:14" ht="21.75" customHeight="1" x14ac:dyDescent="0.2">
      <c r="A3" s="105"/>
      <c r="B3" s="382"/>
      <c r="C3" s="383"/>
      <c r="D3" s="384"/>
      <c r="E3" s="385"/>
      <c r="F3" s="385"/>
      <c r="G3" s="385"/>
      <c r="H3" s="385"/>
      <c r="I3" s="385"/>
      <c r="J3" s="385"/>
    </row>
    <row r="4" spans="1:14" ht="31.5" customHeight="1" x14ac:dyDescent="0.2">
      <c r="A4" s="512" t="s">
        <v>631</v>
      </c>
      <c r="B4" s="612"/>
      <c r="C4" s="612"/>
      <c r="D4" s="612"/>
      <c r="E4" s="612"/>
      <c r="F4" s="512"/>
      <c r="G4" s="512"/>
      <c r="H4" s="512"/>
      <c r="I4" s="512"/>
      <c r="J4" s="512"/>
    </row>
    <row r="5" spans="1:14" ht="18.75" customHeight="1" x14ac:dyDescent="0.2">
      <c r="A5" s="484" t="s">
        <v>68</v>
      </c>
      <c r="B5" s="613" t="s">
        <v>91</v>
      </c>
      <c r="C5" s="542" t="s">
        <v>92</v>
      </c>
      <c r="D5" s="542" t="s">
        <v>93</v>
      </c>
      <c r="E5" s="616" t="s">
        <v>94</v>
      </c>
      <c r="F5" s="542" t="s">
        <v>95</v>
      </c>
      <c r="G5" s="542"/>
      <c r="H5" s="615"/>
      <c r="I5" s="615"/>
      <c r="J5" s="615"/>
    </row>
    <row r="6" spans="1:14" ht="7.5" customHeight="1" x14ac:dyDescent="0.2">
      <c r="A6" s="484"/>
      <c r="B6" s="614"/>
      <c r="C6" s="542"/>
      <c r="D6" s="615"/>
      <c r="E6" s="617"/>
      <c r="F6" s="615"/>
      <c r="G6" s="615"/>
      <c r="H6" s="615"/>
      <c r="I6" s="615"/>
      <c r="J6" s="615"/>
    </row>
    <row r="7" spans="1:14" ht="9" customHeight="1" x14ac:dyDescent="0.2">
      <c r="A7" s="484"/>
      <c r="B7" s="614"/>
      <c r="C7" s="542"/>
      <c r="D7" s="615"/>
      <c r="E7" s="617"/>
      <c r="F7" s="484">
        <v>2021</v>
      </c>
      <c r="G7" s="484">
        <v>2022</v>
      </c>
      <c r="H7" s="484">
        <v>2023</v>
      </c>
      <c r="I7" s="484">
        <v>2024</v>
      </c>
      <c r="J7" s="484">
        <v>2025</v>
      </c>
    </row>
    <row r="8" spans="1:14" ht="12" customHeight="1" x14ac:dyDescent="0.2">
      <c r="A8" s="484"/>
      <c r="B8" s="614"/>
      <c r="C8" s="542"/>
      <c r="D8" s="615"/>
      <c r="E8" s="617"/>
      <c r="F8" s="484"/>
      <c r="G8" s="484"/>
      <c r="H8" s="484"/>
      <c r="I8" s="484"/>
      <c r="J8" s="484"/>
    </row>
    <row r="9" spans="1:14" x14ac:dyDescent="0.2">
      <c r="A9" s="187">
        <v>1</v>
      </c>
      <c r="B9" s="187">
        <v>2</v>
      </c>
      <c r="C9" s="187">
        <v>3</v>
      </c>
      <c r="D9" s="187">
        <v>4</v>
      </c>
      <c r="E9" s="187">
        <v>5</v>
      </c>
      <c r="F9" s="187">
        <v>6</v>
      </c>
      <c r="G9" s="187">
        <v>7</v>
      </c>
      <c r="H9" s="187">
        <v>8</v>
      </c>
      <c r="I9" s="187">
        <v>9</v>
      </c>
      <c r="J9" s="187">
        <v>10</v>
      </c>
    </row>
    <row r="10" spans="1:14" ht="25.5" customHeight="1" x14ac:dyDescent="0.2">
      <c r="A10" s="609" t="s">
        <v>1055</v>
      </c>
      <c r="B10" s="609"/>
      <c r="C10" s="609"/>
      <c r="D10" s="609"/>
      <c r="E10" s="609"/>
      <c r="F10" s="609"/>
      <c r="G10" s="609"/>
      <c r="H10" s="609"/>
      <c r="I10" s="609"/>
      <c r="J10" s="609"/>
    </row>
    <row r="11" spans="1:14" ht="27.75" customHeight="1" x14ac:dyDescent="0.2">
      <c r="A11" s="386" t="s">
        <v>427</v>
      </c>
      <c r="B11" s="576" t="s">
        <v>1056</v>
      </c>
      <c r="C11" s="574"/>
      <c r="D11" s="574"/>
      <c r="E11" s="574"/>
      <c r="F11" s="574"/>
      <c r="G11" s="574"/>
      <c r="H11" s="574"/>
      <c r="I11" s="574"/>
      <c r="J11" s="575"/>
    </row>
    <row r="12" spans="1:14" ht="17.45" customHeight="1" x14ac:dyDescent="0.2">
      <c r="A12" s="608" t="s">
        <v>71</v>
      </c>
      <c r="B12" s="608"/>
      <c r="C12" s="608"/>
      <c r="D12" s="608"/>
      <c r="E12" s="608"/>
      <c r="F12" s="608"/>
      <c r="G12" s="608"/>
      <c r="H12" s="608"/>
      <c r="I12" s="608"/>
      <c r="J12" s="608"/>
    </row>
    <row r="13" spans="1:14" ht="25.15" customHeight="1" x14ac:dyDescent="0.2">
      <c r="A13" s="609" t="s">
        <v>1062</v>
      </c>
      <c r="B13" s="609"/>
      <c r="C13" s="609"/>
      <c r="D13" s="609"/>
      <c r="E13" s="609"/>
      <c r="F13" s="609"/>
      <c r="G13" s="609"/>
      <c r="H13" s="609"/>
      <c r="I13" s="609"/>
      <c r="J13" s="609"/>
    </row>
    <row r="14" spans="1:14" ht="27.75" customHeight="1" x14ac:dyDescent="0.2">
      <c r="A14" s="387" t="s">
        <v>1</v>
      </c>
      <c r="B14" s="576" t="s">
        <v>426</v>
      </c>
      <c r="C14" s="574"/>
      <c r="D14" s="574"/>
      <c r="E14" s="574"/>
      <c r="F14" s="574"/>
      <c r="G14" s="574"/>
      <c r="H14" s="574"/>
      <c r="I14" s="574"/>
      <c r="J14" s="575"/>
    </row>
    <row r="15" spans="1:14" ht="39" customHeight="1" x14ac:dyDescent="0.2">
      <c r="A15" s="388" t="s">
        <v>7</v>
      </c>
      <c r="B15" s="389" t="s">
        <v>119</v>
      </c>
      <c r="C15" s="390" t="s">
        <v>120</v>
      </c>
      <c r="D15" s="391" t="s">
        <v>96</v>
      </c>
      <c r="E15" s="90">
        <v>3</v>
      </c>
      <c r="F15" s="90">
        <f>5+1</f>
        <v>6</v>
      </c>
      <c r="G15" s="392">
        <v>3</v>
      </c>
      <c r="H15" s="392">
        <f>2-1+1</f>
        <v>2</v>
      </c>
      <c r="I15" s="392">
        <f>2-1+1+1</f>
        <v>3</v>
      </c>
      <c r="J15" s="90">
        <f>0+1+2+2+1</f>
        <v>6</v>
      </c>
      <c r="K15" s="393" t="s">
        <v>177</v>
      </c>
    </row>
    <row r="16" spans="1:14" ht="40.5" customHeight="1" x14ac:dyDescent="0.2">
      <c r="A16" s="394" t="s">
        <v>14</v>
      </c>
      <c r="B16" s="395" t="s">
        <v>341</v>
      </c>
      <c r="C16" s="396" t="s">
        <v>405</v>
      </c>
      <c r="D16" s="397" t="s">
        <v>96</v>
      </c>
      <c r="E16" s="91" t="s">
        <v>97</v>
      </c>
      <c r="F16" s="91">
        <v>1</v>
      </c>
      <c r="G16" s="91">
        <v>1</v>
      </c>
      <c r="H16" s="91">
        <f>0+2</f>
        <v>2</v>
      </c>
      <c r="I16" s="91">
        <f>2+1+1+1</f>
        <v>5</v>
      </c>
      <c r="J16" s="91">
        <f>1+1</f>
        <v>2</v>
      </c>
      <c r="K16" s="398" t="s">
        <v>97</v>
      </c>
      <c r="L16" s="399" t="s">
        <v>97</v>
      </c>
      <c r="M16" s="400" t="s">
        <v>97</v>
      </c>
      <c r="N16" s="401" t="s">
        <v>97</v>
      </c>
    </row>
    <row r="17" spans="1:10" ht="41.25" customHeight="1" x14ac:dyDescent="0.2">
      <c r="A17" s="394" t="s">
        <v>25</v>
      </c>
      <c r="B17" s="395" t="s">
        <v>98</v>
      </c>
      <c r="C17" s="396" t="s">
        <v>99</v>
      </c>
      <c r="D17" s="402" t="s">
        <v>96</v>
      </c>
      <c r="E17" s="91">
        <v>9</v>
      </c>
      <c r="F17" s="91">
        <v>11</v>
      </c>
      <c r="G17" s="91">
        <v>11</v>
      </c>
      <c r="H17" s="91">
        <f>11-6+9+12+4+12</f>
        <v>42</v>
      </c>
      <c r="I17" s="91">
        <f>12-1-7+21</f>
        <v>25</v>
      </c>
      <c r="J17" s="91">
        <f>0+12-7-2+14+36+24</f>
        <v>77</v>
      </c>
    </row>
    <row r="18" spans="1:10" ht="27" customHeight="1" x14ac:dyDescent="0.2">
      <c r="A18" s="403" t="s">
        <v>434</v>
      </c>
      <c r="B18" s="404" t="s">
        <v>300</v>
      </c>
      <c r="C18" s="396" t="s">
        <v>406</v>
      </c>
      <c r="D18" s="92" t="s">
        <v>96</v>
      </c>
      <c r="E18" s="91">
        <v>2</v>
      </c>
      <c r="F18" s="91">
        <v>3</v>
      </c>
      <c r="G18" s="91">
        <v>10</v>
      </c>
      <c r="H18" s="91">
        <f>0+1+2-1</f>
        <v>2</v>
      </c>
      <c r="I18" s="91">
        <f>0+5+1-5+1+1</f>
        <v>3</v>
      </c>
      <c r="J18" s="91">
        <f>0+2-1+1+1+1+1-1+1-1</f>
        <v>4</v>
      </c>
    </row>
    <row r="19" spans="1:10" ht="21" customHeight="1" x14ac:dyDescent="0.2">
      <c r="A19" s="394" t="s">
        <v>435</v>
      </c>
      <c r="B19" s="405" t="s">
        <v>52</v>
      </c>
      <c r="C19" s="396" t="s">
        <v>100</v>
      </c>
      <c r="D19" s="92" t="s">
        <v>96</v>
      </c>
      <c r="E19" s="91">
        <v>5</v>
      </c>
      <c r="F19" s="91">
        <v>12</v>
      </c>
      <c r="G19" s="406">
        <v>3</v>
      </c>
      <c r="H19" s="406">
        <f>10-9+1+3+1</f>
        <v>6</v>
      </c>
      <c r="I19" s="91">
        <f>2+5+3+1</f>
        <v>11</v>
      </c>
      <c r="J19" s="91">
        <f>7-2-3+1+6-1</f>
        <v>8</v>
      </c>
    </row>
    <row r="20" spans="1:10" ht="42.75" customHeight="1" x14ac:dyDescent="0.2">
      <c r="A20" s="394" t="s">
        <v>436</v>
      </c>
      <c r="B20" s="405" t="s">
        <v>301</v>
      </c>
      <c r="C20" s="396" t="s">
        <v>415</v>
      </c>
      <c r="D20" s="407" t="s">
        <v>96</v>
      </c>
      <c r="E20" s="93" t="s">
        <v>97</v>
      </c>
      <c r="F20" s="408">
        <v>2</v>
      </c>
      <c r="G20" s="408">
        <f>1+1</f>
        <v>2</v>
      </c>
      <c r="H20" s="409">
        <f>2+1+2-1+2</f>
        <v>6</v>
      </c>
      <c r="I20" s="409">
        <f>0+2-1+1+3+1</f>
        <v>6</v>
      </c>
      <c r="J20" s="408">
        <f>5+3+1</f>
        <v>9</v>
      </c>
    </row>
    <row r="21" spans="1:10" ht="39" customHeight="1" x14ac:dyDescent="0.2">
      <c r="A21" s="394" t="s">
        <v>437</v>
      </c>
      <c r="B21" s="405" t="s">
        <v>350</v>
      </c>
      <c r="C21" s="396" t="s">
        <v>373</v>
      </c>
      <c r="D21" s="407" t="s">
        <v>96</v>
      </c>
      <c r="E21" s="93" t="s">
        <v>97</v>
      </c>
      <c r="F21" s="408" t="s">
        <v>97</v>
      </c>
      <c r="G21" s="408" t="s">
        <v>97</v>
      </c>
      <c r="H21" s="408">
        <f>0+1</f>
        <v>1</v>
      </c>
      <c r="I21" s="93" t="s">
        <v>97</v>
      </c>
      <c r="J21" s="93" t="s">
        <v>97</v>
      </c>
    </row>
    <row r="22" spans="1:10" ht="28.5" customHeight="1" x14ac:dyDescent="0.2">
      <c r="A22" s="593" t="s">
        <v>525</v>
      </c>
      <c r="B22" s="601" t="s">
        <v>530</v>
      </c>
      <c r="C22" s="396" t="s">
        <v>527</v>
      </c>
      <c r="D22" s="407" t="s">
        <v>96</v>
      </c>
      <c r="E22" s="93" t="s">
        <v>97</v>
      </c>
      <c r="F22" s="408" t="s">
        <v>97</v>
      </c>
      <c r="G22" s="408" t="s">
        <v>97</v>
      </c>
      <c r="H22" s="408">
        <v>1</v>
      </c>
      <c r="I22" s="93" t="s">
        <v>97</v>
      </c>
      <c r="J22" s="93" t="s">
        <v>97</v>
      </c>
    </row>
    <row r="23" spans="1:10" ht="22.5" customHeight="1" x14ac:dyDescent="0.2">
      <c r="A23" s="594"/>
      <c r="B23" s="602"/>
      <c r="C23" s="396" t="s">
        <v>526</v>
      </c>
      <c r="D23" s="407" t="s">
        <v>96</v>
      </c>
      <c r="E23" s="93" t="s">
        <v>97</v>
      </c>
      <c r="F23" s="408" t="s">
        <v>97</v>
      </c>
      <c r="G23" s="408" t="s">
        <v>97</v>
      </c>
      <c r="H23" s="408">
        <v>6</v>
      </c>
      <c r="I23" s="93" t="s">
        <v>97</v>
      </c>
      <c r="J23" s="93" t="s">
        <v>97</v>
      </c>
    </row>
    <row r="24" spans="1:10" ht="22.5" customHeight="1" x14ac:dyDescent="0.2">
      <c r="A24" s="394" t="s">
        <v>560</v>
      </c>
      <c r="B24" s="410" t="s">
        <v>579</v>
      </c>
      <c r="C24" s="396" t="s">
        <v>561</v>
      </c>
      <c r="D24" s="407" t="s">
        <v>96</v>
      </c>
      <c r="E24" s="93" t="s">
        <v>97</v>
      </c>
      <c r="F24" s="408" t="s">
        <v>97</v>
      </c>
      <c r="G24" s="408" t="s">
        <v>97</v>
      </c>
      <c r="H24" s="408" t="s">
        <v>97</v>
      </c>
      <c r="I24" s="91">
        <v>8</v>
      </c>
      <c r="J24" s="91">
        <f>8-2</f>
        <v>6</v>
      </c>
    </row>
    <row r="25" spans="1:10" ht="22.5" customHeight="1" x14ac:dyDescent="0.2">
      <c r="A25" s="593" t="s">
        <v>1292</v>
      </c>
      <c r="B25" s="601" t="s">
        <v>1340</v>
      </c>
      <c r="C25" s="396" t="s">
        <v>1346</v>
      </c>
      <c r="D25" s="407" t="s">
        <v>96</v>
      </c>
      <c r="E25" s="93" t="s">
        <v>97</v>
      </c>
      <c r="F25" s="93" t="s">
        <v>97</v>
      </c>
      <c r="G25" s="93" t="s">
        <v>97</v>
      </c>
      <c r="H25" s="93" t="s">
        <v>97</v>
      </c>
      <c r="I25" s="91">
        <v>4</v>
      </c>
      <c r="J25" s="408">
        <f>2+1</f>
        <v>3</v>
      </c>
    </row>
    <row r="26" spans="1:10" ht="29.25" customHeight="1" x14ac:dyDescent="0.2">
      <c r="A26" s="594"/>
      <c r="B26" s="602"/>
      <c r="C26" s="396" t="s">
        <v>1345</v>
      </c>
      <c r="D26" s="407" t="s">
        <v>96</v>
      </c>
      <c r="E26" s="93" t="s">
        <v>97</v>
      </c>
      <c r="F26" s="408" t="s">
        <v>97</v>
      </c>
      <c r="G26" s="408" t="s">
        <v>97</v>
      </c>
      <c r="H26" s="408" t="s">
        <v>97</v>
      </c>
      <c r="I26" s="91">
        <v>3</v>
      </c>
      <c r="J26" s="91" t="s">
        <v>97</v>
      </c>
    </row>
    <row r="27" spans="1:10" ht="36" customHeight="1" x14ac:dyDescent="0.2">
      <c r="A27" s="387" t="s">
        <v>9</v>
      </c>
      <c r="B27" s="576" t="s">
        <v>460</v>
      </c>
      <c r="C27" s="574"/>
      <c r="D27" s="574"/>
      <c r="E27" s="574"/>
      <c r="F27" s="574"/>
      <c r="G27" s="574"/>
      <c r="H27" s="574"/>
      <c r="I27" s="574"/>
      <c r="J27" s="575"/>
    </row>
    <row r="28" spans="1:10" ht="19.149999999999999" customHeight="1" x14ac:dyDescent="0.2">
      <c r="A28" s="600" t="s">
        <v>10</v>
      </c>
      <c r="B28" s="581" t="s">
        <v>212</v>
      </c>
      <c r="C28" s="396" t="s">
        <v>199</v>
      </c>
      <c r="D28" s="92" t="s">
        <v>101</v>
      </c>
      <c r="E28" s="411">
        <v>6.79</v>
      </c>
      <c r="F28" s="411">
        <v>6.39</v>
      </c>
      <c r="G28" s="411">
        <v>0.38200000000000001</v>
      </c>
      <c r="H28" s="411">
        <f>0.561-0.2+0.378</f>
        <v>0.7390000000000001</v>
      </c>
      <c r="I28" s="411">
        <f>0.042+0.018+0.776</f>
        <v>0.83600000000000008</v>
      </c>
      <c r="J28" s="411">
        <f>0.09+0.47</f>
        <v>0.55999999999999994</v>
      </c>
    </row>
    <row r="29" spans="1:10" ht="15" customHeight="1" x14ac:dyDescent="0.2">
      <c r="A29" s="600"/>
      <c r="B29" s="581"/>
      <c r="C29" s="396" t="s">
        <v>102</v>
      </c>
      <c r="D29" s="92" t="s">
        <v>96</v>
      </c>
      <c r="E29" s="91">
        <v>41</v>
      </c>
      <c r="F29" s="91">
        <v>50</v>
      </c>
      <c r="G29" s="91">
        <v>12</v>
      </c>
      <c r="H29" s="91">
        <f>12+7+13+5+28</f>
        <v>65</v>
      </c>
      <c r="I29" s="91">
        <f>18-16+2+8+1+49+1</f>
        <v>63</v>
      </c>
      <c r="J29" s="91">
        <f>26-24+2-3+5+52</f>
        <v>58</v>
      </c>
    </row>
    <row r="30" spans="1:10" ht="19.899999999999999" customHeight="1" x14ac:dyDescent="0.2">
      <c r="A30" s="600"/>
      <c r="B30" s="581"/>
      <c r="C30" s="396" t="s">
        <v>284</v>
      </c>
      <c r="D30" s="92" t="s">
        <v>96</v>
      </c>
      <c r="E30" s="91">
        <v>460</v>
      </c>
      <c r="F30" s="91">
        <v>483</v>
      </c>
      <c r="G30" s="91">
        <v>590</v>
      </c>
      <c r="H30" s="91">
        <f>590-429+28+14+14</f>
        <v>217</v>
      </c>
      <c r="I30" s="91">
        <f>130-110+11+113+121+206+133+8</f>
        <v>612</v>
      </c>
      <c r="J30" s="91">
        <f>130-110-5+13+1903+59+322</f>
        <v>2312</v>
      </c>
    </row>
    <row r="31" spans="1:10" ht="40.5" customHeight="1" x14ac:dyDescent="0.2">
      <c r="A31" s="394" t="s">
        <v>11</v>
      </c>
      <c r="B31" s="405" t="s">
        <v>103</v>
      </c>
      <c r="C31" s="396" t="s">
        <v>407</v>
      </c>
      <c r="D31" s="92" t="s">
        <v>96</v>
      </c>
      <c r="E31" s="412" t="s">
        <v>97</v>
      </c>
      <c r="F31" s="91" t="s">
        <v>97</v>
      </c>
      <c r="G31" s="91" t="s">
        <v>97</v>
      </c>
      <c r="H31" s="91" t="s">
        <v>97</v>
      </c>
      <c r="I31" s="91">
        <f>7+22-26+1</f>
        <v>4</v>
      </c>
      <c r="J31" s="91">
        <f>0+1+9-1</f>
        <v>9</v>
      </c>
    </row>
    <row r="32" spans="1:10" ht="41.45" customHeight="1" x14ac:dyDescent="0.2">
      <c r="A32" s="394" t="s">
        <v>16</v>
      </c>
      <c r="B32" s="405" t="s">
        <v>208</v>
      </c>
      <c r="C32" s="396" t="s">
        <v>285</v>
      </c>
      <c r="D32" s="92" t="s">
        <v>96</v>
      </c>
      <c r="E32" s="91">
        <v>4</v>
      </c>
      <c r="F32" s="91">
        <v>2</v>
      </c>
      <c r="G32" s="91">
        <f>1+1</f>
        <v>2</v>
      </c>
      <c r="H32" s="91">
        <v>1</v>
      </c>
      <c r="I32" s="91" t="s">
        <v>97</v>
      </c>
      <c r="J32" s="91">
        <v>1</v>
      </c>
    </row>
    <row r="33" spans="1:11" ht="39.75" customHeight="1" x14ac:dyDescent="0.2">
      <c r="A33" s="394" t="s">
        <v>439</v>
      </c>
      <c r="B33" s="405" t="s">
        <v>217</v>
      </c>
      <c r="C33" s="396" t="s">
        <v>408</v>
      </c>
      <c r="D33" s="92" t="s">
        <v>96</v>
      </c>
      <c r="E33" s="412" t="s">
        <v>97</v>
      </c>
      <c r="F33" s="412" t="s">
        <v>97</v>
      </c>
      <c r="G33" s="91">
        <v>3</v>
      </c>
      <c r="H33" s="91">
        <f>5-4</f>
        <v>1</v>
      </c>
      <c r="I33" s="91" t="s">
        <v>97</v>
      </c>
      <c r="J33" s="91" t="s">
        <v>97</v>
      </c>
    </row>
    <row r="34" spans="1:11" ht="29.45" customHeight="1" x14ac:dyDescent="0.2">
      <c r="A34" s="394" t="s">
        <v>440</v>
      </c>
      <c r="B34" s="405" t="s">
        <v>209</v>
      </c>
      <c r="C34" s="396" t="s">
        <v>210</v>
      </c>
      <c r="D34" s="92" t="s">
        <v>96</v>
      </c>
      <c r="E34" s="412" t="s">
        <v>97</v>
      </c>
      <c r="F34" s="91">
        <v>1</v>
      </c>
      <c r="G34" s="91">
        <f>5-3</f>
        <v>2</v>
      </c>
      <c r="H34" s="91">
        <v>1</v>
      </c>
      <c r="I34" s="91" t="s">
        <v>97</v>
      </c>
      <c r="J34" s="91" t="s">
        <v>97</v>
      </c>
      <c r="K34" s="393" t="s">
        <v>135</v>
      </c>
    </row>
    <row r="35" spans="1:11" ht="33" customHeight="1" x14ac:dyDescent="0.2">
      <c r="A35" s="394" t="s">
        <v>441</v>
      </c>
      <c r="B35" s="405" t="s">
        <v>214</v>
      </c>
      <c r="C35" s="396" t="s">
        <v>216</v>
      </c>
      <c r="D35" s="92" t="s">
        <v>96</v>
      </c>
      <c r="E35" s="412" t="s">
        <v>97</v>
      </c>
      <c r="F35" s="91">
        <v>734</v>
      </c>
      <c r="G35" s="406">
        <f>534+28+604+42</f>
        <v>1208</v>
      </c>
      <c r="H35" s="91">
        <f>534+629+390</f>
        <v>1553</v>
      </c>
      <c r="I35" s="91">
        <f>534+1455-994+1736</f>
        <v>2731</v>
      </c>
      <c r="J35" s="91" t="s">
        <v>97</v>
      </c>
      <c r="K35" s="393"/>
    </row>
    <row r="36" spans="1:11" ht="26.25" customHeight="1" x14ac:dyDescent="0.2">
      <c r="A36" s="403" t="s">
        <v>442</v>
      </c>
      <c r="B36" s="413" t="s">
        <v>1335</v>
      </c>
      <c r="C36" s="396" t="s">
        <v>1336</v>
      </c>
      <c r="D36" s="92" t="s">
        <v>104</v>
      </c>
      <c r="E36" s="91" t="s">
        <v>97</v>
      </c>
      <c r="F36" s="412" t="s">
        <v>97</v>
      </c>
      <c r="G36" s="414" t="s">
        <v>97</v>
      </c>
      <c r="H36" s="412" t="s">
        <v>97</v>
      </c>
      <c r="I36" s="91">
        <v>4</v>
      </c>
      <c r="J36" s="91" t="s">
        <v>97</v>
      </c>
      <c r="K36" s="415" t="s">
        <v>178</v>
      </c>
    </row>
    <row r="37" spans="1:11" ht="42.6" customHeight="1" x14ac:dyDescent="0.2">
      <c r="A37" s="394" t="s">
        <v>443</v>
      </c>
      <c r="B37" s="405" t="s">
        <v>105</v>
      </c>
      <c r="C37" s="396" t="s">
        <v>106</v>
      </c>
      <c r="D37" s="92" t="s">
        <v>96</v>
      </c>
      <c r="E37" s="91">
        <v>61</v>
      </c>
      <c r="F37" s="91">
        <v>41</v>
      </c>
      <c r="G37" s="406">
        <f>43-21</f>
        <v>22</v>
      </c>
      <c r="H37" s="91">
        <f>47-25+7</f>
        <v>29</v>
      </c>
      <c r="I37" s="91">
        <f>22+8</f>
        <v>30</v>
      </c>
      <c r="J37" s="91">
        <v>8</v>
      </c>
    </row>
    <row r="38" spans="1:11" ht="42.6" customHeight="1" x14ac:dyDescent="0.2">
      <c r="A38" s="593" t="s">
        <v>444</v>
      </c>
      <c r="B38" s="601" t="s">
        <v>417</v>
      </c>
      <c r="C38" s="396" t="s">
        <v>374</v>
      </c>
      <c r="D38" s="92" t="s">
        <v>96</v>
      </c>
      <c r="E38" s="91" t="s">
        <v>97</v>
      </c>
      <c r="F38" s="91" t="s">
        <v>97</v>
      </c>
      <c r="G38" s="406">
        <f>5-1</f>
        <v>4</v>
      </c>
      <c r="H38" s="91">
        <f>0+2-1+1+1</f>
        <v>3</v>
      </c>
      <c r="I38" s="91">
        <f>0+1+10</f>
        <v>11</v>
      </c>
      <c r="J38" s="91">
        <v>37</v>
      </c>
      <c r="K38" s="444" t="s">
        <v>1668</v>
      </c>
    </row>
    <row r="39" spans="1:11" ht="42.6" customHeight="1" x14ac:dyDescent="0.2">
      <c r="A39" s="594"/>
      <c r="B39" s="602"/>
      <c r="C39" s="396" t="s">
        <v>1499</v>
      </c>
      <c r="D39" s="92" t="s">
        <v>96</v>
      </c>
      <c r="E39" s="91" t="s">
        <v>97</v>
      </c>
      <c r="F39" s="91" t="s">
        <v>97</v>
      </c>
      <c r="G39" s="91" t="s">
        <v>97</v>
      </c>
      <c r="H39" s="91" t="s">
        <v>97</v>
      </c>
      <c r="I39" s="91" t="s">
        <v>97</v>
      </c>
      <c r="J39" s="91">
        <f>3+1</f>
        <v>4</v>
      </c>
    </row>
    <row r="40" spans="1:11" ht="27" customHeight="1" x14ac:dyDescent="0.2">
      <c r="A40" s="603" t="s">
        <v>445</v>
      </c>
      <c r="B40" s="588" t="s">
        <v>597</v>
      </c>
      <c r="C40" s="396" t="s">
        <v>409</v>
      </c>
      <c r="D40" s="92" t="s">
        <v>96</v>
      </c>
      <c r="E40" s="91" t="s">
        <v>97</v>
      </c>
      <c r="F40" s="91" t="s">
        <v>97</v>
      </c>
      <c r="G40" s="416">
        <v>1</v>
      </c>
      <c r="H40" s="91">
        <f>0+1</f>
        <v>1</v>
      </c>
      <c r="I40" s="91" t="s">
        <v>97</v>
      </c>
      <c r="J40" s="91" t="s">
        <v>97</v>
      </c>
    </row>
    <row r="41" spans="1:11" ht="27" customHeight="1" x14ac:dyDescent="0.2">
      <c r="A41" s="604"/>
      <c r="B41" s="589"/>
      <c r="C41" s="396" t="s">
        <v>598</v>
      </c>
      <c r="D41" s="92" t="s">
        <v>96</v>
      </c>
      <c r="E41" s="91" t="s">
        <v>97</v>
      </c>
      <c r="F41" s="91" t="s">
        <v>97</v>
      </c>
      <c r="G41" s="416" t="s">
        <v>97</v>
      </c>
      <c r="H41" s="91" t="s">
        <v>97</v>
      </c>
      <c r="I41" s="91">
        <v>1</v>
      </c>
      <c r="J41" s="91" t="s">
        <v>97</v>
      </c>
    </row>
    <row r="42" spans="1:11" ht="45.75" customHeight="1" x14ac:dyDescent="0.2">
      <c r="A42" s="593" t="s">
        <v>446</v>
      </c>
      <c r="B42" s="588" t="s">
        <v>392</v>
      </c>
      <c r="C42" s="396" t="s">
        <v>395</v>
      </c>
      <c r="D42" s="92" t="s">
        <v>96</v>
      </c>
      <c r="E42" s="91" t="s">
        <v>97</v>
      </c>
      <c r="F42" s="91" t="s">
        <v>97</v>
      </c>
      <c r="G42" s="416">
        <v>9</v>
      </c>
      <c r="H42" s="91" t="s">
        <v>97</v>
      </c>
      <c r="I42" s="91">
        <v>2</v>
      </c>
      <c r="J42" s="91" t="s">
        <v>97</v>
      </c>
    </row>
    <row r="43" spans="1:11" ht="45.75" customHeight="1" x14ac:dyDescent="0.2">
      <c r="A43" s="594"/>
      <c r="B43" s="589"/>
      <c r="C43" s="396" t="s">
        <v>1367</v>
      </c>
      <c r="D43" s="92" t="s">
        <v>108</v>
      </c>
      <c r="E43" s="91" t="s">
        <v>97</v>
      </c>
      <c r="F43" s="91" t="s">
        <v>97</v>
      </c>
      <c r="G43" s="91" t="s">
        <v>97</v>
      </c>
      <c r="H43" s="91" t="s">
        <v>97</v>
      </c>
      <c r="I43" s="91" t="s">
        <v>97</v>
      </c>
      <c r="J43" s="91" t="s">
        <v>97</v>
      </c>
    </row>
    <row r="44" spans="1:11" ht="17.25" customHeight="1" x14ac:dyDescent="0.2">
      <c r="A44" s="593" t="s">
        <v>447</v>
      </c>
      <c r="B44" s="605" t="s">
        <v>396</v>
      </c>
      <c r="C44" s="396" t="s">
        <v>199</v>
      </c>
      <c r="D44" s="92" t="s">
        <v>101</v>
      </c>
      <c r="E44" s="91" t="s">
        <v>97</v>
      </c>
      <c r="F44" s="91" t="s">
        <v>97</v>
      </c>
      <c r="G44" s="412">
        <v>0.04</v>
      </c>
      <c r="H44" s="91" t="s">
        <v>97</v>
      </c>
      <c r="I44" s="91" t="s">
        <v>97</v>
      </c>
      <c r="J44" s="91" t="s">
        <v>97</v>
      </c>
    </row>
    <row r="45" spans="1:11" ht="17.25" customHeight="1" x14ac:dyDescent="0.2">
      <c r="A45" s="595"/>
      <c r="B45" s="606"/>
      <c r="C45" s="396" t="s">
        <v>102</v>
      </c>
      <c r="D45" s="92" t="s">
        <v>96</v>
      </c>
      <c r="E45" s="91" t="s">
        <v>97</v>
      </c>
      <c r="F45" s="91" t="s">
        <v>97</v>
      </c>
      <c r="G45" s="91">
        <v>8</v>
      </c>
      <c r="H45" s="91">
        <f>3</f>
        <v>3</v>
      </c>
      <c r="I45" s="91">
        <f>1+1</f>
        <v>2</v>
      </c>
      <c r="J45" s="91" t="s">
        <v>97</v>
      </c>
    </row>
    <row r="46" spans="1:11" ht="17.25" customHeight="1" x14ac:dyDescent="0.2">
      <c r="A46" s="595"/>
      <c r="B46" s="606"/>
      <c r="C46" s="396" t="s">
        <v>215</v>
      </c>
      <c r="D46" s="92" t="s">
        <v>96</v>
      </c>
      <c r="E46" s="91" t="s">
        <v>97</v>
      </c>
      <c r="F46" s="91" t="s">
        <v>97</v>
      </c>
      <c r="G46" s="91">
        <v>162</v>
      </c>
      <c r="H46" s="91">
        <f>77+1</f>
        <v>78</v>
      </c>
      <c r="I46" s="91" t="s">
        <v>97</v>
      </c>
      <c r="J46" s="91" t="s">
        <v>97</v>
      </c>
    </row>
    <row r="47" spans="1:11" ht="17.25" customHeight="1" x14ac:dyDescent="0.2">
      <c r="A47" s="594"/>
      <c r="B47" s="607"/>
      <c r="C47" s="396" t="s">
        <v>1501</v>
      </c>
      <c r="D47" s="92" t="s">
        <v>1502</v>
      </c>
      <c r="E47" s="91" t="s">
        <v>97</v>
      </c>
      <c r="F47" s="91" t="s">
        <v>97</v>
      </c>
      <c r="G47" s="91" t="s">
        <v>97</v>
      </c>
      <c r="H47" s="91" t="s">
        <v>97</v>
      </c>
      <c r="I47" s="91" t="s">
        <v>97</v>
      </c>
      <c r="J47" s="417">
        <v>164.1</v>
      </c>
    </row>
    <row r="48" spans="1:11" ht="30.6" customHeight="1" x14ac:dyDescent="0.2">
      <c r="A48" s="387" t="s">
        <v>15</v>
      </c>
      <c r="B48" s="576" t="s">
        <v>461</v>
      </c>
      <c r="C48" s="574"/>
      <c r="D48" s="574"/>
      <c r="E48" s="574"/>
      <c r="F48" s="574"/>
      <c r="G48" s="574"/>
      <c r="H48" s="574"/>
      <c r="I48" s="574"/>
      <c r="J48" s="575"/>
    </row>
    <row r="49" spans="1:30" ht="29.25" customHeight="1" x14ac:dyDescent="0.2">
      <c r="A49" s="394" t="s">
        <v>125</v>
      </c>
      <c r="B49" s="405" t="s">
        <v>47</v>
      </c>
      <c r="C49" s="396" t="s">
        <v>107</v>
      </c>
      <c r="D49" s="418" t="s">
        <v>108</v>
      </c>
      <c r="E49" s="417">
        <v>98.9</v>
      </c>
      <c r="F49" s="417">
        <v>99.5</v>
      </c>
      <c r="G49" s="417">
        <v>99.5</v>
      </c>
      <c r="H49" s="417">
        <v>99.5</v>
      </c>
      <c r="I49" s="417" t="s">
        <v>578</v>
      </c>
      <c r="J49" s="417" t="s">
        <v>578</v>
      </c>
    </row>
    <row r="50" spans="1:30" ht="29.25" customHeight="1" x14ac:dyDescent="0.2">
      <c r="A50" s="387" t="s">
        <v>1303</v>
      </c>
      <c r="B50" s="576" t="s">
        <v>1317</v>
      </c>
      <c r="C50" s="574"/>
      <c r="D50" s="574"/>
      <c r="E50" s="574"/>
      <c r="F50" s="574"/>
      <c r="G50" s="574"/>
      <c r="H50" s="574"/>
      <c r="I50" s="574"/>
      <c r="J50" s="575"/>
    </row>
    <row r="51" spans="1:30" ht="66.75" customHeight="1" x14ac:dyDescent="0.2">
      <c r="A51" s="187" t="s">
        <v>1304</v>
      </c>
      <c r="B51" s="239" t="s">
        <v>1312</v>
      </c>
      <c r="C51" s="239" t="s">
        <v>1318</v>
      </c>
      <c r="D51" s="107" t="s">
        <v>104</v>
      </c>
      <c r="E51" s="408" t="s">
        <v>97</v>
      </c>
      <c r="F51" s="408" t="s">
        <v>97</v>
      </c>
      <c r="G51" s="408" t="s">
        <v>97</v>
      </c>
      <c r="H51" s="408" t="s">
        <v>97</v>
      </c>
      <c r="I51" s="107">
        <v>1</v>
      </c>
      <c r="J51" s="107">
        <v>1</v>
      </c>
    </row>
    <row r="52" spans="1:30" ht="111.75" customHeight="1" x14ac:dyDescent="0.2">
      <c r="A52" s="187" t="s">
        <v>1305</v>
      </c>
      <c r="B52" s="239" t="s">
        <v>1339</v>
      </c>
      <c r="C52" s="239" t="s">
        <v>1319</v>
      </c>
      <c r="D52" s="107" t="s">
        <v>104</v>
      </c>
      <c r="E52" s="408" t="s">
        <v>97</v>
      </c>
      <c r="F52" s="408" t="s">
        <v>97</v>
      </c>
      <c r="G52" s="408" t="s">
        <v>97</v>
      </c>
      <c r="H52" s="408" t="s">
        <v>97</v>
      </c>
      <c r="I52" s="107">
        <v>1</v>
      </c>
      <c r="J52" s="107">
        <v>1</v>
      </c>
    </row>
    <row r="53" spans="1:30" ht="68.25" customHeight="1" x14ac:dyDescent="0.2">
      <c r="A53" s="187" t="s">
        <v>1306</v>
      </c>
      <c r="B53" s="239" t="s">
        <v>1311</v>
      </c>
      <c r="C53" s="239" t="s">
        <v>1320</v>
      </c>
      <c r="D53" s="107" t="s">
        <v>104</v>
      </c>
      <c r="E53" s="408" t="s">
        <v>97</v>
      </c>
      <c r="F53" s="408" t="s">
        <v>97</v>
      </c>
      <c r="G53" s="408" t="s">
        <v>97</v>
      </c>
      <c r="H53" s="408" t="s">
        <v>97</v>
      </c>
      <c r="I53" s="107">
        <v>1</v>
      </c>
      <c r="J53" s="107">
        <v>1</v>
      </c>
    </row>
    <row r="54" spans="1:30" ht="48.75" customHeight="1" x14ac:dyDescent="0.2">
      <c r="A54" s="187" t="s">
        <v>1307</v>
      </c>
      <c r="B54" s="239" t="s">
        <v>1511</v>
      </c>
      <c r="C54" s="239" t="s">
        <v>1324</v>
      </c>
      <c r="D54" s="325" t="s">
        <v>108</v>
      </c>
      <c r="E54" s="408" t="s">
        <v>97</v>
      </c>
      <c r="F54" s="408" t="s">
        <v>97</v>
      </c>
      <c r="G54" s="408" t="s">
        <v>97</v>
      </c>
      <c r="H54" s="408" t="s">
        <v>97</v>
      </c>
      <c r="I54" s="107">
        <v>100</v>
      </c>
      <c r="J54" s="107">
        <v>100</v>
      </c>
    </row>
    <row r="55" spans="1:30" ht="29.25" customHeight="1" x14ac:dyDescent="0.2">
      <c r="A55" s="187" t="s">
        <v>1308</v>
      </c>
      <c r="B55" s="239" t="s">
        <v>1321</v>
      </c>
      <c r="C55" s="239" t="s">
        <v>1322</v>
      </c>
      <c r="D55" s="325" t="s">
        <v>108</v>
      </c>
      <c r="E55" s="408" t="s">
        <v>97</v>
      </c>
      <c r="F55" s="408" t="s">
        <v>97</v>
      </c>
      <c r="G55" s="408" t="s">
        <v>97</v>
      </c>
      <c r="H55" s="408" t="s">
        <v>97</v>
      </c>
      <c r="I55" s="107">
        <v>100</v>
      </c>
      <c r="J55" s="107">
        <v>100</v>
      </c>
    </row>
    <row r="56" spans="1:30" ht="29.25" customHeight="1" x14ac:dyDescent="0.2">
      <c r="A56" s="187" t="s">
        <v>1309</v>
      </c>
      <c r="B56" s="239" t="s">
        <v>1323</v>
      </c>
      <c r="C56" s="239" t="s">
        <v>1322</v>
      </c>
      <c r="D56" s="325" t="s">
        <v>108</v>
      </c>
      <c r="E56" s="408" t="s">
        <v>97</v>
      </c>
      <c r="F56" s="408" t="s">
        <v>97</v>
      </c>
      <c r="G56" s="408" t="s">
        <v>97</v>
      </c>
      <c r="H56" s="408" t="s">
        <v>97</v>
      </c>
      <c r="I56" s="107">
        <v>100</v>
      </c>
      <c r="J56" s="107">
        <v>100</v>
      </c>
    </row>
    <row r="57" spans="1:30" ht="57" customHeight="1" x14ac:dyDescent="0.2">
      <c r="A57" s="187" t="s">
        <v>1325</v>
      </c>
      <c r="B57" s="239" t="s">
        <v>1328</v>
      </c>
      <c r="C57" s="239" t="s">
        <v>1329</v>
      </c>
      <c r="D57" s="325" t="s">
        <v>108</v>
      </c>
      <c r="E57" s="408" t="s">
        <v>97</v>
      </c>
      <c r="F57" s="408" t="s">
        <v>97</v>
      </c>
      <c r="G57" s="408" t="s">
        <v>97</v>
      </c>
      <c r="H57" s="408" t="s">
        <v>97</v>
      </c>
      <c r="I57" s="107" t="s">
        <v>1332</v>
      </c>
      <c r="J57" s="107" t="s">
        <v>1332</v>
      </c>
    </row>
    <row r="58" spans="1:30" ht="62.25" customHeight="1" x14ac:dyDescent="0.2">
      <c r="A58" s="187" t="s">
        <v>1326</v>
      </c>
      <c r="B58" s="239" t="s">
        <v>1381</v>
      </c>
      <c r="C58" s="239" t="s">
        <v>1327</v>
      </c>
      <c r="D58" s="325" t="s">
        <v>104</v>
      </c>
      <c r="E58" s="408" t="s">
        <v>97</v>
      </c>
      <c r="F58" s="408" t="s">
        <v>97</v>
      </c>
      <c r="G58" s="408" t="s">
        <v>97</v>
      </c>
      <c r="H58" s="408" t="s">
        <v>97</v>
      </c>
      <c r="I58" s="107" t="s">
        <v>1331</v>
      </c>
      <c r="J58" s="107" t="s">
        <v>1331</v>
      </c>
    </row>
    <row r="59" spans="1:30" ht="45.6" customHeight="1" x14ac:dyDescent="0.2">
      <c r="A59" s="387" t="s">
        <v>428</v>
      </c>
      <c r="B59" s="576" t="s">
        <v>1060</v>
      </c>
      <c r="C59" s="574"/>
      <c r="D59" s="574"/>
      <c r="E59" s="574"/>
      <c r="F59" s="574"/>
      <c r="G59" s="574"/>
      <c r="H59" s="574"/>
      <c r="I59" s="574"/>
      <c r="J59" s="57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</row>
    <row r="60" spans="1:30" ht="33.6" customHeight="1" x14ac:dyDescent="0.2">
      <c r="A60" s="579" t="s">
        <v>189</v>
      </c>
      <c r="B60" s="579"/>
      <c r="C60" s="579"/>
      <c r="D60" s="579"/>
      <c r="E60" s="579"/>
      <c r="F60" s="579"/>
      <c r="G60" s="579"/>
      <c r="H60" s="579"/>
      <c r="I60" s="579"/>
      <c r="J60" s="579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</row>
    <row r="61" spans="1:30" ht="44.45" customHeight="1" x14ac:dyDescent="0.2">
      <c r="A61" s="580" t="s">
        <v>1048</v>
      </c>
      <c r="B61" s="580"/>
      <c r="C61" s="580"/>
      <c r="D61" s="580"/>
      <c r="E61" s="580"/>
      <c r="F61" s="580"/>
      <c r="G61" s="580"/>
      <c r="H61" s="580"/>
      <c r="I61" s="580"/>
      <c r="J61" s="580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</row>
    <row r="62" spans="1:30" ht="43.9" customHeight="1" x14ac:dyDescent="0.2">
      <c r="A62" s="387" t="s">
        <v>2</v>
      </c>
      <c r="B62" s="576" t="s">
        <v>1063</v>
      </c>
      <c r="C62" s="574"/>
      <c r="D62" s="574"/>
      <c r="E62" s="574"/>
      <c r="F62" s="574"/>
      <c r="G62" s="574"/>
      <c r="H62" s="574"/>
      <c r="I62" s="574"/>
      <c r="J62" s="575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</row>
    <row r="63" spans="1:30" ht="45" customHeight="1" x14ac:dyDescent="0.2">
      <c r="A63" s="598" t="s">
        <v>8</v>
      </c>
      <c r="B63" s="599" t="s">
        <v>595</v>
      </c>
      <c r="C63" s="405" t="s">
        <v>181</v>
      </c>
      <c r="D63" s="92" t="s">
        <v>111</v>
      </c>
      <c r="E63" s="419">
        <v>0.1</v>
      </c>
      <c r="F63" s="92">
        <v>3.06</v>
      </c>
      <c r="G63" s="420">
        <f>1.31-1.1-0.2</f>
        <v>9.9999999999999534E-3</v>
      </c>
      <c r="H63" s="420">
        <f>0+1.69-1.48</f>
        <v>0.20999999999999996</v>
      </c>
      <c r="I63" s="421">
        <f>0.968+0.57-0.57</f>
        <v>0.96799999999999986</v>
      </c>
      <c r="J63" s="420" t="s">
        <v>97</v>
      </c>
      <c r="K63" s="422">
        <v>3.2</v>
      </c>
    </row>
    <row r="64" spans="1:30" ht="45" customHeight="1" x14ac:dyDescent="0.2">
      <c r="A64" s="598"/>
      <c r="B64" s="599"/>
      <c r="C64" s="405" t="s">
        <v>327</v>
      </c>
      <c r="D64" s="92" t="s">
        <v>96</v>
      </c>
      <c r="E64" s="423" t="s">
        <v>97</v>
      </c>
      <c r="F64" s="92">
        <v>4</v>
      </c>
      <c r="G64" s="92" t="s">
        <v>97</v>
      </c>
      <c r="H64" s="92" t="s">
        <v>97</v>
      </c>
      <c r="I64" s="92" t="s">
        <v>97</v>
      </c>
      <c r="J64" s="92" t="s">
        <v>97</v>
      </c>
      <c r="K64" s="422"/>
    </row>
    <row r="65" spans="1:12" ht="30" customHeight="1" x14ac:dyDescent="0.2">
      <c r="A65" s="593" t="s">
        <v>36</v>
      </c>
      <c r="B65" s="588" t="s">
        <v>580</v>
      </c>
      <c r="C65" s="405" t="s">
        <v>182</v>
      </c>
      <c r="D65" s="92" t="s">
        <v>111</v>
      </c>
      <c r="E65" s="423" t="s">
        <v>97</v>
      </c>
      <c r="F65" s="92">
        <v>1</v>
      </c>
      <c r="G65" s="424">
        <f>0.45-0.42</f>
        <v>3.0000000000000027E-2</v>
      </c>
      <c r="H65" s="92">
        <v>1.96</v>
      </c>
      <c r="I65" s="92" t="s">
        <v>97</v>
      </c>
      <c r="J65" s="420" t="s">
        <v>97</v>
      </c>
      <c r="K65" s="422">
        <v>0.69</v>
      </c>
    </row>
    <row r="66" spans="1:12" ht="30" customHeight="1" x14ac:dyDescent="0.2">
      <c r="A66" s="595"/>
      <c r="B66" s="591"/>
      <c r="C66" s="405" t="s">
        <v>576</v>
      </c>
      <c r="D66" s="92" t="s">
        <v>96</v>
      </c>
      <c r="E66" s="423" t="s">
        <v>97</v>
      </c>
      <c r="F66" s="92" t="s">
        <v>97</v>
      </c>
      <c r="G66" s="424" t="s">
        <v>97</v>
      </c>
      <c r="H66" s="92" t="s">
        <v>97</v>
      </c>
      <c r="I66" s="92">
        <v>1</v>
      </c>
      <c r="J66" s="420" t="s">
        <v>97</v>
      </c>
      <c r="K66" s="425"/>
    </row>
    <row r="67" spans="1:12" ht="43.5" customHeight="1" x14ac:dyDescent="0.2">
      <c r="A67" s="595"/>
      <c r="B67" s="591"/>
      <c r="C67" s="405" t="s">
        <v>324</v>
      </c>
      <c r="D67" s="92" t="s">
        <v>96</v>
      </c>
      <c r="E67" s="423" t="s">
        <v>97</v>
      </c>
      <c r="F67" s="92">
        <v>1</v>
      </c>
      <c r="G67" s="423" t="s">
        <v>97</v>
      </c>
      <c r="H67" s="92">
        <v>1</v>
      </c>
      <c r="I67" s="92" t="s">
        <v>97</v>
      </c>
      <c r="J67" s="92" t="s">
        <v>97</v>
      </c>
      <c r="K67" s="425"/>
    </row>
    <row r="68" spans="1:12" ht="45" customHeight="1" x14ac:dyDescent="0.2">
      <c r="A68" s="593" t="s">
        <v>124</v>
      </c>
      <c r="B68" s="588" t="s">
        <v>381</v>
      </c>
      <c r="C68" s="395" t="s">
        <v>1315</v>
      </c>
      <c r="D68" s="92" t="s">
        <v>96</v>
      </c>
      <c r="E68" s="423" t="s">
        <v>97</v>
      </c>
      <c r="F68" s="92">
        <v>6</v>
      </c>
      <c r="G68" s="92">
        <f>7-5</f>
        <v>2</v>
      </c>
      <c r="H68" s="92">
        <v>1</v>
      </c>
      <c r="I68" s="92">
        <v>2</v>
      </c>
      <c r="J68" s="92">
        <f>2-1+1-1</f>
        <v>1</v>
      </c>
      <c r="K68" s="426">
        <v>1</v>
      </c>
    </row>
    <row r="69" spans="1:12" ht="45" customHeight="1" x14ac:dyDescent="0.2">
      <c r="A69" s="595"/>
      <c r="B69" s="591"/>
      <c r="C69" s="395" t="s">
        <v>183</v>
      </c>
      <c r="D69" s="92" t="s">
        <v>96</v>
      </c>
      <c r="E69" s="423" t="s">
        <v>97</v>
      </c>
      <c r="F69" s="92">
        <v>3</v>
      </c>
      <c r="G69" s="92">
        <v>2</v>
      </c>
      <c r="H69" s="92">
        <f>0+2+2-2</f>
        <v>2</v>
      </c>
      <c r="I69" s="92">
        <f>3-2+2-1</f>
        <v>2</v>
      </c>
      <c r="J69" s="92" t="s">
        <v>97</v>
      </c>
      <c r="K69" s="426">
        <v>1</v>
      </c>
    </row>
    <row r="70" spans="1:12" ht="30.75" customHeight="1" x14ac:dyDescent="0.2">
      <c r="A70" s="595"/>
      <c r="B70" s="591"/>
      <c r="C70" s="395" t="s">
        <v>362</v>
      </c>
      <c r="D70" s="92" t="s">
        <v>96</v>
      </c>
      <c r="E70" s="423" t="s">
        <v>97</v>
      </c>
      <c r="F70" s="423">
        <v>1</v>
      </c>
      <c r="G70" s="423" t="s">
        <v>97</v>
      </c>
      <c r="H70" s="423" t="s">
        <v>97</v>
      </c>
      <c r="I70" s="423" t="s">
        <v>97</v>
      </c>
      <c r="J70" s="423" t="s">
        <v>97</v>
      </c>
      <c r="K70" s="426">
        <v>7</v>
      </c>
    </row>
    <row r="71" spans="1:12" ht="43.15" customHeight="1" x14ac:dyDescent="0.2">
      <c r="A71" s="595"/>
      <c r="B71" s="591"/>
      <c r="C71" s="395" t="s">
        <v>155</v>
      </c>
      <c r="D71" s="92" t="s">
        <v>96</v>
      </c>
      <c r="E71" s="92">
        <v>1</v>
      </c>
      <c r="F71" s="92">
        <v>2</v>
      </c>
      <c r="G71" s="92">
        <v>1</v>
      </c>
      <c r="H71" s="92" t="s">
        <v>97</v>
      </c>
      <c r="I71" s="92" t="s">
        <v>97</v>
      </c>
      <c r="J71" s="92">
        <f>2-1</f>
        <v>1</v>
      </c>
      <c r="K71" s="426"/>
    </row>
    <row r="72" spans="1:12" ht="45.75" customHeight="1" x14ac:dyDescent="0.2">
      <c r="A72" s="595"/>
      <c r="B72" s="591"/>
      <c r="C72" s="395" t="s">
        <v>180</v>
      </c>
      <c r="D72" s="92" t="s">
        <v>111</v>
      </c>
      <c r="E72" s="92">
        <v>33.46</v>
      </c>
      <c r="F72" s="423" t="s">
        <v>97</v>
      </c>
      <c r="G72" s="420" t="s">
        <v>97</v>
      </c>
      <c r="H72" s="420" t="s">
        <v>97</v>
      </c>
      <c r="I72" s="427" t="s">
        <v>97</v>
      </c>
      <c r="J72" s="427" t="s">
        <v>97</v>
      </c>
      <c r="K72" s="426"/>
    </row>
    <row r="73" spans="1:12" ht="29.25" customHeight="1" x14ac:dyDescent="0.2">
      <c r="A73" s="595"/>
      <c r="B73" s="591"/>
      <c r="C73" s="405" t="s">
        <v>1314</v>
      </c>
      <c r="D73" s="92" t="s">
        <v>96</v>
      </c>
      <c r="E73" s="423" t="s">
        <v>97</v>
      </c>
      <c r="F73" s="92" t="s">
        <v>97</v>
      </c>
      <c r="G73" s="423">
        <v>1</v>
      </c>
      <c r="H73" s="92" t="s">
        <v>97</v>
      </c>
      <c r="I73" s="92">
        <v>1</v>
      </c>
      <c r="J73" s="92" t="s">
        <v>97</v>
      </c>
      <c r="K73" s="426"/>
    </row>
    <row r="74" spans="1:12" ht="29.25" customHeight="1" x14ac:dyDescent="0.2">
      <c r="A74" s="428"/>
      <c r="B74" s="429"/>
      <c r="C74" s="405" t="s">
        <v>376</v>
      </c>
      <c r="D74" s="92" t="s">
        <v>96</v>
      </c>
      <c r="E74" s="92" t="s">
        <v>97</v>
      </c>
      <c r="F74" s="92" t="s">
        <v>97</v>
      </c>
      <c r="G74" s="92" t="s">
        <v>97</v>
      </c>
      <c r="H74" s="92" t="s">
        <v>97</v>
      </c>
      <c r="I74" s="92">
        <v>1</v>
      </c>
      <c r="J74" s="92">
        <v>1</v>
      </c>
      <c r="K74" s="426"/>
    </row>
    <row r="75" spans="1:12" ht="29.25" customHeight="1" x14ac:dyDescent="0.2">
      <c r="A75" s="428"/>
      <c r="B75" s="429"/>
      <c r="C75" s="405" t="s">
        <v>1295</v>
      </c>
      <c r="D75" s="92" t="s">
        <v>96</v>
      </c>
      <c r="E75" s="92" t="s">
        <v>97</v>
      </c>
      <c r="F75" s="92" t="s">
        <v>97</v>
      </c>
      <c r="G75" s="92" t="s">
        <v>97</v>
      </c>
      <c r="H75" s="92" t="s">
        <v>97</v>
      </c>
      <c r="I75" s="92">
        <v>2</v>
      </c>
      <c r="J75" s="92">
        <f>1+1</f>
        <v>2</v>
      </c>
      <c r="K75" s="426"/>
    </row>
    <row r="76" spans="1:12" ht="29.25" customHeight="1" x14ac:dyDescent="0.2">
      <c r="A76" s="428"/>
      <c r="B76" s="429"/>
      <c r="C76" s="405" t="s">
        <v>1313</v>
      </c>
      <c r="D76" s="92" t="s">
        <v>96</v>
      </c>
      <c r="E76" s="92" t="s">
        <v>97</v>
      </c>
      <c r="F76" s="92" t="s">
        <v>97</v>
      </c>
      <c r="G76" s="92" t="s">
        <v>97</v>
      </c>
      <c r="H76" s="92" t="s">
        <v>97</v>
      </c>
      <c r="I76" s="92">
        <f>1+1</f>
        <v>2</v>
      </c>
      <c r="J76" s="92">
        <v>1</v>
      </c>
      <c r="K76" s="426"/>
    </row>
    <row r="77" spans="1:12" ht="69.75" customHeight="1" x14ac:dyDescent="0.2">
      <c r="A77" s="586" t="s">
        <v>429</v>
      </c>
      <c r="B77" s="577" t="s">
        <v>581</v>
      </c>
      <c r="C77" s="405" t="s">
        <v>1438</v>
      </c>
      <c r="D77" s="92" t="s">
        <v>113</v>
      </c>
      <c r="E77" s="423" t="s">
        <v>97</v>
      </c>
      <c r="F77" s="92" t="s">
        <v>348</v>
      </c>
      <c r="G77" s="92" t="s">
        <v>491</v>
      </c>
      <c r="H77" s="92" t="s">
        <v>556</v>
      </c>
      <c r="I77" s="92" t="s">
        <v>556</v>
      </c>
      <c r="J77" s="92" t="s">
        <v>97</v>
      </c>
      <c r="K77" s="430">
        <v>40.97</v>
      </c>
      <c r="L77" s="94" t="s">
        <v>126</v>
      </c>
    </row>
    <row r="78" spans="1:12" ht="30.75" customHeight="1" x14ac:dyDescent="0.2">
      <c r="A78" s="590"/>
      <c r="B78" s="596"/>
      <c r="C78" s="405" t="s">
        <v>311</v>
      </c>
      <c r="D78" s="92" t="s">
        <v>96</v>
      </c>
      <c r="E78" s="423" t="s">
        <v>97</v>
      </c>
      <c r="F78" s="92">
        <v>1</v>
      </c>
      <c r="G78" s="92">
        <v>1</v>
      </c>
      <c r="H78" s="92">
        <f>1+1</f>
        <v>2</v>
      </c>
      <c r="I78" s="92">
        <v>1</v>
      </c>
      <c r="J78" s="92" t="s">
        <v>97</v>
      </c>
      <c r="K78" s="430"/>
    </row>
    <row r="79" spans="1:12" ht="56.25" customHeight="1" x14ac:dyDescent="0.2">
      <c r="A79" s="590"/>
      <c r="B79" s="597"/>
      <c r="C79" s="405" t="s">
        <v>320</v>
      </c>
      <c r="D79" s="92" t="s">
        <v>96</v>
      </c>
      <c r="E79" s="423" t="s">
        <v>97</v>
      </c>
      <c r="F79" s="92">
        <v>1</v>
      </c>
      <c r="G79" s="92" t="s">
        <v>97</v>
      </c>
      <c r="H79" s="92" t="s">
        <v>97</v>
      </c>
      <c r="I79" s="92" t="s">
        <v>97</v>
      </c>
      <c r="J79" s="92" t="s">
        <v>97</v>
      </c>
      <c r="K79" s="430"/>
    </row>
    <row r="80" spans="1:12" ht="25.5" x14ac:dyDescent="0.2">
      <c r="A80" s="590"/>
      <c r="B80" s="597"/>
      <c r="C80" s="405" t="s">
        <v>528</v>
      </c>
      <c r="D80" s="92" t="s">
        <v>96</v>
      </c>
      <c r="E80" s="92" t="s">
        <v>97</v>
      </c>
      <c r="F80" s="427" t="s">
        <v>97</v>
      </c>
      <c r="G80" s="92">
        <f>1</f>
        <v>1</v>
      </c>
      <c r="H80" s="92" t="s">
        <v>97</v>
      </c>
      <c r="I80" s="92" t="s">
        <v>97</v>
      </c>
      <c r="J80" s="92" t="s">
        <v>97</v>
      </c>
      <c r="K80" s="431"/>
    </row>
    <row r="81" spans="1:11" ht="42" customHeight="1" x14ac:dyDescent="0.2">
      <c r="A81" s="590"/>
      <c r="B81" s="597"/>
      <c r="C81" s="405" t="s">
        <v>390</v>
      </c>
      <c r="D81" s="92" t="s">
        <v>96</v>
      </c>
      <c r="E81" s="92" t="s">
        <v>97</v>
      </c>
      <c r="F81" s="92" t="s">
        <v>97</v>
      </c>
      <c r="G81" s="92">
        <v>1</v>
      </c>
      <c r="H81" s="92" t="s">
        <v>97</v>
      </c>
      <c r="I81" s="92" t="s">
        <v>97</v>
      </c>
      <c r="J81" s="92" t="s">
        <v>97</v>
      </c>
      <c r="K81" s="431"/>
    </row>
    <row r="82" spans="1:11" ht="24" customHeight="1" x14ac:dyDescent="0.2">
      <c r="A82" s="587"/>
      <c r="B82" s="563"/>
      <c r="C82" s="405" t="s">
        <v>529</v>
      </c>
      <c r="D82" s="92" t="s">
        <v>96</v>
      </c>
      <c r="E82" s="92" t="s">
        <v>97</v>
      </c>
      <c r="F82" s="92" t="s">
        <v>97</v>
      </c>
      <c r="G82" s="92" t="s">
        <v>97</v>
      </c>
      <c r="H82" s="92">
        <v>1</v>
      </c>
      <c r="I82" s="92" t="s">
        <v>97</v>
      </c>
      <c r="J82" s="92" t="s">
        <v>97</v>
      </c>
      <c r="K82" s="431"/>
    </row>
    <row r="83" spans="1:11" ht="71.25" customHeight="1" x14ac:dyDescent="0.2">
      <c r="A83" s="593" t="s">
        <v>430</v>
      </c>
      <c r="B83" s="588" t="s">
        <v>582</v>
      </c>
      <c r="C83" s="405" t="s">
        <v>1439</v>
      </c>
      <c r="D83" s="92" t="s">
        <v>112</v>
      </c>
      <c r="E83" s="92">
        <v>257.52999999999997</v>
      </c>
      <c r="F83" s="420" t="s">
        <v>600</v>
      </c>
      <c r="G83" s="92" t="s">
        <v>599</v>
      </c>
      <c r="H83" s="424" t="s">
        <v>557</v>
      </c>
      <c r="I83" s="92" t="s">
        <v>1347</v>
      </c>
      <c r="J83" s="92" t="s">
        <v>1667</v>
      </c>
      <c r="K83" s="431" t="s">
        <v>114</v>
      </c>
    </row>
    <row r="84" spans="1:11" ht="19.149999999999999" customHeight="1" x14ac:dyDescent="0.2">
      <c r="A84" s="595"/>
      <c r="B84" s="591"/>
      <c r="C84" s="405" t="s">
        <v>280</v>
      </c>
      <c r="D84" s="92" t="s">
        <v>96</v>
      </c>
      <c r="E84" s="92" t="s">
        <v>97</v>
      </c>
      <c r="F84" s="427">
        <v>1</v>
      </c>
      <c r="G84" s="92" t="s">
        <v>97</v>
      </c>
      <c r="H84" s="92" t="s">
        <v>97</v>
      </c>
      <c r="I84" s="92" t="s">
        <v>97</v>
      </c>
      <c r="J84" s="92" t="s">
        <v>97</v>
      </c>
      <c r="K84" s="431"/>
    </row>
    <row r="85" spans="1:11" ht="93" customHeight="1" x14ac:dyDescent="0.2">
      <c r="A85" s="595"/>
      <c r="B85" s="591"/>
      <c r="C85" s="405" t="s">
        <v>410</v>
      </c>
      <c r="D85" s="92" t="s">
        <v>96</v>
      </c>
      <c r="E85" s="92" t="s">
        <v>97</v>
      </c>
      <c r="F85" s="427">
        <v>13</v>
      </c>
      <c r="G85" s="92" t="s">
        <v>97</v>
      </c>
      <c r="H85" s="92" t="s">
        <v>97</v>
      </c>
      <c r="I85" s="92">
        <v>1</v>
      </c>
      <c r="J85" s="92">
        <v>1</v>
      </c>
      <c r="K85" s="431"/>
    </row>
    <row r="86" spans="1:11" ht="17.45" customHeight="1" x14ac:dyDescent="0.2">
      <c r="A86" s="595"/>
      <c r="B86" s="591"/>
      <c r="C86" s="405" t="s">
        <v>99</v>
      </c>
      <c r="D86" s="92" t="s">
        <v>96</v>
      </c>
      <c r="E86" s="92" t="s">
        <v>97</v>
      </c>
      <c r="F86" s="427">
        <v>20</v>
      </c>
      <c r="G86" s="92" t="s">
        <v>97</v>
      </c>
      <c r="H86" s="92" t="s">
        <v>97</v>
      </c>
      <c r="I86" s="92" t="s">
        <v>97</v>
      </c>
      <c r="J86" s="92" t="s">
        <v>97</v>
      </c>
      <c r="K86" s="431"/>
    </row>
    <row r="87" spans="1:11" ht="25.5" x14ac:dyDescent="0.2">
      <c r="A87" s="595"/>
      <c r="B87" s="591"/>
      <c r="C87" s="405" t="s">
        <v>406</v>
      </c>
      <c r="D87" s="92" t="s">
        <v>96</v>
      </c>
      <c r="E87" s="92" t="s">
        <v>97</v>
      </c>
      <c r="F87" s="427">
        <v>2</v>
      </c>
      <c r="G87" s="92" t="s">
        <v>97</v>
      </c>
      <c r="H87" s="92" t="s">
        <v>97</v>
      </c>
      <c r="I87" s="92" t="s">
        <v>97</v>
      </c>
      <c r="J87" s="92" t="s">
        <v>97</v>
      </c>
      <c r="K87" s="431"/>
    </row>
    <row r="88" spans="1:11" ht="17.45" customHeight="1" x14ac:dyDescent="0.2">
      <c r="A88" s="595"/>
      <c r="B88" s="591"/>
      <c r="C88" s="405" t="s">
        <v>100</v>
      </c>
      <c r="D88" s="92" t="s">
        <v>96</v>
      </c>
      <c r="E88" s="92" t="s">
        <v>97</v>
      </c>
      <c r="F88" s="427">
        <v>9</v>
      </c>
      <c r="G88" s="92" t="s">
        <v>97</v>
      </c>
      <c r="H88" s="92" t="s">
        <v>97</v>
      </c>
      <c r="I88" s="92" t="s">
        <v>97</v>
      </c>
      <c r="J88" s="92">
        <v>2</v>
      </c>
      <c r="K88" s="431"/>
    </row>
    <row r="89" spans="1:11" ht="58.5" customHeight="1" x14ac:dyDescent="0.2">
      <c r="A89" s="595"/>
      <c r="B89" s="591"/>
      <c r="C89" s="405" t="s">
        <v>411</v>
      </c>
      <c r="D89" s="92" t="s">
        <v>96</v>
      </c>
      <c r="E89" s="92" t="s">
        <v>97</v>
      </c>
      <c r="F89" s="427">
        <v>3</v>
      </c>
      <c r="G89" s="92" t="s">
        <v>97</v>
      </c>
      <c r="H89" s="92" t="s">
        <v>97</v>
      </c>
      <c r="I89" s="92" t="s">
        <v>97</v>
      </c>
      <c r="J89" s="92" t="s">
        <v>97</v>
      </c>
      <c r="K89" s="431"/>
    </row>
    <row r="90" spans="1:11" ht="20.45" customHeight="1" x14ac:dyDescent="0.2">
      <c r="A90" s="595"/>
      <c r="B90" s="591"/>
      <c r="C90" s="405" t="s">
        <v>199</v>
      </c>
      <c r="D90" s="92" t="s">
        <v>286</v>
      </c>
      <c r="E90" s="92" t="s">
        <v>97</v>
      </c>
      <c r="F90" s="420">
        <v>2.9</v>
      </c>
      <c r="G90" s="92" t="s">
        <v>97</v>
      </c>
      <c r="H90" s="92" t="s">
        <v>97</v>
      </c>
      <c r="I90" s="92" t="s">
        <v>97</v>
      </c>
      <c r="J90" s="92" t="s">
        <v>97</v>
      </c>
      <c r="K90" s="431"/>
    </row>
    <row r="91" spans="1:11" ht="16.899999999999999" customHeight="1" x14ac:dyDescent="0.2">
      <c r="A91" s="595"/>
      <c r="B91" s="597"/>
      <c r="C91" s="405" t="s">
        <v>412</v>
      </c>
      <c r="D91" s="92" t="s">
        <v>96</v>
      </c>
      <c r="E91" s="92" t="s">
        <v>97</v>
      </c>
      <c r="F91" s="427">
        <v>20</v>
      </c>
      <c r="G91" s="92" t="s">
        <v>97</v>
      </c>
      <c r="H91" s="92" t="s">
        <v>97</v>
      </c>
      <c r="I91" s="92" t="s">
        <v>97</v>
      </c>
      <c r="J91" s="92" t="s">
        <v>97</v>
      </c>
      <c r="K91" s="431"/>
    </row>
    <row r="92" spans="1:11" ht="15.75" customHeight="1" x14ac:dyDescent="0.2">
      <c r="A92" s="595"/>
      <c r="B92" s="597"/>
      <c r="C92" s="405" t="s">
        <v>284</v>
      </c>
      <c r="D92" s="92" t="s">
        <v>96</v>
      </c>
      <c r="E92" s="92" t="s">
        <v>97</v>
      </c>
      <c r="F92" s="427">
        <v>42</v>
      </c>
      <c r="G92" s="92" t="s">
        <v>97</v>
      </c>
      <c r="H92" s="92" t="s">
        <v>97</v>
      </c>
      <c r="I92" s="92" t="s">
        <v>97</v>
      </c>
      <c r="J92" s="92">
        <v>1</v>
      </c>
      <c r="K92" s="431"/>
    </row>
    <row r="93" spans="1:11" ht="28.9" customHeight="1" x14ac:dyDescent="0.2">
      <c r="A93" s="595"/>
      <c r="B93" s="597"/>
      <c r="C93" s="405" t="s">
        <v>407</v>
      </c>
      <c r="D93" s="92" t="s">
        <v>96</v>
      </c>
      <c r="E93" s="92" t="s">
        <v>97</v>
      </c>
      <c r="F93" s="427">
        <v>2</v>
      </c>
      <c r="G93" s="92" t="s">
        <v>97</v>
      </c>
      <c r="H93" s="92" t="s">
        <v>97</v>
      </c>
      <c r="I93" s="92" t="s">
        <v>97</v>
      </c>
      <c r="J93" s="92" t="s">
        <v>97</v>
      </c>
      <c r="K93" s="431"/>
    </row>
    <row r="94" spans="1:11" ht="30.75" customHeight="1" x14ac:dyDescent="0.2">
      <c r="A94" s="595"/>
      <c r="B94" s="597"/>
      <c r="C94" s="405" t="s">
        <v>285</v>
      </c>
      <c r="D94" s="92" t="s">
        <v>96</v>
      </c>
      <c r="E94" s="92" t="s">
        <v>97</v>
      </c>
      <c r="F94" s="427">
        <v>1</v>
      </c>
      <c r="G94" s="92" t="s">
        <v>97</v>
      </c>
      <c r="H94" s="92" t="s">
        <v>97</v>
      </c>
      <c r="I94" s="92" t="s">
        <v>97</v>
      </c>
      <c r="J94" s="92" t="s">
        <v>97</v>
      </c>
      <c r="K94" s="431"/>
    </row>
    <row r="95" spans="1:11" ht="54.75" customHeight="1" x14ac:dyDescent="0.2">
      <c r="A95" s="595"/>
      <c r="B95" s="597"/>
      <c r="C95" s="405" t="s">
        <v>413</v>
      </c>
      <c r="D95" s="92" t="s">
        <v>96</v>
      </c>
      <c r="E95" s="92" t="s">
        <v>97</v>
      </c>
      <c r="F95" s="427">
        <v>15</v>
      </c>
      <c r="G95" s="92">
        <v>14</v>
      </c>
      <c r="H95" s="92">
        <f>18-9</f>
        <v>9</v>
      </c>
      <c r="I95" s="92">
        <f>18-9+1</f>
        <v>10</v>
      </c>
      <c r="J95" s="92">
        <f>0+9+7+4+11</f>
        <v>31</v>
      </c>
      <c r="K95" s="431"/>
    </row>
    <row r="96" spans="1:11" ht="25.5" x14ac:dyDescent="0.2">
      <c r="A96" s="595"/>
      <c r="B96" s="597"/>
      <c r="C96" s="405" t="s">
        <v>310</v>
      </c>
      <c r="D96" s="92" t="s">
        <v>96</v>
      </c>
      <c r="E96" s="92" t="s">
        <v>97</v>
      </c>
      <c r="F96" s="427">
        <v>1</v>
      </c>
      <c r="G96" s="92" t="s">
        <v>97</v>
      </c>
      <c r="H96" s="92" t="s">
        <v>97</v>
      </c>
      <c r="I96" s="92" t="s">
        <v>97</v>
      </c>
      <c r="J96" s="92" t="s">
        <v>97</v>
      </c>
      <c r="K96" s="431"/>
    </row>
    <row r="97" spans="1:12" ht="30" customHeight="1" x14ac:dyDescent="0.2">
      <c r="A97" s="595"/>
      <c r="B97" s="597"/>
      <c r="C97" s="405" t="s">
        <v>363</v>
      </c>
      <c r="D97" s="92" t="s">
        <v>111</v>
      </c>
      <c r="E97" s="92" t="s">
        <v>97</v>
      </c>
      <c r="F97" s="420">
        <v>12.17</v>
      </c>
      <c r="G97" s="92">
        <v>24.06</v>
      </c>
      <c r="H97" s="92">
        <f>0+10.7+15.2+8.96</f>
        <v>34.86</v>
      </c>
      <c r="I97" s="92" t="s">
        <v>97</v>
      </c>
      <c r="J97" s="92" t="s">
        <v>97</v>
      </c>
      <c r="K97" s="431"/>
    </row>
    <row r="98" spans="1:12" ht="25.5" x14ac:dyDescent="0.2">
      <c r="A98" s="595"/>
      <c r="B98" s="597"/>
      <c r="C98" s="405" t="s">
        <v>376</v>
      </c>
      <c r="D98" s="92" t="s">
        <v>96</v>
      </c>
      <c r="E98" s="92" t="s">
        <v>97</v>
      </c>
      <c r="F98" s="92" t="s">
        <v>97</v>
      </c>
      <c r="G98" s="92" t="s">
        <v>97</v>
      </c>
      <c r="H98" s="92">
        <v>1</v>
      </c>
      <c r="I98" s="92" t="s">
        <v>97</v>
      </c>
      <c r="J98" s="92" t="s">
        <v>97</v>
      </c>
      <c r="K98" s="431"/>
    </row>
    <row r="99" spans="1:12" ht="42" customHeight="1" x14ac:dyDescent="0.2">
      <c r="A99" s="595"/>
      <c r="B99" s="597"/>
      <c r="C99" s="405" t="s">
        <v>110</v>
      </c>
      <c r="D99" s="92" t="s">
        <v>96</v>
      </c>
      <c r="E99" s="92" t="s">
        <v>97</v>
      </c>
      <c r="F99" s="92" t="s">
        <v>97</v>
      </c>
      <c r="G99" s="92">
        <v>11</v>
      </c>
      <c r="H99" s="92">
        <v>3</v>
      </c>
      <c r="I99" s="92" t="s">
        <v>97</v>
      </c>
      <c r="J99" s="92">
        <v>10</v>
      </c>
      <c r="K99" s="431"/>
    </row>
    <row r="100" spans="1:12" ht="42" customHeight="1" x14ac:dyDescent="0.2">
      <c r="A100" s="595"/>
      <c r="B100" s="597"/>
      <c r="C100" s="405" t="s">
        <v>1446</v>
      </c>
      <c r="D100" s="92" t="s">
        <v>96</v>
      </c>
      <c r="E100" s="92" t="s">
        <v>97</v>
      </c>
      <c r="F100" s="92" t="s">
        <v>97</v>
      </c>
      <c r="G100" s="424" t="s">
        <v>97</v>
      </c>
      <c r="H100" s="92" t="s">
        <v>97</v>
      </c>
      <c r="I100" s="92" t="s">
        <v>97</v>
      </c>
      <c r="J100" s="92">
        <v>1</v>
      </c>
      <c r="K100" s="431"/>
    </row>
    <row r="101" spans="1:12" ht="43.5" customHeight="1" x14ac:dyDescent="0.2">
      <c r="A101" s="595"/>
      <c r="B101" s="597"/>
      <c r="C101" s="405" t="s">
        <v>537</v>
      </c>
      <c r="D101" s="92" t="s">
        <v>96</v>
      </c>
      <c r="E101" s="92" t="s">
        <v>97</v>
      </c>
      <c r="F101" s="92">
        <v>6</v>
      </c>
      <c r="G101" s="424">
        <f>55+25</f>
        <v>80</v>
      </c>
      <c r="H101" s="92">
        <f>70-63+20-20+3</f>
        <v>10</v>
      </c>
      <c r="I101" s="92">
        <f>0+14-8+6</f>
        <v>12</v>
      </c>
      <c r="J101" s="92">
        <f>16+10</f>
        <v>26</v>
      </c>
      <c r="K101" s="431"/>
    </row>
    <row r="102" spans="1:12" ht="29.25" customHeight="1" x14ac:dyDescent="0.2">
      <c r="A102" s="595"/>
      <c r="B102" s="597"/>
      <c r="C102" s="405" t="s">
        <v>398</v>
      </c>
      <c r="D102" s="92" t="s">
        <v>96</v>
      </c>
      <c r="E102" s="92" t="s">
        <v>97</v>
      </c>
      <c r="F102" s="92" t="s">
        <v>97</v>
      </c>
      <c r="G102" s="424" t="s">
        <v>97</v>
      </c>
      <c r="H102" s="92" t="s">
        <v>97</v>
      </c>
      <c r="I102" s="92" t="s">
        <v>97</v>
      </c>
      <c r="J102" s="92">
        <v>1</v>
      </c>
      <c r="K102" s="431"/>
    </row>
    <row r="103" spans="1:12" ht="29.25" customHeight="1" x14ac:dyDescent="0.2">
      <c r="A103" s="595"/>
      <c r="B103" s="597"/>
      <c r="C103" s="405" t="s">
        <v>555</v>
      </c>
      <c r="D103" s="92" t="s">
        <v>96</v>
      </c>
      <c r="E103" s="92" t="s">
        <v>97</v>
      </c>
      <c r="F103" s="92" t="s">
        <v>97</v>
      </c>
      <c r="G103" s="424" t="s">
        <v>97</v>
      </c>
      <c r="H103" s="92">
        <v>29</v>
      </c>
      <c r="I103" s="92">
        <v>20</v>
      </c>
      <c r="J103" s="92">
        <f>50+37-50</f>
        <v>37</v>
      </c>
      <c r="K103" s="431"/>
    </row>
    <row r="104" spans="1:12" ht="29.25" customHeight="1" x14ac:dyDescent="0.2">
      <c r="A104" s="595"/>
      <c r="B104" s="597"/>
      <c r="C104" s="405" t="s">
        <v>1064</v>
      </c>
      <c r="D104" s="92" t="s">
        <v>112</v>
      </c>
      <c r="E104" s="92" t="s">
        <v>97</v>
      </c>
      <c r="F104" s="92" t="s">
        <v>97</v>
      </c>
      <c r="G104" s="92" t="s">
        <v>97</v>
      </c>
      <c r="H104" s="92" t="s">
        <v>97</v>
      </c>
      <c r="I104" s="92">
        <v>32.85</v>
      </c>
      <c r="J104" s="92">
        <f>46.1+13.9+1-1</f>
        <v>60</v>
      </c>
      <c r="K104" s="431"/>
    </row>
    <row r="105" spans="1:12" ht="29.25" customHeight="1" x14ac:dyDescent="0.2">
      <c r="A105" s="595"/>
      <c r="B105" s="597"/>
      <c r="C105" s="396" t="s">
        <v>1436</v>
      </c>
      <c r="D105" s="418" t="s">
        <v>96</v>
      </c>
      <c r="E105" s="92" t="s">
        <v>97</v>
      </c>
      <c r="F105" s="92" t="s">
        <v>97</v>
      </c>
      <c r="G105" s="92" t="s">
        <v>97</v>
      </c>
      <c r="H105" s="92" t="s">
        <v>97</v>
      </c>
      <c r="I105" s="92" t="s">
        <v>97</v>
      </c>
      <c r="J105" s="92">
        <v>1</v>
      </c>
      <c r="K105" s="431"/>
    </row>
    <row r="106" spans="1:12" ht="29.25" customHeight="1" x14ac:dyDescent="0.2">
      <c r="A106" s="595"/>
      <c r="B106" s="597"/>
      <c r="C106" s="396" t="s">
        <v>1437</v>
      </c>
      <c r="D106" s="418" t="s">
        <v>96</v>
      </c>
      <c r="E106" s="92" t="s">
        <v>97</v>
      </c>
      <c r="F106" s="92" t="s">
        <v>97</v>
      </c>
      <c r="G106" s="92" t="s">
        <v>97</v>
      </c>
      <c r="H106" s="92" t="s">
        <v>97</v>
      </c>
      <c r="I106" s="92" t="s">
        <v>97</v>
      </c>
      <c r="J106" s="92">
        <f>3+1-1</f>
        <v>3</v>
      </c>
      <c r="K106" s="431"/>
    </row>
    <row r="107" spans="1:12" ht="29.25" customHeight="1" x14ac:dyDescent="0.2">
      <c r="A107" s="595"/>
      <c r="B107" s="597"/>
      <c r="C107" s="396" t="s">
        <v>1461</v>
      </c>
      <c r="D107" s="418" t="s">
        <v>96</v>
      </c>
      <c r="E107" s="92" t="s">
        <v>97</v>
      </c>
      <c r="F107" s="92" t="s">
        <v>97</v>
      </c>
      <c r="G107" s="92" t="s">
        <v>97</v>
      </c>
      <c r="H107" s="92" t="s">
        <v>97</v>
      </c>
      <c r="I107" s="92" t="s">
        <v>97</v>
      </c>
      <c r="J107" s="92" t="s">
        <v>97</v>
      </c>
      <c r="K107" s="431"/>
      <c r="L107" s="94" t="s">
        <v>1651</v>
      </c>
    </row>
    <row r="108" spans="1:12" ht="43.5" customHeight="1" x14ac:dyDescent="0.2">
      <c r="A108" s="595"/>
      <c r="B108" s="597"/>
      <c r="C108" s="395" t="s">
        <v>1473</v>
      </c>
      <c r="D108" s="418" t="s">
        <v>96</v>
      </c>
      <c r="E108" s="92" t="s">
        <v>97</v>
      </c>
      <c r="F108" s="92" t="s">
        <v>97</v>
      </c>
      <c r="G108" s="92" t="s">
        <v>97</v>
      </c>
      <c r="H108" s="92" t="s">
        <v>97</v>
      </c>
      <c r="I108" s="92" t="s">
        <v>97</v>
      </c>
      <c r="J108" s="92">
        <v>1</v>
      </c>
      <c r="K108" s="431"/>
    </row>
    <row r="109" spans="1:12" ht="33" customHeight="1" x14ac:dyDescent="0.2">
      <c r="A109" s="594"/>
      <c r="B109" s="563"/>
      <c r="C109" s="395" t="s">
        <v>1602</v>
      </c>
      <c r="D109" s="418" t="s">
        <v>96</v>
      </c>
      <c r="E109" s="92" t="s">
        <v>97</v>
      </c>
      <c r="F109" s="92" t="s">
        <v>97</v>
      </c>
      <c r="G109" s="92" t="s">
        <v>97</v>
      </c>
      <c r="H109" s="92" t="s">
        <v>97</v>
      </c>
      <c r="I109" s="92" t="s">
        <v>97</v>
      </c>
      <c r="J109" s="92">
        <v>6</v>
      </c>
      <c r="K109" s="431"/>
    </row>
    <row r="110" spans="1:12" ht="70.5" customHeight="1" x14ac:dyDescent="0.2">
      <c r="A110" s="593" t="s">
        <v>431</v>
      </c>
      <c r="B110" s="588" t="s">
        <v>279</v>
      </c>
      <c r="C110" s="405" t="s">
        <v>538</v>
      </c>
      <c r="D110" s="92" t="s">
        <v>96</v>
      </c>
      <c r="E110" s="92" t="s">
        <v>97</v>
      </c>
      <c r="F110" s="92" t="s">
        <v>97</v>
      </c>
      <c r="G110" s="424" t="s">
        <v>97</v>
      </c>
      <c r="H110" s="92">
        <v>20</v>
      </c>
      <c r="I110" s="92">
        <v>35</v>
      </c>
      <c r="J110" s="92" t="s">
        <v>97</v>
      </c>
      <c r="K110" s="431"/>
    </row>
    <row r="111" spans="1:12" ht="70.5" customHeight="1" x14ac:dyDescent="0.2">
      <c r="A111" s="594"/>
      <c r="B111" s="589"/>
      <c r="C111" s="405" t="s">
        <v>157</v>
      </c>
      <c r="D111" s="92" t="s">
        <v>112</v>
      </c>
      <c r="E111" s="92">
        <v>178.35</v>
      </c>
      <c r="F111" s="92">
        <v>107.83</v>
      </c>
      <c r="G111" s="424">
        <f>87.87+1.35</f>
        <v>89.22</v>
      </c>
      <c r="H111" s="92">
        <f>5.8+18.4-5.8+1.38</f>
        <v>19.779999999999998</v>
      </c>
      <c r="I111" s="92">
        <f>22.67+26.626+2.802+2.002</f>
        <v>54.100000000000009</v>
      </c>
      <c r="J111" s="92" t="s">
        <v>97</v>
      </c>
      <c r="K111" s="431" t="s">
        <v>115</v>
      </c>
    </row>
    <row r="112" spans="1:12" ht="122.25" customHeight="1" x14ac:dyDescent="0.2">
      <c r="A112" s="187" t="s">
        <v>432</v>
      </c>
      <c r="B112" s="302" t="s">
        <v>156</v>
      </c>
      <c r="C112" s="405" t="s">
        <v>495</v>
      </c>
      <c r="D112" s="92" t="s">
        <v>112</v>
      </c>
      <c r="E112" s="92">
        <v>6.14</v>
      </c>
      <c r="F112" s="92">
        <v>13.8</v>
      </c>
      <c r="G112" s="432">
        <v>2.8</v>
      </c>
      <c r="H112" s="420">
        <f>10.78-0.8-0.2</f>
        <v>9.7799999999999994</v>
      </c>
      <c r="I112" s="420">
        <f>9.92-1.33</f>
        <v>8.59</v>
      </c>
      <c r="J112" s="92">
        <f>10+11.9</f>
        <v>21.9</v>
      </c>
      <c r="K112" s="433" t="s">
        <v>178</v>
      </c>
    </row>
    <row r="113" spans="1:30" ht="71.25" customHeight="1" x14ac:dyDescent="0.2">
      <c r="A113" s="187" t="s">
        <v>433</v>
      </c>
      <c r="B113" s="302" t="s">
        <v>583</v>
      </c>
      <c r="C113" s="405" t="s">
        <v>302</v>
      </c>
      <c r="D113" s="92" t="s">
        <v>112</v>
      </c>
      <c r="E113" s="92" t="s">
        <v>97</v>
      </c>
      <c r="F113" s="434">
        <v>5998.03</v>
      </c>
      <c r="G113" s="434">
        <v>6096.57</v>
      </c>
      <c r="H113" s="420">
        <v>6296.92</v>
      </c>
      <c r="I113" s="420">
        <f>6296.92+18.894-17.78+10.01</f>
        <v>6308.0440000000008</v>
      </c>
      <c r="J113" s="420" t="s">
        <v>97</v>
      </c>
      <c r="K113" s="433"/>
    </row>
    <row r="114" spans="1:30" ht="63.75" customHeight="1" x14ac:dyDescent="0.2">
      <c r="A114" s="187" t="s">
        <v>1354</v>
      </c>
      <c r="B114" s="302" t="s">
        <v>1360</v>
      </c>
      <c r="C114" s="395" t="s">
        <v>1361</v>
      </c>
      <c r="D114" s="92" t="s">
        <v>96</v>
      </c>
      <c r="E114" s="423" t="s">
        <v>97</v>
      </c>
      <c r="F114" s="423" t="s">
        <v>97</v>
      </c>
      <c r="G114" s="423" t="s">
        <v>97</v>
      </c>
      <c r="H114" s="423" t="s">
        <v>97</v>
      </c>
      <c r="I114" s="423" t="s">
        <v>97</v>
      </c>
      <c r="J114" s="394" t="s">
        <v>97</v>
      </c>
      <c r="K114" s="433"/>
    </row>
    <row r="115" spans="1:30" ht="63.75" customHeight="1" x14ac:dyDescent="0.2">
      <c r="A115" s="187" t="s">
        <v>1464</v>
      </c>
      <c r="B115" s="302" t="s">
        <v>1466</v>
      </c>
      <c r="C115" s="405" t="s">
        <v>1470</v>
      </c>
      <c r="D115" s="92" t="s">
        <v>112</v>
      </c>
      <c r="E115" s="423" t="s">
        <v>97</v>
      </c>
      <c r="F115" s="423" t="s">
        <v>97</v>
      </c>
      <c r="G115" s="423" t="s">
        <v>97</v>
      </c>
      <c r="H115" s="423" t="s">
        <v>97</v>
      </c>
      <c r="I115" s="423" t="s">
        <v>97</v>
      </c>
      <c r="J115" s="394">
        <f>15+5-5-2.5</f>
        <v>12.5</v>
      </c>
      <c r="K115" s="433"/>
    </row>
    <row r="116" spans="1:30" ht="31.15" customHeight="1" x14ac:dyDescent="0.2">
      <c r="A116" s="387" t="s">
        <v>448</v>
      </c>
      <c r="B116" s="576" t="s">
        <v>1061</v>
      </c>
      <c r="C116" s="574"/>
      <c r="D116" s="574"/>
      <c r="E116" s="574"/>
      <c r="F116" s="574"/>
      <c r="G116" s="574"/>
      <c r="H116" s="574"/>
      <c r="I116" s="574"/>
      <c r="J116" s="575"/>
      <c r="K116" s="582"/>
      <c r="L116" s="582"/>
      <c r="M116" s="582"/>
      <c r="N116" s="582"/>
      <c r="O116" s="582"/>
      <c r="P116" s="582"/>
      <c r="Q116" s="582"/>
      <c r="R116" s="582"/>
      <c r="S116" s="582"/>
      <c r="T116" s="582"/>
      <c r="U116" s="582"/>
      <c r="V116" s="582"/>
      <c r="W116" s="582"/>
      <c r="X116" s="582"/>
      <c r="Y116" s="582"/>
      <c r="Z116" s="582"/>
      <c r="AA116" s="582"/>
      <c r="AB116" s="582"/>
      <c r="AC116" s="582"/>
      <c r="AD116" s="582"/>
    </row>
    <row r="117" spans="1:30" ht="17.45" customHeight="1" x14ac:dyDescent="0.2">
      <c r="A117" s="579" t="s">
        <v>404</v>
      </c>
      <c r="B117" s="579"/>
      <c r="C117" s="579"/>
      <c r="D117" s="579"/>
      <c r="E117" s="579"/>
      <c r="F117" s="579"/>
      <c r="G117" s="579"/>
      <c r="H117" s="579"/>
      <c r="I117" s="579"/>
      <c r="J117" s="579"/>
      <c r="K117" s="592"/>
      <c r="L117" s="592"/>
      <c r="M117" s="592"/>
      <c r="N117" s="592"/>
      <c r="O117" s="592"/>
      <c r="P117" s="592"/>
      <c r="Q117" s="592"/>
      <c r="R117" s="592"/>
      <c r="S117" s="592"/>
      <c r="T117" s="592"/>
      <c r="U117" s="592"/>
      <c r="V117" s="592"/>
      <c r="W117" s="592"/>
      <c r="X117" s="592"/>
      <c r="Y117" s="592"/>
      <c r="Z117" s="592"/>
      <c r="AA117" s="592"/>
      <c r="AB117" s="592"/>
      <c r="AC117" s="592"/>
      <c r="AD117" s="592"/>
    </row>
    <row r="118" spans="1:30" ht="40.15" customHeight="1" x14ac:dyDescent="0.2">
      <c r="A118" s="580" t="s">
        <v>1059</v>
      </c>
      <c r="B118" s="580"/>
      <c r="C118" s="580"/>
      <c r="D118" s="580"/>
      <c r="E118" s="580"/>
      <c r="F118" s="580"/>
      <c r="G118" s="580"/>
      <c r="H118" s="580"/>
      <c r="I118" s="580"/>
      <c r="J118" s="580"/>
      <c r="K118" s="582"/>
      <c r="L118" s="582"/>
      <c r="M118" s="582"/>
      <c r="N118" s="582"/>
      <c r="O118" s="582"/>
      <c r="P118" s="582"/>
      <c r="Q118" s="582"/>
      <c r="R118" s="582"/>
      <c r="S118" s="582"/>
      <c r="T118" s="582"/>
      <c r="U118" s="582"/>
      <c r="V118" s="582"/>
      <c r="W118" s="582"/>
      <c r="X118" s="582"/>
      <c r="Y118" s="582"/>
      <c r="Z118" s="582"/>
      <c r="AA118" s="582"/>
      <c r="AB118" s="582"/>
      <c r="AC118" s="582"/>
      <c r="AD118" s="582"/>
    </row>
    <row r="119" spans="1:30" ht="36" customHeight="1" x14ac:dyDescent="0.2">
      <c r="A119" s="387" t="s">
        <v>38</v>
      </c>
      <c r="B119" s="576" t="s">
        <v>449</v>
      </c>
      <c r="C119" s="574"/>
      <c r="D119" s="574"/>
      <c r="E119" s="574"/>
      <c r="F119" s="574"/>
      <c r="G119" s="574"/>
      <c r="H119" s="574"/>
      <c r="I119" s="574"/>
      <c r="J119" s="575"/>
      <c r="K119" s="582"/>
      <c r="L119" s="582"/>
      <c r="M119" s="582"/>
      <c r="N119" s="582"/>
      <c r="O119" s="582"/>
      <c r="P119" s="582"/>
      <c r="Q119" s="582"/>
      <c r="R119" s="582"/>
      <c r="S119" s="582"/>
      <c r="T119" s="582"/>
      <c r="U119" s="582"/>
      <c r="V119" s="582"/>
      <c r="W119" s="582"/>
      <c r="X119" s="582"/>
      <c r="Y119" s="582"/>
      <c r="Z119" s="582"/>
      <c r="AA119" s="582"/>
      <c r="AB119" s="582"/>
      <c r="AC119" s="582"/>
      <c r="AD119" s="582"/>
    </row>
    <row r="120" spans="1:30" ht="90.75" customHeight="1" x14ac:dyDescent="0.2">
      <c r="A120" s="187" t="s">
        <v>420</v>
      </c>
      <c r="B120" s="302" t="s">
        <v>128</v>
      </c>
      <c r="C120" s="239" t="s">
        <v>116</v>
      </c>
      <c r="D120" s="107" t="s">
        <v>113</v>
      </c>
      <c r="E120" s="93">
        <v>6198.38</v>
      </c>
      <c r="F120" s="198">
        <v>6198.38</v>
      </c>
      <c r="G120" s="198">
        <v>6296.92</v>
      </c>
      <c r="H120" s="198">
        <f>6296.92+18.894</f>
        <v>6315.8140000000003</v>
      </c>
      <c r="I120" s="198">
        <f>6296.92+18.894-17.78+10.01+22.47</f>
        <v>6330.514000000001</v>
      </c>
      <c r="J120" s="198">
        <f>6330.51+153.24</f>
        <v>6483.75</v>
      </c>
    </row>
    <row r="121" spans="1:30" ht="30.6" customHeight="1" x14ac:dyDescent="0.2">
      <c r="A121" s="187" t="s">
        <v>450</v>
      </c>
      <c r="B121" s="302" t="s">
        <v>117</v>
      </c>
      <c r="C121" s="239" t="s">
        <v>289</v>
      </c>
      <c r="D121" s="107" t="s">
        <v>113</v>
      </c>
      <c r="E121" s="93">
        <v>1.95</v>
      </c>
      <c r="F121" s="198">
        <v>1.95</v>
      </c>
      <c r="G121" s="198">
        <v>2.14</v>
      </c>
      <c r="H121" s="198">
        <v>2.14</v>
      </c>
      <c r="I121" s="198">
        <v>2.14</v>
      </c>
      <c r="J121" s="198">
        <f>1.95+0.19</f>
        <v>2.14</v>
      </c>
    </row>
    <row r="122" spans="1:30" x14ac:dyDescent="0.2">
      <c r="A122" s="106" t="s">
        <v>39</v>
      </c>
      <c r="B122" s="583" t="s">
        <v>462</v>
      </c>
      <c r="C122" s="584"/>
      <c r="D122" s="584"/>
      <c r="E122" s="584"/>
      <c r="F122" s="584"/>
      <c r="G122" s="584"/>
      <c r="H122" s="584"/>
      <c r="I122" s="584"/>
      <c r="J122" s="585"/>
    </row>
    <row r="123" spans="1:30" ht="31.15" customHeight="1" x14ac:dyDescent="0.2">
      <c r="A123" s="586" t="s">
        <v>421</v>
      </c>
      <c r="B123" s="588" t="s">
        <v>72</v>
      </c>
      <c r="C123" s="396" t="s">
        <v>118</v>
      </c>
      <c r="D123" s="92" t="s">
        <v>96</v>
      </c>
      <c r="E123" s="91">
        <v>29</v>
      </c>
      <c r="F123" s="92">
        <v>29</v>
      </c>
      <c r="G123" s="92">
        <v>29</v>
      </c>
      <c r="H123" s="92">
        <v>29</v>
      </c>
      <c r="I123" s="92">
        <v>29</v>
      </c>
      <c r="J123" s="92">
        <v>29</v>
      </c>
    </row>
    <row r="124" spans="1:30" ht="31.15" customHeight="1" x14ac:dyDescent="0.2">
      <c r="A124" s="587"/>
      <c r="B124" s="589"/>
      <c r="C124" s="396" t="s">
        <v>1476</v>
      </c>
      <c r="D124" s="92" t="s">
        <v>108</v>
      </c>
      <c r="E124" s="91" t="s">
        <v>97</v>
      </c>
      <c r="F124" s="92" t="s">
        <v>97</v>
      </c>
      <c r="G124" s="92" t="s">
        <v>97</v>
      </c>
      <c r="H124" s="92" t="s">
        <v>97</v>
      </c>
      <c r="I124" s="92" t="s">
        <v>97</v>
      </c>
      <c r="J124" s="92">
        <v>100</v>
      </c>
    </row>
    <row r="125" spans="1:30" ht="39" customHeight="1" x14ac:dyDescent="0.2">
      <c r="A125" s="586" t="s">
        <v>451</v>
      </c>
      <c r="B125" s="588" t="s">
        <v>506</v>
      </c>
      <c r="C125" s="405" t="s">
        <v>359</v>
      </c>
      <c r="D125" s="92" t="s">
        <v>96</v>
      </c>
      <c r="E125" s="92" t="s">
        <v>97</v>
      </c>
      <c r="F125" s="92">
        <v>1</v>
      </c>
      <c r="G125" s="92">
        <v>2</v>
      </c>
      <c r="H125" s="92" t="s">
        <v>97</v>
      </c>
      <c r="I125" s="92">
        <v>1</v>
      </c>
      <c r="J125" s="92" t="s">
        <v>97</v>
      </c>
    </row>
    <row r="126" spans="1:30" ht="39" customHeight="1" x14ac:dyDescent="0.2">
      <c r="A126" s="590"/>
      <c r="B126" s="591"/>
      <c r="C126" s="405" t="s">
        <v>360</v>
      </c>
      <c r="D126" s="92" t="s">
        <v>96</v>
      </c>
      <c r="E126" s="92" t="s">
        <v>97</v>
      </c>
      <c r="F126" s="92" t="s">
        <v>97</v>
      </c>
      <c r="G126" s="92">
        <v>1</v>
      </c>
      <c r="H126" s="92" t="s">
        <v>97</v>
      </c>
      <c r="I126" s="92" t="s">
        <v>97</v>
      </c>
      <c r="J126" s="92" t="s">
        <v>97</v>
      </c>
    </row>
    <row r="127" spans="1:30" ht="39" customHeight="1" x14ac:dyDescent="0.2">
      <c r="A127" s="587"/>
      <c r="B127" s="589"/>
      <c r="C127" s="405" t="s">
        <v>498</v>
      </c>
      <c r="D127" s="92" t="s">
        <v>96</v>
      </c>
      <c r="E127" s="92" t="s">
        <v>97</v>
      </c>
      <c r="F127" s="92" t="s">
        <v>97</v>
      </c>
      <c r="G127" s="92" t="s">
        <v>97</v>
      </c>
      <c r="H127" s="92">
        <v>1</v>
      </c>
      <c r="I127" s="92" t="s">
        <v>97</v>
      </c>
      <c r="J127" s="92">
        <v>1</v>
      </c>
    </row>
    <row r="128" spans="1:30" ht="165.75" customHeight="1" x14ac:dyDescent="0.2">
      <c r="A128" s="187" t="s">
        <v>452</v>
      </c>
      <c r="B128" s="396" t="s">
        <v>1645</v>
      </c>
      <c r="C128" s="239" t="s">
        <v>1290</v>
      </c>
      <c r="D128" s="107" t="s">
        <v>96</v>
      </c>
      <c r="E128" s="107" t="s">
        <v>97</v>
      </c>
      <c r="F128" s="107">
        <v>2</v>
      </c>
      <c r="G128" s="107" t="s">
        <v>97</v>
      </c>
      <c r="H128" s="107" t="s">
        <v>97</v>
      </c>
      <c r="I128" s="107">
        <v>1</v>
      </c>
      <c r="J128" s="107" t="s">
        <v>97</v>
      </c>
    </row>
    <row r="129" spans="1:10" ht="26.25" customHeight="1" x14ac:dyDescent="0.2">
      <c r="A129" s="187" t="s">
        <v>453</v>
      </c>
      <c r="B129" s="302" t="s">
        <v>325</v>
      </c>
      <c r="C129" s="239" t="s">
        <v>326</v>
      </c>
      <c r="D129" s="92" t="s">
        <v>96</v>
      </c>
      <c r="E129" s="92" t="s">
        <v>97</v>
      </c>
      <c r="F129" s="92">
        <v>1</v>
      </c>
      <c r="G129" s="92" t="s">
        <v>97</v>
      </c>
      <c r="H129" s="92" t="s">
        <v>97</v>
      </c>
      <c r="I129" s="92" t="s">
        <v>97</v>
      </c>
      <c r="J129" s="92" t="s">
        <v>97</v>
      </c>
    </row>
    <row r="130" spans="1:10" ht="204.75" customHeight="1" x14ac:dyDescent="0.2">
      <c r="A130" s="187" t="s">
        <v>540</v>
      </c>
      <c r="B130" s="435" t="s">
        <v>1646</v>
      </c>
      <c r="C130" s="396" t="s">
        <v>542</v>
      </c>
      <c r="D130" s="92" t="s">
        <v>96</v>
      </c>
      <c r="E130" s="92" t="s">
        <v>97</v>
      </c>
      <c r="F130" s="92" t="s">
        <v>97</v>
      </c>
      <c r="G130" s="92" t="s">
        <v>97</v>
      </c>
      <c r="H130" s="92">
        <v>1</v>
      </c>
      <c r="I130" s="92">
        <v>4</v>
      </c>
      <c r="J130" s="92" t="s">
        <v>97</v>
      </c>
    </row>
    <row r="131" spans="1:10" ht="31.15" customHeight="1" x14ac:dyDescent="0.2">
      <c r="A131" s="387" t="s">
        <v>463</v>
      </c>
      <c r="B131" s="576" t="s">
        <v>1058</v>
      </c>
      <c r="C131" s="574"/>
      <c r="D131" s="574"/>
      <c r="E131" s="574"/>
      <c r="F131" s="574"/>
      <c r="G131" s="574"/>
      <c r="H131" s="574"/>
      <c r="I131" s="574"/>
      <c r="J131" s="575"/>
    </row>
    <row r="132" spans="1:10" ht="19.899999999999999" customHeight="1" x14ac:dyDescent="0.2">
      <c r="A132" s="579" t="s">
        <v>127</v>
      </c>
      <c r="B132" s="579"/>
      <c r="C132" s="579"/>
      <c r="D132" s="579"/>
      <c r="E132" s="579"/>
      <c r="F132" s="579"/>
      <c r="G132" s="579"/>
      <c r="H132" s="579"/>
      <c r="I132" s="579"/>
      <c r="J132" s="579"/>
    </row>
    <row r="133" spans="1:10" ht="36" customHeight="1" x14ac:dyDescent="0.2">
      <c r="A133" s="580" t="s">
        <v>1057</v>
      </c>
      <c r="B133" s="580"/>
      <c r="C133" s="580"/>
      <c r="D133" s="580"/>
      <c r="E133" s="580"/>
      <c r="F133" s="580"/>
      <c r="G133" s="580"/>
      <c r="H133" s="580"/>
      <c r="I133" s="580"/>
      <c r="J133" s="580"/>
    </row>
    <row r="134" spans="1:10" ht="18" customHeight="1" x14ac:dyDescent="0.2">
      <c r="A134" s="387" t="s">
        <v>32</v>
      </c>
      <c r="B134" s="576" t="s">
        <v>455</v>
      </c>
      <c r="C134" s="574"/>
      <c r="D134" s="574"/>
      <c r="E134" s="574"/>
      <c r="F134" s="574"/>
      <c r="G134" s="574"/>
      <c r="H134" s="574"/>
      <c r="I134" s="574"/>
      <c r="J134" s="575"/>
    </row>
    <row r="135" spans="1:10" ht="28.15" customHeight="1" x14ac:dyDescent="0.2">
      <c r="A135" s="187" t="s">
        <v>422</v>
      </c>
      <c r="B135" s="302" t="s">
        <v>45</v>
      </c>
      <c r="C135" s="396" t="s">
        <v>109</v>
      </c>
      <c r="D135" s="394" t="s">
        <v>96</v>
      </c>
      <c r="E135" s="408">
        <v>100</v>
      </c>
      <c r="F135" s="408">
        <v>50</v>
      </c>
      <c r="G135" s="408">
        <v>50</v>
      </c>
      <c r="H135" s="408" t="s">
        <v>97</v>
      </c>
      <c r="I135" s="408">
        <v>639</v>
      </c>
      <c r="J135" s="408">
        <v>416</v>
      </c>
    </row>
    <row r="136" spans="1:10" ht="18" customHeight="1" x14ac:dyDescent="0.2">
      <c r="A136" s="387" t="s">
        <v>3</v>
      </c>
      <c r="B136" s="576" t="s">
        <v>456</v>
      </c>
      <c r="C136" s="574"/>
      <c r="D136" s="574"/>
      <c r="E136" s="574"/>
      <c r="F136" s="574"/>
      <c r="G136" s="574"/>
      <c r="H136" s="574"/>
      <c r="I136" s="574"/>
      <c r="J136" s="575"/>
    </row>
    <row r="137" spans="1:10" ht="64.5" customHeight="1" x14ac:dyDescent="0.2">
      <c r="A137" s="187" t="s">
        <v>423</v>
      </c>
      <c r="B137" s="302" t="s">
        <v>322</v>
      </c>
      <c r="C137" s="302" t="s">
        <v>132</v>
      </c>
      <c r="D137" s="107" t="s">
        <v>133</v>
      </c>
      <c r="E137" s="436" t="s">
        <v>97</v>
      </c>
      <c r="F137" s="408">
        <v>828</v>
      </c>
      <c r="G137" s="408">
        <v>828</v>
      </c>
      <c r="H137" s="408">
        <f>828+49+145</f>
        <v>1022</v>
      </c>
      <c r="I137" s="408">
        <f>828+49+112</f>
        <v>989</v>
      </c>
      <c r="J137" s="408">
        <f>877-29+128</f>
        <v>976</v>
      </c>
    </row>
    <row r="138" spans="1:10" ht="137.25" customHeight="1" x14ac:dyDescent="0.2">
      <c r="A138" s="107" t="s">
        <v>457</v>
      </c>
      <c r="B138" s="302" t="s">
        <v>321</v>
      </c>
      <c r="C138" s="302" t="s">
        <v>375</v>
      </c>
      <c r="D138" s="107" t="s">
        <v>133</v>
      </c>
      <c r="E138" s="436" t="s">
        <v>97</v>
      </c>
      <c r="F138" s="408">
        <v>1116</v>
      </c>
      <c r="G138" s="408">
        <f>1674+789</f>
        <v>2463</v>
      </c>
      <c r="H138" s="437" t="s">
        <v>97</v>
      </c>
      <c r="I138" s="437" t="s">
        <v>97</v>
      </c>
      <c r="J138" s="437" t="s">
        <v>97</v>
      </c>
    </row>
    <row r="139" spans="1:10" ht="33" customHeight="1" x14ac:dyDescent="0.2">
      <c r="A139" s="542" t="s">
        <v>458</v>
      </c>
      <c r="B139" s="581" t="s">
        <v>584</v>
      </c>
      <c r="C139" s="396" t="s">
        <v>131</v>
      </c>
      <c r="D139" s="107" t="s">
        <v>108</v>
      </c>
      <c r="E139" s="436" t="s">
        <v>130</v>
      </c>
      <c r="F139" s="437">
        <v>90</v>
      </c>
      <c r="G139" s="437">
        <v>90</v>
      </c>
      <c r="H139" s="437">
        <v>90</v>
      </c>
      <c r="I139" s="437" t="s">
        <v>577</v>
      </c>
      <c r="J139" s="437" t="s">
        <v>577</v>
      </c>
    </row>
    <row r="140" spans="1:10" ht="31.9" customHeight="1" x14ac:dyDescent="0.2">
      <c r="A140" s="542"/>
      <c r="B140" s="581"/>
      <c r="C140" s="396" t="s">
        <v>184</v>
      </c>
      <c r="D140" s="107" t="s">
        <v>104</v>
      </c>
      <c r="E140" s="408">
        <f>2</f>
        <v>2</v>
      </c>
      <c r="F140" s="408">
        <v>6</v>
      </c>
      <c r="G140" s="408">
        <v>10</v>
      </c>
      <c r="H140" s="408">
        <f>8+2+3</f>
        <v>13</v>
      </c>
      <c r="I140" s="408">
        <f>8+5+6</f>
        <v>19</v>
      </c>
      <c r="J140" s="408" t="s">
        <v>97</v>
      </c>
    </row>
    <row r="141" spans="1:10" ht="33.6" customHeight="1" x14ac:dyDescent="0.2">
      <c r="A141" s="542"/>
      <c r="B141" s="581"/>
      <c r="C141" s="396" t="s">
        <v>185</v>
      </c>
      <c r="D141" s="107" t="s">
        <v>104</v>
      </c>
      <c r="E141" s="408">
        <v>50</v>
      </c>
      <c r="F141" s="408">
        <v>78</v>
      </c>
      <c r="G141" s="408">
        <v>78</v>
      </c>
      <c r="H141" s="408">
        <f>77+1+1</f>
        <v>79</v>
      </c>
      <c r="I141" s="408">
        <f>77+2</f>
        <v>79</v>
      </c>
      <c r="J141" s="408">
        <f>50+27+2+1-2</f>
        <v>78</v>
      </c>
    </row>
    <row r="142" spans="1:10" ht="17.25" customHeight="1" x14ac:dyDescent="0.2">
      <c r="A142" s="387" t="s">
        <v>33</v>
      </c>
      <c r="B142" s="574" t="s">
        <v>459</v>
      </c>
      <c r="C142" s="574"/>
      <c r="D142" s="574"/>
      <c r="E142" s="574"/>
      <c r="F142" s="574"/>
      <c r="G142" s="574"/>
      <c r="H142" s="574"/>
      <c r="I142" s="574"/>
      <c r="J142" s="575"/>
    </row>
    <row r="143" spans="1:10" ht="147" customHeight="1" x14ac:dyDescent="0.2">
      <c r="A143" s="107" t="s">
        <v>424</v>
      </c>
      <c r="B143" s="239" t="s">
        <v>585</v>
      </c>
      <c r="C143" s="239" t="s">
        <v>347</v>
      </c>
      <c r="D143" s="107" t="s">
        <v>108</v>
      </c>
      <c r="E143" s="408" t="s">
        <v>97</v>
      </c>
      <c r="F143" s="408">
        <v>23</v>
      </c>
      <c r="G143" s="408">
        <v>43</v>
      </c>
      <c r="H143" s="408">
        <v>63</v>
      </c>
      <c r="I143" s="408">
        <v>83</v>
      </c>
      <c r="J143" s="408">
        <v>100</v>
      </c>
    </row>
    <row r="144" spans="1:10" ht="59.25" customHeight="1" x14ac:dyDescent="0.2">
      <c r="A144" s="107" t="s">
        <v>489</v>
      </c>
      <c r="B144" s="438" t="s">
        <v>490</v>
      </c>
      <c r="C144" s="239" t="s">
        <v>347</v>
      </c>
      <c r="D144" s="107" t="s">
        <v>108</v>
      </c>
      <c r="E144" s="408" t="s">
        <v>97</v>
      </c>
      <c r="F144" s="408" t="s">
        <v>97</v>
      </c>
      <c r="G144" s="408">
        <v>37.4</v>
      </c>
      <c r="H144" s="408">
        <v>44.8</v>
      </c>
      <c r="I144" s="408">
        <v>57.5</v>
      </c>
      <c r="J144" s="408">
        <v>70.3</v>
      </c>
    </row>
    <row r="145" spans="1:10" ht="83.25" customHeight="1" x14ac:dyDescent="0.2">
      <c r="A145" s="107" t="s">
        <v>547</v>
      </c>
      <c r="B145" s="438" t="s">
        <v>575</v>
      </c>
      <c r="C145" s="239" t="s">
        <v>553</v>
      </c>
      <c r="D145" s="107" t="s">
        <v>104</v>
      </c>
      <c r="E145" s="408" t="s">
        <v>97</v>
      </c>
      <c r="F145" s="408" t="s">
        <v>97</v>
      </c>
      <c r="G145" s="408" t="s">
        <v>97</v>
      </c>
      <c r="H145" s="408" t="s">
        <v>97</v>
      </c>
      <c r="I145" s="408">
        <v>14</v>
      </c>
      <c r="J145" s="408" t="s">
        <v>97</v>
      </c>
    </row>
    <row r="146" spans="1:10" ht="18" customHeight="1" x14ac:dyDescent="0.2">
      <c r="A146" s="387" t="s">
        <v>533</v>
      </c>
      <c r="B146" s="576" t="s">
        <v>539</v>
      </c>
      <c r="C146" s="574"/>
      <c r="D146" s="574"/>
      <c r="E146" s="574"/>
      <c r="F146" s="574"/>
      <c r="G146" s="574"/>
      <c r="H146" s="574"/>
      <c r="I146" s="574"/>
      <c r="J146" s="575"/>
    </row>
    <row r="147" spans="1:10" ht="35.25" customHeight="1" x14ac:dyDescent="0.2">
      <c r="A147" s="562" t="s">
        <v>534</v>
      </c>
      <c r="B147" s="577" t="s">
        <v>535</v>
      </c>
      <c r="C147" s="396" t="s">
        <v>510</v>
      </c>
      <c r="D147" s="107" t="s">
        <v>509</v>
      </c>
      <c r="E147" s="408" t="s">
        <v>97</v>
      </c>
      <c r="F147" s="408" t="s">
        <v>97</v>
      </c>
      <c r="G147" s="408" t="s">
        <v>97</v>
      </c>
      <c r="H147" s="408" t="s">
        <v>601</v>
      </c>
      <c r="I147" s="408" t="s">
        <v>601</v>
      </c>
      <c r="J147" s="408" t="s">
        <v>601</v>
      </c>
    </row>
    <row r="148" spans="1:10" ht="96.75" customHeight="1" x14ac:dyDescent="0.2">
      <c r="A148" s="563"/>
      <c r="B148" s="578"/>
      <c r="C148" s="239" t="s">
        <v>497</v>
      </c>
      <c r="D148" s="107" t="s">
        <v>496</v>
      </c>
      <c r="E148" s="408" t="s">
        <v>97</v>
      </c>
      <c r="F148" s="408" t="s">
        <v>97</v>
      </c>
      <c r="G148" s="408" t="s">
        <v>97</v>
      </c>
      <c r="H148" s="93">
        <v>175181.82</v>
      </c>
      <c r="I148" s="93">
        <f>175181.82-63149.65</f>
        <v>112032.17000000001</v>
      </c>
      <c r="J148" s="93">
        <f>175181.82-63149.65-57028.17+8053</f>
        <v>63057.000000000015</v>
      </c>
    </row>
    <row r="149" spans="1:10" ht="16.5" customHeight="1" x14ac:dyDescent="0.2">
      <c r="A149" s="387" t="s">
        <v>1382</v>
      </c>
      <c r="B149" s="576" t="s">
        <v>1383</v>
      </c>
      <c r="C149" s="574"/>
      <c r="D149" s="574"/>
      <c r="E149" s="574"/>
      <c r="F149" s="574"/>
      <c r="G149" s="574"/>
      <c r="H149" s="574"/>
      <c r="I149" s="574"/>
      <c r="J149" s="575"/>
    </row>
    <row r="150" spans="1:10" ht="41.25" customHeight="1" x14ac:dyDescent="0.2">
      <c r="A150" s="107" t="s">
        <v>1384</v>
      </c>
      <c r="B150" s="239" t="s">
        <v>1385</v>
      </c>
      <c r="C150" s="239" t="s">
        <v>1386</v>
      </c>
      <c r="D150" s="107" t="s">
        <v>104</v>
      </c>
      <c r="E150" s="408" t="s">
        <v>97</v>
      </c>
      <c r="F150" s="408" t="s">
        <v>97</v>
      </c>
      <c r="G150" s="408" t="s">
        <v>97</v>
      </c>
      <c r="H150" s="408" t="s">
        <v>97</v>
      </c>
      <c r="I150" s="408" t="s">
        <v>97</v>
      </c>
      <c r="J150" s="408" t="s">
        <v>97</v>
      </c>
    </row>
    <row r="151" spans="1:10" x14ac:dyDescent="0.2">
      <c r="C151" s="193"/>
      <c r="D151" s="193"/>
      <c r="E151" s="193"/>
    </row>
  </sheetData>
  <mergeCells count="84">
    <mergeCell ref="G1:J1"/>
    <mergeCell ref="G2:J2"/>
    <mergeCell ref="A4:J4"/>
    <mergeCell ref="A5:A8"/>
    <mergeCell ref="B5:B8"/>
    <mergeCell ref="C5:C8"/>
    <mergeCell ref="D5:D8"/>
    <mergeCell ref="E5:E8"/>
    <mergeCell ref="F5:J6"/>
    <mergeCell ref="F7:F8"/>
    <mergeCell ref="A25:A26"/>
    <mergeCell ref="B25:B26"/>
    <mergeCell ref="G7:G8"/>
    <mergeCell ref="H7:H8"/>
    <mergeCell ref="I7:I8"/>
    <mergeCell ref="A12:J12"/>
    <mergeCell ref="A13:J13"/>
    <mergeCell ref="B14:J14"/>
    <mergeCell ref="A22:A23"/>
    <mergeCell ref="B22:B23"/>
    <mergeCell ref="J7:J8"/>
    <mergeCell ref="A10:J10"/>
    <mergeCell ref="B11:J11"/>
    <mergeCell ref="B50:J50"/>
    <mergeCell ref="B27:J27"/>
    <mergeCell ref="A28:A30"/>
    <mergeCell ref="B28:B30"/>
    <mergeCell ref="A38:A39"/>
    <mergeCell ref="B38:B39"/>
    <mergeCell ref="A40:A41"/>
    <mergeCell ref="B40:B41"/>
    <mergeCell ref="A42:A43"/>
    <mergeCell ref="B42:B43"/>
    <mergeCell ref="A44:A47"/>
    <mergeCell ref="B44:B47"/>
    <mergeCell ref="B48:J48"/>
    <mergeCell ref="B59:J59"/>
    <mergeCell ref="A60:J60"/>
    <mergeCell ref="A61:J61"/>
    <mergeCell ref="B62:J62"/>
    <mergeCell ref="A63:A64"/>
    <mergeCell ref="B63:B64"/>
    <mergeCell ref="A110:A111"/>
    <mergeCell ref="B110:B111"/>
    <mergeCell ref="A65:A67"/>
    <mergeCell ref="B65:B67"/>
    <mergeCell ref="A68:A73"/>
    <mergeCell ref="B68:B73"/>
    <mergeCell ref="A77:A78"/>
    <mergeCell ref="B77:B78"/>
    <mergeCell ref="A79:A82"/>
    <mergeCell ref="B79:B82"/>
    <mergeCell ref="A83:A109"/>
    <mergeCell ref="B83:B90"/>
    <mergeCell ref="B91:B109"/>
    <mergeCell ref="B116:J116"/>
    <mergeCell ref="K116:T116"/>
    <mergeCell ref="U116:AD116"/>
    <mergeCell ref="A117:J117"/>
    <mergeCell ref="K117:T117"/>
    <mergeCell ref="U117:AD117"/>
    <mergeCell ref="B131:J131"/>
    <mergeCell ref="A118:J118"/>
    <mergeCell ref="K118:T118"/>
    <mergeCell ref="U118:AD118"/>
    <mergeCell ref="B119:J119"/>
    <mergeCell ref="K119:T119"/>
    <mergeCell ref="U119:AD119"/>
    <mergeCell ref="B122:J122"/>
    <mergeCell ref="A123:A124"/>
    <mergeCell ref="B123:B124"/>
    <mergeCell ref="A125:A127"/>
    <mergeCell ref="B125:B127"/>
    <mergeCell ref="A132:J132"/>
    <mergeCell ref="A133:J133"/>
    <mergeCell ref="B134:J134"/>
    <mergeCell ref="B136:J136"/>
    <mergeCell ref="A139:A141"/>
    <mergeCell ref="B139:B141"/>
    <mergeCell ref="B142:J142"/>
    <mergeCell ref="B146:J146"/>
    <mergeCell ref="A147:A148"/>
    <mergeCell ref="B147:B148"/>
    <mergeCell ref="B149:J149"/>
  </mergeCells>
  <pageMargins left="0.23622047244094491" right="0.23622047244094491" top="0.74803149606299213" bottom="0.74803149606299213" header="0.31496062992125984" footer="0.31496062992125984"/>
  <pageSetup paperSize="9" scale="80" firstPageNumber="53" fitToHeight="0" orientation="landscape" useFirstPageNumber="1" r:id="rId1"/>
  <headerFooter>
    <oddHeader>&amp;C&amp;P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151"/>
  <sheetViews>
    <sheetView view="pageBreakPreview" topLeftCell="A88" zoomScale="110" zoomScaleNormal="100" zoomScaleSheetLayoutView="110" workbookViewId="0">
      <selection activeCell="C76" sqref="C76"/>
    </sheetView>
  </sheetViews>
  <sheetFormatPr defaultColWidth="9.140625" defaultRowHeight="12.75" x14ac:dyDescent="0.2"/>
  <cols>
    <col min="1" max="1" width="6.140625" style="15" customWidth="1"/>
    <col min="2" max="2" width="34.140625" style="15" customWidth="1"/>
    <col min="3" max="3" width="58.28515625" style="15" customWidth="1"/>
    <col min="4" max="4" width="8.85546875" style="15"/>
    <col min="5" max="5" width="9.140625" style="15" hidden="1" customWidth="1"/>
    <col min="6" max="6" width="11.28515625" style="15" hidden="1" customWidth="1"/>
    <col min="7" max="7" width="11.5703125" style="15" hidden="1" customWidth="1"/>
    <col min="8" max="8" width="14" style="15" hidden="1" customWidth="1"/>
    <col min="9" max="9" width="13.85546875" style="15" hidden="1" customWidth="1"/>
    <col min="10" max="10" width="14.5703125" style="15" customWidth="1"/>
    <col min="11" max="16" width="9.140625" style="15"/>
    <col min="17" max="17" width="14.140625" style="15" customWidth="1"/>
    <col min="18" max="16384" width="9.140625" style="15"/>
  </cols>
  <sheetData>
    <row r="1" spans="1:14" ht="58.5" customHeight="1" x14ac:dyDescent="0.2">
      <c r="G1" s="648" t="s">
        <v>1648</v>
      </c>
      <c r="H1" s="648"/>
      <c r="I1" s="648"/>
      <c r="J1" s="648"/>
    </row>
    <row r="2" spans="1:14" ht="85.5" customHeight="1" x14ac:dyDescent="0.2">
      <c r="G2" s="656" t="s">
        <v>419</v>
      </c>
      <c r="H2" s="656"/>
      <c r="I2" s="656"/>
      <c r="J2" s="656"/>
    </row>
    <row r="3" spans="1:14" ht="21.75" customHeight="1" x14ac:dyDescent="0.2">
      <c r="A3" s="3"/>
      <c r="B3" s="7"/>
      <c r="C3" s="8"/>
      <c r="D3" s="9"/>
      <c r="E3" s="10"/>
      <c r="F3" s="10"/>
      <c r="G3" s="10"/>
      <c r="H3" s="10"/>
      <c r="I3" s="10"/>
      <c r="J3" s="10"/>
    </row>
    <row r="4" spans="1:14" ht="31.5" customHeight="1" x14ac:dyDescent="0.2">
      <c r="A4" s="447" t="s">
        <v>631</v>
      </c>
      <c r="B4" s="655"/>
      <c r="C4" s="655"/>
      <c r="D4" s="655"/>
      <c r="E4" s="655"/>
      <c r="F4" s="447"/>
      <c r="G4" s="447"/>
      <c r="H4" s="447"/>
      <c r="I4" s="447"/>
      <c r="J4" s="447"/>
    </row>
    <row r="5" spans="1:14" ht="18.75" customHeight="1" x14ac:dyDescent="0.2">
      <c r="A5" s="649" t="s">
        <v>68</v>
      </c>
      <c r="B5" s="650" t="s">
        <v>91</v>
      </c>
      <c r="C5" s="621" t="s">
        <v>92</v>
      </c>
      <c r="D5" s="621" t="s">
        <v>93</v>
      </c>
      <c r="E5" s="653" t="s">
        <v>94</v>
      </c>
      <c r="F5" s="621" t="s">
        <v>95</v>
      </c>
      <c r="G5" s="621"/>
      <c r="H5" s="652"/>
      <c r="I5" s="652"/>
      <c r="J5" s="652"/>
    </row>
    <row r="6" spans="1:14" ht="7.5" customHeight="1" x14ac:dyDescent="0.2">
      <c r="A6" s="649"/>
      <c r="B6" s="651"/>
      <c r="C6" s="621"/>
      <c r="D6" s="652"/>
      <c r="E6" s="654"/>
      <c r="F6" s="652"/>
      <c r="G6" s="652"/>
      <c r="H6" s="652"/>
      <c r="I6" s="652"/>
      <c r="J6" s="652"/>
    </row>
    <row r="7" spans="1:14" ht="9" customHeight="1" x14ac:dyDescent="0.2">
      <c r="A7" s="649"/>
      <c r="B7" s="651"/>
      <c r="C7" s="621"/>
      <c r="D7" s="652"/>
      <c r="E7" s="654"/>
      <c r="F7" s="649">
        <v>2021</v>
      </c>
      <c r="G7" s="649">
        <v>2022</v>
      </c>
      <c r="H7" s="649">
        <v>2023</v>
      </c>
      <c r="I7" s="649">
        <v>2024</v>
      </c>
      <c r="J7" s="649">
        <v>2025</v>
      </c>
    </row>
    <row r="8" spans="1:14" ht="12" customHeight="1" x14ac:dyDescent="0.2">
      <c r="A8" s="649"/>
      <c r="B8" s="651"/>
      <c r="C8" s="621"/>
      <c r="D8" s="652"/>
      <c r="E8" s="654"/>
      <c r="F8" s="649"/>
      <c r="G8" s="649"/>
      <c r="H8" s="649"/>
      <c r="I8" s="649"/>
      <c r="J8" s="649"/>
    </row>
    <row r="9" spans="1:14" x14ac:dyDescent="0.2">
      <c r="A9" s="66">
        <v>1</v>
      </c>
      <c r="B9" s="66">
        <v>2</v>
      </c>
      <c r="C9" s="66">
        <v>3</v>
      </c>
      <c r="D9" s="66">
        <v>4</v>
      </c>
      <c r="E9" s="66">
        <v>5</v>
      </c>
      <c r="F9" s="66">
        <v>6</v>
      </c>
      <c r="G9" s="66">
        <v>7</v>
      </c>
      <c r="H9" s="66">
        <v>8</v>
      </c>
      <c r="I9" s="66">
        <v>9</v>
      </c>
      <c r="J9" s="66">
        <v>10</v>
      </c>
    </row>
    <row r="10" spans="1:14" ht="25.5" customHeight="1" x14ac:dyDescent="0.2">
      <c r="A10" s="646" t="s">
        <v>1055</v>
      </c>
      <c r="B10" s="646"/>
      <c r="C10" s="646"/>
      <c r="D10" s="646"/>
      <c r="E10" s="646"/>
      <c r="F10" s="646"/>
      <c r="G10" s="646"/>
      <c r="H10" s="646"/>
      <c r="I10" s="646"/>
      <c r="J10" s="646"/>
    </row>
    <row r="11" spans="1:14" ht="27.75" customHeight="1" x14ac:dyDescent="0.2">
      <c r="A11" s="18" t="s">
        <v>427</v>
      </c>
      <c r="B11" s="618" t="s">
        <v>1056</v>
      </c>
      <c r="C11" s="619"/>
      <c r="D11" s="619"/>
      <c r="E11" s="619"/>
      <c r="F11" s="619"/>
      <c r="G11" s="619"/>
      <c r="H11" s="619"/>
      <c r="I11" s="619"/>
      <c r="J11" s="620"/>
    </row>
    <row r="12" spans="1:14" ht="17.45" customHeight="1" x14ac:dyDescent="0.2">
      <c r="A12" s="647" t="s">
        <v>71</v>
      </c>
      <c r="B12" s="647"/>
      <c r="C12" s="647"/>
      <c r="D12" s="647"/>
      <c r="E12" s="647"/>
      <c r="F12" s="647"/>
      <c r="G12" s="647"/>
      <c r="H12" s="647"/>
      <c r="I12" s="647"/>
      <c r="J12" s="647"/>
    </row>
    <row r="13" spans="1:14" ht="25.15" customHeight="1" x14ac:dyDescent="0.2">
      <c r="A13" s="646" t="s">
        <v>1062</v>
      </c>
      <c r="B13" s="646"/>
      <c r="C13" s="646"/>
      <c r="D13" s="646"/>
      <c r="E13" s="646"/>
      <c r="F13" s="646"/>
      <c r="G13" s="646"/>
      <c r="H13" s="646"/>
      <c r="I13" s="646"/>
      <c r="J13" s="646"/>
    </row>
    <row r="14" spans="1:14" ht="27.75" customHeight="1" x14ac:dyDescent="0.2">
      <c r="A14" s="19" t="s">
        <v>1</v>
      </c>
      <c r="B14" s="618" t="s">
        <v>426</v>
      </c>
      <c r="C14" s="619"/>
      <c r="D14" s="619"/>
      <c r="E14" s="619"/>
      <c r="F14" s="619"/>
      <c r="G14" s="619"/>
      <c r="H14" s="619"/>
      <c r="I14" s="619"/>
      <c r="J14" s="620"/>
    </row>
    <row r="15" spans="1:14" ht="39" customHeight="1" x14ac:dyDescent="0.2">
      <c r="A15" s="78" t="s">
        <v>7</v>
      </c>
      <c r="B15" s="20" t="s">
        <v>119</v>
      </c>
      <c r="C15" s="72" t="s">
        <v>120</v>
      </c>
      <c r="D15" s="21" t="s">
        <v>96</v>
      </c>
      <c r="E15" s="22">
        <v>3</v>
      </c>
      <c r="F15" s="22">
        <f>5+1</f>
        <v>6</v>
      </c>
      <c r="G15" s="23">
        <v>3</v>
      </c>
      <c r="H15" s="23">
        <f>2-1+1</f>
        <v>2</v>
      </c>
      <c r="I15" s="23">
        <f>2-1+1+1</f>
        <v>3</v>
      </c>
      <c r="J15" s="83">
        <f>0+1+2+2+1</f>
        <v>6</v>
      </c>
      <c r="K15" s="24" t="s">
        <v>177</v>
      </c>
    </row>
    <row r="16" spans="1:14" ht="40.5" customHeight="1" x14ac:dyDescent="0.2">
      <c r="A16" s="74" t="s">
        <v>14</v>
      </c>
      <c r="B16" s="25" t="s">
        <v>341</v>
      </c>
      <c r="C16" s="77" t="s">
        <v>405</v>
      </c>
      <c r="D16" s="26" t="s">
        <v>96</v>
      </c>
      <c r="E16" s="27" t="s">
        <v>97</v>
      </c>
      <c r="F16" s="27">
        <v>1</v>
      </c>
      <c r="G16" s="27">
        <v>1</v>
      </c>
      <c r="H16" s="27">
        <f>0+2</f>
        <v>2</v>
      </c>
      <c r="I16" s="27">
        <f>2+1+1+1</f>
        <v>5</v>
      </c>
      <c r="J16" s="82">
        <f>1+1</f>
        <v>2</v>
      </c>
      <c r="K16" s="28" t="s">
        <v>97</v>
      </c>
      <c r="L16" s="29" t="s">
        <v>97</v>
      </c>
      <c r="M16" s="30" t="s">
        <v>97</v>
      </c>
      <c r="N16" s="31" t="s">
        <v>97</v>
      </c>
    </row>
    <row r="17" spans="1:10" ht="41.25" customHeight="1" x14ac:dyDescent="0.2">
      <c r="A17" s="74" t="s">
        <v>25</v>
      </c>
      <c r="B17" s="25" t="s">
        <v>98</v>
      </c>
      <c r="C17" s="77" t="s">
        <v>99</v>
      </c>
      <c r="D17" s="32" t="s">
        <v>96</v>
      </c>
      <c r="E17" s="27">
        <v>9</v>
      </c>
      <c r="F17" s="27">
        <v>11</v>
      </c>
      <c r="G17" s="27">
        <v>11</v>
      </c>
      <c r="H17" s="27">
        <f>11-6+9+12+4+12</f>
        <v>42</v>
      </c>
      <c r="I17" s="27">
        <f>12-1-7+21</f>
        <v>25</v>
      </c>
      <c r="J17" s="27">
        <f>0+12-7-2+14+36+24</f>
        <v>77</v>
      </c>
    </row>
    <row r="18" spans="1:10" ht="27" customHeight="1" x14ac:dyDescent="0.2">
      <c r="A18" s="75" t="s">
        <v>434</v>
      </c>
      <c r="B18" s="33" t="s">
        <v>300</v>
      </c>
      <c r="C18" s="77" t="s">
        <v>406</v>
      </c>
      <c r="D18" s="79" t="s">
        <v>96</v>
      </c>
      <c r="E18" s="27">
        <v>2</v>
      </c>
      <c r="F18" s="27">
        <v>3</v>
      </c>
      <c r="G18" s="27">
        <v>10</v>
      </c>
      <c r="H18" s="27">
        <f>0+1+2-1</f>
        <v>2</v>
      </c>
      <c r="I18" s="27">
        <f>0+5+1-5+1+1</f>
        <v>3</v>
      </c>
      <c r="J18" s="27">
        <f>0+2-1+1+1+1+1-1+1</f>
        <v>5</v>
      </c>
    </row>
    <row r="19" spans="1:10" ht="21" customHeight="1" x14ac:dyDescent="0.2">
      <c r="A19" s="74" t="s">
        <v>435</v>
      </c>
      <c r="B19" s="73" t="s">
        <v>52</v>
      </c>
      <c r="C19" s="77" t="s">
        <v>100</v>
      </c>
      <c r="D19" s="79" t="s">
        <v>96</v>
      </c>
      <c r="E19" s="27">
        <v>5</v>
      </c>
      <c r="F19" s="27">
        <v>12</v>
      </c>
      <c r="G19" s="34">
        <v>3</v>
      </c>
      <c r="H19" s="34">
        <f>10-9+1+3+1</f>
        <v>6</v>
      </c>
      <c r="I19" s="27">
        <f>2+5+3+1</f>
        <v>11</v>
      </c>
      <c r="J19" s="27">
        <f>7-2-3+1+6-1</f>
        <v>8</v>
      </c>
    </row>
    <row r="20" spans="1:10" ht="42.75" customHeight="1" x14ac:dyDescent="0.2">
      <c r="A20" s="74" t="s">
        <v>436</v>
      </c>
      <c r="B20" s="73" t="s">
        <v>301</v>
      </c>
      <c r="C20" s="77" t="s">
        <v>415</v>
      </c>
      <c r="D20" s="35" t="s">
        <v>96</v>
      </c>
      <c r="E20" s="36" t="s">
        <v>97</v>
      </c>
      <c r="F20" s="37">
        <v>2</v>
      </c>
      <c r="G20" s="37">
        <f>1+1</f>
        <v>2</v>
      </c>
      <c r="H20" s="38">
        <f>2+1+2-1+2</f>
        <v>6</v>
      </c>
      <c r="I20" s="38">
        <f>0+2-1+1+3+1</f>
        <v>6</v>
      </c>
      <c r="J20" s="37">
        <f>5+3+1</f>
        <v>9</v>
      </c>
    </row>
    <row r="21" spans="1:10" ht="39" customHeight="1" x14ac:dyDescent="0.2">
      <c r="A21" s="74" t="s">
        <v>437</v>
      </c>
      <c r="B21" s="73" t="s">
        <v>350</v>
      </c>
      <c r="C21" s="77" t="s">
        <v>373</v>
      </c>
      <c r="D21" s="35" t="s">
        <v>96</v>
      </c>
      <c r="E21" s="36" t="s">
        <v>97</v>
      </c>
      <c r="F21" s="37" t="s">
        <v>97</v>
      </c>
      <c r="G21" s="37" t="s">
        <v>97</v>
      </c>
      <c r="H21" s="37">
        <f>0+1</f>
        <v>1</v>
      </c>
      <c r="I21" s="36" t="s">
        <v>97</v>
      </c>
      <c r="J21" s="36" t="s">
        <v>97</v>
      </c>
    </row>
    <row r="22" spans="1:10" ht="28.5" customHeight="1" x14ac:dyDescent="0.2">
      <c r="A22" s="626" t="s">
        <v>525</v>
      </c>
      <c r="B22" s="641" t="s">
        <v>530</v>
      </c>
      <c r="C22" s="77" t="s">
        <v>527</v>
      </c>
      <c r="D22" s="35" t="s">
        <v>96</v>
      </c>
      <c r="E22" s="36" t="s">
        <v>97</v>
      </c>
      <c r="F22" s="37" t="s">
        <v>97</v>
      </c>
      <c r="G22" s="37" t="s">
        <v>97</v>
      </c>
      <c r="H22" s="37">
        <v>1</v>
      </c>
      <c r="I22" s="36" t="s">
        <v>97</v>
      </c>
      <c r="J22" s="36" t="s">
        <v>97</v>
      </c>
    </row>
    <row r="23" spans="1:10" ht="22.5" customHeight="1" x14ac:dyDescent="0.2">
      <c r="A23" s="628"/>
      <c r="B23" s="642"/>
      <c r="C23" s="77" t="s">
        <v>526</v>
      </c>
      <c r="D23" s="35" t="s">
        <v>96</v>
      </c>
      <c r="E23" s="36" t="s">
        <v>97</v>
      </c>
      <c r="F23" s="37" t="s">
        <v>97</v>
      </c>
      <c r="G23" s="37" t="s">
        <v>97</v>
      </c>
      <c r="H23" s="37">
        <v>6</v>
      </c>
      <c r="I23" s="36" t="s">
        <v>97</v>
      </c>
      <c r="J23" s="36" t="s">
        <v>97</v>
      </c>
    </row>
    <row r="24" spans="1:10" ht="22.5" customHeight="1" x14ac:dyDescent="0.2">
      <c r="A24" s="74" t="s">
        <v>560</v>
      </c>
      <c r="B24" s="39" t="s">
        <v>579</v>
      </c>
      <c r="C24" s="77" t="s">
        <v>561</v>
      </c>
      <c r="D24" s="35" t="s">
        <v>96</v>
      </c>
      <c r="E24" s="36" t="s">
        <v>97</v>
      </c>
      <c r="F24" s="37" t="s">
        <v>97</v>
      </c>
      <c r="G24" s="37" t="s">
        <v>97</v>
      </c>
      <c r="H24" s="37" t="s">
        <v>97</v>
      </c>
      <c r="I24" s="27">
        <v>8</v>
      </c>
      <c r="J24" s="27">
        <v>8</v>
      </c>
    </row>
    <row r="25" spans="1:10" ht="22.5" customHeight="1" x14ac:dyDescent="0.2">
      <c r="A25" s="626" t="s">
        <v>1292</v>
      </c>
      <c r="B25" s="641" t="s">
        <v>1340</v>
      </c>
      <c r="C25" s="77" t="s">
        <v>1346</v>
      </c>
      <c r="D25" s="35" t="s">
        <v>96</v>
      </c>
      <c r="E25" s="36" t="s">
        <v>97</v>
      </c>
      <c r="F25" s="36" t="s">
        <v>97</v>
      </c>
      <c r="G25" s="36" t="s">
        <v>97</v>
      </c>
      <c r="H25" s="36" t="s">
        <v>97</v>
      </c>
      <c r="I25" s="27">
        <v>4</v>
      </c>
      <c r="J25" s="37">
        <f>2+1</f>
        <v>3</v>
      </c>
    </row>
    <row r="26" spans="1:10" ht="29.25" customHeight="1" x14ac:dyDescent="0.2">
      <c r="A26" s="628"/>
      <c r="B26" s="642"/>
      <c r="C26" s="77" t="s">
        <v>1345</v>
      </c>
      <c r="D26" s="35" t="s">
        <v>96</v>
      </c>
      <c r="E26" s="36" t="s">
        <v>97</v>
      </c>
      <c r="F26" s="37" t="s">
        <v>97</v>
      </c>
      <c r="G26" s="37" t="s">
        <v>97</v>
      </c>
      <c r="H26" s="37" t="s">
        <v>97</v>
      </c>
      <c r="I26" s="27">
        <v>3</v>
      </c>
      <c r="J26" s="27" t="s">
        <v>97</v>
      </c>
    </row>
    <row r="27" spans="1:10" ht="36" customHeight="1" x14ac:dyDescent="0.2">
      <c r="A27" s="19" t="s">
        <v>9</v>
      </c>
      <c r="B27" s="618" t="s">
        <v>460</v>
      </c>
      <c r="C27" s="619"/>
      <c r="D27" s="619"/>
      <c r="E27" s="619"/>
      <c r="F27" s="619"/>
      <c r="G27" s="619"/>
      <c r="H27" s="619"/>
      <c r="I27" s="619"/>
      <c r="J27" s="620"/>
    </row>
    <row r="28" spans="1:10" ht="19.149999999999999" customHeight="1" x14ac:dyDescent="0.2">
      <c r="A28" s="635" t="s">
        <v>10</v>
      </c>
      <c r="B28" s="636" t="s">
        <v>212</v>
      </c>
      <c r="C28" s="77" t="s">
        <v>199</v>
      </c>
      <c r="D28" s="79" t="s">
        <v>101</v>
      </c>
      <c r="E28" s="40">
        <v>6.79</v>
      </c>
      <c r="F28" s="40">
        <v>6.39</v>
      </c>
      <c r="G28" s="40">
        <v>0.38200000000000001</v>
      </c>
      <c r="H28" s="40">
        <f>0.561-0.2+0.378</f>
        <v>0.7390000000000001</v>
      </c>
      <c r="I28" s="40">
        <f>0.042+0.018+0.776</f>
        <v>0.83600000000000008</v>
      </c>
      <c r="J28" s="40">
        <f>0.09+0.47</f>
        <v>0.55999999999999994</v>
      </c>
    </row>
    <row r="29" spans="1:10" ht="15" customHeight="1" x14ac:dyDescent="0.2">
      <c r="A29" s="635"/>
      <c r="B29" s="636"/>
      <c r="C29" s="77" t="s">
        <v>102</v>
      </c>
      <c r="D29" s="79" t="s">
        <v>96</v>
      </c>
      <c r="E29" s="27">
        <v>41</v>
      </c>
      <c r="F29" s="27">
        <v>50</v>
      </c>
      <c r="G29" s="27">
        <v>12</v>
      </c>
      <c r="H29" s="27">
        <f>12+7+13+5+28</f>
        <v>65</v>
      </c>
      <c r="I29" s="27">
        <f>18-16+2+8+1+49+1</f>
        <v>63</v>
      </c>
      <c r="J29" s="27">
        <f>26-24+2-3+5+52</f>
        <v>58</v>
      </c>
    </row>
    <row r="30" spans="1:10" ht="19.899999999999999" customHeight="1" x14ac:dyDescent="0.2">
      <c r="A30" s="635"/>
      <c r="B30" s="636"/>
      <c r="C30" s="77" t="s">
        <v>284</v>
      </c>
      <c r="D30" s="79" t="s">
        <v>96</v>
      </c>
      <c r="E30" s="27">
        <v>460</v>
      </c>
      <c r="F30" s="27">
        <v>483</v>
      </c>
      <c r="G30" s="27">
        <v>590</v>
      </c>
      <c r="H30" s="27">
        <f>590-429+28+14+14</f>
        <v>217</v>
      </c>
      <c r="I30" s="27">
        <f>130-110+11+113+121+206+133+8</f>
        <v>612</v>
      </c>
      <c r="J30" s="27">
        <f>130-110-5+13+1903+59+322</f>
        <v>2312</v>
      </c>
    </row>
    <row r="31" spans="1:10" ht="40.5" customHeight="1" x14ac:dyDescent="0.2">
      <c r="A31" s="74" t="s">
        <v>11</v>
      </c>
      <c r="B31" s="73" t="s">
        <v>103</v>
      </c>
      <c r="C31" s="77" t="s">
        <v>407</v>
      </c>
      <c r="D31" s="79" t="s">
        <v>96</v>
      </c>
      <c r="E31" s="41" t="s">
        <v>97</v>
      </c>
      <c r="F31" s="27" t="s">
        <v>97</v>
      </c>
      <c r="G31" s="27" t="s">
        <v>97</v>
      </c>
      <c r="H31" s="27" t="s">
        <v>97</v>
      </c>
      <c r="I31" s="27">
        <f>7+22-26+1</f>
        <v>4</v>
      </c>
      <c r="J31" s="27">
        <f>0+1+9-1</f>
        <v>9</v>
      </c>
    </row>
    <row r="32" spans="1:10" ht="41.45" customHeight="1" x14ac:dyDescent="0.2">
      <c r="A32" s="74" t="s">
        <v>16</v>
      </c>
      <c r="B32" s="73" t="s">
        <v>208</v>
      </c>
      <c r="C32" s="77" t="s">
        <v>285</v>
      </c>
      <c r="D32" s="79" t="s">
        <v>96</v>
      </c>
      <c r="E32" s="27">
        <v>4</v>
      </c>
      <c r="F32" s="27">
        <v>2</v>
      </c>
      <c r="G32" s="27">
        <f>1+1</f>
        <v>2</v>
      </c>
      <c r="H32" s="27">
        <v>1</v>
      </c>
      <c r="I32" s="27" t="s">
        <v>97</v>
      </c>
      <c r="J32" s="27">
        <v>1</v>
      </c>
    </row>
    <row r="33" spans="1:11" ht="39.75" customHeight="1" x14ac:dyDescent="0.2">
      <c r="A33" s="74" t="s">
        <v>439</v>
      </c>
      <c r="B33" s="73" t="s">
        <v>217</v>
      </c>
      <c r="C33" s="77" t="s">
        <v>408</v>
      </c>
      <c r="D33" s="79" t="s">
        <v>96</v>
      </c>
      <c r="E33" s="41" t="s">
        <v>97</v>
      </c>
      <c r="F33" s="41" t="s">
        <v>97</v>
      </c>
      <c r="G33" s="27">
        <v>3</v>
      </c>
      <c r="H33" s="27">
        <f>5-4</f>
        <v>1</v>
      </c>
      <c r="I33" s="27" t="s">
        <v>97</v>
      </c>
      <c r="J33" s="82" t="s">
        <v>97</v>
      </c>
    </row>
    <row r="34" spans="1:11" ht="29.45" customHeight="1" x14ac:dyDescent="0.2">
      <c r="A34" s="74" t="s">
        <v>440</v>
      </c>
      <c r="B34" s="73" t="s">
        <v>209</v>
      </c>
      <c r="C34" s="77" t="s">
        <v>210</v>
      </c>
      <c r="D34" s="79" t="s">
        <v>96</v>
      </c>
      <c r="E34" s="41" t="s">
        <v>97</v>
      </c>
      <c r="F34" s="27">
        <v>1</v>
      </c>
      <c r="G34" s="27">
        <f>5-3</f>
        <v>2</v>
      </c>
      <c r="H34" s="27">
        <v>1</v>
      </c>
      <c r="I34" s="27" t="s">
        <v>97</v>
      </c>
      <c r="J34" s="27" t="s">
        <v>97</v>
      </c>
      <c r="K34" s="24" t="s">
        <v>135</v>
      </c>
    </row>
    <row r="35" spans="1:11" ht="33" customHeight="1" x14ac:dyDescent="0.2">
      <c r="A35" s="74" t="s">
        <v>441</v>
      </c>
      <c r="B35" s="73" t="s">
        <v>214</v>
      </c>
      <c r="C35" s="77" t="s">
        <v>216</v>
      </c>
      <c r="D35" s="79" t="s">
        <v>96</v>
      </c>
      <c r="E35" s="41" t="s">
        <v>97</v>
      </c>
      <c r="F35" s="27">
        <v>734</v>
      </c>
      <c r="G35" s="34">
        <f>534+28+604+42</f>
        <v>1208</v>
      </c>
      <c r="H35" s="27">
        <f>534+629+390</f>
        <v>1553</v>
      </c>
      <c r="I35" s="27">
        <f>534+1455-994+1736</f>
        <v>2731</v>
      </c>
      <c r="J35" s="27" t="s">
        <v>97</v>
      </c>
      <c r="K35" s="24"/>
    </row>
    <row r="36" spans="1:11" ht="26.25" customHeight="1" x14ac:dyDescent="0.2">
      <c r="A36" s="75" t="s">
        <v>442</v>
      </c>
      <c r="B36" s="71" t="s">
        <v>1335</v>
      </c>
      <c r="C36" s="77" t="s">
        <v>1336</v>
      </c>
      <c r="D36" s="79" t="s">
        <v>104</v>
      </c>
      <c r="E36" s="27" t="s">
        <v>97</v>
      </c>
      <c r="F36" s="41" t="s">
        <v>97</v>
      </c>
      <c r="G36" s="42" t="s">
        <v>97</v>
      </c>
      <c r="H36" s="41" t="s">
        <v>97</v>
      </c>
      <c r="I36" s="27">
        <v>4</v>
      </c>
      <c r="J36" s="27" t="s">
        <v>97</v>
      </c>
      <c r="K36" s="43" t="s">
        <v>178</v>
      </c>
    </row>
    <row r="37" spans="1:11" ht="42.6" customHeight="1" x14ac:dyDescent="0.2">
      <c r="A37" s="74" t="s">
        <v>443</v>
      </c>
      <c r="B37" s="73" t="s">
        <v>105</v>
      </c>
      <c r="C37" s="77" t="s">
        <v>106</v>
      </c>
      <c r="D37" s="79" t="s">
        <v>96</v>
      </c>
      <c r="E37" s="27">
        <v>61</v>
      </c>
      <c r="F37" s="27">
        <v>41</v>
      </c>
      <c r="G37" s="34">
        <f>43-21</f>
        <v>22</v>
      </c>
      <c r="H37" s="27">
        <f>47-25+7</f>
        <v>29</v>
      </c>
      <c r="I37" s="27">
        <f>22+8</f>
        <v>30</v>
      </c>
      <c r="J37" s="27">
        <v>8</v>
      </c>
    </row>
    <row r="38" spans="1:11" ht="42.6" customHeight="1" x14ac:dyDescent="0.2">
      <c r="A38" s="626" t="s">
        <v>444</v>
      </c>
      <c r="B38" s="641" t="s">
        <v>417</v>
      </c>
      <c r="C38" s="77" t="s">
        <v>374</v>
      </c>
      <c r="D38" s="79" t="s">
        <v>96</v>
      </c>
      <c r="E38" s="27" t="s">
        <v>97</v>
      </c>
      <c r="F38" s="27" t="s">
        <v>97</v>
      </c>
      <c r="G38" s="34">
        <f>5-1</f>
        <v>4</v>
      </c>
      <c r="H38" s="27">
        <f>0+2-1+1+1</f>
        <v>3</v>
      </c>
      <c r="I38" s="27">
        <f>0+1+10</f>
        <v>11</v>
      </c>
      <c r="J38" s="27">
        <f>3+14+13+6</f>
        <v>36</v>
      </c>
    </row>
    <row r="39" spans="1:11" ht="42.6" customHeight="1" x14ac:dyDescent="0.2">
      <c r="A39" s="628"/>
      <c r="B39" s="642"/>
      <c r="C39" s="77" t="s">
        <v>1499</v>
      </c>
      <c r="D39" s="79" t="s">
        <v>96</v>
      </c>
      <c r="E39" s="27" t="s">
        <v>97</v>
      </c>
      <c r="F39" s="27" t="s">
        <v>97</v>
      </c>
      <c r="G39" s="27" t="s">
        <v>97</v>
      </c>
      <c r="H39" s="27" t="s">
        <v>97</v>
      </c>
      <c r="I39" s="27" t="s">
        <v>97</v>
      </c>
      <c r="J39" s="27">
        <f>3+1</f>
        <v>4</v>
      </c>
    </row>
    <row r="40" spans="1:11" ht="27" customHeight="1" x14ac:dyDescent="0.2">
      <c r="A40" s="637" t="s">
        <v>445</v>
      </c>
      <c r="B40" s="639" t="s">
        <v>597</v>
      </c>
      <c r="C40" s="77" t="s">
        <v>409</v>
      </c>
      <c r="D40" s="79" t="s">
        <v>96</v>
      </c>
      <c r="E40" s="27" t="s">
        <v>97</v>
      </c>
      <c r="F40" s="27" t="s">
        <v>97</v>
      </c>
      <c r="G40" s="44">
        <v>1</v>
      </c>
      <c r="H40" s="27">
        <f>0+1</f>
        <v>1</v>
      </c>
      <c r="I40" s="27" t="s">
        <v>97</v>
      </c>
      <c r="J40" s="27" t="s">
        <v>97</v>
      </c>
    </row>
    <row r="41" spans="1:11" ht="27" customHeight="1" x14ac:dyDescent="0.2">
      <c r="A41" s="638"/>
      <c r="B41" s="640"/>
      <c r="C41" s="77" t="s">
        <v>598</v>
      </c>
      <c r="D41" s="79" t="s">
        <v>96</v>
      </c>
      <c r="E41" s="27" t="s">
        <v>97</v>
      </c>
      <c r="F41" s="27" t="s">
        <v>97</v>
      </c>
      <c r="G41" s="44" t="s">
        <v>97</v>
      </c>
      <c r="H41" s="27" t="s">
        <v>97</v>
      </c>
      <c r="I41" s="27">
        <v>1</v>
      </c>
      <c r="J41" s="27" t="s">
        <v>97</v>
      </c>
    </row>
    <row r="42" spans="1:11" ht="45.75" customHeight="1" x14ac:dyDescent="0.2">
      <c r="A42" s="626" t="s">
        <v>446</v>
      </c>
      <c r="B42" s="639" t="s">
        <v>392</v>
      </c>
      <c r="C42" s="77" t="s">
        <v>395</v>
      </c>
      <c r="D42" s="79" t="s">
        <v>96</v>
      </c>
      <c r="E42" s="27" t="s">
        <v>97</v>
      </c>
      <c r="F42" s="27" t="s">
        <v>97</v>
      </c>
      <c r="G42" s="44">
        <v>9</v>
      </c>
      <c r="H42" s="27" t="s">
        <v>97</v>
      </c>
      <c r="I42" s="27">
        <v>2</v>
      </c>
      <c r="J42" s="27" t="s">
        <v>97</v>
      </c>
    </row>
    <row r="43" spans="1:11" ht="45.75" customHeight="1" x14ac:dyDescent="0.2">
      <c r="A43" s="628"/>
      <c r="B43" s="640"/>
      <c r="C43" s="77" t="s">
        <v>1367</v>
      </c>
      <c r="D43" s="79" t="s">
        <v>108</v>
      </c>
      <c r="E43" s="27" t="s">
        <v>97</v>
      </c>
      <c r="F43" s="27" t="s">
        <v>97</v>
      </c>
      <c r="G43" s="27" t="s">
        <v>97</v>
      </c>
      <c r="H43" s="27" t="s">
        <v>97</v>
      </c>
      <c r="I43" s="27" t="s">
        <v>97</v>
      </c>
      <c r="J43" s="27" t="s">
        <v>97</v>
      </c>
    </row>
    <row r="44" spans="1:11" ht="17.25" customHeight="1" x14ac:dyDescent="0.2">
      <c r="A44" s="626" t="s">
        <v>447</v>
      </c>
      <c r="B44" s="643" t="s">
        <v>396</v>
      </c>
      <c r="C44" s="77" t="s">
        <v>199</v>
      </c>
      <c r="D44" s="79" t="s">
        <v>101</v>
      </c>
      <c r="E44" s="27" t="s">
        <v>97</v>
      </c>
      <c r="F44" s="27" t="s">
        <v>97</v>
      </c>
      <c r="G44" s="41">
        <v>0.04</v>
      </c>
      <c r="H44" s="27" t="s">
        <v>97</v>
      </c>
      <c r="I44" s="27" t="s">
        <v>97</v>
      </c>
      <c r="J44" s="27" t="s">
        <v>97</v>
      </c>
    </row>
    <row r="45" spans="1:11" ht="17.25" customHeight="1" x14ac:dyDescent="0.2">
      <c r="A45" s="627"/>
      <c r="B45" s="644"/>
      <c r="C45" s="77" t="s">
        <v>102</v>
      </c>
      <c r="D45" s="79" t="s">
        <v>96</v>
      </c>
      <c r="E45" s="27" t="s">
        <v>97</v>
      </c>
      <c r="F45" s="27" t="s">
        <v>97</v>
      </c>
      <c r="G45" s="27">
        <v>8</v>
      </c>
      <c r="H45" s="27">
        <f>3</f>
        <v>3</v>
      </c>
      <c r="I45" s="27">
        <f>1+1</f>
        <v>2</v>
      </c>
      <c r="J45" s="27" t="s">
        <v>97</v>
      </c>
    </row>
    <row r="46" spans="1:11" ht="17.25" customHeight="1" x14ac:dyDescent="0.2">
      <c r="A46" s="627"/>
      <c r="B46" s="644"/>
      <c r="C46" s="77" t="s">
        <v>215</v>
      </c>
      <c r="D46" s="79" t="s">
        <v>96</v>
      </c>
      <c r="E46" s="27" t="s">
        <v>97</v>
      </c>
      <c r="F46" s="27" t="s">
        <v>97</v>
      </c>
      <c r="G46" s="27">
        <v>162</v>
      </c>
      <c r="H46" s="27">
        <f>77+1</f>
        <v>78</v>
      </c>
      <c r="I46" s="27" t="s">
        <v>97</v>
      </c>
      <c r="J46" s="27" t="s">
        <v>97</v>
      </c>
    </row>
    <row r="47" spans="1:11" ht="17.25" customHeight="1" x14ac:dyDescent="0.2">
      <c r="A47" s="628"/>
      <c r="B47" s="645"/>
      <c r="C47" s="77" t="s">
        <v>1501</v>
      </c>
      <c r="D47" s="79" t="s">
        <v>1502</v>
      </c>
      <c r="E47" s="27" t="s">
        <v>97</v>
      </c>
      <c r="F47" s="27" t="s">
        <v>97</v>
      </c>
      <c r="G47" s="27" t="s">
        <v>97</v>
      </c>
      <c r="H47" s="27" t="s">
        <v>97</v>
      </c>
      <c r="I47" s="27" t="s">
        <v>97</v>
      </c>
      <c r="J47" s="45">
        <v>164.1</v>
      </c>
    </row>
    <row r="48" spans="1:11" ht="30.6" customHeight="1" x14ac:dyDescent="0.2">
      <c r="A48" s="19" t="s">
        <v>15</v>
      </c>
      <c r="B48" s="618" t="s">
        <v>461</v>
      </c>
      <c r="C48" s="619"/>
      <c r="D48" s="619"/>
      <c r="E48" s="619"/>
      <c r="F48" s="619"/>
      <c r="G48" s="619"/>
      <c r="H48" s="619"/>
      <c r="I48" s="619"/>
      <c r="J48" s="620"/>
    </row>
    <row r="49" spans="1:30" ht="29.25" customHeight="1" x14ac:dyDescent="0.2">
      <c r="A49" s="74" t="s">
        <v>125</v>
      </c>
      <c r="B49" s="73" t="s">
        <v>47</v>
      </c>
      <c r="C49" s="77" t="s">
        <v>107</v>
      </c>
      <c r="D49" s="46" t="s">
        <v>108</v>
      </c>
      <c r="E49" s="45">
        <v>98.9</v>
      </c>
      <c r="F49" s="45">
        <v>99.5</v>
      </c>
      <c r="G49" s="45">
        <v>99.5</v>
      </c>
      <c r="H49" s="45">
        <v>99.5</v>
      </c>
      <c r="I49" s="45" t="s">
        <v>578</v>
      </c>
      <c r="J49" s="45" t="s">
        <v>578</v>
      </c>
    </row>
    <row r="50" spans="1:30" ht="29.25" customHeight="1" x14ac:dyDescent="0.2">
      <c r="A50" s="19" t="s">
        <v>1303</v>
      </c>
      <c r="B50" s="618" t="s">
        <v>1317</v>
      </c>
      <c r="C50" s="619"/>
      <c r="D50" s="619"/>
      <c r="E50" s="619"/>
      <c r="F50" s="619"/>
      <c r="G50" s="619"/>
      <c r="H50" s="619"/>
      <c r="I50" s="619"/>
      <c r="J50" s="620"/>
    </row>
    <row r="51" spans="1:30" ht="66.75" customHeight="1" x14ac:dyDescent="0.2">
      <c r="A51" s="66" t="s">
        <v>1304</v>
      </c>
      <c r="B51" s="6" t="s">
        <v>1312</v>
      </c>
      <c r="C51" s="6" t="s">
        <v>1318</v>
      </c>
      <c r="D51" s="70" t="s">
        <v>104</v>
      </c>
      <c r="E51" s="37" t="s">
        <v>97</v>
      </c>
      <c r="F51" s="37" t="s">
        <v>97</v>
      </c>
      <c r="G51" s="37" t="s">
        <v>97</v>
      </c>
      <c r="H51" s="37" t="s">
        <v>97</v>
      </c>
      <c r="I51" s="70">
        <v>1</v>
      </c>
      <c r="J51" s="70">
        <v>1</v>
      </c>
    </row>
    <row r="52" spans="1:30" ht="111.75" customHeight="1" x14ac:dyDescent="0.2">
      <c r="A52" s="66" t="s">
        <v>1305</v>
      </c>
      <c r="B52" s="6" t="s">
        <v>1339</v>
      </c>
      <c r="C52" s="6" t="s">
        <v>1319</v>
      </c>
      <c r="D52" s="70" t="s">
        <v>104</v>
      </c>
      <c r="E52" s="37" t="s">
        <v>97</v>
      </c>
      <c r="F52" s="37" t="s">
        <v>97</v>
      </c>
      <c r="G52" s="37" t="s">
        <v>97</v>
      </c>
      <c r="H52" s="37" t="s">
        <v>97</v>
      </c>
      <c r="I52" s="70">
        <v>1</v>
      </c>
      <c r="J52" s="70">
        <v>1</v>
      </c>
    </row>
    <row r="53" spans="1:30" ht="68.25" customHeight="1" x14ac:dyDescent="0.2">
      <c r="A53" s="66" t="s">
        <v>1306</v>
      </c>
      <c r="B53" s="6" t="s">
        <v>1311</v>
      </c>
      <c r="C53" s="6" t="s">
        <v>1320</v>
      </c>
      <c r="D53" s="70" t="s">
        <v>104</v>
      </c>
      <c r="E53" s="37" t="s">
        <v>97</v>
      </c>
      <c r="F53" s="37" t="s">
        <v>97</v>
      </c>
      <c r="G53" s="37" t="s">
        <v>97</v>
      </c>
      <c r="H53" s="37" t="s">
        <v>97</v>
      </c>
      <c r="I53" s="70">
        <v>1</v>
      </c>
      <c r="J53" s="70">
        <v>1</v>
      </c>
    </row>
    <row r="54" spans="1:30" ht="48.75" customHeight="1" x14ac:dyDescent="0.2">
      <c r="A54" s="66" t="s">
        <v>1307</v>
      </c>
      <c r="B54" s="6" t="s">
        <v>1511</v>
      </c>
      <c r="C54" s="6" t="s">
        <v>1324</v>
      </c>
      <c r="D54" s="69" t="s">
        <v>108</v>
      </c>
      <c r="E54" s="37" t="s">
        <v>97</v>
      </c>
      <c r="F54" s="37" t="s">
        <v>97</v>
      </c>
      <c r="G54" s="37" t="s">
        <v>97</v>
      </c>
      <c r="H54" s="37" t="s">
        <v>97</v>
      </c>
      <c r="I54" s="70">
        <v>100</v>
      </c>
      <c r="J54" s="70">
        <v>100</v>
      </c>
    </row>
    <row r="55" spans="1:30" ht="29.25" customHeight="1" x14ac:dyDescent="0.2">
      <c r="A55" s="66" t="s">
        <v>1308</v>
      </c>
      <c r="B55" s="6" t="s">
        <v>1321</v>
      </c>
      <c r="C55" s="6" t="s">
        <v>1322</v>
      </c>
      <c r="D55" s="69" t="s">
        <v>108</v>
      </c>
      <c r="E55" s="37" t="s">
        <v>97</v>
      </c>
      <c r="F55" s="37" t="s">
        <v>97</v>
      </c>
      <c r="G55" s="37" t="s">
        <v>97</v>
      </c>
      <c r="H55" s="37" t="s">
        <v>97</v>
      </c>
      <c r="I55" s="70">
        <v>100</v>
      </c>
      <c r="J55" s="70">
        <v>100</v>
      </c>
    </row>
    <row r="56" spans="1:30" ht="29.25" customHeight="1" x14ac:dyDescent="0.2">
      <c r="A56" s="66" t="s">
        <v>1309</v>
      </c>
      <c r="B56" s="6" t="s">
        <v>1323</v>
      </c>
      <c r="C56" s="6" t="s">
        <v>1322</v>
      </c>
      <c r="D56" s="69" t="s">
        <v>108</v>
      </c>
      <c r="E56" s="37" t="s">
        <v>97</v>
      </c>
      <c r="F56" s="37" t="s">
        <v>97</v>
      </c>
      <c r="G56" s="37" t="s">
        <v>97</v>
      </c>
      <c r="H56" s="37" t="s">
        <v>97</v>
      </c>
      <c r="I56" s="70">
        <v>100</v>
      </c>
      <c r="J56" s="70">
        <v>100</v>
      </c>
    </row>
    <row r="57" spans="1:30" ht="57" customHeight="1" x14ac:dyDescent="0.2">
      <c r="A57" s="66" t="s">
        <v>1325</v>
      </c>
      <c r="B57" s="6" t="s">
        <v>1328</v>
      </c>
      <c r="C57" s="6" t="s">
        <v>1329</v>
      </c>
      <c r="D57" s="69" t="s">
        <v>108</v>
      </c>
      <c r="E57" s="37" t="s">
        <v>97</v>
      </c>
      <c r="F57" s="37" t="s">
        <v>97</v>
      </c>
      <c r="G57" s="37" t="s">
        <v>97</v>
      </c>
      <c r="H57" s="37" t="s">
        <v>97</v>
      </c>
      <c r="I57" s="70" t="s">
        <v>1332</v>
      </c>
      <c r="J57" s="70" t="s">
        <v>1332</v>
      </c>
    </row>
    <row r="58" spans="1:30" ht="62.25" customHeight="1" x14ac:dyDescent="0.2">
      <c r="A58" s="66" t="s">
        <v>1326</v>
      </c>
      <c r="B58" s="6" t="s">
        <v>1381</v>
      </c>
      <c r="C58" s="6" t="s">
        <v>1327</v>
      </c>
      <c r="D58" s="69" t="s">
        <v>104</v>
      </c>
      <c r="E58" s="37" t="s">
        <v>97</v>
      </c>
      <c r="F58" s="37" t="s">
        <v>97</v>
      </c>
      <c r="G58" s="37" t="s">
        <v>97</v>
      </c>
      <c r="H58" s="37" t="s">
        <v>97</v>
      </c>
      <c r="I58" s="70" t="s">
        <v>1331</v>
      </c>
      <c r="J58" s="70" t="s">
        <v>1331</v>
      </c>
    </row>
    <row r="59" spans="1:30" ht="45.6" customHeight="1" x14ac:dyDescent="0.2">
      <c r="A59" s="19" t="s">
        <v>428</v>
      </c>
      <c r="B59" s="618" t="s">
        <v>1060</v>
      </c>
      <c r="C59" s="619"/>
      <c r="D59" s="619"/>
      <c r="E59" s="619"/>
      <c r="F59" s="619"/>
      <c r="G59" s="619"/>
      <c r="H59" s="619"/>
      <c r="I59" s="619"/>
      <c r="J59" s="620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ht="33.6" customHeight="1" x14ac:dyDescent="0.2">
      <c r="A60" s="633" t="s">
        <v>189</v>
      </c>
      <c r="B60" s="633"/>
      <c r="C60" s="633"/>
      <c r="D60" s="633"/>
      <c r="E60" s="633"/>
      <c r="F60" s="633"/>
      <c r="G60" s="633"/>
      <c r="H60" s="633"/>
      <c r="I60" s="633"/>
      <c r="J60" s="633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ht="44.45" customHeight="1" x14ac:dyDescent="0.2">
      <c r="A61" s="634" t="s">
        <v>1048</v>
      </c>
      <c r="B61" s="634"/>
      <c r="C61" s="634"/>
      <c r="D61" s="634"/>
      <c r="E61" s="634"/>
      <c r="F61" s="634"/>
      <c r="G61" s="634"/>
      <c r="H61" s="634"/>
      <c r="I61" s="634"/>
      <c r="J61" s="634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43.9" customHeight="1" x14ac:dyDescent="0.2">
      <c r="A62" s="19" t="s">
        <v>2</v>
      </c>
      <c r="B62" s="618" t="s">
        <v>1063</v>
      </c>
      <c r="C62" s="619"/>
      <c r="D62" s="619"/>
      <c r="E62" s="619"/>
      <c r="F62" s="619"/>
      <c r="G62" s="619"/>
      <c r="H62" s="619"/>
      <c r="I62" s="619"/>
      <c r="J62" s="620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45" customHeight="1" x14ac:dyDescent="0.2">
      <c r="A63" s="662" t="s">
        <v>8</v>
      </c>
      <c r="B63" s="665" t="s">
        <v>595</v>
      </c>
      <c r="C63" s="73" t="s">
        <v>181</v>
      </c>
      <c r="D63" s="79" t="s">
        <v>111</v>
      </c>
      <c r="E63" s="47">
        <v>0.1</v>
      </c>
      <c r="F63" s="79">
        <v>3.06</v>
      </c>
      <c r="G63" s="48">
        <f>1.31-1.1-0.2</f>
        <v>9.9999999999999534E-3</v>
      </c>
      <c r="H63" s="48">
        <f>0+1.69-1.48</f>
        <v>0.20999999999999996</v>
      </c>
      <c r="I63" s="49">
        <f>0.968+0.57-0.57</f>
        <v>0.96799999999999986</v>
      </c>
      <c r="J63" s="48" t="s">
        <v>97</v>
      </c>
      <c r="K63" s="50">
        <v>3.2</v>
      </c>
    </row>
    <row r="64" spans="1:30" ht="45" customHeight="1" x14ac:dyDescent="0.2">
      <c r="A64" s="662"/>
      <c r="B64" s="665"/>
      <c r="C64" s="73" t="s">
        <v>327</v>
      </c>
      <c r="D64" s="79" t="s">
        <v>96</v>
      </c>
      <c r="E64" s="51" t="s">
        <v>97</v>
      </c>
      <c r="F64" s="79">
        <v>4</v>
      </c>
      <c r="G64" s="79" t="s">
        <v>97</v>
      </c>
      <c r="H64" s="79" t="s">
        <v>97</v>
      </c>
      <c r="I64" s="79" t="s">
        <v>97</v>
      </c>
      <c r="J64" s="79" t="s">
        <v>97</v>
      </c>
      <c r="K64" s="50"/>
    </row>
    <row r="65" spans="1:12" ht="30" customHeight="1" x14ac:dyDescent="0.2">
      <c r="A65" s="626" t="s">
        <v>36</v>
      </c>
      <c r="B65" s="639" t="s">
        <v>580</v>
      </c>
      <c r="C65" s="73" t="s">
        <v>182</v>
      </c>
      <c r="D65" s="79" t="s">
        <v>111</v>
      </c>
      <c r="E65" s="51" t="s">
        <v>97</v>
      </c>
      <c r="F65" s="79">
        <v>1</v>
      </c>
      <c r="G65" s="52">
        <f>0.45-0.42</f>
        <v>3.0000000000000027E-2</v>
      </c>
      <c r="H65" s="79">
        <v>1.96</v>
      </c>
      <c r="I65" s="79" t="s">
        <v>97</v>
      </c>
      <c r="J65" s="48" t="s">
        <v>97</v>
      </c>
      <c r="K65" s="50">
        <v>0.69</v>
      </c>
    </row>
    <row r="66" spans="1:12" ht="30" customHeight="1" x14ac:dyDescent="0.2">
      <c r="A66" s="627"/>
      <c r="B66" s="664"/>
      <c r="C66" s="73" t="s">
        <v>576</v>
      </c>
      <c r="D66" s="79" t="s">
        <v>96</v>
      </c>
      <c r="E66" s="51" t="s">
        <v>97</v>
      </c>
      <c r="F66" s="79" t="s">
        <v>97</v>
      </c>
      <c r="G66" s="52" t="s">
        <v>97</v>
      </c>
      <c r="H66" s="79" t="s">
        <v>97</v>
      </c>
      <c r="I66" s="79">
        <v>1</v>
      </c>
      <c r="J66" s="48" t="s">
        <v>97</v>
      </c>
      <c r="K66" s="53"/>
    </row>
    <row r="67" spans="1:12" ht="43.5" customHeight="1" x14ac:dyDescent="0.2">
      <c r="A67" s="627"/>
      <c r="B67" s="664"/>
      <c r="C67" s="73" t="s">
        <v>324</v>
      </c>
      <c r="D67" s="79" t="s">
        <v>96</v>
      </c>
      <c r="E67" s="51" t="s">
        <v>97</v>
      </c>
      <c r="F67" s="79">
        <v>1</v>
      </c>
      <c r="G67" s="51" t="s">
        <v>97</v>
      </c>
      <c r="H67" s="79">
        <v>1</v>
      </c>
      <c r="I67" s="79" t="s">
        <v>97</v>
      </c>
      <c r="J67" s="79" t="s">
        <v>97</v>
      </c>
      <c r="K67" s="53"/>
    </row>
    <row r="68" spans="1:12" ht="45" customHeight="1" x14ac:dyDescent="0.2">
      <c r="A68" s="626" t="s">
        <v>124</v>
      </c>
      <c r="B68" s="639" t="s">
        <v>381</v>
      </c>
      <c r="C68" s="25" t="s">
        <v>1315</v>
      </c>
      <c r="D68" s="79" t="s">
        <v>96</v>
      </c>
      <c r="E68" s="51" t="s">
        <v>97</v>
      </c>
      <c r="F68" s="79">
        <v>6</v>
      </c>
      <c r="G68" s="79">
        <f>7-5</f>
        <v>2</v>
      </c>
      <c r="H68" s="79">
        <v>1</v>
      </c>
      <c r="I68" s="79">
        <v>2</v>
      </c>
      <c r="J68" s="79">
        <f>2-1+1</f>
        <v>2</v>
      </c>
      <c r="K68" s="54">
        <v>1</v>
      </c>
    </row>
    <row r="69" spans="1:12" ht="45" customHeight="1" x14ac:dyDescent="0.2">
      <c r="A69" s="627"/>
      <c r="B69" s="664"/>
      <c r="C69" s="25" t="s">
        <v>183</v>
      </c>
      <c r="D69" s="79" t="s">
        <v>96</v>
      </c>
      <c r="E69" s="51" t="s">
        <v>97</v>
      </c>
      <c r="F69" s="79">
        <v>3</v>
      </c>
      <c r="G69" s="79">
        <v>2</v>
      </c>
      <c r="H69" s="79">
        <f>0+2+2-2</f>
        <v>2</v>
      </c>
      <c r="I69" s="79">
        <f>3-2+2-1</f>
        <v>2</v>
      </c>
      <c r="J69" s="79" t="s">
        <v>97</v>
      </c>
      <c r="K69" s="54">
        <v>1</v>
      </c>
    </row>
    <row r="70" spans="1:12" ht="30.75" customHeight="1" x14ac:dyDescent="0.2">
      <c r="A70" s="627"/>
      <c r="B70" s="664"/>
      <c r="C70" s="25" t="s">
        <v>362</v>
      </c>
      <c r="D70" s="79" t="s">
        <v>96</v>
      </c>
      <c r="E70" s="51" t="s">
        <v>97</v>
      </c>
      <c r="F70" s="51">
        <v>1</v>
      </c>
      <c r="G70" s="51" t="s">
        <v>97</v>
      </c>
      <c r="H70" s="51" t="s">
        <v>97</v>
      </c>
      <c r="I70" s="51" t="s">
        <v>97</v>
      </c>
      <c r="J70" s="51" t="s">
        <v>97</v>
      </c>
      <c r="K70" s="54">
        <v>7</v>
      </c>
    </row>
    <row r="71" spans="1:12" ht="43.15" customHeight="1" x14ac:dyDescent="0.2">
      <c r="A71" s="627"/>
      <c r="B71" s="664"/>
      <c r="C71" s="25" t="s">
        <v>155</v>
      </c>
      <c r="D71" s="79" t="s">
        <v>96</v>
      </c>
      <c r="E71" s="79">
        <v>1</v>
      </c>
      <c r="F71" s="79">
        <v>2</v>
      </c>
      <c r="G71" s="79">
        <v>1</v>
      </c>
      <c r="H71" s="79" t="s">
        <v>97</v>
      </c>
      <c r="I71" s="79" t="s">
        <v>97</v>
      </c>
      <c r="J71" s="79">
        <f>2-1</f>
        <v>1</v>
      </c>
      <c r="K71" s="54"/>
    </row>
    <row r="72" spans="1:12" ht="45.75" customHeight="1" x14ac:dyDescent="0.2">
      <c r="A72" s="627"/>
      <c r="B72" s="664"/>
      <c r="C72" s="25" t="s">
        <v>180</v>
      </c>
      <c r="D72" s="79" t="s">
        <v>111</v>
      </c>
      <c r="E72" s="79">
        <v>33.46</v>
      </c>
      <c r="F72" s="51" t="s">
        <v>97</v>
      </c>
      <c r="G72" s="48" t="s">
        <v>97</v>
      </c>
      <c r="H72" s="48" t="s">
        <v>97</v>
      </c>
      <c r="I72" s="55" t="s">
        <v>97</v>
      </c>
      <c r="J72" s="55" t="s">
        <v>97</v>
      </c>
      <c r="K72" s="54"/>
    </row>
    <row r="73" spans="1:12" ht="29.25" customHeight="1" x14ac:dyDescent="0.2">
      <c r="A73" s="627"/>
      <c r="B73" s="664"/>
      <c r="C73" s="73" t="s">
        <v>1314</v>
      </c>
      <c r="D73" s="79" t="s">
        <v>96</v>
      </c>
      <c r="E73" s="51" t="s">
        <v>97</v>
      </c>
      <c r="F73" s="79" t="s">
        <v>97</v>
      </c>
      <c r="G73" s="51">
        <v>1</v>
      </c>
      <c r="H73" s="79" t="s">
        <v>97</v>
      </c>
      <c r="I73" s="79">
        <v>1</v>
      </c>
      <c r="J73" s="79" t="s">
        <v>97</v>
      </c>
      <c r="K73" s="54"/>
    </row>
    <row r="74" spans="1:12" ht="29.25" customHeight="1" x14ac:dyDescent="0.2">
      <c r="A74" s="76"/>
      <c r="B74" s="80"/>
      <c r="C74" s="73" t="s">
        <v>376</v>
      </c>
      <c r="D74" s="79" t="s">
        <v>96</v>
      </c>
      <c r="E74" s="79" t="s">
        <v>97</v>
      </c>
      <c r="F74" s="79" t="s">
        <v>97</v>
      </c>
      <c r="G74" s="79" t="s">
        <v>97</v>
      </c>
      <c r="H74" s="79" t="s">
        <v>97</v>
      </c>
      <c r="I74" s="79">
        <v>1</v>
      </c>
      <c r="J74" s="79">
        <v>1</v>
      </c>
      <c r="K74" s="54"/>
    </row>
    <row r="75" spans="1:12" ht="29.25" customHeight="1" x14ac:dyDescent="0.2">
      <c r="A75" s="76"/>
      <c r="B75" s="80"/>
      <c r="C75" s="73" t="s">
        <v>1295</v>
      </c>
      <c r="D75" s="79" t="s">
        <v>96</v>
      </c>
      <c r="E75" s="79" t="s">
        <v>97</v>
      </c>
      <c r="F75" s="79" t="s">
        <v>97</v>
      </c>
      <c r="G75" s="79" t="s">
        <v>97</v>
      </c>
      <c r="H75" s="79" t="s">
        <v>97</v>
      </c>
      <c r="I75" s="79">
        <v>2</v>
      </c>
      <c r="J75" s="79">
        <f>1+1</f>
        <v>2</v>
      </c>
      <c r="K75" s="54"/>
    </row>
    <row r="76" spans="1:12" ht="29.25" customHeight="1" x14ac:dyDescent="0.2">
      <c r="A76" s="76"/>
      <c r="B76" s="80"/>
      <c r="C76" s="73" t="s">
        <v>1313</v>
      </c>
      <c r="D76" s="79" t="s">
        <v>96</v>
      </c>
      <c r="E76" s="79" t="s">
        <v>97</v>
      </c>
      <c r="F76" s="79" t="s">
        <v>97</v>
      </c>
      <c r="G76" s="79" t="s">
        <v>97</v>
      </c>
      <c r="H76" s="79" t="s">
        <v>97</v>
      </c>
      <c r="I76" s="79">
        <f>1+1</f>
        <v>2</v>
      </c>
      <c r="J76" s="84">
        <v>1</v>
      </c>
      <c r="K76" s="54"/>
    </row>
    <row r="77" spans="1:12" ht="69.75" customHeight="1" x14ac:dyDescent="0.2">
      <c r="A77" s="661" t="s">
        <v>429</v>
      </c>
      <c r="B77" s="624" t="s">
        <v>581</v>
      </c>
      <c r="C77" s="73" t="s">
        <v>1438</v>
      </c>
      <c r="D77" s="79" t="s">
        <v>113</v>
      </c>
      <c r="E77" s="51" t="s">
        <v>97</v>
      </c>
      <c r="F77" s="79" t="s">
        <v>348</v>
      </c>
      <c r="G77" s="79" t="s">
        <v>491</v>
      </c>
      <c r="H77" s="79" t="s">
        <v>556</v>
      </c>
      <c r="I77" s="79" t="s">
        <v>556</v>
      </c>
      <c r="J77" s="79" t="s">
        <v>556</v>
      </c>
      <c r="K77" s="56">
        <v>109.38</v>
      </c>
      <c r="L77" s="15" t="s">
        <v>126</v>
      </c>
    </row>
    <row r="78" spans="1:12" ht="30.75" customHeight="1" x14ac:dyDescent="0.2">
      <c r="A78" s="622"/>
      <c r="B78" s="625"/>
      <c r="C78" s="73" t="s">
        <v>311</v>
      </c>
      <c r="D78" s="79" t="s">
        <v>96</v>
      </c>
      <c r="E78" s="51" t="s">
        <v>97</v>
      </c>
      <c r="F78" s="79">
        <v>1</v>
      </c>
      <c r="G78" s="79">
        <v>1</v>
      </c>
      <c r="H78" s="79">
        <f>1+1</f>
        <v>2</v>
      </c>
      <c r="I78" s="79">
        <v>1</v>
      </c>
      <c r="J78" s="79" t="s">
        <v>97</v>
      </c>
      <c r="K78" s="56"/>
    </row>
    <row r="79" spans="1:12" ht="56.25" customHeight="1" x14ac:dyDescent="0.2">
      <c r="A79" s="622"/>
      <c r="B79" s="629"/>
      <c r="C79" s="73" t="s">
        <v>320</v>
      </c>
      <c r="D79" s="79" t="s">
        <v>96</v>
      </c>
      <c r="E79" s="51" t="s">
        <v>97</v>
      </c>
      <c r="F79" s="79">
        <v>1</v>
      </c>
      <c r="G79" s="79" t="s">
        <v>97</v>
      </c>
      <c r="H79" s="79" t="s">
        <v>97</v>
      </c>
      <c r="I79" s="79" t="s">
        <v>97</v>
      </c>
      <c r="J79" s="79" t="s">
        <v>97</v>
      </c>
      <c r="K79" s="56"/>
    </row>
    <row r="80" spans="1:12" ht="25.5" x14ac:dyDescent="0.2">
      <c r="A80" s="622"/>
      <c r="B80" s="629"/>
      <c r="C80" s="73" t="s">
        <v>528</v>
      </c>
      <c r="D80" s="79" t="s">
        <v>96</v>
      </c>
      <c r="E80" s="79" t="s">
        <v>97</v>
      </c>
      <c r="F80" s="55" t="s">
        <v>97</v>
      </c>
      <c r="G80" s="79">
        <f>1</f>
        <v>1</v>
      </c>
      <c r="H80" s="79" t="s">
        <v>97</v>
      </c>
      <c r="I80" s="79" t="s">
        <v>97</v>
      </c>
      <c r="J80" s="79" t="s">
        <v>97</v>
      </c>
      <c r="K80" s="57"/>
    </row>
    <row r="81" spans="1:11" ht="42" customHeight="1" x14ac:dyDescent="0.2">
      <c r="A81" s="622"/>
      <c r="B81" s="629"/>
      <c r="C81" s="73" t="s">
        <v>390</v>
      </c>
      <c r="D81" s="79" t="s">
        <v>96</v>
      </c>
      <c r="E81" s="79" t="s">
        <v>97</v>
      </c>
      <c r="F81" s="79" t="s">
        <v>97</v>
      </c>
      <c r="G81" s="79">
        <v>1</v>
      </c>
      <c r="H81" s="79" t="s">
        <v>97</v>
      </c>
      <c r="I81" s="79" t="s">
        <v>97</v>
      </c>
      <c r="J81" s="79" t="s">
        <v>97</v>
      </c>
      <c r="K81" s="57"/>
    </row>
    <row r="82" spans="1:11" ht="24" customHeight="1" x14ac:dyDescent="0.2">
      <c r="A82" s="623"/>
      <c r="B82" s="630"/>
      <c r="C82" s="73" t="s">
        <v>529</v>
      </c>
      <c r="D82" s="79" t="s">
        <v>96</v>
      </c>
      <c r="E82" s="79" t="s">
        <v>97</v>
      </c>
      <c r="F82" s="79" t="s">
        <v>97</v>
      </c>
      <c r="G82" s="79" t="s">
        <v>97</v>
      </c>
      <c r="H82" s="79">
        <v>1</v>
      </c>
      <c r="I82" s="79" t="s">
        <v>97</v>
      </c>
      <c r="J82" s="79" t="s">
        <v>97</v>
      </c>
      <c r="K82" s="57"/>
    </row>
    <row r="83" spans="1:11" ht="71.25" customHeight="1" x14ac:dyDescent="0.2">
      <c r="A83" s="626" t="s">
        <v>430</v>
      </c>
      <c r="B83" s="639" t="s">
        <v>582</v>
      </c>
      <c r="C83" s="73" t="s">
        <v>1439</v>
      </c>
      <c r="D83" s="79" t="s">
        <v>112</v>
      </c>
      <c r="E83" s="79">
        <v>257.52999999999997</v>
      </c>
      <c r="F83" s="48" t="s">
        <v>600</v>
      </c>
      <c r="G83" s="79" t="s">
        <v>599</v>
      </c>
      <c r="H83" s="52" t="s">
        <v>557</v>
      </c>
      <c r="I83" s="79" t="s">
        <v>1347</v>
      </c>
      <c r="J83" s="79" t="s">
        <v>1653</v>
      </c>
      <c r="K83" s="57" t="s">
        <v>114</v>
      </c>
    </row>
    <row r="84" spans="1:11" ht="19.149999999999999" customHeight="1" x14ac:dyDescent="0.2">
      <c r="A84" s="627"/>
      <c r="B84" s="664"/>
      <c r="C84" s="73" t="s">
        <v>280</v>
      </c>
      <c r="D84" s="79" t="s">
        <v>96</v>
      </c>
      <c r="E84" s="79" t="s">
        <v>97</v>
      </c>
      <c r="F84" s="55">
        <v>1</v>
      </c>
      <c r="G84" s="79" t="s">
        <v>97</v>
      </c>
      <c r="H84" s="79" t="s">
        <v>97</v>
      </c>
      <c r="I84" s="79" t="s">
        <v>97</v>
      </c>
      <c r="J84" s="79" t="s">
        <v>97</v>
      </c>
      <c r="K84" s="57"/>
    </row>
    <row r="85" spans="1:11" ht="93" customHeight="1" x14ac:dyDescent="0.2">
      <c r="A85" s="627"/>
      <c r="B85" s="664"/>
      <c r="C85" s="73" t="s">
        <v>410</v>
      </c>
      <c r="D85" s="79" t="s">
        <v>96</v>
      </c>
      <c r="E85" s="79" t="s">
        <v>97</v>
      </c>
      <c r="F85" s="55">
        <v>13</v>
      </c>
      <c r="G85" s="79" t="s">
        <v>97</v>
      </c>
      <c r="H85" s="79" t="s">
        <v>97</v>
      </c>
      <c r="I85" s="79">
        <v>1</v>
      </c>
      <c r="J85" s="79">
        <v>1</v>
      </c>
      <c r="K85" s="57"/>
    </row>
    <row r="86" spans="1:11" ht="17.45" customHeight="1" x14ac:dyDescent="0.2">
      <c r="A86" s="627"/>
      <c r="B86" s="664"/>
      <c r="C86" s="73" t="s">
        <v>99</v>
      </c>
      <c r="D86" s="79" t="s">
        <v>96</v>
      </c>
      <c r="E86" s="79" t="s">
        <v>97</v>
      </c>
      <c r="F86" s="55">
        <v>20</v>
      </c>
      <c r="G86" s="79" t="s">
        <v>97</v>
      </c>
      <c r="H86" s="79" t="s">
        <v>97</v>
      </c>
      <c r="I86" s="79" t="s">
        <v>97</v>
      </c>
      <c r="J86" s="79" t="s">
        <v>97</v>
      </c>
      <c r="K86" s="57"/>
    </row>
    <row r="87" spans="1:11" ht="25.5" x14ac:dyDescent="0.2">
      <c r="A87" s="627"/>
      <c r="B87" s="664"/>
      <c r="C87" s="73" t="s">
        <v>406</v>
      </c>
      <c r="D87" s="79" t="s">
        <v>96</v>
      </c>
      <c r="E87" s="79" t="s">
        <v>97</v>
      </c>
      <c r="F87" s="55">
        <v>2</v>
      </c>
      <c r="G87" s="79" t="s">
        <v>97</v>
      </c>
      <c r="H87" s="79" t="s">
        <v>97</v>
      </c>
      <c r="I87" s="79" t="s">
        <v>97</v>
      </c>
      <c r="J87" s="79" t="s">
        <v>97</v>
      </c>
      <c r="K87" s="57"/>
    </row>
    <row r="88" spans="1:11" ht="17.45" customHeight="1" x14ac:dyDescent="0.2">
      <c r="A88" s="627"/>
      <c r="B88" s="664"/>
      <c r="C88" s="73" t="s">
        <v>100</v>
      </c>
      <c r="D88" s="79" t="s">
        <v>96</v>
      </c>
      <c r="E88" s="79" t="s">
        <v>97</v>
      </c>
      <c r="F88" s="55">
        <v>9</v>
      </c>
      <c r="G88" s="79" t="s">
        <v>97</v>
      </c>
      <c r="H88" s="79" t="s">
        <v>97</v>
      </c>
      <c r="I88" s="79" t="s">
        <v>97</v>
      </c>
      <c r="J88" s="79">
        <v>2</v>
      </c>
      <c r="K88" s="57"/>
    </row>
    <row r="89" spans="1:11" ht="58.5" customHeight="1" x14ac:dyDescent="0.2">
      <c r="A89" s="627"/>
      <c r="B89" s="664"/>
      <c r="C89" s="73" t="s">
        <v>411</v>
      </c>
      <c r="D89" s="79" t="s">
        <v>96</v>
      </c>
      <c r="E89" s="79" t="s">
        <v>97</v>
      </c>
      <c r="F89" s="55">
        <v>3</v>
      </c>
      <c r="G89" s="79" t="s">
        <v>97</v>
      </c>
      <c r="H89" s="79" t="s">
        <v>97</v>
      </c>
      <c r="I89" s="79" t="s">
        <v>97</v>
      </c>
      <c r="J89" s="79" t="s">
        <v>97</v>
      </c>
      <c r="K89" s="57"/>
    </row>
    <row r="90" spans="1:11" ht="20.45" customHeight="1" x14ac:dyDescent="0.2">
      <c r="A90" s="627"/>
      <c r="B90" s="664"/>
      <c r="C90" s="73" t="s">
        <v>199</v>
      </c>
      <c r="D90" s="79" t="s">
        <v>286</v>
      </c>
      <c r="E90" s="79" t="s">
        <v>97</v>
      </c>
      <c r="F90" s="48">
        <v>2.9</v>
      </c>
      <c r="G90" s="79" t="s">
        <v>97</v>
      </c>
      <c r="H90" s="79" t="s">
        <v>97</v>
      </c>
      <c r="I90" s="79" t="s">
        <v>97</v>
      </c>
      <c r="J90" s="79" t="s">
        <v>97</v>
      </c>
      <c r="K90" s="57"/>
    </row>
    <row r="91" spans="1:11" ht="16.899999999999999" customHeight="1" x14ac:dyDescent="0.2">
      <c r="A91" s="627"/>
      <c r="B91" s="629"/>
      <c r="C91" s="73" t="s">
        <v>412</v>
      </c>
      <c r="D91" s="79" t="s">
        <v>96</v>
      </c>
      <c r="E91" s="79" t="s">
        <v>97</v>
      </c>
      <c r="F91" s="55">
        <v>20</v>
      </c>
      <c r="G91" s="79" t="s">
        <v>97</v>
      </c>
      <c r="H91" s="79" t="s">
        <v>97</v>
      </c>
      <c r="I91" s="79" t="s">
        <v>97</v>
      </c>
      <c r="J91" s="79" t="s">
        <v>97</v>
      </c>
      <c r="K91" s="57"/>
    </row>
    <row r="92" spans="1:11" ht="15.75" customHeight="1" x14ac:dyDescent="0.2">
      <c r="A92" s="627"/>
      <c r="B92" s="629"/>
      <c r="C92" s="73" t="s">
        <v>284</v>
      </c>
      <c r="D92" s="79" t="s">
        <v>96</v>
      </c>
      <c r="E92" s="79" t="s">
        <v>97</v>
      </c>
      <c r="F92" s="55">
        <v>42</v>
      </c>
      <c r="G92" s="79" t="s">
        <v>97</v>
      </c>
      <c r="H92" s="79" t="s">
        <v>97</v>
      </c>
      <c r="I92" s="79" t="s">
        <v>97</v>
      </c>
      <c r="J92" s="79">
        <v>1</v>
      </c>
      <c r="K92" s="57"/>
    </row>
    <row r="93" spans="1:11" ht="28.9" customHeight="1" x14ac:dyDescent="0.2">
      <c r="A93" s="627"/>
      <c r="B93" s="629"/>
      <c r="C93" s="73" t="s">
        <v>407</v>
      </c>
      <c r="D93" s="79" t="s">
        <v>96</v>
      </c>
      <c r="E93" s="79" t="s">
        <v>97</v>
      </c>
      <c r="F93" s="55">
        <v>2</v>
      </c>
      <c r="G93" s="79" t="s">
        <v>97</v>
      </c>
      <c r="H93" s="79" t="s">
        <v>97</v>
      </c>
      <c r="I93" s="79" t="s">
        <v>97</v>
      </c>
      <c r="J93" s="79" t="s">
        <v>97</v>
      </c>
      <c r="K93" s="57"/>
    </row>
    <row r="94" spans="1:11" ht="30.75" customHeight="1" x14ac:dyDescent="0.2">
      <c r="A94" s="627"/>
      <c r="B94" s="629"/>
      <c r="C94" s="73" t="s">
        <v>285</v>
      </c>
      <c r="D94" s="79" t="s">
        <v>96</v>
      </c>
      <c r="E94" s="79" t="s">
        <v>97</v>
      </c>
      <c r="F94" s="55">
        <v>1</v>
      </c>
      <c r="G94" s="79" t="s">
        <v>97</v>
      </c>
      <c r="H94" s="79" t="s">
        <v>97</v>
      </c>
      <c r="I94" s="79" t="s">
        <v>97</v>
      </c>
      <c r="J94" s="79" t="s">
        <v>97</v>
      </c>
      <c r="K94" s="57"/>
    </row>
    <row r="95" spans="1:11" ht="54.75" customHeight="1" x14ac:dyDescent="0.2">
      <c r="A95" s="627"/>
      <c r="B95" s="629"/>
      <c r="C95" s="73" t="s">
        <v>413</v>
      </c>
      <c r="D95" s="79" t="s">
        <v>96</v>
      </c>
      <c r="E95" s="79" t="s">
        <v>97</v>
      </c>
      <c r="F95" s="55">
        <v>15</v>
      </c>
      <c r="G95" s="79">
        <v>14</v>
      </c>
      <c r="H95" s="79">
        <f>18-9</f>
        <v>9</v>
      </c>
      <c r="I95" s="79">
        <f>18-9+1</f>
        <v>10</v>
      </c>
      <c r="J95" s="84">
        <f>0+9+7+4+11</f>
        <v>31</v>
      </c>
      <c r="K95" s="57"/>
    </row>
    <row r="96" spans="1:11" ht="25.5" x14ac:dyDescent="0.2">
      <c r="A96" s="627"/>
      <c r="B96" s="629"/>
      <c r="C96" s="73" t="s">
        <v>310</v>
      </c>
      <c r="D96" s="79" t="s">
        <v>96</v>
      </c>
      <c r="E96" s="79" t="s">
        <v>97</v>
      </c>
      <c r="F96" s="55">
        <v>1</v>
      </c>
      <c r="G96" s="79" t="s">
        <v>97</v>
      </c>
      <c r="H96" s="79" t="s">
        <v>97</v>
      </c>
      <c r="I96" s="79" t="s">
        <v>97</v>
      </c>
      <c r="J96" s="79" t="s">
        <v>97</v>
      </c>
      <c r="K96" s="57"/>
    </row>
    <row r="97" spans="1:12" ht="30" customHeight="1" x14ac:dyDescent="0.2">
      <c r="A97" s="627"/>
      <c r="B97" s="629"/>
      <c r="C97" s="73" t="s">
        <v>363</v>
      </c>
      <c r="D97" s="79" t="s">
        <v>111</v>
      </c>
      <c r="E97" s="79" t="s">
        <v>97</v>
      </c>
      <c r="F97" s="48">
        <v>12.17</v>
      </c>
      <c r="G97" s="79">
        <v>24.06</v>
      </c>
      <c r="H97" s="79">
        <f>0+10.7+15.2+8.96</f>
        <v>34.86</v>
      </c>
      <c r="I97" s="79" t="s">
        <v>97</v>
      </c>
      <c r="J97" s="79" t="s">
        <v>97</v>
      </c>
      <c r="K97" s="57"/>
    </row>
    <row r="98" spans="1:12" ht="25.5" x14ac:dyDescent="0.2">
      <c r="A98" s="627"/>
      <c r="B98" s="629"/>
      <c r="C98" s="73" t="s">
        <v>376</v>
      </c>
      <c r="D98" s="79" t="s">
        <v>96</v>
      </c>
      <c r="E98" s="79" t="s">
        <v>97</v>
      </c>
      <c r="F98" s="79" t="s">
        <v>97</v>
      </c>
      <c r="G98" s="79" t="s">
        <v>97</v>
      </c>
      <c r="H98" s="79">
        <v>1</v>
      </c>
      <c r="I98" s="79" t="s">
        <v>97</v>
      </c>
      <c r="J98" s="79" t="s">
        <v>97</v>
      </c>
      <c r="K98" s="57"/>
    </row>
    <row r="99" spans="1:12" ht="42" customHeight="1" x14ac:dyDescent="0.2">
      <c r="A99" s="627"/>
      <c r="B99" s="629"/>
      <c r="C99" s="73" t="s">
        <v>110</v>
      </c>
      <c r="D99" s="79" t="s">
        <v>96</v>
      </c>
      <c r="E99" s="79" t="s">
        <v>97</v>
      </c>
      <c r="F99" s="79" t="s">
        <v>97</v>
      </c>
      <c r="G99" s="79">
        <v>11</v>
      </c>
      <c r="H99" s="79">
        <v>3</v>
      </c>
      <c r="I99" s="79" t="s">
        <v>97</v>
      </c>
      <c r="J99" s="79">
        <v>10</v>
      </c>
      <c r="K99" s="57"/>
    </row>
    <row r="100" spans="1:12" ht="42" customHeight="1" x14ac:dyDescent="0.2">
      <c r="A100" s="627"/>
      <c r="B100" s="629"/>
      <c r="C100" s="73" t="s">
        <v>1446</v>
      </c>
      <c r="D100" s="79" t="s">
        <v>96</v>
      </c>
      <c r="E100" s="79" t="s">
        <v>97</v>
      </c>
      <c r="F100" s="79" t="s">
        <v>97</v>
      </c>
      <c r="G100" s="52" t="s">
        <v>97</v>
      </c>
      <c r="H100" s="79" t="s">
        <v>97</v>
      </c>
      <c r="I100" s="79" t="s">
        <v>97</v>
      </c>
      <c r="J100" s="79">
        <v>1</v>
      </c>
      <c r="K100" s="57"/>
    </row>
    <row r="101" spans="1:12" ht="43.5" customHeight="1" x14ac:dyDescent="0.2">
      <c r="A101" s="627"/>
      <c r="B101" s="629"/>
      <c r="C101" s="73" t="s">
        <v>537</v>
      </c>
      <c r="D101" s="79" t="s">
        <v>96</v>
      </c>
      <c r="E101" s="79" t="s">
        <v>97</v>
      </c>
      <c r="F101" s="79">
        <v>6</v>
      </c>
      <c r="G101" s="52">
        <f>55+25</f>
        <v>80</v>
      </c>
      <c r="H101" s="79">
        <f>70-63+20-20+3</f>
        <v>10</v>
      </c>
      <c r="I101" s="79">
        <f>0+14-8+6</f>
        <v>12</v>
      </c>
      <c r="J101" s="79">
        <f>16+10</f>
        <v>26</v>
      </c>
      <c r="K101" s="57"/>
    </row>
    <row r="102" spans="1:12" ht="29.25" customHeight="1" x14ac:dyDescent="0.2">
      <c r="A102" s="627"/>
      <c r="B102" s="629"/>
      <c r="C102" s="73" t="s">
        <v>398</v>
      </c>
      <c r="D102" s="79" t="s">
        <v>96</v>
      </c>
      <c r="E102" s="79" t="s">
        <v>97</v>
      </c>
      <c r="F102" s="79" t="s">
        <v>97</v>
      </c>
      <c r="G102" s="52" t="s">
        <v>97</v>
      </c>
      <c r="H102" s="79" t="s">
        <v>97</v>
      </c>
      <c r="I102" s="79" t="s">
        <v>97</v>
      </c>
      <c r="J102" s="79">
        <v>1</v>
      </c>
      <c r="K102" s="57"/>
    </row>
    <row r="103" spans="1:12" ht="29.25" customHeight="1" x14ac:dyDescent="0.2">
      <c r="A103" s="627"/>
      <c r="B103" s="629"/>
      <c r="C103" s="73" t="s">
        <v>555</v>
      </c>
      <c r="D103" s="79" t="s">
        <v>96</v>
      </c>
      <c r="E103" s="79" t="s">
        <v>97</v>
      </c>
      <c r="F103" s="79" t="s">
        <v>97</v>
      </c>
      <c r="G103" s="52" t="s">
        <v>97</v>
      </c>
      <c r="H103" s="79">
        <v>29</v>
      </c>
      <c r="I103" s="79">
        <v>20</v>
      </c>
      <c r="J103" s="79">
        <v>50</v>
      </c>
      <c r="K103" s="57"/>
    </row>
    <row r="104" spans="1:12" ht="29.25" customHeight="1" x14ac:dyDescent="0.2">
      <c r="A104" s="627"/>
      <c r="B104" s="629"/>
      <c r="C104" s="73" t="s">
        <v>1064</v>
      </c>
      <c r="D104" s="79" t="s">
        <v>112</v>
      </c>
      <c r="E104" s="79" t="s">
        <v>97</v>
      </c>
      <c r="F104" s="79" t="s">
        <v>97</v>
      </c>
      <c r="G104" s="79" t="s">
        <v>97</v>
      </c>
      <c r="H104" s="79" t="s">
        <v>97</v>
      </c>
      <c r="I104" s="79">
        <v>32.85</v>
      </c>
      <c r="J104" s="84">
        <f>46.1+13.9+1</f>
        <v>61</v>
      </c>
      <c r="K104" s="57"/>
    </row>
    <row r="105" spans="1:12" ht="29.25" customHeight="1" x14ac:dyDescent="0.2">
      <c r="A105" s="627"/>
      <c r="B105" s="629"/>
      <c r="C105" s="77" t="s">
        <v>1436</v>
      </c>
      <c r="D105" s="46" t="s">
        <v>96</v>
      </c>
      <c r="E105" s="79" t="s">
        <v>97</v>
      </c>
      <c r="F105" s="79" t="s">
        <v>97</v>
      </c>
      <c r="G105" s="79" t="s">
        <v>97</v>
      </c>
      <c r="H105" s="79" t="s">
        <v>97</v>
      </c>
      <c r="I105" s="79" t="s">
        <v>97</v>
      </c>
      <c r="J105" s="79">
        <v>1</v>
      </c>
      <c r="K105" s="57"/>
    </row>
    <row r="106" spans="1:12" ht="29.25" customHeight="1" x14ac:dyDescent="0.2">
      <c r="A106" s="627"/>
      <c r="B106" s="629"/>
      <c r="C106" s="77" t="s">
        <v>1437</v>
      </c>
      <c r="D106" s="46" t="s">
        <v>96</v>
      </c>
      <c r="E106" s="79" t="s">
        <v>97</v>
      </c>
      <c r="F106" s="79" t="s">
        <v>97</v>
      </c>
      <c r="G106" s="79" t="s">
        <v>97</v>
      </c>
      <c r="H106" s="79" t="s">
        <v>97</v>
      </c>
      <c r="I106" s="79" t="s">
        <v>97</v>
      </c>
      <c r="J106" s="79">
        <v>3</v>
      </c>
      <c r="K106" s="57"/>
    </row>
    <row r="107" spans="1:12" ht="29.25" customHeight="1" x14ac:dyDescent="0.2">
      <c r="A107" s="627"/>
      <c r="B107" s="629"/>
      <c r="C107" s="77" t="s">
        <v>1461</v>
      </c>
      <c r="D107" s="46" t="s">
        <v>96</v>
      </c>
      <c r="E107" s="79" t="s">
        <v>97</v>
      </c>
      <c r="F107" s="79" t="s">
        <v>97</v>
      </c>
      <c r="G107" s="79" t="s">
        <v>97</v>
      </c>
      <c r="H107" s="79" t="s">
        <v>97</v>
      </c>
      <c r="I107" s="79" t="s">
        <v>97</v>
      </c>
      <c r="J107" s="84" t="s">
        <v>97</v>
      </c>
      <c r="K107" s="57"/>
      <c r="L107" s="15" t="s">
        <v>1651</v>
      </c>
    </row>
    <row r="108" spans="1:12" ht="43.5" customHeight="1" x14ac:dyDescent="0.2">
      <c r="A108" s="627"/>
      <c r="B108" s="629"/>
      <c r="C108" s="25" t="s">
        <v>1473</v>
      </c>
      <c r="D108" s="46" t="s">
        <v>96</v>
      </c>
      <c r="E108" s="79" t="s">
        <v>97</v>
      </c>
      <c r="F108" s="79" t="s">
        <v>97</v>
      </c>
      <c r="G108" s="79" t="s">
        <v>97</v>
      </c>
      <c r="H108" s="79" t="s">
        <v>97</v>
      </c>
      <c r="I108" s="79" t="s">
        <v>97</v>
      </c>
      <c r="J108" s="79">
        <v>1</v>
      </c>
      <c r="K108" s="57"/>
    </row>
    <row r="109" spans="1:12" ht="33" customHeight="1" x14ac:dyDescent="0.2">
      <c r="A109" s="628"/>
      <c r="B109" s="630"/>
      <c r="C109" s="25" t="s">
        <v>1602</v>
      </c>
      <c r="D109" s="46" t="s">
        <v>96</v>
      </c>
      <c r="E109" s="79" t="s">
        <v>97</v>
      </c>
      <c r="F109" s="79" t="s">
        <v>97</v>
      </c>
      <c r="G109" s="79" t="s">
        <v>97</v>
      </c>
      <c r="H109" s="79" t="s">
        <v>97</v>
      </c>
      <c r="I109" s="79" t="s">
        <v>97</v>
      </c>
      <c r="J109" s="79">
        <v>6</v>
      </c>
      <c r="K109" s="57"/>
    </row>
    <row r="110" spans="1:12" ht="70.5" customHeight="1" x14ac:dyDescent="0.2">
      <c r="A110" s="626" t="s">
        <v>431</v>
      </c>
      <c r="B110" s="639" t="s">
        <v>279</v>
      </c>
      <c r="C110" s="73" t="s">
        <v>538</v>
      </c>
      <c r="D110" s="79" t="s">
        <v>96</v>
      </c>
      <c r="E110" s="79" t="s">
        <v>97</v>
      </c>
      <c r="F110" s="79" t="s">
        <v>97</v>
      </c>
      <c r="G110" s="52" t="s">
        <v>97</v>
      </c>
      <c r="H110" s="79">
        <v>20</v>
      </c>
      <c r="I110" s="79">
        <v>35</v>
      </c>
      <c r="J110" s="79" t="s">
        <v>97</v>
      </c>
      <c r="K110" s="57"/>
    </row>
    <row r="111" spans="1:12" ht="70.5" customHeight="1" x14ac:dyDescent="0.2">
      <c r="A111" s="628"/>
      <c r="B111" s="640"/>
      <c r="C111" s="73" t="s">
        <v>157</v>
      </c>
      <c r="D111" s="79" t="s">
        <v>112</v>
      </c>
      <c r="E111" s="79">
        <v>178.35</v>
      </c>
      <c r="F111" s="79">
        <v>107.83</v>
      </c>
      <c r="G111" s="52">
        <f>87.87+1.35</f>
        <v>89.22</v>
      </c>
      <c r="H111" s="79">
        <f>5.8+18.4-5.8+1.38</f>
        <v>19.779999999999998</v>
      </c>
      <c r="I111" s="79">
        <f>22.67+26.626+2.802+2.002</f>
        <v>54.100000000000009</v>
      </c>
      <c r="J111" s="79" t="s">
        <v>97</v>
      </c>
      <c r="K111" s="57" t="s">
        <v>115</v>
      </c>
    </row>
    <row r="112" spans="1:12" ht="122.25" customHeight="1" x14ac:dyDescent="0.2">
      <c r="A112" s="66" t="s">
        <v>432</v>
      </c>
      <c r="B112" s="11" t="s">
        <v>156</v>
      </c>
      <c r="C112" s="73" t="s">
        <v>495</v>
      </c>
      <c r="D112" s="79" t="s">
        <v>112</v>
      </c>
      <c r="E112" s="79">
        <v>6.14</v>
      </c>
      <c r="F112" s="79">
        <v>13.8</v>
      </c>
      <c r="G112" s="58">
        <v>2.8</v>
      </c>
      <c r="H112" s="48">
        <f>10.78-0.8-0.2</f>
        <v>9.7799999999999994</v>
      </c>
      <c r="I112" s="48">
        <f>9.92-1.33</f>
        <v>8.59</v>
      </c>
      <c r="J112" s="79">
        <f>10+11.9</f>
        <v>21.9</v>
      </c>
      <c r="K112" s="59" t="s">
        <v>178</v>
      </c>
    </row>
    <row r="113" spans="1:30" ht="71.25" customHeight="1" x14ac:dyDescent="0.2">
      <c r="A113" s="66" t="s">
        <v>433</v>
      </c>
      <c r="B113" s="11" t="s">
        <v>583</v>
      </c>
      <c r="C113" s="73" t="s">
        <v>302</v>
      </c>
      <c r="D113" s="79" t="s">
        <v>112</v>
      </c>
      <c r="E113" s="79" t="s">
        <v>97</v>
      </c>
      <c r="F113" s="60">
        <v>5998.03</v>
      </c>
      <c r="G113" s="60">
        <v>6096.57</v>
      </c>
      <c r="H113" s="48">
        <v>6296.92</v>
      </c>
      <c r="I113" s="48">
        <f>6296.92+18.894-17.78+10.01</f>
        <v>6308.0440000000008</v>
      </c>
      <c r="J113" s="48" t="s">
        <v>97</v>
      </c>
      <c r="K113" s="59"/>
    </row>
    <row r="114" spans="1:30" ht="63.75" customHeight="1" x14ac:dyDescent="0.2">
      <c r="A114" s="66" t="s">
        <v>1354</v>
      </c>
      <c r="B114" s="11" t="s">
        <v>1360</v>
      </c>
      <c r="C114" s="25" t="s">
        <v>1361</v>
      </c>
      <c r="D114" s="79" t="s">
        <v>96</v>
      </c>
      <c r="E114" s="51" t="s">
        <v>97</v>
      </c>
      <c r="F114" s="51" t="s">
        <v>97</v>
      </c>
      <c r="G114" s="51" t="s">
        <v>97</v>
      </c>
      <c r="H114" s="51" t="s">
        <v>97</v>
      </c>
      <c r="I114" s="51" t="s">
        <v>97</v>
      </c>
      <c r="J114" s="74" t="s">
        <v>97</v>
      </c>
      <c r="K114" s="59"/>
    </row>
    <row r="115" spans="1:30" ht="63.75" customHeight="1" x14ac:dyDescent="0.2">
      <c r="A115" s="66" t="s">
        <v>1464</v>
      </c>
      <c r="B115" s="11" t="s">
        <v>1466</v>
      </c>
      <c r="C115" s="73" t="s">
        <v>1470</v>
      </c>
      <c r="D115" s="79" t="s">
        <v>112</v>
      </c>
      <c r="E115" s="51" t="s">
        <v>97</v>
      </c>
      <c r="F115" s="51" t="s">
        <v>97</v>
      </c>
      <c r="G115" s="51" t="s">
        <v>97</v>
      </c>
      <c r="H115" s="51" t="s">
        <v>97</v>
      </c>
      <c r="I115" s="51" t="s">
        <v>97</v>
      </c>
      <c r="J115" s="74">
        <f>15+5</f>
        <v>20</v>
      </c>
      <c r="K115" s="59"/>
    </row>
    <row r="116" spans="1:30" ht="31.15" customHeight="1" x14ac:dyDescent="0.2">
      <c r="A116" s="19" t="s">
        <v>448</v>
      </c>
      <c r="B116" s="618" t="s">
        <v>1061</v>
      </c>
      <c r="C116" s="619"/>
      <c r="D116" s="619"/>
      <c r="E116" s="619"/>
      <c r="F116" s="619"/>
      <c r="G116" s="619"/>
      <c r="H116" s="619"/>
      <c r="I116" s="619"/>
      <c r="J116" s="620"/>
      <c r="K116" s="657"/>
      <c r="L116" s="657"/>
      <c r="M116" s="657"/>
      <c r="N116" s="657"/>
      <c r="O116" s="657"/>
      <c r="P116" s="657"/>
      <c r="Q116" s="657"/>
      <c r="R116" s="657"/>
      <c r="S116" s="657"/>
      <c r="T116" s="657"/>
      <c r="U116" s="657"/>
      <c r="V116" s="657"/>
      <c r="W116" s="657"/>
      <c r="X116" s="657"/>
      <c r="Y116" s="657"/>
      <c r="Z116" s="657"/>
      <c r="AA116" s="657"/>
      <c r="AB116" s="657"/>
      <c r="AC116" s="657"/>
      <c r="AD116" s="657"/>
    </row>
    <row r="117" spans="1:30" ht="17.45" customHeight="1" x14ac:dyDescent="0.2">
      <c r="A117" s="633" t="s">
        <v>404</v>
      </c>
      <c r="B117" s="633"/>
      <c r="C117" s="633"/>
      <c r="D117" s="633"/>
      <c r="E117" s="633"/>
      <c r="F117" s="633"/>
      <c r="G117" s="633"/>
      <c r="H117" s="633"/>
      <c r="I117" s="633"/>
      <c r="J117" s="633"/>
      <c r="K117" s="663"/>
      <c r="L117" s="663"/>
      <c r="M117" s="663"/>
      <c r="N117" s="663"/>
      <c r="O117" s="663"/>
      <c r="P117" s="663"/>
      <c r="Q117" s="663"/>
      <c r="R117" s="663"/>
      <c r="S117" s="663"/>
      <c r="T117" s="663"/>
      <c r="U117" s="663"/>
      <c r="V117" s="663"/>
      <c r="W117" s="663"/>
      <c r="X117" s="663"/>
      <c r="Y117" s="663"/>
      <c r="Z117" s="663"/>
      <c r="AA117" s="663"/>
      <c r="AB117" s="663"/>
      <c r="AC117" s="663"/>
      <c r="AD117" s="663"/>
    </row>
    <row r="118" spans="1:30" ht="40.15" customHeight="1" x14ac:dyDescent="0.2">
      <c r="A118" s="634" t="s">
        <v>1059</v>
      </c>
      <c r="B118" s="634"/>
      <c r="C118" s="634"/>
      <c r="D118" s="634"/>
      <c r="E118" s="634"/>
      <c r="F118" s="634"/>
      <c r="G118" s="634"/>
      <c r="H118" s="634"/>
      <c r="I118" s="634"/>
      <c r="J118" s="634"/>
      <c r="K118" s="657"/>
      <c r="L118" s="657"/>
      <c r="M118" s="657"/>
      <c r="N118" s="657"/>
      <c r="O118" s="657"/>
      <c r="P118" s="657"/>
      <c r="Q118" s="657"/>
      <c r="R118" s="657"/>
      <c r="S118" s="657"/>
      <c r="T118" s="657"/>
      <c r="U118" s="657"/>
      <c r="V118" s="657"/>
      <c r="W118" s="657"/>
      <c r="X118" s="657"/>
      <c r="Y118" s="657"/>
      <c r="Z118" s="657"/>
      <c r="AA118" s="657"/>
      <c r="AB118" s="657"/>
      <c r="AC118" s="657"/>
      <c r="AD118" s="657"/>
    </row>
    <row r="119" spans="1:30" ht="36" customHeight="1" x14ac:dyDescent="0.2">
      <c r="A119" s="19" t="s">
        <v>38</v>
      </c>
      <c r="B119" s="618" t="s">
        <v>449</v>
      </c>
      <c r="C119" s="619"/>
      <c r="D119" s="619"/>
      <c r="E119" s="619"/>
      <c r="F119" s="619"/>
      <c r="G119" s="619"/>
      <c r="H119" s="619"/>
      <c r="I119" s="619"/>
      <c r="J119" s="620"/>
      <c r="K119" s="657"/>
      <c r="L119" s="657"/>
      <c r="M119" s="657"/>
      <c r="N119" s="657"/>
      <c r="O119" s="657"/>
      <c r="P119" s="657"/>
      <c r="Q119" s="657"/>
      <c r="R119" s="657"/>
      <c r="S119" s="657"/>
      <c r="T119" s="657"/>
      <c r="U119" s="657"/>
      <c r="V119" s="657"/>
      <c r="W119" s="657"/>
      <c r="X119" s="657"/>
      <c r="Y119" s="657"/>
      <c r="Z119" s="657"/>
      <c r="AA119" s="657"/>
      <c r="AB119" s="657"/>
      <c r="AC119" s="657"/>
      <c r="AD119" s="657"/>
    </row>
    <row r="120" spans="1:30" ht="90.75" customHeight="1" x14ac:dyDescent="0.2">
      <c r="A120" s="66" t="s">
        <v>420</v>
      </c>
      <c r="B120" s="11" t="s">
        <v>128</v>
      </c>
      <c r="C120" s="6" t="s">
        <v>116</v>
      </c>
      <c r="D120" s="70" t="s">
        <v>113</v>
      </c>
      <c r="E120" s="36">
        <v>6198.38</v>
      </c>
      <c r="F120" s="67">
        <v>6198.38</v>
      </c>
      <c r="G120" s="67">
        <v>6296.92</v>
      </c>
      <c r="H120" s="67">
        <f>6296.92+18.894</f>
        <v>6315.8140000000003</v>
      </c>
      <c r="I120" s="67">
        <f>6296.92+18.894-17.78+10.01+22.47</f>
        <v>6330.514000000001</v>
      </c>
      <c r="J120" s="67">
        <f>6330.51+153.24</f>
        <v>6483.75</v>
      </c>
    </row>
    <row r="121" spans="1:30" ht="30.6" customHeight="1" x14ac:dyDescent="0.2">
      <c r="A121" s="66" t="s">
        <v>450</v>
      </c>
      <c r="B121" s="11" t="s">
        <v>117</v>
      </c>
      <c r="C121" s="6" t="s">
        <v>289</v>
      </c>
      <c r="D121" s="70" t="s">
        <v>113</v>
      </c>
      <c r="E121" s="36">
        <v>1.95</v>
      </c>
      <c r="F121" s="67">
        <v>1.95</v>
      </c>
      <c r="G121" s="67">
        <v>2.14</v>
      </c>
      <c r="H121" s="67">
        <v>2.14</v>
      </c>
      <c r="I121" s="67">
        <v>2.14</v>
      </c>
      <c r="J121" s="67">
        <f>1.95+0.19</f>
        <v>2.14</v>
      </c>
    </row>
    <row r="122" spans="1:30" x14ac:dyDescent="0.2">
      <c r="A122" s="17" t="s">
        <v>39</v>
      </c>
      <c r="B122" s="658" t="s">
        <v>462</v>
      </c>
      <c r="C122" s="659"/>
      <c r="D122" s="659"/>
      <c r="E122" s="659"/>
      <c r="F122" s="659"/>
      <c r="G122" s="659"/>
      <c r="H122" s="659"/>
      <c r="I122" s="659"/>
      <c r="J122" s="660"/>
    </row>
    <row r="123" spans="1:30" ht="31.15" customHeight="1" x14ac:dyDescent="0.2">
      <c r="A123" s="661" t="s">
        <v>421</v>
      </c>
      <c r="B123" s="639" t="s">
        <v>72</v>
      </c>
      <c r="C123" s="77" t="s">
        <v>118</v>
      </c>
      <c r="D123" s="79" t="s">
        <v>96</v>
      </c>
      <c r="E123" s="27">
        <v>29</v>
      </c>
      <c r="F123" s="79">
        <v>29</v>
      </c>
      <c r="G123" s="79">
        <v>29</v>
      </c>
      <c r="H123" s="79">
        <v>29</v>
      </c>
      <c r="I123" s="79">
        <v>29</v>
      </c>
      <c r="J123" s="79">
        <v>29</v>
      </c>
    </row>
    <row r="124" spans="1:30" ht="31.15" customHeight="1" x14ac:dyDescent="0.2">
      <c r="A124" s="623"/>
      <c r="B124" s="640"/>
      <c r="C124" s="77" t="s">
        <v>1476</v>
      </c>
      <c r="D124" s="79" t="s">
        <v>108</v>
      </c>
      <c r="E124" s="27" t="s">
        <v>97</v>
      </c>
      <c r="F124" s="79" t="s">
        <v>97</v>
      </c>
      <c r="G124" s="79" t="s">
        <v>97</v>
      </c>
      <c r="H124" s="79" t="s">
        <v>97</v>
      </c>
      <c r="I124" s="79" t="s">
        <v>97</v>
      </c>
      <c r="J124" s="79">
        <v>100</v>
      </c>
    </row>
    <row r="125" spans="1:30" ht="39" customHeight="1" x14ac:dyDescent="0.2">
      <c r="A125" s="661" t="s">
        <v>451</v>
      </c>
      <c r="B125" s="639" t="s">
        <v>506</v>
      </c>
      <c r="C125" s="73" t="s">
        <v>359</v>
      </c>
      <c r="D125" s="79" t="s">
        <v>96</v>
      </c>
      <c r="E125" s="79" t="s">
        <v>97</v>
      </c>
      <c r="F125" s="79">
        <v>1</v>
      </c>
      <c r="G125" s="79">
        <v>2</v>
      </c>
      <c r="H125" s="79" t="s">
        <v>97</v>
      </c>
      <c r="I125" s="79">
        <v>1</v>
      </c>
      <c r="J125" s="79">
        <v>1</v>
      </c>
    </row>
    <row r="126" spans="1:30" ht="39" customHeight="1" x14ac:dyDescent="0.2">
      <c r="A126" s="622"/>
      <c r="B126" s="664"/>
      <c r="C126" s="73" t="s">
        <v>360</v>
      </c>
      <c r="D126" s="79" t="s">
        <v>96</v>
      </c>
      <c r="E126" s="79" t="s">
        <v>97</v>
      </c>
      <c r="F126" s="79" t="s">
        <v>97</v>
      </c>
      <c r="G126" s="79">
        <v>1</v>
      </c>
      <c r="H126" s="79" t="s">
        <v>97</v>
      </c>
      <c r="I126" s="79" t="s">
        <v>97</v>
      </c>
      <c r="J126" s="79" t="s">
        <v>97</v>
      </c>
    </row>
    <row r="127" spans="1:30" ht="39" customHeight="1" x14ac:dyDescent="0.2">
      <c r="A127" s="623"/>
      <c r="B127" s="640"/>
      <c r="C127" s="73" t="s">
        <v>498</v>
      </c>
      <c r="D127" s="79" t="s">
        <v>96</v>
      </c>
      <c r="E127" s="79" t="s">
        <v>97</v>
      </c>
      <c r="F127" s="79" t="s">
        <v>97</v>
      </c>
      <c r="G127" s="79" t="s">
        <v>97</v>
      </c>
      <c r="H127" s="79">
        <v>1</v>
      </c>
      <c r="I127" s="79" t="s">
        <v>97</v>
      </c>
      <c r="J127" s="79">
        <v>1</v>
      </c>
    </row>
    <row r="128" spans="1:30" ht="165.75" customHeight="1" x14ac:dyDescent="0.2">
      <c r="A128" s="66" t="s">
        <v>452</v>
      </c>
      <c r="B128" s="77" t="s">
        <v>1645</v>
      </c>
      <c r="C128" s="6" t="s">
        <v>1290</v>
      </c>
      <c r="D128" s="70" t="s">
        <v>96</v>
      </c>
      <c r="E128" s="70" t="s">
        <v>97</v>
      </c>
      <c r="F128" s="70">
        <v>2</v>
      </c>
      <c r="G128" s="70" t="s">
        <v>97</v>
      </c>
      <c r="H128" s="70" t="s">
        <v>97</v>
      </c>
      <c r="I128" s="70">
        <v>1</v>
      </c>
      <c r="J128" s="70" t="s">
        <v>97</v>
      </c>
    </row>
    <row r="129" spans="1:10" ht="26.25" customHeight="1" x14ac:dyDescent="0.2">
      <c r="A129" s="66" t="s">
        <v>453</v>
      </c>
      <c r="B129" s="11" t="s">
        <v>325</v>
      </c>
      <c r="C129" s="6" t="s">
        <v>326</v>
      </c>
      <c r="D129" s="79" t="s">
        <v>96</v>
      </c>
      <c r="E129" s="79" t="s">
        <v>97</v>
      </c>
      <c r="F129" s="79">
        <v>1</v>
      </c>
      <c r="G129" s="79" t="s">
        <v>97</v>
      </c>
      <c r="H129" s="79" t="s">
        <v>97</v>
      </c>
      <c r="I129" s="79" t="s">
        <v>97</v>
      </c>
      <c r="J129" s="79" t="s">
        <v>97</v>
      </c>
    </row>
    <row r="130" spans="1:10" ht="204.75" customHeight="1" x14ac:dyDescent="0.2">
      <c r="A130" s="66" t="s">
        <v>540</v>
      </c>
      <c r="B130" s="61" t="s">
        <v>1646</v>
      </c>
      <c r="C130" s="77" t="s">
        <v>542</v>
      </c>
      <c r="D130" s="79" t="s">
        <v>96</v>
      </c>
      <c r="E130" s="79" t="s">
        <v>97</v>
      </c>
      <c r="F130" s="79" t="s">
        <v>97</v>
      </c>
      <c r="G130" s="79" t="s">
        <v>97</v>
      </c>
      <c r="H130" s="79">
        <v>1</v>
      </c>
      <c r="I130" s="79">
        <v>4</v>
      </c>
      <c r="J130" s="79" t="s">
        <v>97</v>
      </c>
    </row>
    <row r="131" spans="1:10" ht="31.15" customHeight="1" x14ac:dyDescent="0.2">
      <c r="A131" s="19" t="s">
        <v>463</v>
      </c>
      <c r="B131" s="618" t="s">
        <v>1058</v>
      </c>
      <c r="C131" s="619"/>
      <c r="D131" s="619"/>
      <c r="E131" s="619"/>
      <c r="F131" s="619"/>
      <c r="G131" s="619"/>
      <c r="H131" s="619"/>
      <c r="I131" s="619"/>
      <c r="J131" s="620"/>
    </row>
    <row r="132" spans="1:10" ht="19.899999999999999" customHeight="1" x14ac:dyDescent="0.2">
      <c r="A132" s="633" t="s">
        <v>127</v>
      </c>
      <c r="B132" s="633"/>
      <c r="C132" s="633"/>
      <c r="D132" s="633"/>
      <c r="E132" s="633"/>
      <c r="F132" s="633"/>
      <c r="G132" s="633"/>
      <c r="H132" s="633"/>
      <c r="I132" s="633"/>
      <c r="J132" s="633"/>
    </row>
    <row r="133" spans="1:10" ht="36" customHeight="1" x14ac:dyDescent="0.2">
      <c r="A133" s="634" t="s">
        <v>1057</v>
      </c>
      <c r="B133" s="634"/>
      <c r="C133" s="634"/>
      <c r="D133" s="634"/>
      <c r="E133" s="634"/>
      <c r="F133" s="634"/>
      <c r="G133" s="634"/>
      <c r="H133" s="634"/>
      <c r="I133" s="634"/>
      <c r="J133" s="634"/>
    </row>
    <row r="134" spans="1:10" ht="18" customHeight="1" x14ac:dyDescent="0.2">
      <c r="A134" s="19" t="s">
        <v>32</v>
      </c>
      <c r="B134" s="618" t="s">
        <v>455</v>
      </c>
      <c r="C134" s="619"/>
      <c r="D134" s="619"/>
      <c r="E134" s="619"/>
      <c r="F134" s="619"/>
      <c r="G134" s="619"/>
      <c r="H134" s="619"/>
      <c r="I134" s="619"/>
      <c r="J134" s="620"/>
    </row>
    <row r="135" spans="1:10" ht="28.15" customHeight="1" x14ac:dyDescent="0.2">
      <c r="A135" s="66" t="s">
        <v>422</v>
      </c>
      <c r="B135" s="11" t="s">
        <v>45</v>
      </c>
      <c r="C135" s="77" t="s">
        <v>109</v>
      </c>
      <c r="D135" s="74" t="s">
        <v>96</v>
      </c>
      <c r="E135" s="37">
        <v>100</v>
      </c>
      <c r="F135" s="37">
        <v>50</v>
      </c>
      <c r="G135" s="37">
        <v>50</v>
      </c>
      <c r="H135" s="37" t="s">
        <v>97</v>
      </c>
      <c r="I135" s="37">
        <v>639</v>
      </c>
      <c r="J135" s="37">
        <v>416</v>
      </c>
    </row>
    <row r="136" spans="1:10" ht="18" customHeight="1" x14ac:dyDescent="0.2">
      <c r="A136" s="19" t="s">
        <v>3</v>
      </c>
      <c r="B136" s="618" t="s">
        <v>456</v>
      </c>
      <c r="C136" s="619"/>
      <c r="D136" s="619"/>
      <c r="E136" s="619"/>
      <c r="F136" s="619"/>
      <c r="G136" s="619"/>
      <c r="H136" s="619"/>
      <c r="I136" s="619"/>
      <c r="J136" s="620"/>
    </row>
    <row r="137" spans="1:10" ht="64.5" customHeight="1" x14ac:dyDescent="0.2">
      <c r="A137" s="66" t="s">
        <v>423</v>
      </c>
      <c r="B137" s="11" t="s">
        <v>322</v>
      </c>
      <c r="C137" s="11" t="s">
        <v>132</v>
      </c>
      <c r="D137" s="70" t="s">
        <v>133</v>
      </c>
      <c r="E137" s="62" t="s">
        <v>97</v>
      </c>
      <c r="F137" s="37">
        <v>828</v>
      </c>
      <c r="G137" s="37">
        <v>828</v>
      </c>
      <c r="H137" s="37">
        <f>828+49+145</f>
        <v>1022</v>
      </c>
      <c r="I137" s="37">
        <f>828+49+112</f>
        <v>989</v>
      </c>
      <c r="J137" s="37">
        <f>877-29+128</f>
        <v>976</v>
      </c>
    </row>
    <row r="138" spans="1:10" ht="137.25" customHeight="1" x14ac:dyDescent="0.2">
      <c r="A138" s="70" t="s">
        <v>457</v>
      </c>
      <c r="B138" s="11" t="s">
        <v>321</v>
      </c>
      <c r="C138" s="11" t="s">
        <v>375</v>
      </c>
      <c r="D138" s="70" t="s">
        <v>133</v>
      </c>
      <c r="E138" s="62" t="s">
        <v>97</v>
      </c>
      <c r="F138" s="37">
        <v>1116</v>
      </c>
      <c r="G138" s="37">
        <f>1674+789</f>
        <v>2463</v>
      </c>
      <c r="H138" s="63" t="s">
        <v>97</v>
      </c>
      <c r="I138" s="63" t="s">
        <v>97</v>
      </c>
      <c r="J138" s="63" t="s">
        <v>97</v>
      </c>
    </row>
    <row r="139" spans="1:10" ht="33" customHeight="1" x14ac:dyDescent="0.2">
      <c r="A139" s="621" t="s">
        <v>458</v>
      </c>
      <c r="B139" s="636" t="s">
        <v>584</v>
      </c>
      <c r="C139" s="77" t="s">
        <v>131</v>
      </c>
      <c r="D139" s="70" t="s">
        <v>108</v>
      </c>
      <c r="E139" s="62" t="s">
        <v>130</v>
      </c>
      <c r="F139" s="63">
        <v>90</v>
      </c>
      <c r="G139" s="63">
        <v>90</v>
      </c>
      <c r="H139" s="63">
        <v>90</v>
      </c>
      <c r="I139" s="63" t="s">
        <v>577</v>
      </c>
      <c r="J139" s="63" t="s">
        <v>577</v>
      </c>
    </row>
    <row r="140" spans="1:10" ht="31.9" customHeight="1" x14ac:dyDescent="0.2">
      <c r="A140" s="621"/>
      <c r="B140" s="636"/>
      <c r="C140" s="77" t="s">
        <v>184</v>
      </c>
      <c r="D140" s="70" t="s">
        <v>104</v>
      </c>
      <c r="E140" s="37">
        <f>2</f>
        <v>2</v>
      </c>
      <c r="F140" s="37">
        <v>6</v>
      </c>
      <c r="G140" s="37">
        <v>10</v>
      </c>
      <c r="H140" s="37">
        <f>8+2+3</f>
        <v>13</v>
      </c>
      <c r="I140" s="37">
        <f>8+5+6</f>
        <v>19</v>
      </c>
      <c r="J140" s="37" t="s">
        <v>97</v>
      </c>
    </row>
    <row r="141" spans="1:10" ht="33.6" customHeight="1" x14ac:dyDescent="0.2">
      <c r="A141" s="621"/>
      <c r="B141" s="636"/>
      <c r="C141" s="77" t="s">
        <v>185</v>
      </c>
      <c r="D141" s="70" t="s">
        <v>104</v>
      </c>
      <c r="E141" s="37">
        <v>50</v>
      </c>
      <c r="F141" s="37">
        <v>78</v>
      </c>
      <c r="G141" s="37">
        <v>78</v>
      </c>
      <c r="H141" s="37">
        <f>77+1+1</f>
        <v>79</v>
      </c>
      <c r="I141" s="37">
        <f>77+2</f>
        <v>79</v>
      </c>
      <c r="J141" s="37">
        <f>50+27+2+1-2</f>
        <v>78</v>
      </c>
    </row>
    <row r="142" spans="1:10" ht="17.25" customHeight="1" x14ac:dyDescent="0.2">
      <c r="A142" s="19" t="s">
        <v>33</v>
      </c>
      <c r="B142" s="619" t="s">
        <v>459</v>
      </c>
      <c r="C142" s="619"/>
      <c r="D142" s="619"/>
      <c r="E142" s="619"/>
      <c r="F142" s="619"/>
      <c r="G142" s="619"/>
      <c r="H142" s="619"/>
      <c r="I142" s="619"/>
      <c r="J142" s="620"/>
    </row>
    <row r="143" spans="1:10" ht="147" customHeight="1" x14ac:dyDescent="0.2">
      <c r="A143" s="70" t="s">
        <v>424</v>
      </c>
      <c r="B143" s="6" t="s">
        <v>585</v>
      </c>
      <c r="C143" s="6" t="s">
        <v>347</v>
      </c>
      <c r="D143" s="70" t="s">
        <v>108</v>
      </c>
      <c r="E143" s="37" t="s">
        <v>97</v>
      </c>
      <c r="F143" s="37">
        <v>23</v>
      </c>
      <c r="G143" s="37">
        <v>43</v>
      </c>
      <c r="H143" s="37">
        <v>63</v>
      </c>
      <c r="I143" s="37">
        <v>83</v>
      </c>
      <c r="J143" s="37">
        <v>100</v>
      </c>
    </row>
    <row r="144" spans="1:10" ht="59.25" customHeight="1" x14ac:dyDescent="0.2">
      <c r="A144" s="70" t="s">
        <v>489</v>
      </c>
      <c r="B144" s="64" t="s">
        <v>490</v>
      </c>
      <c r="C144" s="6" t="s">
        <v>347</v>
      </c>
      <c r="D144" s="70" t="s">
        <v>108</v>
      </c>
      <c r="E144" s="37" t="s">
        <v>97</v>
      </c>
      <c r="F144" s="37" t="s">
        <v>97</v>
      </c>
      <c r="G144" s="37">
        <v>37.4</v>
      </c>
      <c r="H144" s="37">
        <v>44.8</v>
      </c>
      <c r="I144" s="37">
        <v>57.5</v>
      </c>
      <c r="J144" s="37">
        <v>70.3</v>
      </c>
    </row>
    <row r="145" spans="1:10" ht="83.25" customHeight="1" x14ac:dyDescent="0.2">
      <c r="A145" s="70" t="s">
        <v>547</v>
      </c>
      <c r="B145" s="64" t="s">
        <v>575</v>
      </c>
      <c r="C145" s="6" t="s">
        <v>553</v>
      </c>
      <c r="D145" s="70" t="s">
        <v>104</v>
      </c>
      <c r="E145" s="37" t="s">
        <v>97</v>
      </c>
      <c r="F145" s="37" t="s">
        <v>97</v>
      </c>
      <c r="G145" s="37" t="s">
        <v>97</v>
      </c>
      <c r="H145" s="37" t="s">
        <v>97</v>
      </c>
      <c r="I145" s="37">
        <v>14</v>
      </c>
      <c r="J145" s="37" t="s">
        <v>97</v>
      </c>
    </row>
    <row r="146" spans="1:10" ht="18" customHeight="1" x14ac:dyDescent="0.2">
      <c r="A146" s="19" t="s">
        <v>533</v>
      </c>
      <c r="B146" s="618" t="s">
        <v>539</v>
      </c>
      <c r="C146" s="619"/>
      <c r="D146" s="619"/>
      <c r="E146" s="619"/>
      <c r="F146" s="619"/>
      <c r="G146" s="619"/>
      <c r="H146" s="619"/>
      <c r="I146" s="619"/>
      <c r="J146" s="620"/>
    </row>
    <row r="147" spans="1:10" ht="35.25" customHeight="1" x14ac:dyDescent="0.2">
      <c r="A147" s="631" t="s">
        <v>534</v>
      </c>
      <c r="B147" s="624" t="s">
        <v>535</v>
      </c>
      <c r="C147" s="77" t="s">
        <v>510</v>
      </c>
      <c r="D147" s="70" t="s">
        <v>509</v>
      </c>
      <c r="E147" s="37" t="s">
        <v>97</v>
      </c>
      <c r="F147" s="37" t="s">
        <v>97</v>
      </c>
      <c r="G147" s="37" t="s">
        <v>97</v>
      </c>
      <c r="H147" s="37" t="s">
        <v>601</v>
      </c>
      <c r="I147" s="37" t="s">
        <v>601</v>
      </c>
      <c r="J147" s="37" t="s">
        <v>601</v>
      </c>
    </row>
    <row r="148" spans="1:10" ht="96.75" customHeight="1" x14ac:dyDescent="0.2">
      <c r="A148" s="630"/>
      <c r="B148" s="632"/>
      <c r="C148" s="6" t="s">
        <v>497</v>
      </c>
      <c r="D148" s="70" t="s">
        <v>496</v>
      </c>
      <c r="E148" s="37" t="s">
        <v>97</v>
      </c>
      <c r="F148" s="37" t="s">
        <v>97</v>
      </c>
      <c r="G148" s="37" t="s">
        <v>97</v>
      </c>
      <c r="H148" s="36">
        <v>175181.82</v>
      </c>
      <c r="I148" s="36">
        <f>175181.82-63149.65</f>
        <v>112032.17000000001</v>
      </c>
      <c r="J148" s="81">
        <f>175181.82-63149.65-57028.17+8053</f>
        <v>63057.000000000015</v>
      </c>
    </row>
    <row r="149" spans="1:10" ht="16.5" customHeight="1" x14ac:dyDescent="0.2">
      <c r="A149" s="19" t="s">
        <v>1382</v>
      </c>
      <c r="B149" s="618" t="s">
        <v>1383</v>
      </c>
      <c r="C149" s="619"/>
      <c r="D149" s="619"/>
      <c r="E149" s="619"/>
      <c r="F149" s="619"/>
      <c r="G149" s="619"/>
      <c r="H149" s="619"/>
      <c r="I149" s="619"/>
      <c r="J149" s="620"/>
    </row>
    <row r="150" spans="1:10" ht="41.25" customHeight="1" x14ac:dyDescent="0.2">
      <c r="A150" s="70" t="s">
        <v>1384</v>
      </c>
      <c r="B150" s="6" t="s">
        <v>1385</v>
      </c>
      <c r="C150" s="6" t="s">
        <v>1386</v>
      </c>
      <c r="D150" s="70" t="s">
        <v>104</v>
      </c>
      <c r="E150" s="37" t="s">
        <v>97</v>
      </c>
      <c r="F150" s="37" t="s">
        <v>97</v>
      </c>
      <c r="G150" s="37" t="s">
        <v>97</v>
      </c>
      <c r="H150" s="37" t="s">
        <v>97</v>
      </c>
      <c r="I150" s="37" t="s">
        <v>97</v>
      </c>
      <c r="J150" s="37">
        <v>2</v>
      </c>
    </row>
    <row r="151" spans="1:10" x14ac:dyDescent="0.2">
      <c r="C151" s="4"/>
      <c r="D151" s="4"/>
      <c r="E151" s="4"/>
    </row>
  </sheetData>
  <mergeCells count="84">
    <mergeCell ref="B110:B111"/>
    <mergeCell ref="B146:J146"/>
    <mergeCell ref="B134:J134"/>
    <mergeCell ref="B116:J116"/>
    <mergeCell ref="B139:B141"/>
    <mergeCell ref="B125:B127"/>
    <mergeCell ref="B142:J142"/>
    <mergeCell ref="U118:AD118"/>
    <mergeCell ref="A63:A64"/>
    <mergeCell ref="U116:AD116"/>
    <mergeCell ref="K117:T117"/>
    <mergeCell ref="U117:AD117"/>
    <mergeCell ref="K116:T116"/>
    <mergeCell ref="A118:J118"/>
    <mergeCell ref="K118:T118"/>
    <mergeCell ref="A117:J117"/>
    <mergeCell ref="B65:B67"/>
    <mergeCell ref="A65:A67"/>
    <mergeCell ref="A68:A73"/>
    <mergeCell ref="B68:B73"/>
    <mergeCell ref="A77:A78"/>
    <mergeCell ref="B83:B90"/>
    <mergeCell ref="B63:B64"/>
    <mergeCell ref="U119:AD119"/>
    <mergeCell ref="A133:J133"/>
    <mergeCell ref="A132:J132"/>
    <mergeCell ref="B119:J119"/>
    <mergeCell ref="B122:J122"/>
    <mergeCell ref="B131:J131"/>
    <mergeCell ref="A123:A124"/>
    <mergeCell ref="B123:B124"/>
    <mergeCell ref="K119:T119"/>
    <mergeCell ref="A125:A127"/>
    <mergeCell ref="G1:J1"/>
    <mergeCell ref="A5:A8"/>
    <mergeCell ref="B5:B8"/>
    <mergeCell ref="C5:C8"/>
    <mergeCell ref="D5:D8"/>
    <mergeCell ref="E5:E8"/>
    <mergeCell ref="G7:G8"/>
    <mergeCell ref="H7:H8"/>
    <mergeCell ref="I7:I8"/>
    <mergeCell ref="J7:J8"/>
    <mergeCell ref="A4:J4"/>
    <mergeCell ref="F5:J6"/>
    <mergeCell ref="F7:F8"/>
    <mergeCell ref="G2:J2"/>
    <mergeCell ref="B22:B23"/>
    <mergeCell ref="A22:A23"/>
    <mergeCell ref="B27:J27"/>
    <mergeCell ref="A25:A26"/>
    <mergeCell ref="B25:B26"/>
    <mergeCell ref="A10:J10"/>
    <mergeCell ref="A12:J12"/>
    <mergeCell ref="A13:J13"/>
    <mergeCell ref="B11:J11"/>
    <mergeCell ref="B14:J14"/>
    <mergeCell ref="A28:A30"/>
    <mergeCell ref="B28:B30"/>
    <mergeCell ref="B48:J48"/>
    <mergeCell ref="A40:A41"/>
    <mergeCell ref="B40:B41"/>
    <mergeCell ref="B42:B43"/>
    <mergeCell ref="A42:A43"/>
    <mergeCell ref="A38:A39"/>
    <mergeCell ref="B38:B39"/>
    <mergeCell ref="A44:A47"/>
    <mergeCell ref="B44:B47"/>
    <mergeCell ref="B149:J149"/>
    <mergeCell ref="B62:J62"/>
    <mergeCell ref="B59:J59"/>
    <mergeCell ref="B50:J50"/>
    <mergeCell ref="A139:A141"/>
    <mergeCell ref="B136:J136"/>
    <mergeCell ref="A79:A82"/>
    <mergeCell ref="B77:B78"/>
    <mergeCell ref="A83:A109"/>
    <mergeCell ref="B91:B109"/>
    <mergeCell ref="A147:A148"/>
    <mergeCell ref="B147:B148"/>
    <mergeCell ref="A60:J60"/>
    <mergeCell ref="A61:J61"/>
    <mergeCell ref="B79:B82"/>
    <mergeCell ref="A110:A111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83" firstPageNumber="53" fitToHeight="0" orientation="portrait" useFirstPageNumber="1" r:id="rId1"/>
  <headerFooter>
    <oddHeader>&amp;C&amp;P</oddHeader>
  </headerFooter>
  <rowBreaks count="9" manualBreakCount="9">
    <brk id="20" max="9" man="1"/>
    <brk id="38" max="9" man="1"/>
    <brk id="52" max="9" man="1"/>
    <brk id="64" max="9" man="1"/>
    <brk id="78" max="9" man="1"/>
    <brk id="94" max="9" man="1"/>
    <brk id="109" max="9" man="1"/>
    <brk id="118" max="9" man="1"/>
    <brk id="129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конеч.рез.</vt:lpstr>
      <vt:lpstr>1.переченьПБДД</vt:lpstr>
      <vt:lpstr>2.переченьМРАД</vt:lpstr>
      <vt:lpstr>3.меропр.</vt:lpstr>
      <vt:lpstr>4.индик. (2)</vt:lpstr>
      <vt:lpstr>4.индик.</vt:lpstr>
      <vt:lpstr>'1.переченьПБДД'!Заголовки_для_печати</vt:lpstr>
      <vt:lpstr>'2.переченьМРАД'!Заголовки_для_печати</vt:lpstr>
      <vt:lpstr>'3.меропр.'!Заголовки_для_печати</vt:lpstr>
      <vt:lpstr>'4.индик.'!Заголовки_для_печати</vt:lpstr>
      <vt:lpstr>'4.индик. (2)'!Заголовки_для_печати</vt:lpstr>
      <vt:lpstr>конеч.рез.!Заголовки_для_печати</vt:lpstr>
      <vt:lpstr>'1.переченьПБДД'!Область_печати</vt:lpstr>
      <vt:lpstr>'2.переченьМРАД'!Область_печати</vt:lpstr>
      <vt:lpstr>'3.меропр.'!Область_печати</vt:lpstr>
      <vt:lpstr>'4.индик.'!Область_печати</vt:lpstr>
      <vt:lpstr>'4.индик. (2)'!Область_печати</vt:lpstr>
      <vt:lpstr>конеч.рез.!Область_печати</vt:lpstr>
    </vt:vector>
  </TitlesOfParts>
  <Company>job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Тимофеев Георгий Аркадьевич</cp:lastModifiedBy>
  <cp:lastPrinted>2026-01-26T06:13:56Z</cp:lastPrinted>
  <dcterms:created xsi:type="dcterms:W3CDTF">2014-07-04T09:02:24Z</dcterms:created>
  <dcterms:modified xsi:type="dcterms:W3CDTF">2026-01-26T06:14:55Z</dcterms:modified>
</cp:coreProperties>
</file>