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rhoz\tumplan\эл.почта\ОТЧЕТЫ ЭКОНОМИСТЫ\Программа\Проекты постановлений\Программа 2021-2025\изм. Дума 24.03.2021\"/>
    </mc:Choice>
  </mc:AlternateContent>
  <xr:revisionPtr revIDLastSave="0" documentId="13_ncr:1_{5ED7AC62-F726-4EDB-9211-C1CDA3C78FBD}" xr6:coauthVersionLast="46" xr6:coauthVersionMax="46" xr10:uidLastSave="{00000000-0000-0000-0000-000000000000}"/>
  <bookViews>
    <workbookView xWindow="-108" yWindow="-108" windowWidth="23256" windowHeight="12576" tabRatio="599" activeTab="4" xr2:uid="{00000000-000D-0000-FFFF-FFFF00000000}"/>
  </bookViews>
  <sheets>
    <sheet name="1конеч.рез." sheetId="9" r:id="rId1"/>
    <sheet name="2.переченьПБДД" sheetId="5" r:id="rId2"/>
    <sheet name="3.переченьМРАД" sheetId="1" r:id="rId3"/>
    <sheet name="4.меропр." sheetId="4" r:id="rId4"/>
    <sheet name="5.индик." sheetId="8" r:id="rId5"/>
    <sheet name="Лист1" sheetId="10" r:id="rId6"/>
  </sheets>
  <externalReferences>
    <externalReference r:id="rId7"/>
    <externalReference r:id="rId8"/>
  </externalReferences>
  <definedNames>
    <definedName name="_xlnm._FilterDatabase" localSheetId="1" hidden="1">'2.переченьПБДД'!#REF!</definedName>
    <definedName name="_xlnm._FilterDatabase" localSheetId="2" hidden="1">'3.переченьМРАД'!$A$4:$AC$6</definedName>
    <definedName name="_xlnm._FilterDatabase" localSheetId="3" hidden="1">'4.меропр.'!#REF!</definedName>
    <definedName name="Aс1">'4.меропр.'!#REF!</definedName>
    <definedName name="_xlnm.Print_Titles" localSheetId="0">'1конеч.рез.'!$3:$5</definedName>
    <definedName name="_xlnm.Print_Titles" localSheetId="1">'2.переченьПБДД'!$4:$7</definedName>
    <definedName name="_xlnm.Print_Titles" localSheetId="2">'3.переченьМРАД'!$4:$7</definedName>
    <definedName name="_xlnm.Print_Titles" localSheetId="3">'4.меропр.'!$4:$7</definedName>
    <definedName name="_xlnm.Print_Titles" localSheetId="4">'5.индик.'!$5:$9</definedName>
    <definedName name="_xlnm.Print_Area" localSheetId="0">'1конеч.рез.'!$A$1:$I$25</definedName>
    <definedName name="_xlnm.Print_Area" localSheetId="1">'2.переченьПБДД'!$A$1:$AB$134</definedName>
    <definedName name="_xlnm.Print_Area" localSheetId="2">'3.переченьМРАД'!$A$1:$AC$500</definedName>
    <definedName name="_xlnm.Print_Area" localSheetId="3">'4.меропр.'!$A$1:$AD$70</definedName>
    <definedName name="_xlnm.Print_Area" localSheetId="4">'5.индик.'!$A$1:$J$89</definedName>
  </definedNames>
  <calcPr calcId="181029" iterateDelta="1E-4"/>
</workbook>
</file>

<file path=xl/calcChain.xml><?xml version="1.0" encoding="utf-8"?>
<calcChain xmlns="http://schemas.openxmlformats.org/spreadsheetml/2006/main">
  <c r="AB498" i="1" l="1"/>
  <c r="Q40" i="4"/>
  <c r="P40" i="4"/>
  <c r="L40" i="4"/>
  <c r="K40" i="4"/>
  <c r="G40" i="4"/>
  <c r="H241" i="1"/>
  <c r="I241" i="1"/>
  <c r="I240" i="1"/>
  <c r="H240" i="1"/>
  <c r="P212" i="1"/>
  <c r="F212" i="1"/>
  <c r="D212" i="1" s="1"/>
  <c r="C212" i="1"/>
  <c r="AA38" i="4"/>
  <c r="Z38" i="4"/>
  <c r="V38" i="4"/>
  <c r="U38" i="4"/>
  <c r="Q38" i="4"/>
  <c r="P38" i="4"/>
  <c r="L38" i="4"/>
  <c r="AC98" i="1"/>
  <c r="E98" i="1"/>
  <c r="G98" i="1"/>
  <c r="J98" i="1"/>
  <c r="L98" i="1"/>
  <c r="M98" i="1"/>
  <c r="O98" i="1"/>
  <c r="Q98" i="1"/>
  <c r="R98" i="1"/>
  <c r="S98" i="1"/>
  <c r="T98" i="1"/>
  <c r="V98" i="1"/>
  <c r="Y98" i="1"/>
  <c r="AA98" i="1"/>
  <c r="AB98" i="1"/>
  <c r="K94" i="1"/>
  <c r="P96" i="1"/>
  <c r="P94" i="1"/>
  <c r="AC118" i="1"/>
  <c r="AB118" i="1"/>
  <c r="AC117" i="1"/>
  <c r="AB117" i="1"/>
  <c r="AC116" i="1"/>
  <c r="AB116" i="1"/>
  <c r="AC115" i="1"/>
  <c r="AB115" i="1"/>
  <c r="AC114" i="1"/>
  <c r="AB114" i="1"/>
  <c r="AC113" i="1"/>
  <c r="AB113" i="1"/>
  <c r="AC112" i="1"/>
  <c r="AB112" i="1"/>
  <c r="AC111" i="1"/>
  <c r="AB111" i="1"/>
  <c r="AC110" i="1"/>
  <c r="AB110" i="1"/>
  <c r="AC109" i="1"/>
  <c r="AB109" i="1"/>
  <c r="AC108" i="1"/>
  <c r="AB108" i="1"/>
  <c r="Z108" i="1" l="1"/>
  <c r="Z110" i="1"/>
  <c r="Z112" i="1"/>
  <c r="Z114" i="1"/>
  <c r="Z116" i="1"/>
  <c r="Z118" i="1"/>
  <c r="Z115" i="1"/>
  <c r="Z111" i="1"/>
  <c r="Z113" i="1"/>
  <c r="Z117" i="1"/>
  <c r="Z109" i="1"/>
  <c r="Z105" i="1" l="1"/>
  <c r="X106" i="1"/>
  <c r="W106" i="1"/>
  <c r="U105" i="1"/>
  <c r="X104" i="1"/>
  <c r="W104" i="1"/>
  <c r="X103" i="1"/>
  <c r="W103" i="1"/>
  <c r="X102" i="1"/>
  <c r="W102" i="1"/>
  <c r="Z239" i="1" l="1"/>
  <c r="U239" i="1"/>
  <c r="P239" i="1"/>
  <c r="K239" i="1"/>
  <c r="F239" i="1"/>
  <c r="C239" i="1"/>
  <c r="Z238" i="1"/>
  <c r="U238" i="1"/>
  <c r="P238" i="1"/>
  <c r="K238" i="1"/>
  <c r="F238" i="1"/>
  <c r="C238" i="1"/>
  <c r="Z237" i="1"/>
  <c r="U237" i="1"/>
  <c r="P237" i="1"/>
  <c r="K237" i="1"/>
  <c r="F237" i="1"/>
  <c r="C237" i="1"/>
  <c r="Z236" i="1"/>
  <c r="U236" i="1"/>
  <c r="P236" i="1"/>
  <c r="K236" i="1"/>
  <c r="F236" i="1"/>
  <c r="C236" i="1"/>
  <c r="Z235" i="1"/>
  <c r="U235" i="1"/>
  <c r="P235" i="1"/>
  <c r="K235" i="1"/>
  <c r="F235" i="1"/>
  <c r="C235" i="1"/>
  <c r="Z234" i="1"/>
  <c r="U234" i="1"/>
  <c r="P234" i="1"/>
  <c r="K234" i="1"/>
  <c r="F234" i="1"/>
  <c r="C234" i="1"/>
  <c r="Z233" i="1"/>
  <c r="U233" i="1"/>
  <c r="P233" i="1"/>
  <c r="K233" i="1"/>
  <c r="F233" i="1"/>
  <c r="C233" i="1"/>
  <c r="Z232" i="1"/>
  <c r="U232" i="1"/>
  <c r="P232" i="1"/>
  <c r="K232" i="1"/>
  <c r="F232" i="1"/>
  <c r="C232" i="1"/>
  <c r="Z231" i="1"/>
  <c r="U231" i="1"/>
  <c r="P231" i="1"/>
  <c r="K231" i="1"/>
  <c r="F231" i="1"/>
  <c r="C231" i="1"/>
  <c r="Z230" i="1"/>
  <c r="U230" i="1"/>
  <c r="P230" i="1"/>
  <c r="K230" i="1"/>
  <c r="F230" i="1"/>
  <c r="C230" i="1"/>
  <c r="Z229" i="1"/>
  <c r="U229" i="1"/>
  <c r="P229" i="1"/>
  <c r="K229" i="1"/>
  <c r="F229" i="1"/>
  <c r="C229" i="1"/>
  <c r="Z228" i="1"/>
  <c r="U228" i="1"/>
  <c r="P228" i="1"/>
  <c r="K228" i="1"/>
  <c r="F228" i="1"/>
  <c r="C228" i="1"/>
  <c r="Z227" i="1"/>
  <c r="U227" i="1"/>
  <c r="P227" i="1"/>
  <c r="K227" i="1"/>
  <c r="F227" i="1"/>
  <c r="C227" i="1"/>
  <c r="Z226" i="1"/>
  <c r="U226" i="1"/>
  <c r="P226" i="1"/>
  <c r="K226" i="1"/>
  <c r="F226" i="1"/>
  <c r="C226" i="1"/>
  <c r="X44" i="4"/>
  <c r="AC44" i="4"/>
  <c r="I44" i="4"/>
  <c r="N44" i="4"/>
  <c r="S44" i="4"/>
  <c r="AB40" i="4"/>
  <c r="AA40" i="4"/>
  <c r="Z40" i="4"/>
  <c r="W40" i="4"/>
  <c r="V40" i="4"/>
  <c r="U40" i="4"/>
  <c r="R40" i="4"/>
  <c r="M40" i="4"/>
  <c r="J40" i="4" s="1"/>
  <c r="H40" i="4"/>
  <c r="AB38" i="4"/>
  <c r="W38" i="4"/>
  <c r="R38" i="4"/>
  <c r="D238" i="1" l="1"/>
  <c r="D239" i="1"/>
  <c r="D235" i="1"/>
  <c r="D233" i="1"/>
  <c r="D237" i="1"/>
  <c r="D236" i="1"/>
  <c r="D234" i="1"/>
  <c r="Y38" i="4"/>
  <c r="T40" i="4"/>
  <c r="D229" i="1"/>
  <c r="D226" i="1"/>
  <c r="D228" i="1"/>
  <c r="D230" i="1"/>
  <c r="D232" i="1"/>
  <c r="D227" i="1"/>
  <c r="D231" i="1"/>
  <c r="O40" i="4"/>
  <c r="Y40" i="4"/>
  <c r="T38" i="4"/>
  <c r="O38" i="4"/>
  <c r="H39" i="4" l="1"/>
  <c r="AB241" i="1"/>
  <c r="AA39" i="4" s="1"/>
  <c r="X61" i="1" l="1"/>
  <c r="E84" i="8" l="1"/>
  <c r="N42" i="1" l="1"/>
  <c r="P105" i="1"/>
  <c r="AB124" i="5"/>
  <c r="W124" i="5"/>
  <c r="R124" i="5"/>
  <c r="U95" i="1" l="1"/>
  <c r="U96" i="1"/>
  <c r="X68" i="1"/>
  <c r="X67" i="1"/>
  <c r="U66" i="1"/>
  <c r="U57" i="1"/>
  <c r="U58" i="1"/>
  <c r="U52" i="1"/>
  <c r="X51" i="1"/>
  <c r="W51" i="1"/>
  <c r="U56" i="1"/>
  <c r="U53" i="1"/>
  <c r="U54" i="1"/>
  <c r="U51" i="1" l="1"/>
  <c r="U55" i="1"/>
  <c r="U31" i="1"/>
  <c r="U32" i="1"/>
  <c r="U30" i="1"/>
  <c r="U27" i="1"/>
  <c r="U28" i="1"/>
  <c r="U26" i="1"/>
  <c r="U23" i="1"/>
  <c r="U24" i="1"/>
  <c r="U22" i="1"/>
  <c r="W21" i="1"/>
  <c r="X21" i="1"/>
  <c r="C493" i="1" l="1"/>
  <c r="F493" i="1"/>
  <c r="K493" i="1"/>
  <c r="P493" i="1"/>
  <c r="U493" i="1"/>
  <c r="Z493" i="1"/>
  <c r="F405" i="1"/>
  <c r="I91" i="1"/>
  <c r="I497" i="1"/>
  <c r="F43" i="4"/>
  <c r="D493" i="1" l="1"/>
  <c r="F49" i="4"/>
  <c r="H200" i="1"/>
  <c r="F39" i="4" l="1"/>
  <c r="F40" i="4"/>
  <c r="E40" i="4" s="1"/>
  <c r="AD40" i="4" s="1"/>
  <c r="E381" i="1"/>
  <c r="G381" i="1"/>
  <c r="H381" i="1"/>
  <c r="I381" i="1"/>
  <c r="J381" i="1"/>
  <c r="L381" i="1"/>
  <c r="M381" i="1"/>
  <c r="N381" i="1"/>
  <c r="O381" i="1"/>
  <c r="Q381" i="1"/>
  <c r="R381" i="1"/>
  <c r="S381" i="1"/>
  <c r="T381" i="1"/>
  <c r="V381" i="1"/>
  <c r="W381" i="1"/>
  <c r="X381" i="1"/>
  <c r="Y381" i="1"/>
  <c r="AA381" i="1"/>
  <c r="AB381" i="1"/>
  <c r="AC381" i="1"/>
  <c r="Z405" i="1"/>
  <c r="U405" i="1"/>
  <c r="P405" i="1"/>
  <c r="K405" i="1"/>
  <c r="C405" i="1"/>
  <c r="D405" i="1" l="1"/>
  <c r="F15" i="8"/>
  <c r="AB43" i="4" l="1"/>
  <c r="AB44" i="4" s="1"/>
  <c r="AA43" i="4"/>
  <c r="Z43" i="4"/>
  <c r="W43" i="4"/>
  <c r="W44" i="4" s="1"/>
  <c r="V43" i="4"/>
  <c r="U43" i="4"/>
  <c r="Q43" i="4"/>
  <c r="R43" i="4"/>
  <c r="R44" i="4" s="1"/>
  <c r="P43" i="4"/>
  <c r="M43" i="4"/>
  <c r="L43" i="4"/>
  <c r="K43" i="4"/>
  <c r="H43" i="4"/>
  <c r="G43" i="4"/>
  <c r="Z497" i="1"/>
  <c r="U497" i="1"/>
  <c r="P497" i="1"/>
  <c r="K497" i="1"/>
  <c r="F497" i="1"/>
  <c r="C497" i="1"/>
  <c r="Z496" i="1"/>
  <c r="U496" i="1"/>
  <c r="P496" i="1"/>
  <c r="K496" i="1"/>
  <c r="F496" i="1"/>
  <c r="C496" i="1"/>
  <c r="E241" i="1"/>
  <c r="G241" i="1"/>
  <c r="G39" i="4"/>
  <c r="E39" i="4" s="1"/>
  <c r="J241" i="1"/>
  <c r="L241" i="1"/>
  <c r="O241" i="1"/>
  <c r="Q241" i="1"/>
  <c r="T241" i="1"/>
  <c r="V241" i="1"/>
  <c r="Y241" i="1"/>
  <c r="AA241" i="1"/>
  <c r="Y43" i="4" l="1"/>
  <c r="E43" i="4"/>
  <c r="O43" i="4"/>
  <c r="J43" i="4"/>
  <c r="T43" i="4"/>
  <c r="D497" i="1"/>
  <c r="D496" i="1"/>
  <c r="E78" i="1"/>
  <c r="G78" i="1"/>
  <c r="H78" i="1"/>
  <c r="I78" i="1"/>
  <c r="J78" i="1"/>
  <c r="L78" i="1"/>
  <c r="M78" i="1"/>
  <c r="O78" i="1"/>
  <c r="Q78" i="1"/>
  <c r="R78" i="1"/>
  <c r="S78" i="1"/>
  <c r="T78" i="1"/>
  <c r="V78" i="1"/>
  <c r="W78" i="1"/>
  <c r="X78" i="1"/>
  <c r="Y78" i="1"/>
  <c r="AA78" i="1"/>
  <c r="AB78" i="1"/>
  <c r="AC78" i="1"/>
  <c r="Z77" i="1"/>
  <c r="U77" i="1"/>
  <c r="P77" i="1"/>
  <c r="K77" i="1"/>
  <c r="F77" i="1"/>
  <c r="Z76" i="1"/>
  <c r="U76" i="1"/>
  <c r="P76" i="1"/>
  <c r="K76" i="1"/>
  <c r="F76" i="1"/>
  <c r="Z75" i="1"/>
  <c r="U75" i="1"/>
  <c r="P75" i="1"/>
  <c r="K75" i="1"/>
  <c r="F75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K74" i="1"/>
  <c r="K73" i="1"/>
  <c r="K70" i="1"/>
  <c r="K71" i="1"/>
  <c r="K72" i="1"/>
  <c r="K66" i="1"/>
  <c r="K67" i="1"/>
  <c r="K68" i="1"/>
  <c r="K69" i="1"/>
  <c r="K65" i="1"/>
  <c r="K64" i="1"/>
  <c r="K63" i="1"/>
  <c r="AD43" i="4" l="1"/>
  <c r="D76" i="1"/>
  <c r="D207" i="1"/>
  <c r="D199" i="1"/>
  <c r="D191" i="1"/>
  <c r="D183" i="1"/>
  <c r="D77" i="1"/>
  <c r="D211" i="1"/>
  <c r="D203" i="1"/>
  <c r="D195" i="1"/>
  <c r="D187" i="1"/>
  <c r="D209" i="1"/>
  <c r="D75" i="1"/>
  <c r="D179" i="1"/>
  <c r="D175" i="1"/>
  <c r="D171" i="1"/>
  <c r="D167" i="1"/>
  <c r="D163" i="1"/>
  <c r="D159" i="1"/>
  <c r="D155" i="1"/>
  <c r="D151" i="1"/>
  <c r="D147" i="1"/>
  <c r="D143" i="1"/>
  <c r="D210" i="1"/>
  <c r="D206" i="1"/>
  <c r="D202" i="1"/>
  <c r="D198" i="1"/>
  <c r="D194" i="1"/>
  <c r="D190" i="1"/>
  <c r="D186" i="1"/>
  <c r="D182" i="1"/>
  <c r="D178" i="1"/>
  <c r="D174" i="1"/>
  <c r="D170" i="1"/>
  <c r="D166" i="1"/>
  <c r="D162" i="1"/>
  <c r="D158" i="1"/>
  <c r="D154" i="1"/>
  <c r="D150" i="1"/>
  <c r="D146" i="1"/>
  <c r="D142" i="1"/>
  <c r="D205" i="1"/>
  <c r="D201" i="1"/>
  <c r="D197" i="1"/>
  <c r="D193" i="1"/>
  <c r="D189" i="1"/>
  <c r="D185" i="1"/>
  <c r="D181" i="1"/>
  <c r="D177" i="1"/>
  <c r="D173" i="1"/>
  <c r="D169" i="1"/>
  <c r="D165" i="1"/>
  <c r="D161" i="1"/>
  <c r="D157" i="1"/>
  <c r="D153" i="1"/>
  <c r="D149" i="1"/>
  <c r="D145" i="1"/>
  <c r="D141" i="1"/>
  <c r="D208" i="1"/>
  <c r="D204" i="1"/>
  <c r="D200" i="1"/>
  <c r="D196" i="1"/>
  <c r="D192" i="1"/>
  <c r="D188" i="1"/>
  <c r="D184" i="1"/>
  <c r="D180" i="1"/>
  <c r="D176" i="1"/>
  <c r="D172" i="1"/>
  <c r="D168" i="1"/>
  <c r="D164" i="1"/>
  <c r="D160" i="1"/>
  <c r="D156" i="1"/>
  <c r="D152" i="1"/>
  <c r="D148" i="1"/>
  <c r="D144" i="1"/>
  <c r="Z74" i="1"/>
  <c r="U74" i="1"/>
  <c r="P74" i="1"/>
  <c r="F74" i="1"/>
  <c r="Z73" i="1"/>
  <c r="U73" i="1"/>
  <c r="P73" i="1"/>
  <c r="F73" i="1"/>
  <c r="D74" i="1" l="1"/>
  <c r="D73" i="1"/>
  <c r="P44" i="1"/>
  <c r="K44" i="1"/>
  <c r="F44" i="1"/>
  <c r="C44" i="1"/>
  <c r="D44" i="1" l="1"/>
  <c r="C43" i="1"/>
  <c r="P43" i="1"/>
  <c r="K43" i="1"/>
  <c r="F43" i="1"/>
  <c r="F42" i="1"/>
  <c r="K42" i="1"/>
  <c r="P42" i="1"/>
  <c r="H38" i="4"/>
  <c r="M38" i="4"/>
  <c r="D43" i="1" l="1"/>
  <c r="D42" i="1"/>
  <c r="C42" i="1"/>
  <c r="C214" i="1"/>
  <c r="F214" i="1"/>
  <c r="K214" i="1"/>
  <c r="P214" i="1"/>
  <c r="U214" i="1"/>
  <c r="Z214" i="1"/>
  <c r="T22" i="4"/>
  <c r="Y22" i="4"/>
  <c r="AD22" i="4" l="1"/>
  <c r="D214" i="1"/>
  <c r="Y10" i="10"/>
  <c r="T10" i="10"/>
  <c r="O10" i="10"/>
  <c r="J10" i="10"/>
  <c r="E10" i="10"/>
  <c r="R128" i="5"/>
  <c r="AB128" i="5" s="1"/>
  <c r="W128" i="5"/>
  <c r="X48" i="5"/>
  <c r="W48" i="5" s="1"/>
  <c r="S48" i="5"/>
  <c r="R48" i="5" s="1"/>
  <c r="Y24" i="4"/>
  <c r="T24" i="4"/>
  <c r="Z19" i="4"/>
  <c r="U19" i="4"/>
  <c r="M48" i="5"/>
  <c r="H48" i="5"/>
  <c r="C48" i="5"/>
  <c r="P19" i="4"/>
  <c r="K19" i="4"/>
  <c r="F19" i="4"/>
  <c r="O13" i="1"/>
  <c r="AD24" i="4" l="1"/>
  <c r="AD10" i="10"/>
  <c r="AB48" i="5"/>
  <c r="AA41" i="1"/>
  <c r="V41" i="1"/>
  <c r="Q41" i="1"/>
  <c r="P41" i="1" s="1"/>
  <c r="L41" i="1"/>
  <c r="K41" i="1" s="1"/>
  <c r="F41" i="1"/>
  <c r="C41" i="1"/>
  <c r="F40" i="1"/>
  <c r="D41" i="1" l="1"/>
  <c r="Z64" i="4"/>
  <c r="Z63" i="4"/>
  <c r="U64" i="4"/>
  <c r="U63" i="4"/>
  <c r="P64" i="4"/>
  <c r="P63" i="4"/>
  <c r="K64" i="4"/>
  <c r="K63" i="4"/>
  <c r="P89" i="1" l="1"/>
  <c r="U89" i="1"/>
  <c r="K89" i="1"/>
  <c r="C89" i="1"/>
  <c r="D89" i="1" l="1"/>
  <c r="S51" i="1" l="1"/>
  <c r="N13" i="1"/>
  <c r="M13" i="1"/>
  <c r="S21" i="1"/>
  <c r="O55" i="1"/>
  <c r="R51" i="1"/>
  <c r="U410" i="1"/>
  <c r="U411" i="1"/>
  <c r="U412" i="1"/>
  <c r="U413" i="1"/>
  <c r="O414" i="1"/>
  <c r="F240" i="1" l="1"/>
  <c r="C215" i="1"/>
  <c r="P14" i="1" l="1"/>
  <c r="P13" i="1" s="1"/>
  <c r="S13" i="1"/>
  <c r="P243" i="1" l="1"/>
  <c r="Z240" i="1" l="1"/>
  <c r="U240" i="1"/>
  <c r="P240" i="1"/>
  <c r="K240" i="1"/>
  <c r="C240" i="1"/>
  <c r="D240" i="1" l="1"/>
  <c r="C40" i="1"/>
  <c r="C38" i="1"/>
  <c r="C37" i="1" s="1"/>
  <c r="E37" i="1"/>
  <c r="Z140" i="1" l="1"/>
  <c r="U140" i="1"/>
  <c r="P140" i="1"/>
  <c r="K140" i="1"/>
  <c r="F140" i="1"/>
  <c r="C140" i="1"/>
  <c r="Z139" i="1"/>
  <c r="U139" i="1"/>
  <c r="P139" i="1"/>
  <c r="K139" i="1"/>
  <c r="F139" i="1"/>
  <c r="C139" i="1"/>
  <c r="F71" i="1"/>
  <c r="Z72" i="1"/>
  <c r="U72" i="1"/>
  <c r="P72" i="1"/>
  <c r="F72" i="1"/>
  <c r="Z71" i="1"/>
  <c r="U71" i="1"/>
  <c r="P71" i="1"/>
  <c r="Z70" i="1"/>
  <c r="U70" i="1"/>
  <c r="P70" i="1"/>
  <c r="F70" i="1"/>
  <c r="Z69" i="1"/>
  <c r="U69" i="1"/>
  <c r="P69" i="1"/>
  <c r="F69" i="1"/>
  <c r="D139" i="1" l="1"/>
  <c r="D71" i="1"/>
  <c r="D140" i="1"/>
  <c r="D70" i="1"/>
  <c r="D72" i="1"/>
  <c r="D69" i="1"/>
  <c r="F66" i="1"/>
  <c r="AC68" i="4" l="1"/>
  <c r="AB68" i="4"/>
  <c r="AA68" i="4"/>
  <c r="Z68" i="4"/>
  <c r="X68" i="4"/>
  <c r="W68" i="4"/>
  <c r="V68" i="4"/>
  <c r="U68" i="4"/>
  <c r="S68" i="4"/>
  <c r="R68" i="4"/>
  <c r="Q68" i="4"/>
  <c r="N68" i="4"/>
  <c r="M68" i="4"/>
  <c r="L68" i="4"/>
  <c r="I68" i="4"/>
  <c r="H68" i="4"/>
  <c r="G68" i="4"/>
  <c r="AH67" i="4"/>
  <c r="AG67" i="4"/>
  <c r="AF67" i="4"/>
  <c r="AE67" i="4"/>
  <c r="Y66" i="4"/>
  <c r="T66" i="4"/>
  <c r="O66" i="4"/>
  <c r="J66" i="4"/>
  <c r="E66" i="4"/>
  <c r="Y64" i="4"/>
  <c r="T64" i="4"/>
  <c r="P68" i="4"/>
  <c r="K68" i="4"/>
  <c r="F64" i="4"/>
  <c r="F68" i="4" s="1"/>
  <c r="Y63" i="4"/>
  <c r="T63" i="4"/>
  <c r="O63" i="4"/>
  <c r="J63" i="4"/>
  <c r="Y62" i="4"/>
  <c r="T62" i="4"/>
  <c r="J62" i="4"/>
  <c r="E62" i="4"/>
  <c r="Y60" i="4"/>
  <c r="T60" i="4"/>
  <c r="O60" i="4"/>
  <c r="J60" i="4"/>
  <c r="E60" i="4"/>
  <c r="AC55" i="4"/>
  <c r="AB55" i="4"/>
  <c r="AA55" i="4"/>
  <c r="X55" i="4"/>
  <c r="W55" i="4"/>
  <c r="V55" i="4"/>
  <c r="S55" i="4"/>
  <c r="R55" i="4"/>
  <c r="Q55" i="4"/>
  <c r="P55" i="4"/>
  <c r="N55" i="4"/>
  <c r="M55" i="4"/>
  <c r="L55" i="4"/>
  <c r="K55" i="4"/>
  <c r="I55" i="4"/>
  <c r="H55" i="4"/>
  <c r="G55" i="4"/>
  <c r="F55" i="4"/>
  <c r="Y54" i="4"/>
  <c r="T54" i="4"/>
  <c r="O54" i="4"/>
  <c r="J54" i="4"/>
  <c r="E54" i="4"/>
  <c r="Y53" i="4"/>
  <c r="T53" i="4"/>
  <c r="O53" i="4"/>
  <c r="J53" i="4"/>
  <c r="E53" i="4"/>
  <c r="AH52" i="4"/>
  <c r="AG52" i="4"/>
  <c r="AF52" i="4"/>
  <c r="U52" i="4"/>
  <c r="T52" i="4" s="1"/>
  <c r="O52" i="4"/>
  <c r="J52" i="4"/>
  <c r="E52" i="4"/>
  <c r="AH50" i="4"/>
  <c r="AG50" i="4"/>
  <c r="AF50" i="4"/>
  <c r="U50" i="4"/>
  <c r="T50" i="4" s="1"/>
  <c r="O50" i="4"/>
  <c r="J50" i="4"/>
  <c r="AH49" i="4"/>
  <c r="AG49" i="4"/>
  <c r="AF49" i="4"/>
  <c r="U49" i="4"/>
  <c r="Z49" i="4" s="1"/>
  <c r="O49" i="4"/>
  <c r="J49" i="4"/>
  <c r="E49" i="4"/>
  <c r="H37" i="4"/>
  <c r="H35" i="4"/>
  <c r="AC29" i="4"/>
  <c r="AB29" i="4"/>
  <c r="AA29" i="4"/>
  <c r="X29" i="4"/>
  <c r="W29" i="4"/>
  <c r="V29" i="4"/>
  <c r="S29" i="4"/>
  <c r="R29" i="4"/>
  <c r="Q29" i="4"/>
  <c r="P29" i="4"/>
  <c r="N29" i="4"/>
  <c r="M29" i="4"/>
  <c r="L29" i="4"/>
  <c r="K29" i="4"/>
  <c r="I29" i="4"/>
  <c r="H29" i="4"/>
  <c r="G29" i="4"/>
  <c r="Z28" i="4"/>
  <c r="Z29" i="4" s="1"/>
  <c r="U28" i="4"/>
  <c r="U29" i="4" s="1"/>
  <c r="O28" i="4"/>
  <c r="J28" i="4"/>
  <c r="E28" i="4"/>
  <c r="Y26" i="4"/>
  <c r="T26" i="4"/>
  <c r="O26" i="4"/>
  <c r="J26" i="4"/>
  <c r="E26" i="4"/>
  <c r="Y25" i="4"/>
  <c r="T25" i="4"/>
  <c r="O25" i="4"/>
  <c r="J25" i="4"/>
  <c r="E25" i="4"/>
  <c r="O23" i="4"/>
  <c r="J23" i="4"/>
  <c r="E23" i="4"/>
  <c r="O21" i="4"/>
  <c r="J21" i="4"/>
  <c r="E21" i="4"/>
  <c r="O20" i="4"/>
  <c r="J20" i="4"/>
  <c r="E20" i="4"/>
  <c r="Y19" i="4"/>
  <c r="T19" i="4"/>
  <c r="O19" i="4"/>
  <c r="J19" i="4"/>
  <c r="E19" i="4"/>
  <c r="Y17" i="4"/>
  <c r="T17" i="4"/>
  <c r="O17" i="4"/>
  <c r="J17" i="4"/>
  <c r="E17" i="4"/>
  <c r="O16" i="4"/>
  <c r="J16" i="4"/>
  <c r="F16" i="4"/>
  <c r="F29" i="4" s="1"/>
  <c r="E15" i="4"/>
  <c r="AD15" i="4" s="1"/>
  <c r="O14" i="4"/>
  <c r="J14" i="4"/>
  <c r="E14" i="4"/>
  <c r="O13" i="4"/>
  <c r="J13" i="4"/>
  <c r="E13" i="4"/>
  <c r="Z491" i="1"/>
  <c r="U491" i="1"/>
  <c r="P491" i="1"/>
  <c r="K491" i="1"/>
  <c r="F491" i="1"/>
  <c r="C491" i="1"/>
  <c r="Z490" i="1"/>
  <c r="Y490" i="1"/>
  <c r="C490" i="1" s="1"/>
  <c r="U490" i="1"/>
  <c r="P490" i="1"/>
  <c r="K490" i="1"/>
  <c r="F490" i="1"/>
  <c r="Z489" i="1"/>
  <c r="Y489" i="1"/>
  <c r="C489" i="1" s="1"/>
  <c r="U489" i="1"/>
  <c r="P489" i="1"/>
  <c r="K489" i="1"/>
  <c r="F489" i="1"/>
  <c r="Z488" i="1"/>
  <c r="U488" i="1"/>
  <c r="P488" i="1"/>
  <c r="K488" i="1"/>
  <c r="F488" i="1"/>
  <c r="C488" i="1"/>
  <c r="Z487" i="1"/>
  <c r="Y487" i="1"/>
  <c r="C487" i="1" s="1"/>
  <c r="U487" i="1"/>
  <c r="P487" i="1"/>
  <c r="K487" i="1"/>
  <c r="F487" i="1"/>
  <c r="Z486" i="1"/>
  <c r="U486" i="1"/>
  <c r="P486" i="1"/>
  <c r="K486" i="1"/>
  <c r="F486" i="1"/>
  <c r="C486" i="1"/>
  <c r="Z485" i="1"/>
  <c r="U485" i="1"/>
  <c r="P485" i="1"/>
  <c r="K485" i="1"/>
  <c r="F485" i="1"/>
  <c r="C485" i="1"/>
  <c r="Z484" i="1"/>
  <c r="U484" i="1"/>
  <c r="P484" i="1"/>
  <c r="K484" i="1"/>
  <c r="F484" i="1"/>
  <c r="C484" i="1"/>
  <c r="Z483" i="1"/>
  <c r="U483" i="1"/>
  <c r="P483" i="1"/>
  <c r="K483" i="1"/>
  <c r="F483" i="1"/>
  <c r="C483" i="1"/>
  <c r="Z482" i="1"/>
  <c r="U482" i="1"/>
  <c r="P482" i="1"/>
  <c r="K482" i="1"/>
  <c r="F482" i="1"/>
  <c r="C482" i="1"/>
  <c r="Y481" i="1"/>
  <c r="U481" i="1"/>
  <c r="P481" i="1"/>
  <c r="K481" i="1"/>
  <c r="F481" i="1"/>
  <c r="Z480" i="1"/>
  <c r="Y480" i="1"/>
  <c r="C480" i="1" s="1"/>
  <c r="U480" i="1"/>
  <c r="P480" i="1"/>
  <c r="K480" i="1"/>
  <c r="F480" i="1"/>
  <c r="Z479" i="1"/>
  <c r="U479" i="1"/>
  <c r="P479" i="1"/>
  <c r="K479" i="1"/>
  <c r="F479" i="1"/>
  <c r="C479" i="1"/>
  <c r="Z478" i="1"/>
  <c r="U478" i="1"/>
  <c r="P478" i="1"/>
  <c r="K478" i="1"/>
  <c r="F478" i="1"/>
  <c r="C478" i="1"/>
  <c r="Z477" i="1"/>
  <c r="U477" i="1"/>
  <c r="P477" i="1"/>
  <c r="K477" i="1"/>
  <c r="F477" i="1"/>
  <c r="C477" i="1"/>
  <c r="Z476" i="1"/>
  <c r="U476" i="1"/>
  <c r="P476" i="1"/>
  <c r="O472" i="1"/>
  <c r="K476" i="1"/>
  <c r="F476" i="1"/>
  <c r="Z475" i="1"/>
  <c r="U475" i="1"/>
  <c r="P475" i="1"/>
  <c r="K475" i="1"/>
  <c r="F475" i="1"/>
  <c r="C475" i="1"/>
  <c r="Z474" i="1"/>
  <c r="U474" i="1"/>
  <c r="P474" i="1"/>
  <c r="K474" i="1"/>
  <c r="F474" i="1"/>
  <c r="C474" i="1"/>
  <c r="Z473" i="1"/>
  <c r="U473" i="1"/>
  <c r="P473" i="1"/>
  <c r="K473" i="1"/>
  <c r="F473" i="1"/>
  <c r="C473" i="1"/>
  <c r="AB472" i="1"/>
  <c r="AA472" i="1"/>
  <c r="X472" i="1"/>
  <c r="W472" i="1"/>
  <c r="V472" i="1"/>
  <c r="T472" i="1"/>
  <c r="R472" i="1"/>
  <c r="Q472" i="1"/>
  <c r="N472" i="1"/>
  <c r="M472" i="1"/>
  <c r="L472" i="1"/>
  <c r="J472" i="1"/>
  <c r="I472" i="1"/>
  <c r="H472" i="1"/>
  <c r="G472" i="1"/>
  <c r="E472" i="1"/>
  <c r="Z471" i="1"/>
  <c r="U471" i="1"/>
  <c r="P471" i="1"/>
  <c r="K471" i="1"/>
  <c r="F471" i="1"/>
  <c r="C471" i="1"/>
  <c r="Z470" i="1"/>
  <c r="U470" i="1"/>
  <c r="P470" i="1"/>
  <c r="K470" i="1"/>
  <c r="F470" i="1"/>
  <c r="C470" i="1"/>
  <c r="Z469" i="1"/>
  <c r="U469" i="1"/>
  <c r="P469" i="1"/>
  <c r="K469" i="1"/>
  <c r="F469" i="1"/>
  <c r="C469" i="1"/>
  <c r="Z468" i="1"/>
  <c r="U468" i="1"/>
  <c r="P468" i="1"/>
  <c r="C468" i="1"/>
  <c r="K468" i="1"/>
  <c r="F468" i="1"/>
  <c r="Z467" i="1"/>
  <c r="U467" i="1"/>
  <c r="P467" i="1"/>
  <c r="K467" i="1"/>
  <c r="F467" i="1"/>
  <c r="C467" i="1"/>
  <c r="Z466" i="1"/>
  <c r="U466" i="1"/>
  <c r="P466" i="1"/>
  <c r="K466" i="1"/>
  <c r="F466" i="1"/>
  <c r="C466" i="1"/>
  <c r="Z465" i="1"/>
  <c r="U465" i="1"/>
  <c r="P465" i="1"/>
  <c r="C465" i="1"/>
  <c r="K465" i="1"/>
  <c r="F465" i="1"/>
  <c r="Z464" i="1"/>
  <c r="U464" i="1"/>
  <c r="P464" i="1"/>
  <c r="C464" i="1"/>
  <c r="K464" i="1"/>
  <c r="F464" i="1"/>
  <c r="Z463" i="1"/>
  <c r="U463" i="1"/>
  <c r="P463" i="1"/>
  <c r="C463" i="1"/>
  <c r="K463" i="1"/>
  <c r="F463" i="1"/>
  <c r="Z462" i="1"/>
  <c r="U462" i="1"/>
  <c r="P462" i="1"/>
  <c r="C462" i="1"/>
  <c r="K462" i="1"/>
  <c r="F462" i="1"/>
  <c r="Z461" i="1"/>
  <c r="U461" i="1"/>
  <c r="P461" i="1"/>
  <c r="C461" i="1"/>
  <c r="K461" i="1"/>
  <c r="F461" i="1"/>
  <c r="Z460" i="1"/>
  <c r="U460" i="1"/>
  <c r="P460" i="1"/>
  <c r="K460" i="1"/>
  <c r="F460" i="1"/>
  <c r="C460" i="1"/>
  <c r="Z459" i="1"/>
  <c r="U459" i="1"/>
  <c r="P459" i="1"/>
  <c r="K459" i="1"/>
  <c r="F459" i="1"/>
  <c r="C459" i="1"/>
  <c r="Z458" i="1"/>
  <c r="U458" i="1"/>
  <c r="P458" i="1"/>
  <c r="K458" i="1"/>
  <c r="F458" i="1"/>
  <c r="C458" i="1"/>
  <c r="Z457" i="1"/>
  <c r="U457" i="1"/>
  <c r="P457" i="1"/>
  <c r="K457" i="1"/>
  <c r="F457" i="1"/>
  <c r="C457" i="1"/>
  <c r="Z456" i="1"/>
  <c r="U456" i="1"/>
  <c r="P456" i="1"/>
  <c r="K456" i="1"/>
  <c r="F456" i="1"/>
  <c r="C456" i="1"/>
  <c r="Z455" i="1"/>
  <c r="U455" i="1"/>
  <c r="P455" i="1"/>
  <c r="C455" i="1"/>
  <c r="K455" i="1"/>
  <c r="F455" i="1"/>
  <c r="Z454" i="1"/>
  <c r="U454" i="1"/>
  <c r="P454" i="1"/>
  <c r="K454" i="1"/>
  <c r="F454" i="1"/>
  <c r="C454" i="1"/>
  <c r="Z453" i="1"/>
  <c r="U453" i="1"/>
  <c r="P453" i="1"/>
  <c r="C453" i="1"/>
  <c r="K453" i="1"/>
  <c r="F453" i="1"/>
  <c r="Z452" i="1"/>
  <c r="U452" i="1"/>
  <c r="P452" i="1"/>
  <c r="K452" i="1"/>
  <c r="F452" i="1"/>
  <c r="C452" i="1"/>
  <c r="Z451" i="1"/>
  <c r="U451" i="1"/>
  <c r="P451" i="1"/>
  <c r="K451" i="1"/>
  <c r="F451" i="1"/>
  <c r="C451" i="1"/>
  <c r="Z450" i="1"/>
  <c r="U450" i="1"/>
  <c r="P450" i="1"/>
  <c r="C450" i="1"/>
  <c r="K450" i="1"/>
  <c r="F450" i="1"/>
  <c r="Z449" i="1"/>
  <c r="U449" i="1"/>
  <c r="P449" i="1"/>
  <c r="K449" i="1"/>
  <c r="F449" i="1"/>
  <c r="C449" i="1"/>
  <c r="Z448" i="1"/>
  <c r="U448" i="1"/>
  <c r="P448" i="1"/>
  <c r="C448" i="1"/>
  <c r="K448" i="1"/>
  <c r="F448" i="1"/>
  <c r="Z447" i="1"/>
  <c r="U447" i="1"/>
  <c r="P447" i="1"/>
  <c r="K447" i="1"/>
  <c r="F447" i="1"/>
  <c r="C447" i="1"/>
  <c r="Z446" i="1"/>
  <c r="U446" i="1"/>
  <c r="P446" i="1"/>
  <c r="K446" i="1"/>
  <c r="F446" i="1"/>
  <c r="C446" i="1"/>
  <c r="Z445" i="1"/>
  <c r="U445" i="1"/>
  <c r="P445" i="1"/>
  <c r="K445" i="1"/>
  <c r="F445" i="1"/>
  <c r="C445" i="1"/>
  <c r="Z444" i="1"/>
  <c r="U444" i="1"/>
  <c r="P444" i="1"/>
  <c r="K444" i="1"/>
  <c r="F444" i="1"/>
  <c r="C444" i="1"/>
  <c r="Z443" i="1"/>
  <c r="U443" i="1"/>
  <c r="P443" i="1"/>
  <c r="C443" i="1"/>
  <c r="K443" i="1"/>
  <c r="F443" i="1"/>
  <c r="Z442" i="1"/>
  <c r="U442" i="1"/>
  <c r="P442" i="1"/>
  <c r="C442" i="1"/>
  <c r="K442" i="1"/>
  <c r="F442" i="1"/>
  <c r="Z441" i="1"/>
  <c r="U441" i="1"/>
  <c r="P441" i="1"/>
  <c r="C441" i="1"/>
  <c r="K441" i="1"/>
  <c r="F441" i="1"/>
  <c r="Z440" i="1"/>
  <c r="U440" i="1"/>
  <c r="P440" i="1"/>
  <c r="C440" i="1"/>
  <c r="K440" i="1"/>
  <c r="F440" i="1"/>
  <c r="Z439" i="1"/>
  <c r="U439" i="1"/>
  <c r="P439" i="1"/>
  <c r="K439" i="1"/>
  <c r="F439" i="1"/>
  <c r="C439" i="1"/>
  <c r="Z438" i="1"/>
  <c r="U438" i="1"/>
  <c r="P438" i="1"/>
  <c r="K438" i="1"/>
  <c r="F438" i="1"/>
  <c r="C438" i="1"/>
  <c r="Z437" i="1"/>
  <c r="U437" i="1"/>
  <c r="P437" i="1"/>
  <c r="K437" i="1"/>
  <c r="F437" i="1"/>
  <c r="C437" i="1"/>
  <c r="Z436" i="1"/>
  <c r="U436" i="1"/>
  <c r="P436" i="1"/>
  <c r="K436" i="1"/>
  <c r="F436" i="1"/>
  <c r="C436" i="1"/>
  <c r="Z435" i="1"/>
  <c r="U435" i="1"/>
  <c r="P435" i="1"/>
  <c r="C435" i="1"/>
  <c r="K435" i="1"/>
  <c r="F435" i="1"/>
  <c r="Z434" i="1"/>
  <c r="U434" i="1"/>
  <c r="P434" i="1"/>
  <c r="K434" i="1"/>
  <c r="F434" i="1"/>
  <c r="C434" i="1"/>
  <c r="Z433" i="1"/>
  <c r="U433" i="1"/>
  <c r="P433" i="1"/>
  <c r="K433" i="1"/>
  <c r="F433" i="1"/>
  <c r="C433" i="1"/>
  <c r="Z432" i="1"/>
  <c r="U432" i="1"/>
  <c r="P432" i="1"/>
  <c r="K432" i="1"/>
  <c r="F432" i="1"/>
  <c r="C432" i="1"/>
  <c r="Z431" i="1"/>
  <c r="U431" i="1"/>
  <c r="P431" i="1"/>
  <c r="K431" i="1"/>
  <c r="F431" i="1"/>
  <c r="C431" i="1"/>
  <c r="Z430" i="1"/>
  <c r="U430" i="1"/>
  <c r="P430" i="1"/>
  <c r="K430" i="1"/>
  <c r="F430" i="1"/>
  <c r="Z429" i="1"/>
  <c r="U429" i="1"/>
  <c r="P429" i="1"/>
  <c r="K429" i="1"/>
  <c r="F429" i="1"/>
  <c r="C429" i="1"/>
  <c r="Z428" i="1"/>
  <c r="U428" i="1"/>
  <c r="P428" i="1"/>
  <c r="K428" i="1"/>
  <c r="F428" i="1"/>
  <c r="C428" i="1"/>
  <c r="Z427" i="1"/>
  <c r="U427" i="1"/>
  <c r="P427" i="1"/>
  <c r="K427" i="1"/>
  <c r="F427" i="1"/>
  <c r="C427" i="1"/>
  <c r="Z426" i="1"/>
  <c r="U426" i="1"/>
  <c r="P426" i="1"/>
  <c r="K426" i="1"/>
  <c r="F426" i="1"/>
  <c r="C426" i="1"/>
  <c r="Z425" i="1"/>
  <c r="U425" i="1"/>
  <c r="P425" i="1"/>
  <c r="K425" i="1"/>
  <c r="F425" i="1"/>
  <c r="C425" i="1"/>
  <c r="Z424" i="1"/>
  <c r="U424" i="1"/>
  <c r="P424" i="1"/>
  <c r="K424" i="1"/>
  <c r="F424" i="1"/>
  <c r="C424" i="1"/>
  <c r="Z423" i="1"/>
  <c r="U423" i="1"/>
  <c r="P423" i="1"/>
  <c r="K423" i="1"/>
  <c r="F423" i="1"/>
  <c r="C423" i="1"/>
  <c r="Z422" i="1"/>
  <c r="U422" i="1"/>
  <c r="P422" i="1"/>
  <c r="K422" i="1"/>
  <c r="F422" i="1"/>
  <c r="C422" i="1"/>
  <c r="AC421" i="1"/>
  <c r="AB421" i="1"/>
  <c r="AA421" i="1"/>
  <c r="Y421" i="1"/>
  <c r="X421" i="1"/>
  <c r="W421" i="1"/>
  <c r="V421" i="1"/>
  <c r="T421" i="1"/>
  <c r="R421" i="1"/>
  <c r="Q421" i="1"/>
  <c r="N421" i="1"/>
  <c r="M421" i="1"/>
  <c r="L421" i="1"/>
  <c r="J421" i="1"/>
  <c r="I421" i="1"/>
  <c r="H421" i="1"/>
  <c r="G421" i="1"/>
  <c r="E421" i="1"/>
  <c r="Z420" i="1"/>
  <c r="U420" i="1"/>
  <c r="P420" i="1"/>
  <c r="K420" i="1"/>
  <c r="F420" i="1"/>
  <c r="C420" i="1"/>
  <c r="Z419" i="1"/>
  <c r="U419" i="1"/>
  <c r="P419" i="1"/>
  <c r="K419" i="1"/>
  <c r="F419" i="1"/>
  <c r="C419" i="1"/>
  <c r="Z418" i="1"/>
  <c r="U418" i="1"/>
  <c r="P418" i="1"/>
  <c r="K418" i="1"/>
  <c r="F418" i="1"/>
  <c r="C418" i="1"/>
  <c r="Z417" i="1"/>
  <c r="U417" i="1"/>
  <c r="P417" i="1"/>
  <c r="K417" i="1"/>
  <c r="F417" i="1"/>
  <c r="C417" i="1"/>
  <c r="Z416" i="1"/>
  <c r="U416" i="1"/>
  <c r="P416" i="1"/>
  <c r="K416" i="1"/>
  <c r="F416" i="1"/>
  <c r="C416" i="1"/>
  <c r="Z415" i="1"/>
  <c r="U415" i="1"/>
  <c r="P415" i="1"/>
  <c r="K415" i="1"/>
  <c r="F415" i="1"/>
  <c r="C415" i="1"/>
  <c r="AC414" i="1"/>
  <c r="AB414" i="1"/>
  <c r="AA414" i="1"/>
  <c r="Y414" i="1"/>
  <c r="X414" i="1"/>
  <c r="W414" i="1"/>
  <c r="V414" i="1"/>
  <c r="T414" i="1"/>
  <c r="S414" i="1"/>
  <c r="R414" i="1"/>
  <c r="Q414" i="1"/>
  <c r="N414" i="1"/>
  <c r="M414" i="1"/>
  <c r="L414" i="1"/>
  <c r="J414" i="1"/>
  <c r="I414" i="1"/>
  <c r="H414" i="1"/>
  <c r="G414" i="1"/>
  <c r="E414" i="1"/>
  <c r="Z413" i="1"/>
  <c r="P413" i="1"/>
  <c r="K413" i="1"/>
  <c r="F413" i="1"/>
  <c r="C413" i="1"/>
  <c r="Z412" i="1"/>
  <c r="P412" i="1"/>
  <c r="K412" i="1"/>
  <c r="F412" i="1"/>
  <c r="C412" i="1"/>
  <c r="Z411" i="1"/>
  <c r="P411" i="1"/>
  <c r="K411" i="1"/>
  <c r="F411" i="1"/>
  <c r="C411" i="1"/>
  <c r="Z410" i="1"/>
  <c r="P410" i="1"/>
  <c r="K410" i="1"/>
  <c r="F410" i="1"/>
  <c r="C410" i="1"/>
  <c r="Z409" i="1"/>
  <c r="U409" i="1"/>
  <c r="T409" i="1"/>
  <c r="P409" i="1"/>
  <c r="K409" i="1"/>
  <c r="F409" i="1"/>
  <c r="AC408" i="1"/>
  <c r="AB408" i="1"/>
  <c r="AA408" i="1"/>
  <c r="Y408" i="1"/>
  <c r="W408" i="1"/>
  <c r="V408" i="1"/>
  <c r="S408" i="1"/>
  <c r="R408" i="1"/>
  <c r="Q408" i="1"/>
  <c r="O408" i="1"/>
  <c r="N408" i="1"/>
  <c r="M408" i="1"/>
  <c r="L408" i="1"/>
  <c r="J408" i="1"/>
  <c r="I408" i="1"/>
  <c r="H408" i="1"/>
  <c r="G408" i="1"/>
  <c r="E408" i="1"/>
  <c r="K407" i="1"/>
  <c r="Z404" i="1"/>
  <c r="U404" i="1"/>
  <c r="P404" i="1"/>
  <c r="K404" i="1"/>
  <c r="F404" i="1"/>
  <c r="C404" i="1"/>
  <c r="Z403" i="1"/>
  <c r="U403" i="1"/>
  <c r="P403" i="1"/>
  <c r="K403" i="1"/>
  <c r="F403" i="1"/>
  <c r="C403" i="1"/>
  <c r="Z402" i="1"/>
  <c r="U402" i="1"/>
  <c r="P402" i="1"/>
  <c r="K402" i="1"/>
  <c r="F402" i="1"/>
  <c r="C402" i="1"/>
  <c r="Z401" i="1"/>
  <c r="U401" i="1"/>
  <c r="P401" i="1"/>
  <c r="K401" i="1"/>
  <c r="F401" i="1"/>
  <c r="C401" i="1"/>
  <c r="Z400" i="1"/>
  <c r="U400" i="1"/>
  <c r="P400" i="1"/>
  <c r="K400" i="1"/>
  <c r="F400" i="1"/>
  <c r="C400" i="1"/>
  <c r="Z399" i="1"/>
  <c r="U399" i="1"/>
  <c r="P399" i="1"/>
  <c r="K399" i="1"/>
  <c r="F399" i="1"/>
  <c r="C399" i="1"/>
  <c r="Z398" i="1"/>
  <c r="U398" i="1"/>
  <c r="P398" i="1"/>
  <c r="K398" i="1"/>
  <c r="F398" i="1"/>
  <c r="C398" i="1"/>
  <c r="Z397" i="1"/>
  <c r="U397" i="1"/>
  <c r="P397" i="1"/>
  <c r="K397" i="1"/>
  <c r="F397" i="1"/>
  <c r="C397" i="1"/>
  <c r="Z396" i="1"/>
  <c r="U396" i="1"/>
  <c r="P396" i="1"/>
  <c r="K396" i="1"/>
  <c r="F396" i="1"/>
  <c r="C396" i="1"/>
  <c r="Z395" i="1"/>
  <c r="U395" i="1"/>
  <c r="P395" i="1"/>
  <c r="K395" i="1"/>
  <c r="F395" i="1"/>
  <c r="C395" i="1"/>
  <c r="Z394" i="1"/>
  <c r="U394" i="1"/>
  <c r="P394" i="1"/>
  <c r="K394" i="1"/>
  <c r="F394" i="1"/>
  <c r="C394" i="1"/>
  <c r="Z393" i="1"/>
  <c r="U393" i="1"/>
  <c r="P393" i="1"/>
  <c r="K393" i="1"/>
  <c r="F393" i="1"/>
  <c r="C393" i="1"/>
  <c r="Z392" i="1"/>
  <c r="U392" i="1"/>
  <c r="P392" i="1"/>
  <c r="K392" i="1"/>
  <c r="F392" i="1"/>
  <c r="C392" i="1"/>
  <c r="Z391" i="1"/>
  <c r="U391" i="1"/>
  <c r="P391" i="1"/>
  <c r="K391" i="1"/>
  <c r="F391" i="1"/>
  <c r="C391" i="1"/>
  <c r="Z390" i="1"/>
  <c r="U390" i="1"/>
  <c r="P390" i="1"/>
  <c r="K390" i="1"/>
  <c r="F390" i="1"/>
  <c r="C390" i="1"/>
  <c r="Z389" i="1"/>
  <c r="U389" i="1"/>
  <c r="P389" i="1"/>
  <c r="K389" i="1"/>
  <c r="F389" i="1"/>
  <c r="C389" i="1"/>
  <c r="Z388" i="1"/>
  <c r="U388" i="1"/>
  <c r="P388" i="1"/>
  <c r="K388" i="1"/>
  <c r="F388" i="1"/>
  <c r="C388" i="1"/>
  <c r="Z387" i="1"/>
  <c r="U387" i="1"/>
  <c r="P387" i="1"/>
  <c r="K387" i="1"/>
  <c r="F387" i="1"/>
  <c r="C387" i="1"/>
  <c r="Z386" i="1"/>
  <c r="U386" i="1"/>
  <c r="P386" i="1"/>
  <c r="K386" i="1"/>
  <c r="F386" i="1"/>
  <c r="C386" i="1"/>
  <c r="Z385" i="1"/>
  <c r="U385" i="1"/>
  <c r="P385" i="1"/>
  <c r="K385" i="1"/>
  <c r="F385" i="1"/>
  <c r="C385" i="1"/>
  <c r="Z384" i="1"/>
  <c r="U384" i="1"/>
  <c r="P384" i="1"/>
  <c r="K384" i="1"/>
  <c r="F384" i="1"/>
  <c r="C384" i="1"/>
  <c r="Z383" i="1"/>
  <c r="U383" i="1"/>
  <c r="P383" i="1"/>
  <c r="K383" i="1"/>
  <c r="F383" i="1"/>
  <c r="C383" i="1"/>
  <c r="Z382" i="1"/>
  <c r="U382" i="1"/>
  <c r="P382" i="1"/>
  <c r="K382" i="1"/>
  <c r="F382" i="1"/>
  <c r="C382" i="1"/>
  <c r="Z380" i="1"/>
  <c r="U380" i="1"/>
  <c r="P380" i="1"/>
  <c r="K380" i="1"/>
  <c r="F380" i="1"/>
  <c r="C380" i="1"/>
  <c r="Z379" i="1"/>
  <c r="U379" i="1"/>
  <c r="P379" i="1"/>
  <c r="K379" i="1"/>
  <c r="F379" i="1"/>
  <c r="C379" i="1"/>
  <c r="AC378" i="1"/>
  <c r="AB378" i="1"/>
  <c r="AA378" i="1"/>
  <c r="Y378" i="1"/>
  <c r="X378" i="1"/>
  <c r="W378" i="1"/>
  <c r="V378" i="1"/>
  <c r="T378" i="1"/>
  <c r="S378" i="1"/>
  <c r="R378" i="1"/>
  <c r="Q378" i="1"/>
  <c r="O378" i="1"/>
  <c r="N378" i="1"/>
  <c r="M378" i="1"/>
  <c r="L378" i="1"/>
  <c r="J378" i="1"/>
  <c r="I378" i="1"/>
  <c r="H378" i="1"/>
  <c r="G378" i="1"/>
  <c r="E378" i="1"/>
  <c r="Z377" i="1"/>
  <c r="U377" i="1"/>
  <c r="P377" i="1"/>
  <c r="K377" i="1"/>
  <c r="F377" i="1"/>
  <c r="C377" i="1"/>
  <c r="Z376" i="1"/>
  <c r="U376" i="1"/>
  <c r="P376" i="1"/>
  <c r="K376" i="1"/>
  <c r="F376" i="1"/>
  <c r="C376" i="1"/>
  <c r="Z375" i="1"/>
  <c r="Y375" i="1"/>
  <c r="C375" i="1" s="1"/>
  <c r="U375" i="1"/>
  <c r="P375" i="1"/>
  <c r="K375" i="1"/>
  <c r="F375" i="1"/>
  <c r="Z374" i="1"/>
  <c r="Y374" i="1"/>
  <c r="C374" i="1" s="1"/>
  <c r="U374" i="1"/>
  <c r="P374" i="1"/>
  <c r="K374" i="1"/>
  <c r="F374" i="1"/>
  <c r="Z373" i="1"/>
  <c r="U373" i="1"/>
  <c r="P373" i="1"/>
  <c r="K373" i="1"/>
  <c r="F373" i="1"/>
  <c r="C373" i="1"/>
  <c r="Z372" i="1"/>
  <c r="U372" i="1"/>
  <c r="P372" i="1"/>
  <c r="K372" i="1"/>
  <c r="F372" i="1"/>
  <c r="C372" i="1"/>
  <c r="Z371" i="1"/>
  <c r="U371" i="1"/>
  <c r="P371" i="1"/>
  <c r="K371" i="1"/>
  <c r="F371" i="1"/>
  <c r="C371" i="1"/>
  <c r="Z370" i="1"/>
  <c r="U370" i="1"/>
  <c r="P370" i="1"/>
  <c r="K370" i="1"/>
  <c r="F370" i="1"/>
  <c r="C370" i="1"/>
  <c r="Z369" i="1"/>
  <c r="U369" i="1"/>
  <c r="P369" i="1"/>
  <c r="K369" i="1"/>
  <c r="F369" i="1"/>
  <c r="C369" i="1"/>
  <c r="Z368" i="1"/>
  <c r="Y368" i="1"/>
  <c r="C368" i="1" s="1"/>
  <c r="U368" i="1"/>
  <c r="P368" i="1"/>
  <c r="K368" i="1"/>
  <c r="F368" i="1"/>
  <c r="Z367" i="1"/>
  <c r="Y367" i="1"/>
  <c r="C367" i="1" s="1"/>
  <c r="U367" i="1"/>
  <c r="P367" i="1"/>
  <c r="K367" i="1"/>
  <c r="F367" i="1"/>
  <c r="Z366" i="1"/>
  <c r="U366" i="1"/>
  <c r="P366" i="1"/>
  <c r="K366" i="1"/>
  <c r="F366" i="1"/>
  <c r="C366" i="1"/>
  <c r="Z365" i="1"/>
  <c r="U365" i="1"/>
  <c r="P365" i="1"/>
  <c r="K365" i="1"/>
  <c r="F365" i="1"/>
  <c r="C365" i="1"/>
  <c r="Z364" i="1"/>
  <c r="Y364" i="1"/>
  <c r="C364" i="1" s="1"/>
  <c r="U364" i="1"/>
  <c r="P364" i="1"/>
  <c r="K364" i="1"/>
  <c r="F364" i="1"/>
  <c r="Z363" i="1"/>
  <c r="U363" i="1"/>
  <c r="P363" i="1"/>
  <c r="K363" i="1"/>
  <c r="F363" i="1"/>
  <c r="C363" i="1"/>
  <c r="Z362" i="1"/>
  <c r="U362" i="1"/>
  <c r="P362" i="1"/>
  <c r="K362" i="1"/>
  <c r="F362" i="1"/>
  <c r="C362" i="1"/>
  <c r="Z361" i="1"/>
  <c r="Y361" i="1"/>
  <c r="C361" i="1" s="1"/>
  <c r="U361" i="1"/>
  <c r="P361" i="1"/>
  <c r="K361" i="1"/>
  <c r="F361" i="1"/>
  <c r="Z360" i="1"/>
  <c r="U360" i="1"/>
  <c r="P360" i="1"/>
  <c r="K360" i="1"/>
  <c r="F360" i="1"/>
  <c r="C360" i="1"/>
  <c r="Z359" i="1"/>
  <c r="U359" i="1"/>
  <c r="P359" i="1"/>
  <c r="K359" i="1"/>
  <c r="F359" i="1"/>
  <c r="C359" i="1"/>
  <c r="Z358" i="1"/>
  <c r="U358" i="1"/>
  <c r="P358" i="1"/>
  <c r="K358" i="1"/>
  <c r="F358" i="1"/>
  <c r="C358" i="1"/>
  <c r="Z357" i="1"/>
  <c r="Y357" i="1"/>
  <c r="C357" i="1" s="1"/>
  <c r="U357" i="1"/>
  <c r="P357" i="1"/>
  <c r="K357" i="1"/>
  <c r="F357" i="1"/>
  <c r="Z356" i="1"/>
  <c r="U356" i="1"/>
  <c r="P356" i="1"/>
  <c r="K356" i="1"/>
  <c r="F356" i="1"/>
  <c r="C356" i="1"/>
  <c r="Z355" i="1"/>
  <c r="Y355" i="1"/>
  <c r="C355" i="1" s="1"/>
  <c r="U355" i="1"/>
  <c r="P355" i="1"/>
  <c r="K355" i="1"/>
  <c r="F355" i="1"/>
  <c r="Z354" i="1"/>
  <c r="U354" i="1"/>
  <c r="P354" i="1"/>
  <c r="K354" i="1"/>
  <c r="F354" i="1"/>
  <c r="C354" i="1"/>
  <c r="Z353" i="1"/>
  <c r="U353" i="1"/>
  <c r="P353" i="1"/>
  <c r="K353" i="1"/>
  <c r="F353" i="1"/>
  <c r="C353" i="1"/>
  <c r="Z352" i="1"/>
  <c r="Y352" i="1"/>
  <c r="C352" i="1" s="1"/>
  <c r="U352" i="1"/>
  <c r="P352" i="1"/>
  <c r="K352" i="1"/>
  <c r="F352" i="1"/>
  <c r="Z351" i="1"/>
  <c r="Y351" i="1"/>
  <c r="C351" i="1" s="1"/>
  <c r="U351" i="1"/>
  <c r="P351" i="1"/>
  <c r="K351" i="1"/>
  <c r="F351" i="1"/>
  <c r="Z350" i="1"/>
  <c r="U350" i="1"/>
  <c r="P350" i="1"/>
  <c r="K350" i="1"/>
  <c r="F350" i="1"/>
  <c r="C350" i="1"/>
  <c r="Z349" i="1"/>
  <c r="U349" i="1"/>
  <c r="P349" i="1"/>
  <c r="K349" i="1"/>
  <c r="F349" i="1"/>
  <c r="C349" i="1"/>
  <c r="Z348" i="1"/>
  <c r="U348" i="1"/>
  <c r="P348" i="1"/>
  <c r="K348" i="1"/>
  <c r="F348" i="1"/>
  <c r="C348" i="1"/>
  <c r="Z347" i="1"/>
  <c r="Y347" i="1"/>
  <c r="C347" i="1" s="1"/>
  <c r="U347" i="1"/>
  <c r="P347" i="1"/>
  <c r="K347" i="1"/>
  <c r="F347" i="1"/>
  <c r="Z346" i="1"/>
  <c r="Y346" i="1"/>
  <c r="C346" i="1" s="1"/>
  <c r="U346" i="1"/>
  <c r="P346" i="1"/>
  <c r="K346" i="1"/>
  <c r="F346" i="1"/>
  <c r="Z345" i="1"/>
  <c r="Y345" i="1"/>
  <c r="C345" i="1" s="1"/>
  <c r="U345" i="1"/>
  <c r="P345" i="1"/>
  <c r="K345" i="1"/>
  <c r="F345" i="1"/>
  <c r="Z344" i="1"/>
  <c r="Y344" i="1"/>
  <c r="C344" i="1" s="1"/>
  <c r="U344" i="1"/>
  <c r="P344" i="1"/>
  <c r="K344" i="1"/>
  <c r="F344" i="1"/>
  <c r="Z343" i="1"/>
  <c r="Y343" i="1"/>
  <c r="C343" i="1" s="1"/>
  <c r="U343" i="1"/>
  <c r="P343" i="1"/>
  <c r="K343" i="1"/>
  <c r="F343" i="1"/>
  <c r="Z342" i="1"/>
  <c r="Y342" i="1"/>
  <c r="C342" i="1" s="1"/>
  <c r="U342" i="1"/>
  <c r="P342" i="1"/>
  <c r="K342" i="1"/>
  <c r="F342" i="1"/>
  <c r="Z341" i="1"/>
  <c r="U341" i="1"/>
  <c r="P341" i="1"/>
  <c r="K341" i="1"/>
  <c r="F341" i="1"/>
  <c r="C341" i="1"/>
  <c r="Z340" i="1"/>
  <c r="U340" i="1"/>
  <c r="P340" i="1"/>
  <c r="K340" i="1"/>
  <c r="F340" i="1"/>
  <c r="C340" i="1"/>
  <c r="Z339" i="1"/>
  <c r="Y339" i="1"/>
  <c r="C339" i="1" s="1"/>
  <c r="U339" i="1"/>
  <c r="P339" i="1"/>
  <c r="K339" i="1"/>
  <c r="F339" i="1"/>
  <c r="Z338" i="1"/>
  <c r="Y338" i="1"/>
  <c r="C338" i="1" s="1"/>
  <c r="U338" i="1"/>
  <c r="P338" i="1"/>
  <c r="K338" i="1"/>
  <c r="F338" i="1"/>
  <c r="Z337" i="1"/>
  <c r="U337" i="1"/>
  <c r="P337" i="1"/>
  <c r="K337" i="1"/>
  <c r="F337" i="1"/>
  <c r="C337" i="1"/>
  <c r="Z336" i="1"/>
  <c r="Y336" i="1"/>
  <c r="C336" i="1" s="1"/>
  <c r="U336" i="1"/>
  <c r="P336" i="1"/>
  <c r="K336" i="1"/>
  <c r="F336" i="1"/>
  <c r="Z335" i="1"/>
  <c r="U335" i="1"/>
  <c r="P335" i="1"/>
  <c r="K335" i="1"/>
  <c r="F335" i="1"/>
  <c r="C335" i="1"/>
  <c r="Z334" i="1"/>
  <c r="U334" i="1"/>
  <c r="P334" i="1"/>
  <c r="K334" i="1"/>
  <c r="F334" i="1"/>
  <c r="C334" i="1"/>
  <c r="Z333" i="1"/>
  <c r="U333" i="1"/>
  <c r="P333" i="1"/>
  <c r="K333" i="1"/>
  <c r="F333" i="1"/>
  <c r="C333" i="1"/>
  <c r="Z332" i="1"/>
  <c r="U332" i="1"/>
  <c r="P332" i="1"/>
  <c r="K332" i="1"/>
  <c r="F332" i="1"/>
  <c r="C332" i="1"/>
  <c r="Z331" i="1"/>
  <c r="Y331" i="1"/>
  <c r="C331" i="1" s="1"/>
  <c r="U331" i="1"/>
  <c r="P331" i="1"/>
  <c r="K331" i="1"/>
  <c r="F331" i="1"/>
  <c r="Z330" i="1"/>
  <c r="Y330" i="1"/>
  <c r="C330" i="1" s="1"/>
  <c r="U330" i="1"/>
  <c r="P330" i="1"/>
  <c r="K330" i="1"/>
  <c r="F330" i="1"/>
  <c r="Z329" i="1"/>
  <c r="U329" i="1"/>
  <c r="P329" i="1"/>
  <c r="K329" i="1"/>
  <c r="F329" i="1"/>
  <c r="C329" i="1"/>
  <c r="Z328" i="1"/>
  <c r="U328" i="1"/>
  <c r="P328" i="1"/>
  <c r="K328" i="1"/>
  <c r="F328" i="1"/>
  <c r="C328" i="1"/>
  <c r="Z327" i="1"/>
  <c r="U327" i="1"/>
  <c r="P327" i="1"/>
  <c r="K327" i="1"/>
  <c r="F327" i="1"/>
  <c r="C327" i="1"/>
  <c r="Z326" i="1"/>
  <c r="U326" i="1"/>
  <c r="P326" i="1"/>
  <c r="K326" i="1"/>
  <c r="F326" i="1"/>
  <c r="C326" i="1"/>
  <c r="Z325" i="1"/>
  <c r="U325" i="1"/>
  <c r="P325" i="1"/>
  <c r="K325" i="1"/>
  <c r="F325" i="1"/>
  <c r="C325" i="1"/>
  <c r="Z324" i="1"/>
  <c r="U324" i="1"/>
  <c r="P324" i="1"/>
  <c r="K324" i="1"/>
  <c r="F324" i="1"/>
  <c r="C324" i="1"/>
  <c r="Z323" i="1"/>
  <c r="U323" i="1"/>
  <c r="P323" i="1"/>
  <c r="K323" i="1"/>
  <c r="F323" i="1"/>
  <c r="C323" i="1"/>
  <c r="Z322" i="1"/>
  <c r="U322" i="1"/>
  <c r="P322" i="1"/>
  <c r="K322" i="1"/>
  <c r="F322" i="1"/>
  <c r="C322" i="1"/>
  <c r="Z321" i="1"/>
  <c r="Y321" i="1"/>
  <c r="C321" i="1" s="1"/>
  <c r="U321" i="1"/>
  <c r="P321" i="1"/>
  <c r="K321" i="1"/>
  <c r="F321" i="1"/>
  <c r="Z320" i="1"/>
  <c r="U320" i="1"/>
  <c r="P320" i="1"/>
  <c r="K320" i="1"/>
  <c r="F320" i="1"/>
  <c r="C320" i="1"/>
  <c r="Z319" i="1"/>
  <c r="Y319" i="1"/>
  <c r="C319" i="1" s="1"/>
  <c r="U319" i="1"/>
  <c r="P319" i="1"/>
  <c r="K319" i="1"/>
  <c r="F319" i="1"/>
  <c r="Z318" i="1"/>
  <c r="Y318" i="1"/>
  <c r="C318" i="1" s="1"/>
  <c r="U318" i="1"/>
  <c r="P318" i="1"/>
  <c r="K318" i="1"/>
  <c r="F318" i="1"/>
  <c r="Z317" i="1"/>
  <c r="Y317" i="1"/>
  <c r="C317" i="1" s="1"/>
  <c r="U317" i="1"/>
  <c r="P317" i="1"/>
  <c r="K317" i="1"/>
  <c r="F317" i="1"/>
  <c r="Z316" i="1"/>
  <c r="U316" i="1"/>
  <c r="P316" i="1"/>
  <c r="K316" i="1"/>
  <c r="F316" i="1"/>
  <c r="C316" i="1"/>
  <c r="Z315" i="1"/>
  <c r="U315" i="1"/>
  <c r="P315" i="1"/>
  <c r="K315" i="1"/>
  <c r="F315" i="1"/>
  <c r="C315" i="1"/>
  <c r="Z314" i="1"/>
  <c r="Y314" i="1"/>
  <c r="C314" i="1" s="1"/>
  <c r="U314" i="1"/>
  <c r="P314" i="1"/>
  <c r="K314" i="1"/>
  <c r="F314" i="1"/>
  <c r="Z313" i="1"/>
  <c r="U313" i="1"/>
  <c r="P313" i="1"/>
  <c r="K313" i="1"/>
  <c r="F313" i="1"/>
  <c r="C313" i="1"/>
  <c r="Z312" i="1"/>
  <c r="U312" i="1"/>
  <c r="P312" i="1"/>
  <c r="K312" i="1"/>
  <c r="F312" i="1"/>
  <c r="C312" i="1"/>
  <c r="Z311" i="1"/>
  <c r="U311" i="1"/>
  <c r="P311" i="1"/>
  <c r="K311" i="1"/>
  <c r="F311" i="1"/>
  <c r="C311" i="1"/>
  <c r="Z310" i="1"/>
  <c r="U310" i="1"/>
  <c r="P310" i="1"/>
  <c r="K310" i="1"/>
  <c r="F310" i="1"/>
  <c r="C310" i="1"/>
  <c r="Z309" i="1"/>
  <c r="U309" i="1"/>
  <c r="P309" i="1"/>
  <c r="K309" i="1"/>
  <c r="F309" i="1"/>
  <c r="C309" i="1"/>
  <c r="Z308" i="1"/>
  <c r="Y308" i="1"/>
  <c r="C308" i="1" s="1"/>
  <c r="U308" i="1"/>
  <c r="P308" i="1"/>
  <c r="K308" i="1"/>
  <c r="F308" i="1"/>
  <c r="Z307" i="1"/>
  <c r="Y307" i="1"/>
  <c r="C307" i="1" s="1"/>
  <c r="U307" i="1"/>
  <c r="P307" i="1"/>
  <c r="K307" i="1"/>
  <c r="F307" i="1"/>
  <c r="Z306" i="1"/>
  <c r="U306" i="1"/>
  <c r="P306" i="1"/>
  <c r="K306" i="1"/>
  <c r="F306" i="1"/>
  <c r="C306" i="1"/>
  <c r="Z305" i="1"/>
  <c r="U305" i="1"/>
  <c r="P305" i="1"/>
  <c r="K305" i="1"/>
  <c r="F305" i="1"/>
  <c r="C305" i="1"/>
  <c r="Z304" i="1"/>
  <c r="Y304" i="1"/>
  <c r="C304" i="1" s="1"/>
  <c r="U304" i="1"/>
  <c r="P304" i="1"/>
  <c r="K304" i="1"/>
  <c r="F304" i="1"/>
  <c r="Z303" i="1"/>
  <c r="U303" i="1"/>
  <c r="P303" i="1"/>
  <c r="K303" i="1"/>
  <c r="F303" i="1"/>
  <c r="C303" i="1"/>
  <c r="Z302" i="1"/>
  <c r="U302" i="1"/>
  <c r="P302" i="1"/>
  <c r="K302" i="1"/>
  <c r="F302" i="1"/>
  <c r="C302" i="1"/>
  <c r="Z301" i="1"/>
  <c r="U301" i="1"/>
  <c r="P301" i="1"/>
  <c r="K301" i="1"/>
  <c r="F301" i="1"/>
  <c r="C301" i="1"/>
  <c r="Z300" i="1"/>
  <c r="U300" i="1"/>
  <c r="P300" i="1"/>
  <c r="K300" i="1"/>
  <c r="F300" i="1"/>
  <c r="C300" i="1"/>
  <c r="Y299" i="1"/>
  <c r="U299" i="1"/>
  <c r="P299" i="1"/>
  <c r="K299" i="1"/>
  <c r="F299" i="1"/>
  <c r="Z298" i="1"/>
  <c r="Y298" i="1"/>
  <c r="C298" i="1" s="1"/>
  <c r="U298" i="1"/>
  <c r="P298" i="1"/>
  <c r="K298" i="1"/>
  <c r="F298" i="1"/>
  <c r="Z297" i="1"/>
  <c r="U297" i="1"/>
  <c r="P297" i="1"/>
  <c r="K297" i="1"/>
  <c r="F297" i="1"/>
  <c r="C297" i="1"/>
  <c r="Z296" i="1"/>
  <c r="U296" i="1"/>
  <c r="T296" i="1"/>
  <c r="C296" i="1" s="1"/>
  <c r="P296" i="1"/>
  <c r="K296" i="1"/>
  <c r="F296" i="1"/>
  <c r="Z295" i="1"/>
  <c r="U295" i="1"/>
  <c r="P295" i="1"/>
  <c r="K295" i="1"/>
  <c r="F295" i="1"/>
  <c r="C295" i="1"/>
  <c r="Z294" i="1"/>
  <c r="U294" i="1"/>
  <c r="T294" i="1"/>
  <c r="C294" i="1" s="1"/>
  <c r="P294" i="1"/>
  <c r="K294" i="1"/>
  <c r="F294" i="1"/>
  <c r="Z293" i="1"/>
  <c r="U293" i="1"/>
  <c r="T293" i="1"/>
  <c r="C293" i="1" s="1"/>
  <c r="P293" i="1"/>
  <c r="K293" i="1"/>
  <c r="F293" i="1"/>
  <c r="Z292" i="1"/>
  <c r="U292" i="1"/>
  <c r="P292" i="1"/>
  <c r="K292" i="1"/>
  <c r="F292" i="1"/>
  <c r="C292" i="1"/>
  <c r="Z291" i="1"/>
  <c r="U291" i="1"/>
  <c r="T291" i="1"/>
  <c r="C291" i="1" s="1"/>
  <c r="P291" i="1"/>
  <c r="K291" i="1"/>
  <c r="F291" i="1"/>
  <c r="Z290" i="1"/>
  <c r="U290" i="1"/>
  <c r="T290" i="1"/>
  <c r="C290" i="1" s="1"/>
  <c r="P290" i="1"/>
  <c r="K290" i="1"/>
  <c r="F290" i="1"/>
  <c r="Z289" i="1"/>
  <c r="U289" i="1"/>
  <c r="P289" i="1"/>
  <c r="K289" i="1"/>
  <c r="F289" i="1"/>
  <c r="C289" i="1"/>
  <c r="Z288" i="1"/>
  <c r="U288" i="1"/>
  <c r="P288" i="1"/>
  <c r="K288" i="1"/>
  <c r="F288" i="1"/>
  <c r="C288" i="1"/>
  <c r="Z287" i="1"/>
  <c r="U287" i="1"/>
  <c r="T287" i="1"/>
  <c r="C287" i="1" s="1"/>
  <c r="P287" i="1"/>
  <c r="K287" i="1"/>
  <c r="F287" i="1"/>
  <c r="Z286" i="1"/>
  <c r="U286" i="1"/>
  <c r="T286" i="1"/>
  <c r="C286" i="1" s="1"/>
  <c r="P286" i="1"/>
  <c r="K286" i="1"/>
  <c r="F286" i="1"/>
  <c r="Z285" i="1"/>
  <c r="U285" i="1"/>
  <c r="P285" i="1"/>
  <c r="K285" i="1"/>
  <c r="F285" i="1"/>
  <c r="C285" i="1"/>
  <c r="Z284" i="1"/>
  <c r="U284" i="1"/>
  <c r="P284" i="1"/>
  <c r="K284" i="1"/>
  <c r="F284" i="1"/>
  <c r="C284" i="1"/>
  <c r="Z283" i="1"/>
  <c r="U283" i="1"/>
  <c r="T283" i="1"/>
  <c r="C283" i="1" s="1"/>
  <c r="P283" i="1"/>
  <c r="K283" i="1"/>
  <c r="F283" i="1"/>
  <c r="Z282" i="1"/>
  <c r="U282" i="1"/>
  <c r="P282" i="1"/>
  <c r="K282" i="1"/>
  <c r="F282" i="1"/>
  <c r="C282" i="1"/>
  <c r="Z281" i="1"/>
  <c r="U281" i="1"/>
  <c r="T281" i="1"/>
  <c r="C281" i="1" s="1"/>
  <c r="P281" i="1"/>
  <c r="K281" i="1"/>
  <c r="F281" i="1"/>
  <c r="Z280" i="1"/>
  <c r="U280" i="1"/>
  <c r="T280" i="1"/>
  <c r="C280" i="1" s="1"/>
  <c r="P280" i="1"/>
  <c r="K280" i="1"/>
  <c r="F280" i="1"/>
  <c r="Z279" i="1"/>
  <c r="U279" i="1"/>
  <c r="P279" i="1"/>
  <c r="K279" i="1"/>
  <c r="F279" i="1"/>
  <c r="C279" i="1"/>
  <c r="Z278" i="1"/>
  <c r="U278" i="1"/>
  <c r="P278" i="1"/>
  <c r="K278" i="1"/>
  <c r="F278" i="1"/>
  <c r="C278" i="1"/>
  <c r="Z277" i="1"/>
  <c r="U277" i="1"/>
  <c r="T277" i="1"/>
  <c r="C277" i="1" s="1"/>
  <c r="P277" i="1"/>
  <c r="K277" i="1"/>
  <c r="F277" i="1"/>
  <c r="Z276" i="1"/>
  <c r="U276" i="1"/>
  <c r="T276" i="1"/>
  <c r="C276" i="1" s="1"/>
  <c r="P276" i="1"/>
  <c r="K276" i="1"/>
  <c r="F276" i="1"/>
  <c r="Z275" i="1"/>
  <c r="U275" i="1"/>
  <c r="P275" i="1"/>
  <c r="K275" i="1"/>
  <c r="F275" i="1"/>
  <c r="C275" i="1"/>
  <c r="Z274" i="1"/>
  <c r="U274" i="1"/>
  <c r="T274" i="1"/>
  <c r="C274" i="1" s="1"/>
  <c r="P274" i="1"/>
  <c r="K274" i="1"/>
  <c r="F274" i="1"/>
  <c r="Z273" i="1"/>
  <c r="U273" i="1"/>
  <c r="P273" i="1"/>
  <c r="K273" i="1"/>
  <c r="F273" i="1"/>
  <c r="C273" i="1"/>
  <c r="Z272" i="1"/>
  <c r="U272" i="1"/>
  <c r="P272" i="1"/>
  <c r="K272" i="1"/>
  <c r="F272" i="1"/>
  <c r="C272" i="1"/>
  <c r="Z271" i="1"/>
  <c r="U271" i="1"/>
  <c r="T271" i="1"/>
  <c r="C271" i="1" s="1"/>
  <c r="P271" i="1"/>
  <c r="K271" i="1"/>
  <c r="F271" i="1"/>
  <c r="Z270" i="1"/>
  <c r="U270" i="1"/>
  <c r="P270" i="1"/>
  <c r="K270" i="1"/>
  <c r="F270" i="1"/>
  <c r="C270" i="1"/>
  <c r="Z269" i="1"/>
  <c r="U269" i="1"/>
  <c r="T269" i="1"/>
  <c r="C269" i="1" s="1"/>
  <c r="P269" i="1"/>
  <c r="K269" i="1"/>
  <c r="F269" i="1"/>
  <c r="Z268" i="1"/>
  <c r="U268" i="1"/>
  <c r="P268" i="1"/>
  <c r="K268" i="1"/>
  <c r="F268" i="1"/>
  <c r="C268" i="1"/>
  <c r="Z267" i="1"/>
  <c r="U267" i="1"/>
  <c r="P267" i="1"/>
  <c r="K267" i="1"/>
  <c r="F267" i="1"/>
  <c r="C267" i="1"/>
  <c r="Z266" i="1"/>
  <c r="U266" i="1"/>
  <c r="P266" i="1"/>
  <c r="K266" i="1"/>
  <c r="F266" i="1"/>
  <c r="C266" i="1"/>
  <c r="Z265" i="1"/>
  <c r="U265" i="1"/>
  <c r="P265" i="1"/>
  <c r="K265" i="1"/>
  <c r="F265" i="1"/>
  <c r="C265" i="1"/>
  <c r="Z264" i="1"/>
  <c r="U264" i="1"/>
  <c r="T264" i="1"/>
  <c r="C264" i="1" s="1"/>
  <c r="P264" i="1"/>
  <c r="K264" i="1"/>
  <c r="F264" i="1"/>
  <c r="Z263" i="1"/>
  <c r="U263" i="1"/>
  <c r="T263" i="1"/>
  <c r="C263" i="1" s="1"/>
  <c r="P263" i="1"/>
  <c r="K263" i="1"/>
  <c r="F263" i="1"/>
  <c r="Z262" i="1"/>
  <c r="U262" i="1"/>
  <c r="P262" i="1"/>
  <c r="K262" i="1"/>
  <c r="F262" i="1"/>
  <c r="C262" i="1"/>
  <c r="Z261" i="1"/>
  <c r="U261" i="1"/>
  <c r="P261" i="1"/>
  <c r="K261" i="1"/>
  <c r="F261" i="1"/>
  <c r="C261" i="1"/>
  <c r="Z260" i="1"/>
  <c r="U260" i="1"/>
  <c r="P260" i="1"/>
  <c r="K260" i="1"/>
  <c r="F260" i="1"/>
  <c r="C260" i="1"/>
  <c r="Z259" i="1"/>
  <c r="U259" i="1"/>
  <c r="P259" i="1"/>
  <c r="K259" i="1"/>
  <c r="F259" i="1"/>
  <c r="C259" i="1"/>
  <c r="Z258" i="1"/>
  <c r="U258" i="1"/>
  <c r="P258" i="1"/>
  <c r="K258" i="1"/>
  <c r="F258" i="1"/>
  <c r="C258" i="1"/>
  <c r="Z257" i="1"/>
  <c r="U257" i="1"/>
  <c r="P257" i="1"/>
  <c r="K257" i="1"/>
  <c r="F257" i="1"/>
  <c r="C257" i="1"/>
  <c r="Z256" i="1"/>
  <c r="U256" i="1"/>
  <c r="T256" i="1"/>
  <c r="C256" i="1" s="1"/>
  <c r="P256" i="1"/>
  <c r="K256" i="1"/>
  <c r="F256" i="1"/>
  <c r="Z255" i="1"/>
  <c r="U255" i="1"/>
  <c r="T255" i="1"/>
  <c r="C255" i="1" s="1"/>
  <c r="P255" i="1"/>
  <c r="K255" i="1"/>
  <c r="F255" i="1"/>
  <c r="Z254" i="1"/>
  <c r="U254" i="1"/>
  <c r="T254" i="1"/>
  <c r="C254" i="1" s="1"/>
  <c r="P254" i="1"/>
  <c r="K254" i="1"/>
  <c r="F254" i="1"/>
  <c r="Z253" i="1"/>
  <c r="U253" i="1"/>
  <c r="P253" i="1"/>
  <c r="K253" i="1"/>
  <c r="F253" i="1"/>
  <c r="C253" i="1"/>
  <c r="Z252" i="1"/>
  <c r="U252" i="1"/>
  <c r="T252" i="1"/>
  <c r="C252" i="1" s="1"/>
  <c r="P252" i="1"/>
  <c r="K252" i="1"/>
  <c r="F252" i="1"/>
  <c r="Z251" i="1"/>
  <c r="U251" i="1"/>
  <c r="T251" i="1"/>
  <c r="C251" i="1" s="1"/>
  <c r="P251" i="1"/>
  <c r="K251" i="1"/>
  <c r="F251" i="1"/>
  <c r="Z250" i="1"/>
  <c r="U250" i="1"/>
  <c r="P250" i="1"/>
  <c r="K250" i="1"/>
  <c r="F250" i="1"/>
  <c r="C250" i="1"/>
  <c r="Z249" i="1"/>
  <c r="U249" i="1"/>
  <c r="T249" i="1"/>
  <c r="C249" i="1" s="1"/>
  <c r="P249" i="1"/>
  <c r="K249" i="1"/>
  <c r="F249" i="1"/>
  <c r="AB248" i="1"/>
  <c r="AA248" i="1"/>
  <c r="W248" i="1"/>
  <c r="V248" i="1"/>
  <c r="S248" i="1"/>
  <c r="R248" i="1"/>
  <c r="Q248" i="1"/>
  <c r="O248" i="1"/>
  <c r="N248" i="1"/>
  <c r="M248" i="1"/>
  <c r="L248" i="1"/>
  <c r="J248" i="1"/>
  <c r="I248" i="1"/>
  <c r="H248" i="1"/>
  <c r="G248" i="1"/>
  <c r="E248" i="1"/>
  <c r="AA245" i="1"/>
  <c r="Y245" i="1"/>
  <c r="V245" i="1"/>
  <c r="T245" i="1"/>
  <c r="S245" i="1"/>
  <c r="P41" i="4" s="1"/>
  <c r="R245" i="1"/>
  <c r="Q41" i="4" s="1"/>
  <c r="Q245" i="1"/>
  <c r="O245" i="1"/>
  <c r="N245" i="1"/>
  <c r="K41" i="4" s="1"/>
  <c r="M245" i="1"/>
  <c r="L41" i="4" s="1"/>
  <c r="L245" i="1"/>
  <c r="J245" i="1"/>
  <c r="I245" i="1"/>
  <c r="F41" i="4" s="1"/>
  <c r="H245" i="1"/>
  <c r="G41" i="4" s="1"/>
  <c r="G245" i="1"/>
  <c r="E245" i="1"/>
  <c r="Z244" i="1"/>
  <c r="U244" i="1"/>
  <c r="K244" i="1"/>
  <c r="AC243" i="1"/>
  <c r="AC245" i="1" s="1"/>
  <c r="Z41" i="4" s="1"/>
  <c r="AB243" i="1"/>
  <c r="X245" i="1"/>
  <c r="U41" i="4" s="1"/>
  <c r="P245" i="1"/>
  <c r="K243" i="1"/>
  <c r="F243" i="1"/>
  <c r="F245" i="1" s="1"/>
  <c r="C243" i="1"/>
  <c r="C245" i="1" s="1"/>
  <c r="Z138" i="1"/>
  <c r="U138" i="1"/>
  <c r="P138" i="1"/>
  <c r="K138" i="1"/>
  <c r="F138" i="1"/>
  <c r="C138" i="1"/>
  <c r="Z218" i="1"/>
  <c r="U218" i="1"/>
  <c r="P218" i="1"/>
  <c r="K218" i="1"/>
  <c r="F218" i="1"/>
  <c r="C218" i="1"/>
  <c r="Z224" i="1"/>
  <c r="U224" i="1"/>
  <c r="P224" i="1"/>
  <c r="K224" i="1"/>
  <c r="F224" i="1"/>
  <c r="C224" i="1"/>
  <c r="Z223" i="1"/>
  <c r="U223" i="1"/>
  <c r="P223" i="1"/>
  <c r="K223" i="1"/>
  <c r="F223" i="1"/>
  <c r="C223" i="1"/>
  <c r="Z225" i="1"/>
  <c r="U225" i="1"/>
  <c r="P225" i="1"/>
  <c r="K225" i="1"/>
  <c r="F225" i="1"/>
  <c r="C225" i="1"/>
  <c r="Z215" i="1"/>
  <c r="U215" i="1"/>
  <c r="P215" i="1"/>
  <c r="K215" i="1"/>
  <c r="F215" i="1"/>
  <c r="P137" i="1"/>
  <c r="K137" i="1"/>
  <c r="F137" i="1"/>
  <c r="C137" i="1"/>
  <c r="P136" i="1"/>
  <c r="K136" i="1"/>
  <c r="F136" i="1"/>
  <c r="C136" i="1"/>
  <c r="P135" i="1"/>
  <c r="K135" i="1"/>
  <c r="F135" i="1"/>
  <c r="C135" i="1"/>
  <c r="P134" i="1"/>
  <c r="K134" i="1"/>
  <c r="F134" i="1"/>
  <c r="C134" i="1"/>
  <c r="U133" i="1"/>
  <c r="P133" i="1"/>
  <c r="K133" i="1"/>
  <c r="F133" i="1"/>
  <c r="C133" i="1"/>
  <c r="U132" i="1"/>
  <c r="P132" i="1"/>
  <c r="K132" i="1"/>
  <c r="F132" i="1"/>
  <c r="C132" i="1"/>
  <c r="U131" i="1"/>
  <c r="P131" i="1"/>
  <c r="K131" i="1"/>
  <c r="F131" i="1"/>
  <c r="C131" i="1"/>
  <c r="U130" i="1"/>
  <c r="P130" i="1"/>
  <c r="K130" i="1"/>
  <c r="F130" i="1"/>
  <c r="C130" i="1"/>
  <c r="U129" i="1"/>
  <c r="P129" i="1"/>
  <c r="K129" i="1"/>
  <c r="F129" i="1"/>
  <c r="C129" i="1"/>
  <c r="U128" i="1"/>
  <c r="P128" i="1"/>
  <c r="K128" i="1"/>
  <c r="F128" i="1"/>
  <c r="C128" i="1"/>
  <c r="U127" i="1"/>
  <c r="P127" i="1"/>
  <c r="K127" i="1"/>
  <c r="F127" i="1"/>
  <c r="C127" i="1"/>
  <c r="U126" i="1"/>
  <c r="P126" i="1"/>
  <c r="K126" i="1"/>
  <c r="F126" i="1"/>
  <c r="C126" i="1"/>
  <c r="Z125" i="1"/>
  <c r="P125" i="1"/>
  <c r="K125" i="1"/>
  <c r="F125" i="1"/>
  <c r="C125" i="1"/>
  <c r="Z124" i="1"/>
  <c r="P124" i="1"/>
  <c r="K124" i="1"/>
  <c r="F124" i="1"/>
  <c r="C124" i="1"/>
  <c r="Z123" i="1"/>
  <c r="P123" i="1"/>
  <c r="K123" i="1"/>
  <c r="F123" i="1"/>
  <c r="C123" i="1"/>
  <c r="Z122" i="1"/>
  <c r="P122" i="1"/>
  <c r="K122" i="1"/>
  <c r="F122" i="1"/>
  <c r="C122" i="1"/>
  <c r="Z121" i="1"/>
  <c r="P121" i="1"/>
  <c r="K121" i="1"/>
  <c r="F121" i="1"/>
  <c r="C121" i="1"/>
  <c r="Z120" i="1"/>
  <c r="P120" i="1"/>
  <c r="K120" i="1"/>
  <c r="F120" i="1"/>
  <c r="C120" i="1"/>
  <c r="Z119" i="1"/>
  <c r="P119" i="1"/>
  <c r="K119" i="1"/>
  <c r="F119" i="1"/>
  <c r="C119" i="1"/>
  <c r="U118" i="1"/>
  <c r="K118" i="1"/>
  <c r="F118" i="1"/>
  <c r="C118" i="1"/>
  <c r="U117" i="1"/>
  <c r="K117" i="1"/>
  <c r="F117" i="1"/>
  <c r="C117" i="1"/>
  <c r="U116" i="1"/>
  <c r="K116" i="1"/>
  <c r="F116" i="1"/>
  <c r="C116" i="1"/>
  <c r="U115" i="1"/>
  <c r="K115" i="1"/>
  <c r="F115" i="1"/>
  <c r="C115" i="1"/>
  <c r="U114" i="1"/>
  <c r="K114" i="1"/>
  <c r="F114" i="1"/>
  <c r="C114" i="1"/>
  <c r="U113" i="1"/>
  <c r="K113" i="1"/>
  <c r="F113" i="1"/>
  <c r="C113" i="1"/>
  <c r="U112" i="1"/>
  <c r="K112" i="1"/>
  <c r="F112" i="1"/>
  <c r="C112" i="1"/>
  <c r="U111" i="1"/>
  <c r="K111" i="1"/>
  <c r="F111" i="1"/>
  <c r="C111" i="1"/>
  <c r="U110" i="1"/>
  <c r="K110" i="1"/>
  <c r="F110" i="1"/>
  <c r="C110" i="1"/>
  <c r="U109" i="1"/>
  <c r="K109" i="1"/>
  <c r="F109" i="1"/>
  <c r="C109" i="1"/>
  <c r="U108" i="1"/>
  <c r="K108" i="1"/>
  <c r="F108" i="1"/>
  <c r="C108" i="1"/>
  <c r="Z107" i="1"/>
  <c r="S107" i="1"/>
  <c r="R107" i="1"/>
  <c r="F107" i="1"/>
  <c r="C107" i="1"/>
  <c r="Z106" i="1"/>
  <c r="P106" i="1"/>
  <c r="F106" i="1"/>
  <c r="C106" i="1"/>
  <c r="F105" i="1"/>
  <c r="C105" i="1"/>
  <c r="Z104" i="1"/>
  <c r="P104" i="1"/>
  <c r="F104" i="1"/>
  <c r="C104" i="1"/>
  <c r="Z103" i="1"/>
  <c r="P103" i="1"/>
  <c r="F103" i="1"/>
  <c r="C103" i="1"/>
  <c r="Z102" i="1"/>
  <c r="P102" i="1"/>
  <c r="F102" i="1"/>
  <c r="C102" i="1"/>
  <c r="Z222" i="1"/>
  <c r="U222" i="1"/>
  <c r="P222" i="1"/>
  <c r="K222" i="1"/>
  <c r="F222" i="1"/>
  <c r="C222" i="1"/>
  <c r="Z101" i="1"/>
  <c r="U101" i="1"/>
  <c r="P101" i="1"/>
  <c r="K101" i="1"/>
  <c r="F101" i="1"/>
  <c r="C101" i="1"/>
  <c r="Z219" i="1"/>
  <c r="U219" i="1"/>
  <c r="P219" i="1"/>
  <c r="K219" i="1"/>
  <c r="F219" i="1"/>
  <c r="C219" i="1"/>
  <c r="Z216" i="1"/>
  <c r="U216" i="1"/>
  <c r="P216" i="1"/>
  <c r="K216" i="1"/>
  <c r="F216" i="1"/>
  <c r="C216" i="1"/>
  <c r="Z100" i="1"/>
  <c r="U100" i="1"/>
  <c r="P100" i="1"/>
  <c r="K100" i="1"/>
  <c r="F100" i="1"/>
  <c r="C100" i="1"/>
  <c r="Z217" i="1"/>
  <c r="U217" i="1"/>
  <c r="P217" i="1"/>
  <c r="K217" i="1"/>
  <c r="F217" i="1"/>
  <c r="C217" i="1"/>
  <c r="Z220" i="1"/>
  <c r="U220" i="1"/>
  <c r="P220" i="1"/>
  <c r="K220" i="1"/>
  <c r="F220" i="1"/>
  <c r="C220" i="1"/>
  <c r="Z221" i="1"/>
  <c r="U221" i="1"/>
  <c r="P221" i="1"/>
  <c r="K221" i="1"/>
  <c r="F221" i="1"/>
  <c r="C221" i="1"/>
  <c r="L37" i="4"/>
  <c r="U88" i="1"/>
  <c r="K88" i="1"/>
  <c r="C88" i="1"/>
  <c r="U87" i="1"/>
  <c r="K87" i="1"/>
  <c r="C87" i="1"/>
  <c r="X86" i="1"/>
  <c r="X98" i="1" s="1"/>
  <c r="W86" i="1"/>
  <c r="W98" i="1" s="1"/>
  <c r="K86" i="1"/>
  <c r="D86" i="1" s="1"/>
  <c r="C86" i="1"/>
  <c r="Z85" i="1"/>
  <c r="K85" i="1"/>
  <c r="C85" i="1"/>
  <c r="D84" i="1"/>
  <c r="C84" i="1"/>
  <c r="U83" i="1"/>
  <c r="D83" i="1" s="1"/>
  <c r="K82" i="1"/>
  <c r="C82" i="1"/>
  <c r="K91" i="1"/>
  <c r="F91" i="1"/>
  <c r="C91" i="1"/>
  <c r="U81" i="1"/>
  <c r="K81" i="1"/>
  <c r="C81" i="1"/>
  <c r="K80" i="1"/>
  <c r="C80" i="1"/>
  <c r="U97" i="1"/>
  <c r="P97" i="1"/>
  <c r="P98" i="1" s="1"/>
  <c r="K97" i="1"/>
  <c r="C97" i="1"/>
  <c r="P37" i="4"/>
  <c r="Q37" i="4"/>
  <c r="K96" i="1"/>
  <c r="D96" i="1" s="1"/>
  <c r="C96" i="1"/>
  <c r="K95" i="1"/>
  <c r="F95" i="1"/>
  <c r="C95" i="1"/>
  <c r="Z94" i="1"/>
  <c r="U94" i="1"/>
  <c r="I94" i="1"/>
  <c r="I98" i="1" s="1"/>
  <c r="H94" i="1"/>
  <c r="C94" i="1"/>
  <c r="N93" i="1"/>
  <c r="C93" i="1"/>
  <c r="Z92" i="1"/>
  <c r="K92" i="1"/>
  <c r="C92" i="1"/>
  <c r="Z36" i="4"/>
  <c r="AA36" i="4"/>
  <c r="U36" i="4"/>
  <c r="V36" i="4"/>
  <c r="P36" i="4"/>
  <c r="Q36" i="4"/>
  <c r="L36" i="4"/>
  <c r="F36" i="4"/>
  <c r="G36" i="4"/>
  <c r="Z68" i="1"/>
  <c r="U68" i="1"/>
  <c r="P68" i="1"/>
  <c r="F68" i="1"/>
  <c r="Z67" i="1"/>
  <c r="U67" i="1"/>
  <c r="P67" i="1"/>
  <c r="Z66" i="1"/>
  <c r="P66" i="1"/>
  <c r="U65" i="1"/>
  <c r="Z64" i="1"/>
  <c r="P64" i="1"/>
  <c r="P63" i="1"/>
  <c r="F63" i="1"/>
  <c r="P62" i="1"/>
  <c r="K62" i="1"/>
  <c r="F62" i="1"/>
  <c r="Z61" i="1"/>
  <c r="U61" i="1"/>
  <c r="P61" i="1"/>
  <c r="N61" i="1"/>
  <c r="N78" i="1" s="1"/>
  <c r="F61" i="1"/>
  <c r="C61" i="1"/>
  <c r="C78" i="1" s="1"/>
  <c r="P58" i="1"/>
  <c r="C58" i="1"/>
  <c r="P57" i="1"/>
  <c r="D57" i="1" s="1"/>
  <c r="C57" i="1"/>
  <c r="D56" i="1"/>
  <c r="C56" i="1"/>
  <c r="AC55" i="1"/>
  <c r="AB55" i="1"/>
  <c r="AA55" i="1"/>
  <c r="Z55" i="1"/>
  <c r="Y55" i="1"/>
  <c r="X55" i="1"/>
  <c r="W55" i="1"/>
  <c r="V55" i="1"/>
  <c r="T55" i="1"/>
  <c r="S55" i="1"/>
  <c r="R55" i="1"/>
  <c r="Q55" i="1"/>
  <c r="N55" i="1"/>
  <c r="M55" i="1"/>
  <c r="L55" i="1"/>
  <c r="K55" i="1"/>
  <c r="J55" i="1"/>
  <c r="I55" i="1"/>
  <c r="H55" i="1"/>
  <c r="G55" i="1"/>
  <c r="F55" i="1"/>
  <c r="E55" i="1"/>
  <c r="P54" i="1"/>
  <c r="K54" i="1"/>
  <c r="P53" i="1"/>
  <c r="K53" i="1"/>
  <c r="C53" i="1"/>
  <c r="P52" i="1"/>
  <c r="M52" i="1"/>
  <c r="K52" i="1" s="1"/>
  <c r="C52" i="1"/>
  <c r="AC51" i="1"/>
  <c r="AB51" i="1"/>
  <c r="AA51" i="1"/>
  <c r="Z51" i="1"/>
  <c r="Y51" i="1"/>
  <c r="V51" i="1"/>
  <c r="T51" i="1"/>
  <c r="Q51" i="1"/>
  <c r="O51" i="1"/>
  <c r="N51" i="1"/>
  <c r="L51" i="1"/>
  <c r="J51" i="1"/>
  <c r="I51" i="1"/>
  <c r="H51" i="1"/>
  <c r="G51" i="1"/>
  <c r="H41" i="4" s="1"/>
  <c r="F51" i="1"/>
  <c r="E51" i="1"/>
  <c r="U50" i="1"/>
  <c r="K50" i="1"/>
  <c r="U49" i="1"/>
  <c r="K49" i="1"/>
  <c r="X47" i="1"/>
  <c r="W47" i="1"/>
  <c r="S48" i="1"/>
  <c r="S47" i="1" s="1"/>
  <c r="R48" i="1"/>
  <c r="R47" i="1" s="1"/>
  <c r="M48" i="1"/>
  <c r="K48" i="1" s="1"/>
  <c r="C48" i="1"/>
  <c r="C47" i="1" s="1"/>
  <c r="AC47" i="1"/>
  <c r="AB47" i="1"/>
  <c r="AA47" i="1"/>
  <c r="Z47" i="1"/>
  <c r="Y47" i="1"/>
  <c r="V47" i="1"/>
  <c r="T47" i="1"/>
  <c r="Q47" i="1"/>
  <c r="Q40" i="1" s="1"/>
  <c r="Q39" i="1" s="1"/>
  <c r="P47" i="1"/>
  <c r="O47" i="1"/>
  <c r="N47" i="1"/>
  <c r="L47" i="1"/>
  <c r="J47" i="1"/>
  <c r="I47" i="1"/>
  <c r="H47" i="1"/>
  <c r="G47" i="1"/>
  <c r="H36" i="4" s="1"/>
  <c r="F47" i="1"/>
  <c r="E47" i="1"/>
  <c r="E39" i="1" s="1"/>
  <c r="F39" i="1"/>
  <c r="AC39" i="1"/>
  <c r="AB39" i="1"/>
  <c r="Z39" i="1"/>
  <c r="Y39" i="1"/>
  <c r="X39" i="1"/>
  <c r="W39" i="1"/>
  <c r="U39" i="1"/>
  <c r="T39" i="1"/>
  <c r="S39" i="1"/>
  <c r="R39" i="1"/>
  <c r="P39" i="1"/>
  <c r="O39" i="1"/>
  <c r="N39" i="1"/>
  <c r="M39" i="1"/>
  <c r="K39" i="1"/>
  <c r="J39" i="1"/>
  <c r="I39" i="1"/>
  <c r="H39" i="1"/>
  <c r="G39" i="1"/>
  <c r="C39" i="1"/>
  <c r="F38" i="1"/>
  <c r="D38" i="1" s="1"/>
  <c r="D37" i="1" s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Z36" i="1"/>
  <c r="K36" i="1"/>
  <c r="C36" i="1"/>
  <c r="Z35" i="1"/>
  <c r="K35" i="1"/>
  <c r="C35" i="1"/>
  <c r="AC33" i="1"/>
  <c r="K34" i="1"/>
  <c r="C34" i="1"/>
  <c r="AA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J33" i="1"/>
  <c r="I33" i="1"/>
  <c r="H33" i="1"/>
  <c r="G33" i="1"/>
  <c r="F33" i="1"/>
  <c r="E33" i="1"/>
  <c r="P32" i="1"/>
  <c r="K32" i="1"/>
  <c r="C32" i="1"/>
  <c r="P31" i="1"/>
  <c r="K31" i="1"/>
  <c r="C31" i="1"/>
  <c r="S29" i="1"/>
  <c r="R29" i="1"/>
  <c r="K30" i="1"/>
  <c r="D30" i="1" s="1"/>
  <c r="C30" i="1"/>
  <c r="AC29" i="1"/>
  <c r="AB29" i="1"/>
  <c r="AA29" i="1"/>
  <c r="Z29" i="1"/>
  <c r="Y29" i="1"/>
  <c r="X29" i="1"/>
  <c r="W29" i="1"/>
  <c r="V29" i="1"/>
  <c r="U29" i="1"/>
  <c r="T29" i="1"/>
  <c r="Q29" i="1"/>
  <c r="N29" i="1"/>
  <c r="M29" i="1"/>
  <c r="L29" i="1"/>
  <c r="J29" i="1"/>
  <c r="I29" i="1"/>
  <c r="H29" i="1"/>
  <c r="G29" i="1"/>
  <c r="F29" i="1"/>
  <c r="E29" i="1"/>
  <c r="P28" i="1"/>
  <c r="D28" i="1" s="1"/>
  <c r="P27" i="1"/>
  <c r="K27" i="1"/>
  <c r="C27" i="1"/>
  <c r="M26" i="1"/>
  <c r="C26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O25" i="1"/>
  <c r="L25" i="1"/>
  <c r="J25" i="1"/>
  <c r="I25" i="1"/>
  <c r="H25" i="1"/>
  <c r="G25" i="1"/>
  <c r="F25" i="1"/>
  <c r="E25" i="1"/>
  <c r="P24" i="1"/>
  <c r="D24" i="1" s="1"/>
  <c r="C24" i="1"/>
  <c r="P23" i="1"/>
  <c r="D23" i="1" s="1"/>
  <c r="C23" i="1"/>
  <c r="M22" i="1"/>
  <c r="M21" i="1" s="1"/>
  <c r="D22" i="1"/>
  <c r="C22" i="1"/>
  <c r="AC21" i="1"/>
  <c r="AB21" i="1"/>
  <c r="AA21" i="1"/>
  <c r="Z21" i="1"/>
  <c r="Y21" i="1"/>
  <c r="V21" i="1"/>
  <c r="U21" i="1"/>
  <c r="T21" i="1"/>
  <c r="R21" i="1"/>
  <c r="Q21" i="1"/>
  <c r="N21" i="1"/>
  <c r="L21" i="1"/>
  <c r="K21" i="1"/>
  <c r="J21" i="1"/>
  <c r="I21" i="1"/>
  <c r="H21" i="1"/>
  <c r="G21" i="1"/>
  <c r="F21" i="1"/>
  <c r="E21" i="1"/>
  <c r="AC20" i="1"/>
  <c r="Z20" i="1" s="1"/>
  <c r="U20" i="1"/>
  <c r="C20" i="1"/>
  <c r="AC19" i="1"/>
  <c r="U19" i="1"/>
  <c r="C19" i="1"/>
  <c r="AC18" i="1"/>
  <c r="AB18" i="1"/>
  <c r="Y18" i="1"/>
  <c r="C18" i="1" s="1"/>
  <c r="X17" i="1"/>
  <c r="W17" i="1"/>
  <c r="K18" i="1"/>
  <c r="AA17" i="1"/>
  <c r="V17" i="1"/>
  <c r="T17" i="1"/>
  <c r="S17" i="1"/>
  <c r="R17" i="1"/>
  <c r="Q17" i="1"/>
  <c r="P17" i="1"/>
  <c r="O17" i="1"/>
  <c r="M17" i="1"/>
  <c r="L17" i="1"/>
  <c r="I17" i="1"/>
  <c r="H17" i="1"/>
  <c r="G17" i="1"/>
  <c r="F17" i="1"/>
  <c r="E17" i="1"/>
  <c r="K16" i="1"/>
  <c r="D16" i="1" s="1"/>
  <c r="E16" i="1"/>
  <c r="E13" i="1" s="1"/>
  <c r="K15" i="1"/>
  <c r="C15" i="1"/>
  <c r="D14" i="1"/>
  <c r="C14" i="1"/>
  <c r="AC13" i="1"/>
  <c r="AB13" i="1"/>
  <c r="AA13" i="1"/>
  <c r="Z13" i="1"/>
  <c r="Y13" i="1"/>
  <c r="X13" i="1"/>
  <c r="W13" i="1"/>
  <c r="V13" i="1"/>
  <c r="U13" i="1"/>
  <c r="T13" i="1"/>
  <c r="R13" i="1"/>
  <c r="Q13" i="1"/>
  <c r="L13" i="1"/>
  <c r="J13" i="1"/>
  <c r="I13" i="1"/>
  <c r="H13" i="1"/>
  <c r="G13" i="1"/>
  <c r="F13" i="1"/>
  <c r="Z12" i="1"/>
  <c r="U12" i="1"/>
  <c r="P12" i="1"/>
  <c r="K12" i="1"/>
  <c r="C12" i="1"/>
  <c r="Z11" i="1"/>
  <c r="U11" i="1"/>
  <c r="P11" i="1"/>
  <c r="K11" i="1"/>
  <c r="F11" i="1"/>
  <c r="C11" i="1"/>
  <c r="Z10" i="1"/>
  <c r="U10" i="1"/>
  <c r="S9" i="1"/>
  <c r="R9" i="1"/>
  <c r="K10" i="1"/>
  <c r="C10" i="1"/>
  <c r="AC9" i="1"/>
  <c r="AB9" i="1"/>
  <c r="AA9" i="1"/>
  <c r="Y9" i="1"/>
  <c r="X9" i="1"/>
  <c r="W9" i="1"/>
  <c r="V9" i="1"/>
  <c r="T9" i="1"/>
  <c r="Q9" i="1"/>
  <c r="O9" i="1"/>
  <c r="N9" i="1"/>
  <c r="M9" i="1"/>
  <c r="L9" i="1"/>
  <c r="J9" i="1"/>
  <c r="I9" i="1"/>
  <c r="H9" i="1"/>
  <c r="G9" i="1"/>
  <c r="E9" i="1"/>
  <c r="AA132" i="5"/>
  <c r="Z132" i="5"/>
  <c r="Y132" i="5"/>
  <c r="V132" i="5"/>
  <c r="U132" i="5"/>
  <c r="T132" i="5"/>
  <c r="Q132" i="5"/>
  <c r="P132" i="5"/>
  <c r="O132" i="5"/>
  <c r="N132" i="5"/>
  <c r="L132" i="5"/>
  <c r="K132" i="5"/>
  <c r="J132" i="5"/>
  <c r="I132" i="5"/>
  <c r="G132" i="5"/>
  <c r="F132" i="5"/>
  <c r="E132" i="5"/>
  <c r="X131" i="5"/>
  <c r="W131" i="5" s="1"/>
  <c r="S131" i="5"/>
  <c r="S132" i="5" s="1"/>
  <c r="M131" i="5"/>
  <c r="H131" i="5"/>
  <c r="C131" i="5"/>
  <c r="W130" i="5"/>
  <c r="R130" i="5"/>
  <c r="M130" i="5"/>
  <c r="H130" i="5"/>
  <c r="C130" i="5"/>
  <c r="W129" i="5"/>
  <c r="R129" i="5"/>
  <c r="M129" i="5"/>
  <c r="H129" i="5"/>
  <c r="C129" i="5"/>
  <c r="D132" i="5"/>
  <c r="M125" i="5"/>
  <c r="H125" i="5"/>
  <c r="C125" i="5"/>
  <c r="M120" i="5"/>
  <c r="H120" i="5"/>
  <c r="C120" i="5"/>
  <c r="M110" i="5"/>
  <c r="H110" i="5"/>
  <c r="C110" i="5"/>
  <c r="W45" i="5"/>
  <c r="R45" i="5"/>
  <c r="M45" i="5"/>
  <c r="H45" i="5"/>
  <c r="M34" i="5"/>
  <c r="H34" i="5"/>
  <c r="C34" i="5"/>
  <c r="C30" i="5"/>
  <c r="AB30" i="5" s="1"/>
  <c r="M16" i="5"/>
  <c r="H16" i="5"/>
  <c r="C16" i="5"/>
  <c r="M8" i="5"/>
  <c r="H8" i="5"/>
  <c r="C8" i="5"/>
  <c r="K38" i="4" l="1"/>
  <c r="J38" i="4" s="1"/>
  <c r="N98" i="1"/>
  <c r="Z98" i="1"/>
  <c r="K241" i="1"/>
  <c r="C98" i="1"/>
  <c r="F98" i="1"/>
  <c r="G38" i="4"/>
  <c r="H98" i="1"/>
  <c r="F38" i="4"/>
  <c r="I406" i="1"/>
  <c r="J55" i="4"/>
  <c r="U47" i="1"/>
  <c r="U78" i="1"/>
  <c r="X59" i="1"/>
  <c r="P78" i="1"/>
  <c r="H492" i="1"/>
  <c r="AA492" i="1"/>
  <c r="I492" i="1"/>
  <c r="I494" i="1" s="1"/>
  <c r="N492" i="1"/>
  <c r="V492" i="1"/>
  <c r="AB492" i="1"/>
  <c r="E492" i="1"/>
  <c r="J492" i="1"/>
  <c r="Q492" i="1"/>
  <c r="W492" i="1"/>
  <c r="M492" i="1"/>
  <c r="G492" i="1"/>
  <c r="L492" i="1"/>
  <c r="R492" i="1"/>
  <c r="I45" i="1"/>
  <c r="F241" i="1"/>
  <c r="C378" i="1"/>
  <c r="C381" i="1"/>
  <c r="U381" i="1"/>
  <c r="P381" i="1"/>
  <c r="F381" i="1"/>
  <c r="Z381" i="1"/>
  <c r="K381" i="1"/>
  <c r="Z37" i="4"/>
  <c r="N241" i="1"/>
  <c r="K39" i="4" s="1"/>
  <c r="S241" i="1"/>
  <c r="P39" i="4" s="1"/>
  <c r="F78" i="1"/>
  <c r="W241" i="1"/>
  <c r="V39" i="4" s="1"/>
  <c r="X241" i="1"/>
  <c r="U39" i="4" s="1"/>
  <c r="Z78" i="1"/>
  <c r="C241" i="1"/>
  <c r="M241" i="1"/>
  <c r="L39" i="4" s="1"/>
  <c r="R241" i="1"/>
  <c r="Q39" i="4" s="1"/>
  <c r="AC241" i="1"/>
  <c r="Z39" i="4" s="1"/>
  <c r="Y39" i="4" s="1"/>
  <c r="S45" i="1"/>
  <c r="G45" i="1"/>
  <c r="H34" i="4" s="1"/>
  <c r="Q45" i="1"/>
  <c r="X45" i="1"/>
  <c r="U34" i="4" s="1"/>
  <c r="N45" i="1"/>
  <c r="H45" i="1"/>
  <c r="G34" i="4" s="1"/>
  <c r="T45" i="1"/>
  <c r="E45" i="1"/>
  <c r="J45" i="1"/>
  <c r="O45" i="1"/>
  <c r="W45" i="1"/>
  <c r="V34" i="4" s="1"/>
  <c r="R45" i="1"/>
  <c r="V37" i="4"/>
  <c r="U37" i="4"/>
  <c r="F37" i="1"/>
  <c r="AA37" i="4"/>
  <c r="H406" i="1"/>
  <c r="M406" i="1"/>
  <c r="AB406" i="1"/>
  <c r="G37" i="4"/>
  <c r="U119" i="1"/>
  <c r="D119" i="1" s="1"/>
  <c r="C25" i="1"/>
  <c r="U120" i="1"/>
  <c r="D120" i="1" s="1"/>
  <c r="Z136" i="1"/>
  <c r="E406" i="1"/>
  <c r="J406" i="1"/>
  <c r="J494" i="1" s="1"/>
  <c r="D392" i="1"/>
  <c r="AA406" i="1"/>
  <c r="AA494" i="1" s="1"/>
  <c r="AG68" i="4"/>
  <c r="AD23" i="4"/>
  <c r="Z34" i="1"/>
  <c r="D34" i="1" s="1"/>
  <c r="AD54" i="4"/>
  <c r="AH55" i="4"/>
  <c r="AH68" i="4"/>
  <c r="X248" i="1"/>
  <c r="X406" i="1" s="1"/>
  <c r="D286" i="1"/>
  <c r="AD21" i="4"/>
  <c r="AD25" i="4"/>
  <c r="AD26" i="4"/>
  <c r="O55" i="4"/>
  <c r="AB45" i="5"/>
  <c r="AB120" i="5"/>
  <c r="U414" i="1"/>
  <c r="AD13" i="4"/>
  <c r="AD14" i="4"/>
  <c r="AF55" i="4"/>
  <c r="H132" i="5"/>
  <c r="AB16" i="5"/>
  <c r="AB110" i="5"/>
  <c r="R131" i="5"/>
  <c r="R132" i="5" s="1"/>
  <c r="P114" i="1"/>
  <c r="D114" i="1" s="1"/>
  <c r="P118" i="1"/>
  <c r="D118" i="1" s="1"/>
  <c r="D354" i="1"/>
  <c r="AF29" i="4"/>
  <c r="E55" i="4"/>
  <c r="AD60" i="4"/>
  <c r="Y68" i="4"/>
  <c r="D306" i="1"/>
  <c r="D340" i="1"/>
  <c r="D358" i="1"/>
  <c r="P9" i="1"/>
  <c r="D52" i="1"/>
  <c r="G406" i="1"/>
  <c r="Q406" i="1"/>
  <c r="D250" i="1"/>
  <c r="D288" i="1"/>
  <c r="D292" i="1"/>
  <c r="D301" i="1"/>
  <c r="D488" i="1"/>
  <c r="K421" i="1"/>
  <c r="Q59" i="1"/>
  <c r="D284" i="1"/>
  <c r="D382" i="1"/>
  <c r="D388" i="1"/>
  <c r="D390" i="1"/>
  <c r="K414" i="1"/>
  <c r="Z9" i="1"/>
  <c r="K33" i="1"/>
  <c r="M47" i="1"/>
  <c r="Y59" i="1"/>
  <c r="AC59" i="1"/>
  <c r="Z35" i="4" s="1"/>
  <c r="S59" i="1"/>
  <c r="P35" i="4" s="1"/>
  <c r="U59" i="1"/>
  <c r="D262" i="1"/>
  <c r="D314" i="1"/>
  <c r="D325" i="1"/>
  <c r="D399" i="1"/>
  <c r="D400" i="1"/>
  <c r="D413" i="1"/>
  <c r="P414" i="1"/>
  <c r="D437" i="1"/>
  <c r="D445" i="1"/>
  <c r="D451" i="1"/>
  <c r="D326" i="1"/>
  <c r="D332" i="1"/>
  <c r="D334" i="1"/>
  <c r="D351" i="1"/>
  <c r="D356" i="1"/>
  <c r="D376" i="1"/>
  <c r="D452" i="1"/>
  <c r="D489" i="1"/>
  <c r="C51" i="1"/>
  <c r="D12" i="1"/>
  <c r="U17" i="1"/>
  <c r="D272" i="1"/>
  <c r="D290" i="1"/>
  <c r="D302" i="1"/>
  <c r="D308" i="1"/>
  <c r="D336" i="1"/>
  <c r="D453" i="1"/>
  <c r="D455" i="1"/>
  <c r="X132" i="5"/>
  <c r="AB129" i="5"/>
  <c r="AB131" i="5"/>
  <c r="W132" i="5"/>
  <c r="AB34" i="5"/>
  <c r="AB130" i="5"/>
  <c r="M132" i="5"/>
  <c r="AB125" i="5"/>
  <c r="AD62" i="4"/>
  <c r="AD63" i="4"/>
  <c r="E64" i="4"/>
  <c r="E68" i="4" s="1"/>
  <c r="O64" i="4"/>
  <c r="AF68" i="4"/>
  <c r="J29" i="4"/>
  <c r="E16" i="4"/>
  <c r="AD16" i="4" s="1"/>
  <c r="AD20" i="4"/>
  <c r="Y28" i="4"/>
  <c r="Y29" i="4" s="1"/>
  <c r="AG29" i="4"/>
  <c r="I69" i="4"/>
  <c r="I73" i="4" s="1"/>
  <c r="AH42" i="4"/>
  <c r="S69" i="4"/>
  <c r="S73" i="4" s="1"/>
  <c r="AC69" i="4"/>
  <c r="AC73" i="4" s="1"/>
  <c r="T49" i="4"/>
  <c r="T55" i="4" s="1"/>
  <c r="O68" i="4"/>
  <c r="AD66" i="4"/>
  <c r="O29" i="4"/>
  <c r="AD17" i="4"/>
  <c r="AD19" i="4"/>
  <c r="AH29" i="4"/>
  <c r="J64" i="4"/>
  <c r="J68" i="4" s="1"/>
  <c r="T68" i="4"/>
  <c r="AD53" i="4"/>
  <c r="AG55" i="4"/>
  <c r="W59" i="1"/>
  <c r="V35" i="4" s="1"/>
  <c r="U9" i="1"/>
  <c r="C16" i="1"/>
  <c r="C21" i="1"/>
  <c r="AE68" i="4"/>
  <c r="D20" i="1"/>
  <c r="Y49" i="4"/>
  <c r="AE29" i="4"/>
  <c r="D10" i="1"/>
  <c r="Y17" i="1"/>
  <c r="C17" i="1" s="1"/>
  <c r="D49" i="1"/>
  <c r="M51" i="1"/>
  <c r="D63" i="1"/>
  <c r="F37" i="4"/>
  <c r="D81" i="1"/>
  <c r="D87" i="1"/>
  <c r="U125" i="1"/>
  <c r="D125" i="1" s="1"/>
  <c r="Z126" i="1"/>
  <c r="D126" i="1" s="1"/>
  <c r="Z130" i="1"/>
  <c r="D130" i="1" s="1"/>
  <c r="D258" i="1"/>
  <c r="D260" i="1"/>
  <c r="D267" i="1"/>
  <c r="D274" i="1"/>
  <c r="D348" i="1"/>
  <c r="D350" i="1"/>
  <c r="U55" i="4"/>
  <c r="K93" i="1"/>
  <c r="D93" i="1" s="1"/>
  <c r="K37" i="4"/>
  <c r="D417" i="1"/>
  <c r="D419" i="1"/>
  <c r="D423" i="1"/>
  <c r="D425" i="1"/>
  <c r="D467" i="1"/>
  <c r="D471" i="1"/>
  <c r="D480" i="1"/>
  <c r="W69" i="4"/>
  <c r="W73" i="4" s="1"/>
  <c r="AE49" i="4"/>
  <c r="AB33" i="1"/>
  <c r="C55" i="1"/>
  <c r="D65" i="1"/>
  <c r="U123" i="1"/>
  <c r="D123" i="1" s="1"/>
  <c r="Z128" i="1"/>
  <c r="D128" i="1" s="1"/>
  <c r="Z132" i="1"/>
  <c r="D132" i="1" s="1"/>
  <c r="D254" i="1"/>
  <c r="D261" i="1"/>
  <c r="D266" i="1"/>
  <c r="D268" i="1"/>
  <c r="D278" i="1"/>
  <c r="D344" i="1"/>
  <c r="D349" i="1"/>
  <c r="D362" i="1"/>
  <c r="D370" i="1"/>
  <c r="D374" i="1"/>
  <c r="K378" i="1"/>
  <c r="P378" i="1"/>
  <c r="D396" i="1"/>
  <c r="D398" i="1"/>
  <c r="D411" i="1"/>
  <c r="D438" i="1"/>
  <c r="D439" i="1"/>
  <c r="D446" i="1"/>
  <c r="D447" i="1"/>
  <c r="D484" i="1"/>
  <c r="D486" i="1"/>
  <c r="D491" i="1"/>
  <c r="T28" i="4"/>
  <c r="T29" i="4" s="1"/>
  <c r="N69" i="4"/>
  <c r="N73" i="4" s="1"/>
  <c r="X69" i="4"/>
  <c r="X73" i="4" s="1"/>
  <c r="Z50" i="4"/>
  <c r="Y50" i="4" s="1"/>
  <c r="AD50" i="4" s="1"/>
  <c r="Z52" i="4"/>
  <c r="Y52" i="4" s="1"/>
  <c r="AD52" i="4" s="1"/>
  <c r="AB8" i="5"/>
  <c r="U137" i="1"/>
  <c r="P248" i="1"/>
  <c r="D300" i="1"/>
  <c r="D305" i="1"/>
  <c r="D320" i="1"/>
  <c r="D322" i="1"/>
  <c r="D324" i="1"/>
  <c r="D335" i="1"/>
  <c r="D353" i="1"/>
  <c r="D384" i="1"/>
  <c r="D391" i="1"/>
  <c r="D426" i="1"/>
  <c r="D427" i="1"/>
  <c r="D458" i="1"/>
  <c r="D470" i="1"/>
  <c r="R69" i="4"/>
  <c r="R73" i="4" s="1"/>
  <c r="AB69" i="4"/>
  <c r="AB73" i="4" s="1"/>
  <c r="L59" i="1"/>
  <c r="N59" i="1"/>
  <c r="K35" i="4" s="1"/>
  <c r="V59" i="1"/>
  <c r="O406" i="1"/>
  <c r="D97" i="1"/>
  <c r="R59" i="1"/>
  <c r="Q35" i="4" s="1"/>
  <c r="P29" i="1"/>
  <c r="D32" i="1"/>
  <c r="D27" i="1"/>
  <c r="D54" i="1"/>
  <c r="P51" i="1"/>
  <c r="D53" i="1"/>
  <c r="S406" i="1"/>
  <c r="D448" i="1"/>
  <c r="D440" i="1"/>
  <c r="D66" i="1"/>
  <c r="D95" i="1"/>
  <c r="C29" i="1"/>
  <c r="D36" i="1"/>
  <c r="D40" i="1"/>
  <c r="D39" i="1" s="1"/>
  <c r="P110" i="1"/>
  <c r="D110" i="1" s="1"/>
  <c r="P112" i="1"/>
  <c r="D112" i="1" s="1"/>
  <c r="P115" i="1"/>
  <c r="D115" i="1" s="1"/>
  <c r="U121" i="1"/>
  <c r="D121" i="1" s="1"/>
  <c r="U124" i="1"/>
  <c r="D124" i="1" s="1"/>
  <c r="Z134" i="1"/>
  <c r="U135" i="1"/>
  <c r="Z135" i="1"/>
  <c r="U136" i="1"/>
  <c r="D138" i="1"/>
  <c r="D270" i="1"/>
  <c r="D271" i="1"/>
  <c r="D275" i="1"/>
  <c r="D277" i="1"/>
  <c r="D282" i="1"/>
  <c r="D283" i="1"/>
  <c r="D287" i="1"/>
  <c r="D291" i="1"/>
  <c r="D312" i="1"/>
  <c r="D316" i="1"/>
  <c r="D460" i="1"/>
  <c r="D50" i="1"/>
  <c r="D94" i="1"/>
  <c r="D244" i="1"/>
  <c r="K245" i="1"/>
  <c r="D249" i="1"/>
  <c r="D294" i="1"/>
  <c r="D366" i="1"/>
  <c r="D372" i="1"/>
  <c r="D373" i="1"/>
  <c r="D404" i="1"/>
  <c r="D420" i="1"/>
  <c r="D432" i="1"/>
  <c r="D434" i="1"/>
  <c r="C476" i="1"/>
  <c r="D478" i="1"/>
  <c r="D479" i="1"/>
  <c r="D220" i="1"/>
  <c r="D219" i="1"/>
  <c r="D222" i="1"/>
  <c r="D102" i="1"/>
  <c r="D104" i="1"/>
  <c r="D105" i="1"/>
  <c r="D107" i="1"/>
  <c r="Z59" i="1"/>
  <c r="K61" i="1"/>
  <c r="K78" i="1" s="1"/>
  <c r="K36" i="4"/>
  <c r="J36" i="4" s="1"/>
  <c r="D62" i="1"/>
  <c r="D298" i="1"/>
  <c r="D318" i="1"/>
  <c r="D330" i="1"/>
  <c r="D476" i="1"/>
  <c r="K9" i="1"/>
  <c r="C13" i="1"/>
  <c r="L40" i="1"/>
  <c r="L39" i="1" s="1"/>
  <c r="L45" i="1" s="1"/>
  <c r="M34" i="4" s="1"/>
  <c r="V40" i="1"/>
  <c r="V39" i="1" s="1"/>
  <c r="V45" i="1" s="1"/>
  <c r="D85" i="1"/>
  <c r="D88" i="1"/>
  <c r="P108" i="1"/>
  <c r="D108" i="1" s="1"/>
  <c r="P111" i="1"/>
  <c r="D111" i="1" s="1"/>
  <c r="P116" i="1"/>
  <c r="D116" i="1" s="1"/>
  <c r="U122" i="1"/>
  <c r="Z127" i="1"/>
  <c r="D127" i="1" s="1"/>
  <c r="Z129" i="1"/>
  <c r="D129" i="1" s="1"/>
  <c r="Z131" i="1"/>
  <c r="D131" i="1" s="1"/>
  <c r="Z133" i="1"/>
  <c r="D133" i="1" s="1"/>
  <c r="U134" i="1"/>
  <c r="D215" i="1"/>
  <c r="D225" i="1"/>
  <c r="D224" i="1"/>
  <c r="D218" i="1"/>
  <c r="U243" i="1"/>
  <c r="U245" i="1" s="1"/>
  <c r="D255" i="1"/>
  <c r="D257" i="1"/>
  <c r="D295" i="1"/>
  <c r="D297" i="1"/>
  <c r="Y248" i="1"/>
  <c r="Y406" i="1" s="1"/>
  <c r="D310" i="1"/>
  <c r="D311" i="1"/>
  <c r="D315" i="1"/>
  <c r="D328" i="1"/>
  <c r="D329" i="1"/>
  <c r="D360" i="1"/>
  <c r="D365" i="1"/>
  <c r="D367" i="1"/>
  <c r="D369" i="1"/>
  <c r="D386" i="1"/>
  <c r="D387" i="1"/>
  <c r="D394" i="1"/>
  <c r="D395" i="1"/>
  <c r="D402" i="1"/>
  <c r="D403" i="1"/>
  <c r="K408" i="1"/>
  <c r="P408" i="1"/>
  <c r="D415" i="1"/>
  <c r="P421" i="1"/>
  <c r="U421" i="1"/>
  <c r="D422" i="1"/>
  <c r="Z421" i="1"/>
  <c r="D429" i="1"/>
  <c r="D431" i="1"/>
  <c r="D435" i="1"/>
  <c r="D443" i="1"/>
  <c r="D456" i="1"/>
  <c r="D457" i="1"/>
  <c r="D462" i="1"/>
  <c r="D463" i="1"/>
  <c r="D466" i="1"/>
  <c r="D468" i="1"/>
  <c r="S472" i="1"/>
  <c r="S492" i="1" s="1"/>
  <c r="D474" i="1"/>
  <c r="D475" i="1"/>
  <c r="D482" i="1"/>
  <c r="D483" i="1"/>
  <c r="D100" i="1"/>
  <c r="D216" i="1"/>
  <c r="C9" i="1"/>
  <c r="D11" i="1"/>
  <c r="F9" i="1"/>
  <c r="Z19" i="1"/>
  <c r="D19" i="1" s="1"/>
  <c r="AC17" i="1"/>
  <c r="AC45" i="1" s="1"/>
  <c r="P21" i="1"/>
  <c r="D21" i="1" s="1"/>
  <c r="AA59" i="1"/>
  <c r="AA40" i="1"/>
  <c r="AA39" i="1" s="1"/>
  <c r="AA45" i="1" s="1"/>
  <c r="D221" i="1"/>
  <c r="D304" i="1"/>
  <c r="D338" i="1"/>
  <c r="D342" i="1"/>
  <c r="D346" i="1"/>
  <c r="D352" i="1"/>
  <c r="W245" i="1"/>
  <c r="D252" i="1"/>
  <c r="D264" i="1"/>
  <c r="D280" i="1"/>
  <c r="D380" i="1"/>
  <c r="F378" i="1"/>
  <c r="K29" i="1"/>
  <c r="D31" i="1"/>
  <c r="D35" i="1"/>
  <c r="F59" i="1"/>
  <c r="H59" i="1"/>
  <c r="G35" i="4" s="1"/>
  <c r="J59" i="1"/>
  <c r="O59" i="1"/>
  <c r="T59" i="1"/>
  <c r="AB59" i="1"/>
  <c r="AA35" i="4" s="1"/>
  <c r="D64" i="1"/>
  <c r="D67" i="1"/>
  <c r="U80" i="1"/>
  <c r="D91" i="1"/>
  <c r="U82" i="1"/>
  <c r="D82" i="1" s="1"/>
  <c r="D217" i="1"/>
  <c r="D101" i="1"/>
  <c r="D103" i="1"/>
  <c r="D106" i="1"/>
  <c r="P109" i="1"/>
  <c r="D109" i="1" s="1"/>
  <c r="P113" i="1"/>
  <c r="D113" i="1" s="1"/>
  <c r="P117" i="1"/>
  <c r="D117" i="1" s="1"/>
  <c r="Z137" i="1"/>
  <c r="D223" i="1"/>
  <c r="F248" i="1"/>
  <c r="W406" i="1"/>
  <c r="D251" i="1"/>
  <c r="D253" i="1"/>
  <c r="D256" i="1"/>
  <c r="D259" i="1"/>
  <c r="D263" i="1"/>
  <c r="D265" i="1"/>
  <c r="D269" i="1"/>
  <c r="D273" i="1"/>
  <c r="D276" i="1"/>
  <c r="D279" i="1"/>
  <c r="D281" i="1"/>
  <c r="D285" i="1"/>
  <c r="D289" i="1"/>
  <c r="D293" i="1"/>
  <c r="D296" i="1"/>
  <c r="D303" i="1"/>
  <c r="D309" i="1"/>
  <c r="D313" i="1"/>
  <c r="D323" i="1"/>
  <c r="D327" i="1"/>
  <c r="D333" i="1"/>
  <c r="D337" i="1"/>
  <c r="D339" i="1"/>
  <c r="D341" i="1"/>
  <c r="D359" i="1"/>
  <c r="D364" i="1"/>
  <c r="D368" i="1"/>
  <c r="C414" i="1"/>
  <c r="D490" i="1"/>
  <c r="D361" i="1"/>
  <c r="D363" i="1"/>
  <c r="D371" i="1"/>
  <c r="D377" i="1"/>
  <c r="U378" i="1"/>
  <c r="D379" i="1"/>
  <c r="Z378" i="1"/>
  <c r="D385" i="1"/>
  <c r="D389" i="1"/>
  <c r="D393" i="1"/>
  <c r="D397" i="1"/>
  <c r="D401" i="1"/>
  <c r="D412" i="1"/>
  <c r="D418" i="1"/>
  <c r="D424" i="1"/>
  <c r="D428" i="1"/>
  <c r="D430" i="1"/>
  <c r="D433" i="1"/>
  <c r="D436" i="1"/>
  <c r="D441" i="1"/>
  <c r="D442" i="1"/>
  <c r="D444" i="1"/>
  <c r="D449" i="1"/>
  <c r="D450" i="1"/>
  <c r="D454" i="1"/>
  <c r="D459" i="1"/>
  <c r="D461" i="1"/>
  <c r="D464" i="1"/>
  <c r="D465" i="1"/>
  <c r="D469" i="1"/>
  <c r="U472" i="1"/>
  <c r="D477" i="1"/>
  <c r="D485" i="1"/>
  <c r="D487" i="1"/>
  <c r="K51" i="1"/>
  <c r="D68" i="1"/>
  <c r="T36" i="4"/>
  <c r="O41" i="4"/>
  <c r="Y36" i="4"/>
  <c r="Z18" i="1"/>
  <c r="AB17" i="1"/>
  <c r="D48" i="1"/>
  <c r="K47" i="1"/>
  <c r="D58" i="1"/>
  <c r="P55" i="1"/>
  <c r="D92" i="1"/>
  <c r="O37" i="4"/>
  <c r="V406" i="1"/>
  <c r="K472" i="1"/>
  <c r="D473" i="1"/>
  <c r="F472" i="1"/>
  <c r="D15" i="1"/>
  <c r="K13" i="1"/>
  <c r="D13" i="1" s="1"/>
  <c r="K26" i="1"/>
  <c r="M25" i="1"/>
  <c r="M45" i="1" s="1"/>
  <c r="P25" i="1"/>
  <c r="C33" i="1"/>
  <c r="E59" i="1"/>
  <c r="I59" i="1"/>
  <c r="F35" i="4" s="1"/>
  <c r="AB245" i="1"/>
  <c r="Z243" i="1"/>
  <c r="E41" i="4"/>
  <c r="L406" i="1"/>
  <c r="K248" i="1"/>
  <c r="N406" i="1"/>
  <c r="R406" i="1"/>
  <c r="T248" i="1"/>
  <c r="T406" i="1" s="1"/>
  <c r="C299" i="1"/>
  <c r="C248" i="1" s="1"/>
  <c r="Z299" i="1"/>
  <c r="D299" i="1" s="1"/>
  <c r="AC248" i="1"/>
  <c r="AC406" i="1" s="1"/>
  <c r="D307" i="1"/>
  <c r="D317" i="1"/>
  <c r="D319" i="1"/>
  <c r="D321" i="1"/>
  <c r="D331" i="1"/>
  <c r="D343" i="1"/>
  <c r="D345" i="1"/>
  <c r="D347" i="1"/>
  <c r="D355" i="1"/>
  <c r="D357" i="1"/>
  <c r="D375" i="1"/>
  <c r="D409" i="1"/>
  <c r="X408" i="1"/>
  <c r="U408" i="1" s="1"/>
  <c r="F421" i="1"/>
  <c r="O421" i="1"/>
  <c r="O492" i="1" s="1"/>
  <c r="C430" i="1"/>
  <c r="C421" i="1" s="1"/>
  <c r="Y472" i="1"/>
  <c r="Y492" i="1" s="1"/>
  <c r="C481" i="1"/>
  <c r="G59" i="1"/>
  <c r="E36" i="4"/>
  <c r="O36" i="4"/>
  <c r="J41" i="4"/>
  <c r="D383" i="1"/>
  <c r="C409" i="1"/>
  <c r="C408" i="1" s="1"/>
  <c r="T408" i="1"/>
  <c r="T492" i="1" s="1"/>
  <c r="D410" i="1"/>
  <c r="F408" i="1"/>
  <c r="Z408" i="1"/>
  <c r="D416" i="1"/>
  <c r="F414" i="1"/>
  <c r="Z414" i="1"/>
  <c r="Z481" i="1"/>
  <c r="Z472" i="1" s="1"/>
  <c r="AC472" i="1"/>
  <c r="AC492" i="1" s="1"/>
  <c r="AH44" i="4"/>
  <c r="K98" i="1" l="1"/>
  <c r="D80" i="1"/>
  <c r="D98" i="1" s="1"/>
  <c r="U98" i="1"/>
  <c r="E38" i="4"/>
  <c r="AD38" i="4" s="1"/>
  <c r="N494" i="1"/>
  <c r="L494" i="1"/>
  <c r="G494" i="1"/>
  <c r="AB494" i="1"/>
  <c r="AA42" i="4" s="1"/>
  <c r="R494" i="1"/>
  <c r="Q42" i="4" s="1"/>
  <c r="J39" i="4"/>
  <c r="M44" i="4"/>
  <c r="M69" i="4" s="1"/>
  <c r="M73" i="4" s="1"/>
  <c r="V494" i="1"/>
  <c r="V498" i="1" s="1"/>
  <c r="Q494" i="1"/>
  <c r="Q498" i="1" s="1"/>
  <c r="T39" i="4"/>
  <c r="O39" i="4"/>
  <c r="Z241" i="1"/>
  <c r="T34" i="4"/>
  <c r="H494" i="1"/>
  <c r="AB132" i="5"/>
  <c r="W494" i="1"/>
  <c r="V42" i="4" s="1"/>
  <c r="M494" i="1"/>
  <c r="L42" i="4" s="1"/>
  <c r="E494" i="1"/>
  <c r="E498" i="1" s="1"/>
  <c r="T494" i="1"/>
  <c r="T498" i="1" s="1"/>
  <c r="Y494" i="1"/>
  <c r="S494" i="1"/>
  <c r="AC494" i="1"/>
  <c r="AC498" i="1" s="1"/>
  <c r="O494" i="1"/>
  <c r="O498" i="1" s="1"/>
  <c r="K492" i="1"/>
  <c r="F492" i="1"/>
  <c r="P492" i="1"/>
  <c r="Z492" i="1"/>
  <c r="X492" i="1"/>
  <c r="U492" i="1" s="1"/>
  <c r="I498" i="1"/>
  <c r="P472" i="1"/>
  <c r="C406" i="1"/>
  <c r="AB45" i="1"/>
  <c r="D381" i="1"/>
  <c r="Q34" i="4"/>
  <c r="P34" i="4"/>
  <c r="F34" i="4"/>
  <c r="AD49" i="4"/>
  <c r="AD55" i="4" s="1"/>
  <c r="P241" i="1"/>
  <c r="U241" i="1"/>
  <c r="D61" i="1"/>
  <c r="D78" i="1" s="1"/>
  <c r="C45" i="1"/>
  <c r="P45" i="1"/>
  <c r="Y45" i="1"/>
  <c r="F45" i="1"/>
  <c r="U45" i="1"/>
  <c r="Z33" i="1"/>
  <c r="D33" i="1" s="1"/>
  <c r="D134" i="1"/>
  <c r="M59" i="1"/>
  <c r="L35" i="4" s="1"/>
  <c r="J35" i="4" s="1"/>
  <c r="AA498" i="1"/>
  <c r="D136" i="1"/>
  <c r="C59" i="1"/>
  <c r="O35" i="4"/>
  <c r="U248" i="1"/>
  <c r="J498" i="1"/>
  <c r="D137" i="1"/>
  <c r="C472" i="1"/>
  <c r="C492" i="1" s="1"/>
  <c r="Y35" i="4"/>
  <c r="D378" i="1"/>
  <c r="AD28" i="4"/>
  <c r="AD29" i="4" s="1"/>
  <c r="C132" i="5"/>
  <c r="AH69" i="4"/>
  <c r="AH73" i="4" s="1"/>
  <c r="D9" i="1"/>
  <c r="E29" i="4"/>
  <c r="D51" i="1"/>
  <c r="P406" i="1"/>
  <c r="F42" i="4"/>
  <c r="Z34" i="4"/>
  <c r="D135" i="1"/>
  <c r="AA41" i="4"/>
  <c r="Y41" i="4" s="1"/>
  <c r="V41" i="4"/>
  <c r="T41" i="4" s="1"/>
  <c r="AD64" i="4"/>
  <c r="AD68" i="4" s="1"/>
  <c r="U35" i="4"/>
  <c r="T35" i="4" s="1"/>
  <c r="E37" i="4"/>
  <c r="T37" i="4"/>
  <c r="AE52" i="4"/>
  <c r="AE50" i="4"/>
  <c r="Z55" i="4"/>
  <c r="AE55" i="4" s="1"/>
  <c r="Y55" i="4"/>
  <c r="D47" i="1"/>
  <c r="D29" i="1"/>
  <c r="P59" i="1"/>
  <c r="D414" i="1"/>
  <c r="D122" i="1"/>
  <c r="K59" i="1"/>
  <c r="D421" i="1"/>
  <c r="Y37" i="4"/>
  <c r="F406" i="1"/>
  <c r="K42" i="4"/>
  <c r="E35" i="4"/>
  <c r="Z248" i="1"/>
  <c r="L34" i="4"/>
  <c r="K34" i="4"/>
  <c r="K44" i="4" s="1"/>
  <c r="D55" i="1"/>
  <c r="AD36" i="4"/>
  <c r="D481" i="1"/>
  <c r="D472" i="1" s="1"/>
  <c r="D408" i="1"/>
  <c r="K406" i="1"/>
  <c r="L498" i="1"/>
  <c r="Z245" i="1"/>
  <c r="D245" i="1" s="1"/>
  <c r="D243" i="1"/>
  <c r="K25" i="1"/>
  <c r="K45" i="1" s="1"/>
  <c r="D26" i="1"/>
  <c r="D25" i="1" s="1"/>
  <c r="U406" i="1"/>
  <c r="Z17" i="1"/>
  <c r="D18" i="1"/>
  <c r="F494" i="1" l="1"/>
  <c r="Q44" i="4"/>
  <c r="Q69" i="4" s="1"/>
  <c r="Q73" i="4" s="1"/>
  <c r="L44" i="4"/>
  <c r="L69" i="4" s="1"/>
  <c r="L73" i="4" s="1"/>
  <c r="F44" i="4"/>
  <c r="AE42" i="4" s="1"/>
  <c r="K494" i="1"/>
  <c r="K498" i="1" s="1"/>
  <c r="V44" i="4"/>
  <c r="V69" i="4" s="1"/>
  <c r="V73" i="4" s="1"/>
  <c r="AD39" i="4"/>
  <c r="J34" i="4"/>
  <c r="P494" i="1"/>
  <c r="P498" i="1" s="1"/>
  <c r="C494" i="1"/>
  <c r="U494" i="1"/>
  <c r="F498" i="1"/>
  <c r="X494" i="1"/>
  <c r="X498" i="1" s="1"/>
  <c r="D492" i="1"/>
  <c r="U498" i="1"/>
  <c r="E34" i="4"/>
  <c r="P42" i="4"/>
  <c r="P44" i="4" s="1"/>
  <c r="R498" i="1"/>
  <c r="M498" i="1"/>
  <c r="Y498" i="1"/>
  <c r="N498" i="1"/>
  <c r="O34" i="4"/>
  <c r="D241" i="1"/>
  <c r="W498" i="1"/>
  <c r="H42" i="4"/>
  <c r="H44" i="4" s="1"/>
  <c r="G498" i="1"/>
  <c r="G42" i="4"/>
  <c r="H498" i="1"/>
  <c r="Z45" i="1"/>
  <c r="J42" i="4"/>
  <c r="AA34" i="4"/>
  <c r="AA44" i="4" s="1"/>
  <c r="D248" i="1"/>
  <c r="D406" i="1" s="1"/>
  <c r="D59" i="1"/>
  <c r="AD41" i="4"/>
  <c r="Z42" i="4"/>
  <c r="Y42" i="4" s="1"/>
  <c r="Z406" i="1"/>
  <c r="Z494" i="1" s="1"/>
  <c r="AD35" i="4"/>
  <c r="D17" i="1"/>
  <c r="D45" i="1" s="1"/>
  <c r="J37" i="4"/>
  <c r="Z44" i="4" l="1"/>
  <c r="Z69" i="4" s="1"/>
  <c r="Z73" i="4" s="1"/>
  <c r="G44" i="4"/>
  <c r="AF42" i="4" s="1"/>
  <c r="J44" i="4"/>
  <c r="J69" i="4" s="1"/>
  <c r="J73" i="4" s="1"/>
  <c r="P69" i="4"/>
  <c r="P73" i="4" s="1"/>
  <c r="D494" i="1"/>
  <c r="D498" i="1" s="1"/>
  <c r="U42" i="4"/>
  <c r="O42" i="4"/>
  <c r="S498" i="1"/>
  <c r="F69" i="4"/>
  <c r="F73" i="4" s="1"/>
  <c r="Z498" i="1"/>
  <c r="E42" i="4"/>
  <c r="E44" i="4" s="1"/>
  <c r="AA69" i="4"/>
  <c r="AA73" i="4" s="1"/>
  <c r="AG42" i="4"/>
  <c r="H69" i="4"/>
  <c r="H73" i="4" s="1"/>
  <c r="AG44" i="4"/>
  <c r="AG69" i="4" s="1"/>
  <c r="AG73" i="4" s="1"/>
  <c r="Y34" i="4"/>
  <c r="AD37" i="4"/>
  <c r="K69" i="4"/>
  <c r="K73" i="4" s="1"/>
  <c r="G69" i="4" l="1"/>
  <c r="G73" i="4" s="1"/>
  <c r="AD34" i="4"/>
  <c r="Y44" i="4"/>
  <c r="Y69" i="4" s="1"/>
  <c r="Y73" i="4" s="1"/>
  <c r="O44" i="4"/>
  <c r="O69" i="4" s="1"/>
  <c r="O73" i="4" s="1"/>
  <c r="T42" i="4"/>
  <c r="T44" i="4" s="1"/>
  <c r="T69" i="4" s="1"/>
  <c r="T73" i="4" s="1"/>
  <c r="U44" i="4"/>
  <c r="U69" i="4" s="1"/>
  <c r="U73" i="4" s="1"/>
  <c r="E69" i="4"/>
  <c r="E73" i="4" s="1"/>
  <c r="AF44" i="4"/>
  <c r="AF69" i="4" s="1"/>
  <c r="AF73" i="4" s="1"/>
  <c r="AD42" i="4" l="1"/>
  <c r="AD44" i="4"/>
  <c r="AD69" i="4" s="1"/>
  <c r="AD73" i="4" s="1"/>
  <c r="AE44" i="4"/>
  <c r="AE69" i="4" s="1"/>
  <c r="AE73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demidova.man</author>
  </authors>
  <commentList>
    <comment ref="B13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04"/>
          </rPr>
          <t>demidova.man:</t>
        </r>
        <r>
          <rPr>
            <sz val="9"/>
            <color indexed="81"/>
            <rFont val="Tahoma"/>
            <family val="2"/>
            <charset val="204"/>
          </rPr>
          <t xml:space="preserve">
Илюшкин</t>
        </r>
      </text>
    </comment>
    <comment ref="B14" authorId="0" shapeId="0" xr:uid="{00000000-0006-0000-0300-000003000000}">
      <text>
        <r>
          <rPr>
            <b/>
            <sz val="9"/>
            <color indexed="81"/>
            <rFont val="Tahoma"/>
            <family val="2"/>
            <charset val="204"/>
          </rPr>
          <t>demidova.man:</t>
        </r>
        <r>
          <rPr>
            <sz val="9"/>
            <color indexed="81"/>
            <rFont val="Tahoma"/>
            <family val="2"/>
            <charset val="204"/>
          </rPr>
          <t xml:space="preserve">
Степанов</t>
        </r>
      </text>
    </comment>
    <comment ref="B16" authorId="0" shapeId="0" xr:uid="{00000000-0006-0000-0300-000004000000}">
      <text>
        <r>
          <rPr>
            <b/>
            <sz val="9"/>
            <color indexed="81"/>
            <rFont val="Tahoma"/>
            <family val="2"/>
            <charset val="204"/>
          </rPr>
          <t>demidova.man:</t>
        </r>
        <r>
          <rPr>
            <sz val="9"/>
            <color indexed="81"/>
            <rFont val="Tahoma"/>
            <family val="2"/>
            <charset val="204"/>
          </rPr>
          <t xml:space="preserve">
Ильченко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demidova.man</author>
    <author>krasnova.ai</author>
  </authors>
  <commentList>
    <comment ref="F15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04"/>
          </rPr>
          <t>demidova.man:</t>
        </r>
        <r>
          <rPr>
            <sz val="9"/>
            <color indexed="81"/>
            <rFont val="Tahoma"/>
            <family val="2"/>
            <charset val="204"/>
          </rPr>
          <t xml:space="preserve">
+1- пр-д Фабричный</t>
        </r>
      </text>
    </comment>
    <comment ref="F21" authorId="0" shapeId="0" xr:uid="{00000000-0006-0000-0400-000002000000}">
      <text>
        <r>
          <rPr>
            <b/>
            <sz val="9"/>
            <color indexed="81"/>
            <rFont val="Tahoma"/>
            <family val="2"/>
            <charset val="204"/>
          </rPr>
          <t>demidova.man:</t>
        </r>
        <r>
          <rPr>
            <sz val="9"/>
            <color indexed="81"/>
            <rFont val="Tahoma"/>
            <family val="2"/>
            <charset val="204"/>
          </rPr>
          <t xml:space="preserve">
ул.Кудашева
</t>
        </r>
      </text>
    </comment>
    <comment ref="F40" authorId="1" shapeId="0" xr:uid="{A7A08573-9953-4165-BD61-896AC0C73301}">
      <text>
        <r>
          <rPr>
            <b/>
            <sz val="9"/>
            <color indexed="81"/>
            <rFont val="Tahoma"/>
            <family val="2"/>
            <charset val="204"/>
          </rPr>
          <t>krasnova.ai:</t>
        </r>
        <r>
          <rPr>
            <sz val="9"/>
            <color indexed="81"/>
            <rFont val="Tahoma"/>
            <family val="2"/>
            <charset val="204"/>
          </rPr>
          <t xml:space="preserve">
Офицерская 600 м
Высоцкого
Калина</t>
        </r>
      </text>
    </comment>
    <comment ref="G40" authorId="1" shapeId="0" xr:uid="{091B5807-E57A-4C1E-9A20-23F1AE76101D}">
      <text>
        <r>
          <rPr>
            <b/>
            <sz val="9"/>
            <color indexed="81"/>
            <rFont val="Tahoma"/>
            <family val="2"/>
            <charset val="204"/>
          </rPr>
          <t>krasnova.ai:</t>
        </r>
        <r>
          <rPr>
            <sz val="9"/>
            <color indexed="81"/>
            <rFont val="Tahoma"/>
            <family val="2"/>
            <charset val="204"/>
          </rPr>
          <t xml:space="preserve">
Елки
Парковки ВАЗ
</t>
        </r>
      </text>
    </comment>
    <comment ref="F43" authorId="1" shapeId="0" xr:uid="{2440A7D3-C6B7-4E77-BED1-CF391BA18792}">
      <text>
        <r>
          <rPr>
            <b/>
            <sz val="9"/>
            <color indexed="81"/>
            <rFont val="Tahoma"/>
            <family val="2"/>
            <charset val="204"/>
          </rPr>
          <t>krasnova.ai:</t>
        </r>
        <r>
          <rPr>
            <sz val="9"/>
            <color indexed="81"/>
            <rFont val="Tahoma"/>
            <family val="2"/>
            <charset val="204"/>
          </rPr>
          <t xml:space="preserve">
Фермерская
Механизаторов
Союз
1000</t>
        </r>
      </text>
    </comment>
    <comment ref="F45" authorId="1" shapeId="0" xr:uid="{46DD7CD0-D07C-4785-B87A-B5215ED811F2}">
      <text>
        <r>
          <rPr>
            <b/>
            <sz val="9"/>
            <color indexed="81"/>
            <rFont val="Tahoma"/>
            <family val="2"/>
            <charset val="204"/>
          </rPr>
          <t>krasnova.ai:</t>
        </r>
        <r>
          <rPr>
            <sz val="9"/>
            <color indexed="81"/>
            <rFont val="Tahoma"/>
            <family val="2"/>
            <charset val="204"/>
          </rPr>
          <t xml:space="preserve">
Калмыцкая
Васильевская</t>
        </r>
      </text>
    </comment>
    <comment ref="F51" authorId="1" shapeId="0" xr:uid="{736733E3-C910-4854-B2B0-576DC5B8600A}">
      <text>
        <r>
          <rPr>
            <b/>
            <sz val="9"/>
            <color indexed="81"/>
            <rFont val="Tahoma"/>
            <family val="2"/>
            <charset val="204"/>
          </rPr>
          <t>krasnova.ai:</t>
        </r>
        <r>
          <rPr>
            <sz val="9"/>
            <color indexed="81"/>
            <rFont val="Tahoma"/>
            <family val="2"/>
            <charset val="204"/>
          </rPr>
          <t xml:space="preserve">
Южное ш.</t>
        </r>
      </text>
    </comment>
  </commentList>
</comments>
</file>

<file path=xl/sharedStrings.xml><?xml version="1.0" encoding="utf-8"?>
<sst xmlns="http://schemas.openxmlformats.org/spreadsheetml/2006/main" count="1757" uniqueCount="1297">
  <si>
    <t>Наименование мероприятий по объектам</t>
  </si>
  <si>
    <t>1.1.</t>
  </si>
  <si>
    <t>2.1.</t>
  </si>
  <si>
    <t>2.2.</t>
  </si>
  <si>
    <t>4.2.</t>
  </si>
  <si>
    <t>5.1.</t>
  </si>
  <si>
    <t>5.2.</t>
  </si>
  <si>
    <t>5.3.</t>
  </si>
  <si>
    <t>6.1.</t>
  </si>
  <si>
    <t>6.2.</t>
  </si>
  <si>
    <t>5.4.</t>
  </si>
  <si>
    <t>Капитальный ремонт автодороги по ул. Радищева (от ул. Октябрьская до ул. Новозаводская)</t>
  </si>
  <si>
    <t>всего, тыс.руб.</t>
  </si>
  <si>
    <t>областной бюджет, тыс.руб.</t>
  </si>
  <si>
    <t>Осуществление строительного контроля на объекте: Капитальный ремонт автодороги по ул. Радищева (от ул. Октябрьская до ул. Новозаводская)</t>
  </si>
  <si>
    <t>Итого по объектам строительства по разделу 1:</t>
  </si>
  <si>
    <t>Итого по объектам реконструкции по разделу 2:</t>
  </si>
  <si>
    <t>Итого по объектам капитального ремонта по разделу 4:</t>
  </si>
  <si>
    <t>Итого по объектам ремонта дворовых территорий по разделу 6:</t>
  </si>
  <si>
    <t>1.1.1.</t>
  </si>
  <si>
    <t>2.1.1.</t>
  </si>
  <si>
    <t>2.2.1.</t>
  </si>
  <si>
    <t>2.2.2.</t>
  </si>
  <si>
    <t>4.11.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</si>
  <si>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</si>
  <si>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</si>
  <si>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</si>
  <si>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</si>
  <si>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</si>
  <si>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</si>
  <si>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</si>
  <si>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</si>
  <si>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</si>
  <si>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</si>
  <si>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</si>
  <si>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5.17.</t>
  </si>
  <si>
    <t>5.18.</t>
  </si>
  <si>
    <t>5.19.</t>
  </si>
  <si>
    <t>5.20.</t>
  </si>
  <si>
    <t>5.16.</t>
  </si>
  <si>
    <t>5.21.</t>
  </si>
  <si>
    <t>5.22.</t>
  </si>
  <si>
    <t>5.23.</t>
  </si>
  <si>
    <t>5.24.</t>
  </si>
  <si>
    <t>5.25.</t>
  </si>
  <si>
    <t>5.26.</t>
  </si>
  <si>
    <t>5.27.</t>
  </si>
  <si>
    <t>5.28.</t>
  </si>
  <si>
    <t>5.29.</t>
  </si>
  <si>
    <t>5.30.</t>
  </si>
  <si>
    <t>5.31.</t>
  </si>
  <si>
    <t>5.33.</t>
  </si>
  <si>
    <t>5.34.</t>
  </si>
  <si>
    <t>5.35.</t>
  </si>
  <si>
    <t>5.36.</t>
  </si>
  <si>
    <t>5.37.</t>
  </si>
  <si>
    <t>5.38.</t>
  </si>
  <si>
    <t>5.39.</t>
  </si>
  <si>
    <t>5.40.</t>
  </si>
  <si>
    <t>5.41.</t>
  </si>
  <si>
    <t>5.42.</t>
  </si>
  <si>
    <t>5.43.</t>
  </si>
  <si>
    <t>1.2.</t>
  </si>
  <si>
    <t>1.2.1.</t>
  </si>
  <si>
    <t>1.2.2.</t>
  </si>
  <si>
    <t>местный бюджет, тыс.руб.</t>
  </si>
  <si>
    <t>5.44.</t>
  </si>
  <si>
    <t>5.45.</t>
  </si>
  <si>
    <t>5.46.</t>
  </si>
  <si>
    <t>5.47.</t>
  </si>
  <si>
    <t>Южное шоссе (от ул. Полякова до ул. Тополиной)</t>
  </si>
  <si>
    <t>Южное шоссе (от ул. Тополиной до Автозаводского шоссе)</t>
  </si>
  <si>
    <t>пр-т Степана Разина от проспекта Ленинский до ул. Спортивной, иск. КТР б-р Приморский - пр-т Степана Разина, пр-т Ленинский - пр-т Степана Разина</t>
  </si>
  <si>
    <t>ул. 40 лет Победы от Южного шоссе до ул. Дзержинского</t>
  </si>
  <si>
    <t>б-р 50 лет Октября (от ул. Новозаводская до Автозаводского шоссе)</t>
  </si>
  <si>
    <t>Хрящевское шоссе от Обводного шоссе до пересечения Южного и Автозаводского шоссе</t>
  </si>
  <si>
    <t>Хрящевское шоссе от Обводного шоссе до г.о. Тольятти</t>
  </si>
  <si>
    <t>2. Реконструкция автомобильных дорог общего пользования местного значения городского округа Тольятти:</t>
  </si>
  <si>
    <t>Оказание услуг по подготовке экспертных заключений по результатам проведения лабораторных испытаний асфальтобетонных покрытий проезжей части автодорог и тротуаров на объектах ремонта дорог</t>
  </si>
  <si>
    <t>5. Выполнение работ по ремонту автомобильных  дорог общего пользования местного значения городского округа Тольятти:</t>
  </si>
  <si>
    <t xml:space="preserve">4. Выполнение работ по капитальному ремонту автомобильных дорог общего пользования  местного значения городского округа Тольятти: </t>
  </si>
  <si>
    <t>Стоимость работ по годам, тыс.руб.</t>
  </si>
  <si>
    <t>ул. Диагональная от ул. Баныкина до ул. Кунеевская</t>
  </si>
  <si>
    <t>Комсомольское шоссе</t>
  </si>
  <si>
    <t>Южное шоссе от ул. Заставная до границы г.о. Тольятти</t>
  </si>
  <si>
    <t>Итого по объектам ремонта дорог по разделу 5:</t>
  </si>
  <si>
    <t>1.1.2.</t>
  </si>
  <si>
    <t>1.3.</t>
  </si>
  <si>
    <t>1.3.2.</t>
  </si>
  <si>
    <t>1.3.3.</t>
  </si>
  <si>
    <t>1.4.</t>
  </si>
  <si>
    <t>1.4.2.</t>
  </si>
  <si>
    <t>1.4.3.</t>
  </si>
  <si>
    <t>1.5.</t>
  </si>
  <si>
    <t>1.5.2.</t>
  </si>
  <si>
    <t>1.5.3.</t>
  </si>
  <si>
    <t>1.6.</t>
  </si>
  <si>
    <t>1.6.1.</t>
  </si>
  <si>
    <t>1.6.2.</t>
  </si>
  <si>
    <t>1.6.3.</t>
  </si>
  <si>
    <t>1.7.</t>
  </si>
  <si>
    <t>1.2.3.</t>
  </si>
  <si>
    <t>Ремонт дворовых территорий многоквартирных домов и проездов к дворовым территориям многоквартирных домов городского округа Тольятти</t>
  </si>
  <si>
    <t xml:space="preserve">Оказание услуг по подготовке экспертных заключений по результатам проведения лабораторных испытаний асфальтобетонных покрытий на объектах  ремонта дворовых территорий многоквартирных домов и проездов к дворовым территориям многоквартирных домов </t>
  </si>
  <si>
    <t>3. Выполнение проектно-изыскательских работ по строительству, реконструкции, капитальному ремонту и ремонту автомобильных дорог общего пользования местного значения городского округа Тольятти:</t>
  </si>
  <si>
    <t>Итого по  объектам проектирования строительства, реконструкции, капитального ремонта и ремонта по разделу 3:</t>
  </si>
  <si>
    <t>5.32.</t>
  </si>
  <si>
    <t>Оказание услуг по диагностике и оценке транспортно-эксплуатационного состояния автомобильных дорог общего пользования местного значения городского округа Тольятти</t>
  </si>
  <si>
    <t>Оказание услуг по техническому учету и паспортизации автомобильных дорог общего пользования местного значения городского округа Тольятти</t>
  </si>
  <si>
    <t>2021 год</t>
  </si>
  <si>
    <t>2022 год</t>
  </si>
  <si>
    <t>2023 год</t>
  </si>
  <si>
    <t>2024 год</t>
  </si>
  <si>
    <t>2025 год</t>
  </si>
  <si>
    <t>1.1.3.</t>
  </si>
  <si>
    <t xml:space="preserve">Строительство магистральной улицы общегородского значения регулируемого движения в продолжение ул. Фермерской до Южного шоссе </t>
  </si>
  <si>
    <t xml:space="preserve"> Осуществление строительного контроля на объекте: Строительство магистральной улицы общегородского значения регулируемого движения в продолжение ул. Фермерской до Южного шоссе </t>
  </si>
  <si>
    <t>Строительство бокового проезда - подъездной дороги к земельному участку, на котором расположен физкультурно-оздоровительный комплекс СДЮШОР №8 "Союз"</t>
  </si>
  <si>
    <t>Осуществление строительного контроля на объекте: Строительство бокового проезда - подъездной дороги к земельному участку, на котором расположен физкультурно-оздоровительный комплекс СДЮШОР №8 "Союз"</t>
  </si>
  <si>
    <t>Осуществление строительного контроля на объекте: Реконструкция кольцевой транспортной развязки на пересечении Южного шоссе и ул. Борковская. Устройство дополнительных правоповоротных полос движения (Юго-восточная полоса движения. Северо-западная полоса движения.)</t>
  </si>
  <si>
    <t>2.2.3.</t>
  </si>
  <si>
    <t>Строительство улицы Казачья в жилой застройке  микрорайона Жигулевское море от ул. Ивана Красюка  до ул. Бориса Коваленко</t>
  </si>
  <si>
    <t>Осуществление строительного контроля на объекте: Строительство улицы Казачья в жилой застройке  микрорайона Жигулевское море от ул. Ивана Красюка  до ул. Бориса Коваленко</t>
  </si>
  <si>
    <t>Осуществление авторского надзора на объекте: Строительство улицы Казачья в жилой застройке  микрорайона Жигулевское море от ул. Ивана Красюка  до ул. Бориса Коваленко</t>
  </si>
  <si>
    <t>улица Нижнегородская от Майского проезда до ГСК "Полина"</t>
  </si>
  <si>
    <t>Капитальный ремонт автодороги по ул. Октябрьская (от ул. Комсомольская до б-ра 50 лет Октября, г. Тольятти, Самарской области)</t>
  </si>
  <si>
    <t>Осуществление строительного контроля на объекте: Капитальный ремонт автодороги по ул. Октябрьская (от ул. Комсомольская до б-ра 50 лет Октября, г. Тольятти, Самарской области)</t>
  </si>
  <si>
    <t>автодорога по улице Скрябина от улицы Олимпийская до улицы Вавилова</t>
  </si>
  <si>
    <t>автодорога к турбазе "Волна" от Комсомольского шоссе до турбазы "Волна"</t>
  </si>
  <si>
    <t>автодорога  Поволжское шоссе от улицы Громовой до СНТ "Наука"</t>
  </si>
  <si>
    <t>автодорога Поволжское шоссе от СНТ "Наука" до Тольятти - Азот</t>
  </si>
  <si>
    <t>автодорога по улице Ровная от ул. Железнодорожная до УР 65/16</t>
  </si>
  <si>
    <t>подъездная дорога к детскому саду "Олимпия" от улицы Коммунистическая до д/сада "Олимпия"</t>
  </si>
  <si>
    <t>автодорога по бульвару Островского от улицы Краснодонцев до улицы Коммунистическая</t>
  </si>
  <si>
    <t>Осуществление строительного контроля на объекте: Капитальный ремонт автодороги по улице Никонова от  улицы Железнодорожная  до улицы Ингельберга</t>
  </si>
  <si>
    <t>Капитальный ремонт автодороги по улице Никонова от  улицы Железнодорожная  до улицы Ингельберга</t>
  </si>
  <si>
    <t>Капитальный ремонт автодороги по улице Базовая от ул. Комсомольская до улицы Ларина</t>
  </si>
  <si>
    <t>Осуществление строительного контроля на объекте: Капитальный ремонт автодороги по улице Базовая от ул. Комсомольская до улицы Ларина</t>
  </si>
  <si>
    <t>автодорога по улице Революционная от улицы Дзержинского по проспекта Ленинский</t>
  </si>
  <si>
    <t>автодорога по улице Энергетиков от улицы Куйбышева до строения №23 по ул. Энергетиков</t>
  </si>
  <si>
    <t xml:space="preserve">автодорога по улице Менделеева от улицы Калужской до улицы Бориса Коваленко </t>
  </si>
  <si>
    <t>автодорога по улице Учительская от улицы Ингельберга до проезда Ученический</t>
  </si>
  <si>
    <t>автодорога по улице Грибоедова от улицы Ингельберга до улицы Краснознамённая</t>
  </si>
  <si>
    <t>автодорога по переулку 1 Горный от улицы Пионерской до улицы Попова</t>
  </si>
  <si>
    <t>автодорога по Лесопарковому шоссе от улицы Спортивной до Лесопаркового шоссе,42</t>
  </si>
  <si>
    <t>автодорога по улице Коммунистической от улицы Есенина до улицы Куйбышева</t>
  </si>
  <si>
    <t>автодорога по улице Никонова до границы шлюза 23-24</t>
  </si>
  <si>
    <t>автодорога по улице Академика Вавилова (от дома по улице Скрябина,13) до ул. Пескалинская</t>
  </si>
  <si>
    <t>автодорога по Обводной дороге в МКР Прибрежный</t>
  </si>
  <si>
    <t>автодорога к троллейбусному депо №30</t>
  </si>
  <si>
    <t>автодорога от улицы Громовой к проходной ООО "ТЗПО"</t>
  </si>
  <si>
    <t>автодорога от ул. Громовой до здания "Фабрика качества"</t>
  </si>
  <si>
    <t>местный бюджет, тыс. руб.</t>
  </si>
  <si>
    <t>4.1.</t>
  </si>
  <si>
    <t>4.3.</t>
  </si>
  <si>
    <t>4.4.</t>
  </si>
  <si>
    <t>4.5.</t>
  </si>
  <si>
    <t>4.6.</t>
  </si>
  <si>
    <t>4.7.</t>
  </si>
  <si>
    <t>4.9.</t>
  </si>
  <si>
    <t>Капитальный ремонт автодороги по ул. Северная от дома №39 по улице Северная до улицы Цеховая</t>
  </si>
  <si>
    <t>Осуществление строительного контроля на объекте: Капитальный ремонт автодороги по ул. Северная от дома №39 по улице Северная до улицы Цеховая</t>
  </si>
  <si>
    <t>2.1.2.</t>
  </si>
  <si>
    <t>1.4.1.</t>
  </si>
  <si>
    <t>1.5.1.</t>
  </si>
  <si>
    <t>1.7.1.</t>
  </si>
  <si>
    <t>Строительство улично-дорожной сети западнее Московского проспекта - первая очередь</t>
  </si>
  <si>
    <t>Осуществление строительного контроля на объекте: Строительство улично-дорожной сети западнее Московского проспекта - первая очередь</t>
  </si>
  <si>
    <t>Осуществление авторского надзора на объекте: Строительство улично-дорожной сети западнее Московского проспекта - первая очередь</t>
  </si>
  <si>
    <t>3.1.</t>
  </si>
  <si>
    <t>3.2.</t>
  </si>
  <si>
    <t>Строительство магистральной улицы общегородского значения регулируемого движения в продолжение ул. Фермерской до Южного шоссе</t>
  </si>
  <si>
    <t xml:space="preserve">Осуществление авторского надзора на объекте: Строительство магистральной улицы общегородского значения регулируемого движения в продолжение ул. Фермерской до Южного шоссе </t>
  </si>
  <si>
    <t>Осуществление авторского надзора на объекте: Строительство бокового проезда - подъездной дороги к земельному участку, на котором расположен физкультурно-оздоровительный комплекс СДЮШОР №8 "Союз"</t>
  </si>
  <si>
    <t>Строительство улицы Ивана Красюка в жилой застройке  микрорайона Жигулевское море от ул. Казачьей до пересечения ул. Молодецкая и проезда Оренбургский</t>
  </si>
  <si>
    <t>Осуществление строительного контроля на объекте: Строительство улицы Ивана Красюка в жилой застройке  микрорайона Жигулевское море от ул. Казачьей до пересечения ул. Молодецкая и проезда Оренбургский</t>
  </si>
  <si>
    <t>Реконструкция кольцевой транспортной развязки на пересечении Южного шоссе и ул. Борковская. Устройство дополнительных правоповоротных полос движения (Юго-восточная полоса движения. Северо-западная полоса движения)</t>
  </si>
  <si>
    <t>ИТОГО ПО ПОДПРОГРАММЕ "РГПТ"</t>
  </si>
  <si>
    <t>2021-2025</t>
  </si>
  <si>
    <t xml:space="preserve">Департамент дорожного хозяйства и транспорта администрации городского округа Тольятти </t>
  </si>
  <si>
    <t xml:space="preserve">Изготовление и установка табличек на остановочных пунктах                                                     </t>
  </si>
  <si>
    <t>Задача подпрограммы: совершенствование технического и технологического обеспечения транспортного обслуживания</t>
  </si>
  <si>
    <t>Цель подпрограммы: Повышение качества и доступности транспортных услуг, обеспечение устойчивого и безопасного функционирования пассажирского транспорта</t>
  </si>
  <si>
    <t>Подпрограмма "Развитие  городского пассажирского транспорта в городском округе Тольяттина период 2021-2025 гг."</t>
  </si>
  <si>
    <t>Департамент дорожного хозяйства и транспорта  администрации городского округа Тольятти</t>
  </si>
  <si>
    <t>Содержание МКУ "ЦОДД  ГОТ"</t>
  </si>
  <si>
    <t>Задача подпрограммы : создание условий для осуществления деятельности муниципального казенного учреждения "Центр организации дорожного движения городского округа Тольятти"</t>
  </si>
  <si>
    <t>Департамент дорожного хозяйства и транспорта            администрации городского округа Тольятти</t>
  </si>
  <si>
    <t>Департамент дорожного хозяйства и транспорта  администрации городского округа Тольятти                                                МКУ "ЦОДД ГОТ"</t>
  </si>
  <si>
    <t xml:space="preserve">Приобретение материалов для содержания ТСОДД, ремонта остановочных павильонов   </t>
  </si>
  <si>
    <t>Департамент дорожного хозяйства и транспорта  администрации городского округа Тольятти                                                    МКУ "ЦОДД ГОТ"</t>
  </si>
  <si>
    <t>Приобретение спецтехники</t>
  </si>
  <si>
    <t>Департамент дорожного хозяйства и транспорта администрации городского округа Тольятти</t>
  </si>
  <si>
    <t xml:space="preserve">Проектирование устройства и переноса остановок общественного транспорта, в т.ч. экспертиза выполненных работ   </t>
  </si>
  <si>
    <t>Устройство пешеходных дорожек</t>
  </si>
  <si>
    <t xml:space="preserve">Департамент дорожного хозяйства и транспорта  администрации городского округа Тольятти                           </t>
  </si>
  <si>
    <t>Устройство  искусственных дорожных неровностей, в т.ч. экспертиза выполненных работ</t>
  </si>
  <si>
    <t>Департамент дорожного хозяйства и транспорта  администрации городского округа Тольятти                              МКУ "ЦОДД ГОТ"</t>
  </si>
  <si>
    <t>Задача подпрограммы: проведение организационных и инженерных мер, направленных на предупреждение причин возникновения дорожно-транспортных происшествий</t>
  </si>
  <si>
    <t>Цель подпрограммы: Повышение безопасности дорожного движения на территории городского округа Тольятти за счет выполнения комплекса организационных и технических мероприятий</t>
  </si>
  <si>
    <t>Задача 1 муниципальной программы: Повышение безопасности дорожного движения на территории городского округа Тольятти за счет выполнения комплекса организационных и технических мероприятий</t>
  </si>
  <si>
    <t>Внебюджетные средства</t>
  </si>
  <si>
    <t>федеральный   бюджет</t>
  </si>
  <si>
    <t>областной  бюджет</t>
  </si>
  <si>
    <t>местный      бюджет</t>
  </si>
  <si>
    <t>Всего</t>
  </si>
  <si>
    <t xml:space="preserve"> План на 2025 год</t>
  </si>
  <si>
    <t xml:space="preserve"> План на 2024 год</t>
  </si>
  <si>
    <t xml:space="preserve"> План на 2023 год</t>
  </si>
  <si>
    <t xml:space="preserve"> План на 2022 год</t>
  </si>
  <si>
    <t xml:space="preserve"> План на 2021 год</t>
  </si>
  <si>
    <t>Итого</t>
  </si>
  <si>
    <t>Финансовое обеспечение реализации муниципальной программы, тыс. руб.</t>
  </si>
  <si>
    <t>Ответственный 
исполнитель</t>
  </si>
  <si>
    <t xml:space="preserve">
Наименование целей, задач и мероприятий муниципальной программы</t>
  </si>
  <si>
    <t>№</t>
  </si>
  <si>
    <t>внебюд-жетные средства</t>
  </si>
  <si>
    <t>федераль-ный   бюджет</t>
  </si>
  <si>
    <t xml:space="preserve">Подпрограмма "Повышение безопасности дорожного движения на период 2021-2025 гг."                       </t>
  </si>
  <si>
    <t xml:space="preserve">ИТОГО ПО ПОДПРОГРАММЕ "ПБДД"   </t>
  </si>
  <si>
    <t>Реконструкция автомобильных дорог общего пользования местного значения городского округа Тольятти</t>
  </si>
  <si>
    <t>Выполнение проектно-изыскательских работ по строительству, реконструкции, капитальному ремонту и ремонту автомобильных дорог общего пользования местного значения городского округа Тольятти</t>
  </si>
  <si>
    <t xml:space="preserve"> Выполнение работ по капитальному ремонту автомобильных дорог общего пользования  местного значения городского округа Тольятти</t>
  </si>
  <si>
    <t>Выполнение работ по ремонту автомобильных  дорог общего пользования местного значения городского округа Тольятти</t>
  </si>
  <si>
    <t>ИТОГО ПО ПОДПРОГРАММЕ "МРАД"</t>
  </si>
  <si>
    <t>Подпрограмма "Содержание улично-дорожной сети на 2021 - 2025 гг."</t>
  </si>
  <si>
    <t>Задача подпрограммы: выполнение мероприятий по уходу за автомобильными дорогами общего пользования местного значения и объектами дорожного хозяйства городского округа Тольятти</t>
  </si>
  <si>
    <t xml:space="preserve">Содержание   надземных и подземных пешеходных переходов </t>
  </si>
  <si>
    <t>Задача подпрограммы: выполнение мероприятий по организации  дорожного движения</t>
  </si>
  <si>
    <t>Нанесение горизонтальной дорожной разметки</t>
  </si>
  <si>
    <t>ИТОГО ПО ПОДПРОГРАММЕ "СУДС"</t>
  </si>
  <si>
    <t>Сроки реали-зации</t>
  </si>
  <si>
    <t>Цель муниципальной программы: Развитие дорожно-транспортной инфраструктуры в городском округе Тольятти, обеспечение безопасных условий дорожного движения</t>
  </si>
  <si>
    <t>Центральный район:</t>
  </si>
  <si>
    <t xml:space="preserve">Автодорога по проезду Валентины Ступиной </t>
  </si>
  <si>
    <t xml:space="preserve">Автодорога по ул. Минской от ул. 50 лет Октября до ул. Мичурина </t>
  </si>
  <si>
    <t>Автодорога по улице Щорса</t>
  </si>
  <si>
    <t>Автодорога по улице 25 лет Октября</t>
  </si>
  <si>
    <t>Автодорога по ул. Интернациональная (от проезда Декабристов до ул. Ларина)</t>
  </si>
  <si>
    <t>Автодорога по проезду Ленский</t>
  </si>
  <si>
    <t>Автодорога по проезду Кутузова</t>
  </si>
  <si>
    <t>Автодорога по проезду Некрасова</t>
  </si>
  <si>
    <t>Автодорога по проезду Сызранский ( от ул. Октябрьская до ул. Самарская)</t>
  </si>
  <si>
    <t>Автодорога по проезду Урожайный</t>
  </si>
  <si>
    <t>Автодорога по проезду Профсоюзов (от ул. Гайдара до проезда Тургенева)</t>
  </si>
  <si>
    <t>Автодороги по переулкам Онежский (1-9)</t>
  </si>
  <si>
    <t>Автодорога по проезду Зеленому</t>
  </si>
  <si>
    <t xml:space="preserve">Автодорога по проезду Учительскому </t>
  </si>
  <si>
    <t xml:space="preserve">Автодорога по проезду Коммунальному </t>
  </si>
  <si>
    <t>Автодорога по улице Блюхера ( от ул. Садовая до проезда Коммунальный)</t>
  </si>
  <si>
    <t>Автодорога по ул. Жигулевская ( от ул. Первомайская до проезда Охотничий)</t>
  </si>
  <si>
    <t>Автодорога по проезду Алтайскому</t>
  </si>
  <si>
    <t>Автодорога по проезду Тургенева</t>
  </si>
  <si>
    <t xml:space="preserve">Автодорога по проезду Колхозному </t>
  </si>
  <si>
    <t xml:space="preserve">Автодорога по проезду Молодежному </t>
  </si>
  <si>
    <t>Автодорогу по проезду Енисейскому (от улицы Кирова до бульвара 50 лет Октября)</t>
  </si>
  <si>
    <t>Автодорога по проезду Печерскому  (от б-ра 50 лет октября до ул. Кирова;                         (от ул. Кирова до ул. Л. Толстого)</t>
  </si>
  <si>
    <t>Автодорога по проезду Бородинскому</t>
  </si>
  <si>
    <t>Автодорога по улице Маяковского</t>
  </si>
  <si>
    <t>Автодорога по проезду Свободы</t>
  </si>
  <si>
    <t>Автодорога по улице Марии Ульяновой</t>
  </si>
  <si>
    <t>Автодорога по улице Дмитрия Ульянова</t>
  </si>
  <si>
    <t>Автодорога по проезду Строителей</t>
  </si>
  <si>
    <t>Автодорога по улице Гайдара ( от ул. Чапаева до проезда Водников)</t>
  </si>
  <si>
    <t>Автодорога по переулку 1-й Парковый</t>
  </si>
  <si>
    <t>Автодорога по переулку 3-й Парковый</t>
  </si>
  <si>
    <t>Автодорога по переулку 5-й Парковый</t>
  </si>
  <si>
    <t>Автодорога по переулку6-й Парковый</t>
  </si>
  <si>
    <t>Автодорога по переулку 7-й Парковый</t>
  </si>
  <si>
    <t>Автодорога по проезду Линейный</t>
  </si>
  <si>
    <t>Автодорога по проезду Репина</t>
  </si>
  <si>
    <t>Автодорога по проезду2-й Сосновый</t>
  </si>
  <si>
    <t>Автодорога по проезду 1-й Пугачевский</t>
  </si>
  <si>
    <t>Автодорога по проезду 2-й Пугачевский</t>
  </si>
  <si>
    <t>Автодорога по проезду Донской (1- 7)</t>
  </si>
  <si>
    <t>Автодорога по проезду 1-й Минский</t>
  </si>
  <si>
    <t>Автодорога по проезду 2-й Минский</t>
  </si>
  <si>
    <t>Автодорога по проезду Ягодный</t>
  </si>
  <si>
    <t>Автодорога по проезду Амурский</t>
  </si>
  <si>
    <t>Автодорога по улице Чкалова (от ул. Кирова до д.94 по ул. Чкалова)</t>
  </si>
  <si>
    <t>Автодорога по проезду  9 января</t>
  </si>
  <si>
    <t>Автодорога по улице Уральская ( от ул. Мичурина до б-ра 50 лет Октября)</t>
  </si>
  <si>
    <t>Автодорога по проезду Тверской</t>
  </si>
  <si>
    <t>Автодорога по проезду Короткий</t>
  </si>
  <si>
    <t>Автодорога по проезду Кавалерийский</t>
  </si>
  <si>
    <t>Автодорога по проезду Солнечный</t>
  </si>
  <si>
    <t>Автодорога по проезду Лунный</t>
  </si>
  <si>
    <t>Автодорога по проезду Сосновый</t>
  </si>
  <si>
    <t>Проезд Яблоневый</t>
  </si>
  <si>
    <t>Автодорога по проезду Донской</t>
  </si>
  <si>
    <t>Автодорога по проезду Студенческий</t>
  </si>
  <si>
    <t>Автодорога по проезду Кирпичный</t>
  </si>
  <si>
    <t>Автодорога по проезду Добролюбова</t>
  </si>
  <si>
    <t>Автодорога по проезду Декабристов</t>
  </si>
  <si>
    <t>Автодорога по проезду Ключевой</t>
  </si>
  <si>
    <t>Автодорога по проезду Полярников</t>
  </si>
  <si>
    <t>Автодорога по проезду Молдавский</t>
  </si>
  <si>
    <t>Автодорога по проезду Камский</t>
  </si>
  <si>
    <t>Автодорога по проезду Торновый</t>
  </si>
  <si>
    <t>Автодорога по проезду Березовый</t>
  </si>
  <si>
    <t>Автодорога по проезду Озерный</t>
  </si>
  <si>
    <t>Автодорога по проезду Пехотный</t>
  </si>
  <si>
    <t>Автодорога по проезду Невский</t>
  </si>
  <si>
    <t>Автодорога по проезду Гастелло</t>
  </si>
  <si>
    <t>Автодорога по проезду 1-й Лесной</t>
  </si>
  <si>
    <t>Автодорога по проезду 2-й Лесной</t>
  </si>
  <si>
    <t>Автодорога по проезду 3-й Лесной</t>
  </si>
  <si>
    <t>Автодорога по проезду 4-й Лесной</t>
  </si>
  <si>
    <t>Автодорога по проезду 5-й Лесной</t>
  </si>
  <si>
    <t>Автодорога по проезду 6-й Лесной</t>
  </si>
  <si>
    <t>Автодорога по проезду 7-й Лесной</t>
  </si>
  <si>
    <t>Автодорога по проезду 8-й Лесной</t>
  </si>
  <si>
    <t>Автодорога по проезду Гражданский</t>
  </si>
  <si>
    <t>Автодорога по проезду Детский</t>
  </si>
  <si>
    <t>Переулок 1-й Заводской</t>
  </si>
  <si>
    <t>Переулок 2-й Заводской</t>
  </si>
  <si>
    <t>Автодорога по проезду Заводской</t>
  </si>
  <si>
    <t>Автодорога по проезду  Книжный</t>
  </si>
  <si>
    <t>Автодорога по проезду  Крымский</t>
  </si>
  <si>
    <t>Автодорога по проезду  Котельный</t>
  </si>
  <si>
    <t xml:space="preserve">ул. Клавдии Вавиловой                        </t>
  </si>
  <si>
    <t>Автодорога по проезду Славы</t>
  </si>
  <si>
    <t>Автодорога по переулку 2-й Парковый</t>
  </si>
  <si>
    <t>Автодорога по переулку 4-й Парковый</t>
  </si>
  <si>
    <t>Автодорога по переулку 8-й Парковый</t>
  </si>
  <si>
    <t>Автодорога по переулку 9-й Парковый</t>
  </si>
  <si>
    <t>Автодорога по переулку 10-й Парковый</t>
  </si>
  <si>
    <t>Автодорога по переулку 11-й Парковый</t>
  </si>
  <si>
    <t>Автодорога по переулку 12-й Парковый</t>
  </si>
  <si>
    <t>Автодорога по переулку Трудовой</t>
  </si>
  <si>
    <t>Автодорога по переулку Армейский</t>
  </si>
  <si>
    <t>Автодорога по проезду Дорожный</t>
  </si>
  <si>
    <t>Автодорога по проезду Фурманова</t>
  </si>
  <si>
    <t xml:space="preserve">Автодорога по проезду Степной </t>
  </si>
  <si>
    <t xml:space="preserve">Автодорога по проезду Гвардейский </t>
  </si>
  <si>
    <t>Автодорога по проезду Лесной  (переулок Спортивный)</t>
  </si>
  <si>
    <t>Автодорога по переулку Молодогвардейский</t>
  </si>
  <si>
    <t>Автодорога по проезду Луговой</t>
  </si>
  <si>
    <t>Автодорога по проезду Вишневый</t>
  </si>
  <si>
    <t>Автодорога по проезду 2-й Озерный</t>
  </si>
  <si>
    <t xml:space="preserve">Автодорога по проезду Пионерский </t>
  </si>
  <si>
    <t>Автодорога по проезду Красный</t>
  </si>
  <si>
    <t xml:space="preserve"> Автодорога по ул. Калинина (от ул. Шлютова до пр. Чернышевского)</t>
  </si>
  <si>
    <t>Автодорога по проезду Кольцевой</t>
  </si>
  <si>
    <t>Автодорога по проезду Рыночный</t>
  </si>
  <si>
    <t>Автодорога по проезду Торговый  (от пр. Пожарского до ул. Комсомольская)</t>
  </si>
  <si>
    <t>Автодорога по проезду Колхозный ( от проезда Профсоюзов до ул. Чапаева)</t>
  </si>
  <si>
    <t>Автодорога по ул. Пугачевская ( от ул. Шлютова до б-ра 50 лет Октября0</t>
  </si>
  <si>
    <t>Автодорога по проезду Хлебный</t>
  </si>
  <si>
    <t>Автодорога по улице Киевская</t>
  </si>
  <si>
    <t>Автодорога по улице  Голоднова (от пр. Делового до границы Городского округа)</t>
  </si>
  <si>
    <t>Автодорога по проезду Непорожнего</t>
  </si>
  <si>
    <t>Автодорога по улице  Викторова;</t>
  </si>
  <si>
    <t>Автодорога по улице  Лапшева;</t>
  </si>
  <si>
    <t xml:space="preserve"> Автодорога по проезду Ясный;</t>
  </si>
  <si>
    <t>Автодорога по проезду Веры;</t>
  </si>
  <si>
    <t>Автодорога по проезду Надежды;</t>
  </si>
  <si>
    <t xml:space="preserve"> Автодорога по проезду Крутой;</t>
  </si>
  <si>
    <t>Проезд Посадский;</t>
  </si>
  <si>
    <t>Автодорога по проезду Деловой</t>
  </si>
  <si>
    <t>Автодорога по проезду Звездный;</t>
  </si>
  <si>
    <t>Автодорога по проезду Большой;</t>
  </si>
  <si>
    <t>Автодорога по проезду Розовый;</t>
  </si>
  <si>
    <t>Автодорога по проезду Нежный;</t>
  </si>
  <si>
    <t>Автодорога по проезду Межевой;</t>
  </si>
  <si>
    <t>Комсомольский район:</t>
  </si>
  <si>
    <t>Автодорога по переулку Ученический</t>
  </si>
  <si>
    <t>Автодорога по улице Удалецкая</t>
  </si>
  <si>
    <t>Автодорога по улице Весенняя ( от ул. Вавилова до ул. Пескалинская)</t>
  </si>
  <si>
    <t>Автодорога по ул. Дворцовая</t>
  </si>
  <si>
    <t xml:space="preserve">Автодорога по ул. Осенняя </t>
  </si>
  <si>
    <t>Автодорога по ул. Автомобилистов</t>
  </si>
  <si>
    <t>Автодорога по проезду Памяти</t>
  </si>
  <si>
    <t>Автодорога по проезду Дымчатый</t>
  </si>
  <si>
    <t>Автодорога по улице Калужская</t>
  </si>
  <si>
    <t>Автодорога по проезду Розы Люксембург</t>
  </si>
  <si>
    <t xml:space="preserve">Автодорога по переулку Пионерский </t>
  </si>
  <si>
    <t>Автодорога по переулку Лобачевского</t>
  </si>
  <si>
    <t>Автодорога по ул. Телеграфная (от ООТ "Туберкулезный диспансер" до ул. Фадеева</t>
  </si>
  <si>
    <t>Автодорога по ул. 1-я линейная</t>
  </si>
  <si>
    <t xml:space="preserve">Автодорога по ул. 2-я Линейная                                                              </t>
  </si>
  <si>
    <t xml:space="preserve">Автодорога по проезду 1-й Тракторный  </t>
  </si>
  <si>
    <t>Проезд 3-й Тракторный</t>
  </si>
  <si>
    <t xml:space="preserve">Проезд 4-й Тракторный                </t>
  </si>
  <si>
    <t>Проезд 5-й Тракторный</t>
  </si>
  <si>
    <t>Автодорога по улице Наумова</t>
  </si>
  <si>
    <t>Автодорога по улице Задельная</t>
  </si>
  <si>
    <t>Автодорога по проезду Иркутский</t>
  </si>
  <si>
    <t>Автодорога по проезду Оренбургский</t>
  </si>
  <si>
    <t xml:space="preserve">Автодорога по улице Восточная </t>
  </si>
  <si>
    <t xml:space="preserve">Автодорога по ул. Фадеева       </t>
  </si>
  <si>
    <t>Автодорога по улице  Пушкина</t>
  </si>
  <si>
    <t>Автодорога по улице Дачная</t>
  </si>
  <si>
    <t>Автодорога по улице Горная</t>
  </si>
  <si>
    <t xml:space="preserve">Автодорога по переулку      1-й Горный </t>
  </si>
  <si>
    <t xml:space="preserve">Автодорога по переулку         2-й Горный </t>
  </si>
  <si>
    <t xml:space="preserve">Автодорога по переулку      3-й Горный </t>
  </si>
  <si>
    <t xml:space="preserve">Автодорога по переулку      4-й Горный </t>
  </si>
  <si>
    <t xml:space="preserve">Автодорога по улице Пионерская                                           </t>
  </si>
  <si>
    <t>Автодорога по улице Родниковая</t>
  </si>
  <si>
    <t>Автодорога по переулку Ростовскому</t>
  </si>
  <si>
    <t>Автодорога по улице  Тракторная</t>
  </si>
  <si>
    <t>Автодорога по улице  Заречная</t>
  </si>
  <si>
    <t>Автодорога по улице Воронежская</t>
  </si>
  <si>
    <t xml:space="preserve">Автодорога по улице Орловская </t>
  </si>
  <si>
    <t xml:space="preserve">Автодорога по ул. Песчаная                             </t>
  </si>
  <si>
    <t>Автодорога по проезду Сибирский</t>
  </si>
  <si>
    <t>Автодорога по проезду Западный</t>
  </si>
  <si>
    <t>Автодорога по проезду Достоевского</t>
  </si>
  <si>
    <t xml:space="preserve">Автодорога по проезду 1-й Мирный </t>
  </si>
  <si>
    <t>Автодорога по улице Пархоменко</t>
  </si>
  <si>
    <t xml:space="preserve">Автодорога по проезду 2-й Мирный </t>
  </si>
  <si>
    <t xml:space="preserve">Автодорога по проезду 3-й Мирный </t>
  </si>
  <si>
    <t>Автодорога по улице Брестская</t>
  </si>
  <si>
    <t>Автодорога по проезду Осиновый</t>
  </si>
  <si>
    <t>Автодорога по улице Федоровская</t>
  </si>
  <si>
    <t>Автодорога по переулку Гаражный</t>
  </si>
  <si>
    <t xml:space="preserve">Автодорога по улице  Димитрова         </t>
  </si>
  <si>
    <t>Автодорога по улице  Клары Цеткин</t>
  </si>
  <si>
    <t>Автодорога по переулку Учительскому</t>
  </si>
  <si>
    <t>Автодорога по ул. Краснознаменная</t>
  </si>
  <si>
    <t>Автодорога по улице  Попова</t>
  </si>
  <si>
    <t>Автодорога по переулку Луговой</t>
  </si>
  <si>
    <t>Автодорога по переулку Южный</t>
  </si>
  <si>
    <t>Автодорога по улице  Клубная</t>
  </si>
  <si>
    <t>Переулок между ул. Ингельберга и ул. Кооперативной</t>
  </si>
  <si>
    <t xml:space="preserve">Автодорога по улице Подгорная                                                 </t>
  </si>
  <si>
    <t>Автодорога по проезду Малый</t>
  </si>
  <si>
    <t xml:space="preserve">Автодорога по улице  Окольная                                           </t>
  </si>
  <si>
    <t>Автодорога по переулку Одинокий</t>
  </si>
  <si>
    <t xml:space="preserve"> Автодорога по ул. Кооперативная  </t>
  </si>
  <si>
    <t>Автодорога по улице Академика Скрябина ( от ул. Вавилова до ул. Пескалинская)</t>
  </si>
  <si>
    <t xml:space="preserve">Автодорога по улице Сиреневая </t>
  </si>
  <si>
    <t>Автодорога по проезду Рижский</t>
  </si>
  <si>
    <t>Автодорога по улице Варваринская</t>
  </si>
  <si>
    <t>Автодорога по ул. Алексея Улесова</t>
  </si>
  <si>
    <t>Автодорога по ул. Казачья</t>
  </si>
  <si>
    <t>Автодорога по пер. Малый</t>
  </si>
  <si>
    <t>Автодорога по ул. Молодецкая</t>
  </si>
  <si>
    <t>Автодорога по ул. Ивана Красюка</t>
  </si>
  <si>
    <t>Автодорога по пер. Семейный</t>
  </si>
  <si>
    <t>Автодорога по пер. Новоселов</t>
  </si>
  <si>
    <t>Оказание услуг по подготовке экспертных заключений о соответствии результатов выполненных работ по отсыпке автомобильных дорог городского округа Тольятти, расположенных в зоне застройки индивидуальными жилыми домами асфальтогранулятом</t>
  </si>
  <si>
    <t>Итого по Комсомольскому району:</t>
  </si>
  <si>
    <t xml:space="preserve">Автодороги Центральной части Центрального района </t>
  </si>
  <si>
    <t>автодорога по ул. Рабочая</t>
  </si>
  <si>
    <t>Автодороги микрорайона Тимофеевка-2</t>
  </si>
  <si>
    <t xml:space="preserve">Автодорога по проезду Запорожский </t>
  </si>
  <si>
    <t xml:space="preserve">Автодорога по проезду Рабочий  </t>
  </si>
  <si>
    <t>Автодорога по проезду Сахалинский</t>
  </si>
  <si>
    <t xml:space="preserve">Автодорога по проезду Суворова </t>
  </si>
  <si>
    <t>Автодорога по проезду Шевченко</t>
  </si>
  <si>
    <t>Автодорога по проезду Пожарского</t>
  </si>
  <si>
    <t xml:space="preserve">Автодорога по проезду Пролетарский </t>
  </si>
  <si>
    <t xml:space="preserve">Автодорога по улице Крупской </t>
  </si>
  <si>
    <t xml:space="preserve">автодорога от ул. Рабочей до ул. Новозаводской </t>
  </si>
  <si>
    <t xml:space="preserve">Автодорога по ул. Белинского </t>
  </si>
  <si>
    <t>Автодороги микрорайона Федоровка</t>
  </si>
  <si>
    <t xml:space="preserve">Автодорога по ул. Саранская </t>
  </si>
  <si>
    <t>Автодороги микрорайона Новоматюшкино</t>
  </si>
  <si>
    <t>Автодороги микрорайона Поволжский</t>
  </si>
  <si>
    <t xml:space="preserve">Автодороги мкр. Жигулевское море </t>
  </si>
  <si>
    <t>Автодорога по ул. Кожевенная</t>
  </si>
  <si>
    <t>Итого Центральный район:</t>
  </si>
  <si>
    <t>Автодорога по проезду 8 Марта</t>
  </si>
  <si>
    <t>Автодорога по проезду от Хрящевского шоссе до ул. Грачева, 41</t>
  </si>
  <si>
    <t>Автодорога по проезду от Хрящевского шоссе до ул. Грачева, 17</t>
  </si>
  <si>
    <t xml:space="preserve">Автодорога по проезду 2-й Тракторный                                               </t>
  </si>
  <si>
    <t>Автодороги микрорайона Загородный</t>
  </si>
  <si>
    <t>Автодорога по проезду 1-й Одесский (от ул. Кирова до ул. Ларина)</t>
  </si>
  <si>
    <t>7.2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</si>
  <si>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</si>
  <si>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</si>
  <si>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</si>
  <si>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</si>
  <si>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</si>
  <si>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</si>
  <si>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</si>
  <si>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</si>
  <si>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</si>
  <si>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</si>
  <si>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</si>
  <si>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</si>
  <si>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</si>
  <si>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7.1.15</t>
  </si>
  <si>
    <t>7.1.16</t>
  </si>
  <si>
    <t>7.1.17</t>
  </si>
  <si>
    <t>7.1.18</t>
  </si>
  <si>
    <t>7.1.19</t>
  </si>
  <si>
    <t>7.1.20</t>
  </si>
  <si>
    <t>7.1.21</t>
  </si>
  <si>
    <t>7.1.22</t>
  </si>
  <si>
    <t>7.1.23</t>
  </si>
  <si>
    <t>7.1.24</t>
  </si>
  <si>
    <t>7.1.25</t>
  </si>
  <si>
    <t>7.1.26</t>
  </si>
  <si>
    <t>7.1.27</t>
  </si>
  <si>
    <t>7.1.28</t>
  </si>
  <si>
    <t>7.1.29</t>
  </si>
  <si>
    <t>7.1.30</t>
  </si>
  <si>
    <t>7.1.31</t>
  </si>
  <si>
    <t>7.1.32</t>
  </si>
  <si>
    <t>7.1.33</t>
  </si>
  <si>
    <t>7.1.34</t>
  </si>
  <si>
    <t>7.1.35</t>
  </si>
  <si>
    <t>7.1.36</t>
  </si>
  <si>
    <t>7.1.37</t>
  </si>
  <si>
    <t>7.1.38</t>
  </si>
  <si>
    <t>7.1.39</t>
  </si>
  <si>
    <t>7.1.40</t>
  </si>
  <si>
    <t>7.1.41</t>
  </si>
  <si>
    <t>7.1.42</t>
  </si>
  <si>
    <t>7.1.43</t>
  </si>
  <si>
    <t>7.1.44</t>
  </si>
  <si>
    <t>7.1.45</t>
  </si>
  <si>
    <t>7.1.46</t>
  </si>
  <si>
    <t>7.1.47</t>
  </si>
  <si>
    <t>7.1.48</t>
  </si>
  <si>
    <t>7.1.49</t>
  </si>
  <si>
    <t>7.1.50</t>
  </si>
  <si>
    <t>7.1.51</t>
  </si>
  <si>
    <t>7.1.52</t>
  </si>
  <si>
    <t>7.1.53</t>
  </si>
  <si>
    <t>7.1.54</t>
  </si>
  <si>
    <t>7.1.55</t>
  </si>
  <si>
    <t>7.1.56</t>
  </si>
  <si>
    <t>7.1.57</t>
  </si>
  <si>
    <t>7.1.58</t>
  </si>
  <si>
    <t>7.1.59</t>
  </si>
  <si>
    <t>7.1.60</t>
  </si>
  <si>
    <t>7.1.61</t>
  </si>
  <si>
    <t>7.1.62</t>
  </si>
  <si>
    <t>7.1.63</t>
  </si>
  <si>
    <t>7.1.64</t>
  </si>
  <si>
    <t>7.1.65</t>
  </si>
  <si>
    <t>7.1.66</t>
  </si>
  <si>
    <t>7.1.67</t>
  </si>
  <si>
    <t>7.1.68</t>
  </si>
  <si>
    <t>7.1.69</t>
  </si>
  <si>
    <t>7.1.70</t>
  </si>
  <si>
    <t>7.1.71</t>
  </si>
  <si>
    <t>7.1.72</t>
  </si>
  <si>
    <t>7.1.73</t>
  </si>
  <si>
    <t>7.1.74</t>
  </si>
  <si>
    <t>7.1.75</t>
  </si>
  <si>
    <t>7.1.76</t>
  </si>
  <si>
    <t>7.1.77</t>
  </si>
  <si>
    <t>7.1.78</t>
  </si>
  <si>
    <t>7.1.79</t>
  </si>
  <si>
    <t>7.1.80</t>
  </si>
  <si>
    <t>7.1.81</t>
  </si>
  <si>
    <t>7.1.82</t>
  </si>
  <si>
    <t>7.1.83</t>
  </si>
  <si>
    <t>7.1.84</t>
  </si>
  <si>
    <t>7.1.85</t>
  </si>
  <si>
    <t>7.1.86</t>
  </si>
  <si>
    <t>7.1.87</t>
  </si>
  <si>
    <t>7.1.88</t>
  </si>
  <si>
    <t>7.1.89</t>
  </si>
  <si>
    <t>7.1.90</t>
  </si>
  <si>
    <t>7.1.91</t>
  </si>
  <si>
    <t>7.1.92</t>
  </si>
  <si>
    <t>7.1.93</t>
  </si>
  <si>
    <t>7.1.94</t>
  </si>
  <si>
    <t>7.1.95</t>
  </si>
  <si>
    <t>7.1.96</t>
  </si>
  <si>
    <t>7.1.97</t>
  </si>
  <si>
    <t>7.1.98</t>
  </si>
  <si>
    <t>7.1.99</t>
  </si>
  <si>
    <t>7.1.100</t>
  </si>
  <si>
    <t>7.1.101</t>
  </si>
  <si>
    <t>7.1.102</t>
  </si>
  <si>
    <t>7.1.103</t>
  </si>
  <si>
    <t>7.1.104</t>
  </si>
  <si>
    <t>7.1.105</t>
  </si>
  <si>
    <t>7.1.106</t>
  </si>
  <si>
    <t>7.1.107</t>
  </si>
  <si>
    <t>7.1.108</t>
  </si>
  <si>
    <t>7.1.109</t>
  </si>
  <si>
    <t>7.1.110</t>
  </si>
  <si>
    <t>7.1.111</t>
  </si>
  <si>
    <t>7.1.112</t>
  </si>
  <si>
    <t>7.1.113</t>
  </si>
  <si>
    <t>7.1.114</t>
  </si>
  <si>
    <t>7.1.115</t>
  </si>
  <si>
    <t>7.1.116</t>
  </si>
  <si>
    <t>7.1.117</t>
  </si>
  <si>
    <t>7.1.118</t>
  </si>
  <si>
    <t>7.1.119</t>
  </si>
  <si>
    <t>7.1.120</t>
  </si>
  <si>
    <t>7.1.121</t>
  </si>
  <si>
    <t>7.1.122</t>
  </si>
  <si>
    <t>7.1.123</t>
  </si>
  <si>
    <t>7.1.124</t>
  </si>
  <si>
    <t>7.1.125</t>
  </si>
  <si>
    <t>7.1.126</t>
  </si>
  <si>
    <t>7.1.127</t>
  </si>
  <si>
    <t>7.1.128</t>
  </si>
  <si>
    <t>7.1.129</t>
  </si>
  <si>
    <t>7.1.130</t>
  </si>
  <si>
    <t>7.1.131</t>
  </si>
  <si>
    <t>7.1.132</t>
  </si>
  <si>
    <t>7.1.133</t>
  </si>
  <si>
    <t>7.1.134</t>
  </si>
  <si>
    <t>7.1.135</t>
  </si>
  <si>
    <t>7.1.136</t>
  </si>
  <si>
    <t>7.1.137</t>
  </si>
  <si>
    <t>7.1.138</t>
  </si>
  <si>
    <t>7.1.139</t>
  </si>
  <si>
    <t>7.1.140</t>
  </si>
  <si>
    <t>7.1.141</t>
  </si>
  <si>
    <t>7.1.142</t>
  </si>
  <si>
    <t>7.1.143</t>
  </si>
  <si>
    <t>7.1.144</t>
  </si>
  <si>
    <t>7.1.145</t>
  </si>
  <si>
    <t>7.1.146</t>
  </si>
  <si>
    <t>7.1.147</t>
  </si>
  <si>
    <t>7.1.148</t>
  </si>
  <si>
    <t>7.1.149</t>
  </si>
  <si>
    <t>7.1.150</t>
  </si>
  <si>
    <t>7.1.151</t>
  </si>
  <si>
    <t>7.1.152</t>
  </si>
  <si>
    <t>7.1.153</t>
  </si>
  <si>
    <t>7.1.154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</si>
  <si>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</si>
  <si>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</si>
  <si>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</si>
  <si>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</si>
  <si>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</si>
  <si>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</si>
  <si>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</si>
  <si>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</si>
  <si>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</si>
  <si>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</si>
  <si>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7.2.11</t>
  </si>
  <si>
    <t>7.2.12</t>
  </si>
  <si>
    <t>7.2.13</t>
  </si>
  <si>
    <t>7.2.14</t>
  </si>
  <si>
    <t>7.2.15</t>
  </si>
  <si>
    <t>7.2.16</t>
  </si>
  <si>
    <t>7.2.17</t>
  </si>
  <si>
    <t>7.2.18</t>
  </si>
  <si>
    <t>7.2.19</t>
  </si>
  <si>
    <t>7.2.20</t>
  </si>
  <si>
    <t>7.2.21</t>
  </si>
  <si>
    <t>7.2.22</t>
  </si>
  <si>
    <t>7.2.23</t>
  </si>
  <si>
    <t>7.2.24</t>
  </si>
  <si>
    <t>7.2.25</t>
  </si>
  <si>
    <t>7.2.26</t>
  </si>
  <si>
    <t>7.2.27</t>
  </si>
  <si>
    <t>7.2.28</t>
  </si>
  <si>
    <t>7.2.29</t>
  </si>
  <si>
    <t>7.2.30</t>
  </si>
  <si>
    <t>7.2.31</t>
  </si>
  <si>
    <t>7.2.32</t>
  </si>
  <si>
    <t>7.2.33</t>
  </si>
  <si>
    <t>7.2.34</t>
  </si>
  <si>
    <t>7.2.35</t>
  </si>
  <si>
    <t>7.2.36</t>
  </si>
  <si>
    <t>7.2.37</t>
  </si>
  <si>
    <t>7.2.38</t>
  </si>
  <si>
    <t>7.2.39</t>
  </si>
  <si>
    <t>7.2.40</t>
  </si>
  <si>
    <t>7.2.41</t>
  </si>
  <si>
    <t>7.2.42</t>
  </si>
  <si>
    <t>7.2.43</t>
  </si>
  <si>
    <t>7.2.44</t>
  </si>
  <si>
    <t>7.2.45</t>
  </si>
  <si>
    <t>7.2.46</t>
  </si>
  <si>
    <t>7.2.47</t>
  </si>
  <si>
    <t>7.2.48</t>
  </si>
  <si>
    <t>7.2.49</t>
  </si>
  <si>
    <t>7.2.50</t>
  </si>
  <si>
    <t>7.2.51</t>
  </si>
  <si>
    <t>7.2.52</t>
  </si>
  <si>
    <t>7.2.53</t>
  </si>
  <si>
    <t>7.2.54</t>
  </si>
  <si>
    <t>7.2.55</t>
  </si>
  <si>
    <t>7.2.56</t>
  </si>
  <si>
    <t>7.2.57</t>
  </si>
  <si>
    <t>7.2.58</t>
  </si>
  <si>
    <t>7.2.59</t>
  </si>
  <si>
    <t>7.2.60</t>
  </si>
  <si>
    <t>7.2.61</t>
  </si>
  <si>
    <t>7.2.62</t>
  </si>
  <si>
    <t>7.2.63</t>
  </si>
  <si>
    <t>7.2.64</t>
  </si>
  <si>
    <t>7.2.65</t>
  </si>
  <si>
    <t>7.2.66</t>
  </si>
  <si>
    <t>7.2.67</t>
  </si>
  <si>
    <t>7.2.68</t>
  </si>
  <si>
    <t>7.2.69</t>
  </si>
  <si>
    <t>7.2.70</t>
  </si>
  <si>
    <t>7.2.71</t>
  </si>
  <si>
    <t>7.2.72</t>
  </si>
  <si>
    <t>7.2.73</t>
  </si>
  <si>
    <t>7.2.74</t>
  </si>
  <si>
    <t>7.2.75</t>
  </si>
  <si>
    <t>7.2.76</t>
  </si>
  <si>
    <t>7.2.77</t>
  </si>
  <si>
    <t>7.2.78</t>
  </si>
  <si>
    <t>7.2.79</t>
  </si>
  <si>
    <t>7.2.80</t>
  </si>
  <si>
    <t xml:space="preserve">Итого по разделу 7 отсыпка автомобильных дорог асфальтогранулятом </t>
  </si>
  <si>
    <t xml:space="preserve">ИТОГО ПО ПОДПРОГРАММЕ "ПБДД"  </t>
  </si>
  <si>
    <t>Задача 4 муниципальной программы: Повышение качества и доступности транспортных услуг, обеспечение устойчивого и безопасного функционирования пассажирского транспорта</t>
  </si>
  <si>
    <t>местный бюджет</t>
  </si>
  <si>
    <t>областной бюджет</t>
  </si>
  <si>
    <t>Финансовые ресурсы, тыс. руб.</t>
  </si>
  <si>
    <t>Наименование мероприятий</t>
  </si>
  <si>
    <t>Наименование целей, задач и мероприятий муниципальной программы</t>
  </si>
  <si>
    <t>Наименование показателей (индикаторов)</t>
  </si>
  <si>
    <t>Единица измере-ния</t>
  </si>
  <si>
    <t>Базовое значение</t>
  </si>
  <si>
    <t>Значение показателей (индикаторов) по годам</t>
  </si>
  <si>
    <t xml:space="preserve">Цель подпрограммы: Повышение безопасности дорожного движения на территории городского округа Тольятти за счет выполнения комплекса организационных и технических мероприятий                       </t>
  </si>
  <si>
    <t>шт.</t>
  </si>
  <si>
    <t>-</t>
  </si>
  <si>
    <t>Устройство  искусственных дорожных  неровностей, в т.ч. экспертиза выполненных работ</t>
  </si>
  <si>
    <t>Количество устроенных искусственных дорожных неровностей</t>
  </si>
  <si>
    <t>Количество экспертных заключений на соответствие выполненных работ условиям муниципальных контрактов</t>
  </si>
  <si>
    <t>Количество проектных работ на устройство пешеходных дорожек</t>
  </si>
  <si>
    <t>Количество проведенных проверок достоверности определения сметной стоимости проекта</t>
  </si>
  <si>
    <t>Количество построенных пешеходных дорожек</t>
  </si>
  <si>
    <t>тыс.м.п.</t>
  </si>
  <si>
    <t>Количество обустроенных светофорных объектов</t>
  </si>
  <si>
    <t xml:space="preserve">Проектирование устройства и переноса остановок общественного транспорта, в т.ч. экспертиза выполненных работ </t>
  </si>
  <si>
    <t>Приобретение  спецтехники</t>
  </si>
  <si>
    <t>Количество приобретенных единиц спецтехники</t>
  </si>
  <si>
    <t>ед.</t>
  </si>
  <si>
    <t>Приобретение материалов для содержания ТСОДД, ремонта остановочных павильонов</t>
  </si>
  <si>
    <t>Количество приобретенных видов материалов для содержания ТСОДД, ремонта остановочных павильонов</t>
  </si>
  <si>
    <t>Задача подпрограммы: создание условий для осуществления деятельности муниципального казенного учреждения "Центр организации дорожного движения городского округа Тольятти"</t>
  </si>
  <si>
    <t xml:space="preserve">Уровень исполнения бюджетной сметы расходов учреждения </t>
  </si>
  <si>
    <t>%</t>
  </si>
  <si>
    <t>Количество установленных табличек</t>
  </si>
  <si>
    <t>Количество автомобильных дорог общего пользования местного значения городского округа Тольятти, на которых проведён технический учёт и паспортизация</t>
  </si>
  <si>
    <t>км</t>
  </si>
  <si>
    <t>тыс. м2</t>
  </si>
  <si>
    <t>тыс.м2</t>
  </si>
  <si>
    <t>2 988,20</t>
  </si>
  <si>
    <t>1 222,64</t>
  </si>
  <si>
    <t>Площадь содержания автомобильных дорог</t>
  </si>
  <si>
    <t xml:space="preserve">Содержание надземных и подземных пешеходных переходов </t>
  </si>
  <si>
    <t>Задача подпрограммы: выполнение мероприятий по организации дорожного движения</t>
  </si>
  <si>
    <t>Количество типов дорожной разметки</t>
  </si>
  <si>
    <t xml:space="preserve">Устройство линий наружного электроосвещения мест концентрации ДТП     </t>
  </si>
  <si>
    <t xml:space="preserve">Количество устроенных линий наружного электроосвещения мест концентрации ДТП    </t>
  </si>
  <si>
    <t>2.3.</t>
  </si>
  <si>
    <t>Проектно-изыскательские работы по объекту: Реконструкция магистральной улицы городского значения регулируемого движения по ул.Спортивной на участке от ул.Степана Разина до ул. Юбилейная (строительство бокового проезда) в 8 квартале Автозаводского района г.Тольятти</t>
  </si>
  <si>
    <t>4.12.</t>
  </si>
  <si>
    <t>4.13.</t>
  </si>
  <si>
    <t>7.1.</t>
  </si>
  <si>
    <t>7.1.1</t>
  </si>
  <si>
    <t>5.48.</t>
  </si>
  <si>
    <t>4.10.</t>
  </si>
  <si>
    <t>4.14.</t>
  </si>
  <si>
    <t>3.3.</t>
  </si>
  <si>
    <t>3.4.</t>
  </si>
  <si>
    <t>3.5.</t>
  </si>
  <si>
    <t>3.6.</t>
  </si>
  <si>
    <t>Осуществление строительного контроля на объекте: Капитальный ремонт  ул.Васильевская от ул.Калмыцкая до ул.Обводное шоссе</t>
  </si>
  <si>
    <t>3.7.</t>
  </si>
  <si>
    <t>Реконструкция магистральной улицы районного значения транспортно-пешеходной по ул. Тополиная от Южного шоссе до ул. 70 лет Октября (строительство бокового проезда)</t>
  </si>
  <si>
    <t xml:space="preserve">Реконструкция магистральной улицы общегородского значения регулируемого движения по ул.Спортивной нра участке от пр-та Степана Разина до ул. Юбилейная (строительство бокового проезда) в 8 квартале Автозаводского района       </t>
  </si>
  <si>
    <t>Проектно-изыскательские работы по объекту: Реконструкция магистральной улицы районного значения транспортно-пешеходной по ул. Тополиная от Южного шоссе до ул. 70 лет Октября (строительство бокового проезда)</t>
  </si>
  <si>
    <t>3.8.</t>
  </si>
  <si>
    <t>Осуществление строительного контроля на объекте: Реконструкция магистральной улицы районного значения транспортно-пешеходной по ул. Тополиная от Южного шоссе до ул. 70 лет Октября (строительство бокового проезда)</t>
  </si>
  <si>
    <t>Осуществление авторского надзора на объекте: Реконструкция магистральной улицы районного значения транспортно-пешеходной по ул. Тополиная от Южного шоссе до ул. 70 лет Октября (строительство бокового проезда)</t>
  </si>
  <si>
    <t>Осуществление авторского надзора на объекте: Строительство улицы Ивана Красюка в жилой застройке  микрорайона Жигулевское море от ул. Казачьей до пересечения ул. Молодецкая и проезда Оренбургский</t>
  </si>
  <si>
    <t>2.3.1.</t>
  </si>
  <si>
    <t>2.3.2.</t>
  </si>
  <si>
    <t>2.3.3.</t>
  </si>
  <si>
    <t>Осуществление авторского надзора на объекте: Реконструкция кольцевой транспортной развязки на пересечении Южного шоссе и ул. Борковская. Устройство дополнительных правоповоротных полос движения (Юго-восточная полоса движения. Северо-западная полоса движения.)</t>
  </si>
  <si>
    <t>2.1.3.</t>
  </si>
  <si>
    <t>1.3.1.</t>
  </si>
  <si>
    <t>общего пользования?</t>
  </si>
  <si>
    <t>Предоставление субсидий исполнителям, выполняющим работы по перевозке пассажиров и багажа транспортом общего пользования</t>
  </si>
  <si>
    <t>Выполнение работ по осуществлению регулярных перевозок пассажиров и багажа по регулируемым тарифам</t>
  </si>
  <si>
    <t>Подпрограмма "Развитие  городского пассажирского транспорта в городском округе Тольятти на период 2021-2025 гг."</t>
  </si>
  <si>
    <t xml:space="preserve">Содержание автомобильных дорог, в том числе: посадочных площадок ООТ, тротуаров, разделительных полос, элементов системы водоотвода, путепроводов, удерживающих барьерных ограждений </t>
  </si>
  <si>
    <t xml:space="preserve">Приложение № 1
к Муниципальной программе
"Развитие транспортной системы
и дорожного хозяйства
городского округа Тольятти
на 2021 - 2025 гг."
</t>
  </si>
  <si>
    <t>отсыпка</t>
  </si>
  <si>
    <t xml:space="preserve"> -</t>
  </si>
  <si>
    <t>автодорога по улице Кунеевская от улицы Баныкина до улицы Громовой</t>
  </si>
  <si>
    <t>Регулярность выполнения перевозок по заключенным муниципальным контрактам</t>
  </si>
  <si>
    <t>Количество перевезенных пассажиров льготной категории граждан</t>
  </si>
  <si>
    <t>тыс.пас.</t>
  </si>
  <si>
    <t>Площадь отремонтированных путем капитального ремонта автомобильных дорог общего пользования местного значения городского округа Тольятти</t>
  </si>
  <si>
    <t>Площадь отремонтированных путем ремонта автомобильных дорог общего пользования местного значения городского округа Тольятти</t>
  </si>
  <si>
    <t>2022-2025</t>
  </si>
  <si>
    <t>разные площади</t>
  </si>
  <si>
    <t>Выполнение работ по капитальному ремонту автомобильных дорог общего пользования  местного значения городского округа Тольятти</t>
  </si>
  <si>
    <t>Задача подпрограммы: обеспечение регулярных перевозок пассажиров по регулируемым тарифам</t>
  </si>
  <si>
    <t>ИТОГО ПО МУНИЦИПАЛЬНОЙ ПРОГРАММЕ</t>
  </si>
  <si>
    <t>Устройство  искусственных дорожных неровностей, экспертиза выполненных работ, в т.ч.:</t>
  </si>
  <si>
    <t xml:space="preserve">план на 2021: </t>
  </si>
  <si>
    <t>план на 2022:</t>
  </si>
  <si>
    <t>внутриквартальные проезды вдоль д.12 по ул. Баныкина;</t>
  </si>
  <si>
    <t>внутриквартальный проезд в районе дома №1а по ул. Свердлова, Свердлова 5а, Ворошилова 51, Ворошилова 61, 40 лет Победы 106;</t>
  </si>
  <si>
    <t>внутриквартальный проезд в районе ул. Матросова в районе д. 26;</t>
  </si>
  <si>
    <t>Ларина 66.</t>
  </si>
  <si>
    <t>Устройство линий наружного электроосвещения, в т.ч.:</t>
  </si>
  <si>
    <t xml:space="preserve">ул. Офицерская (на участке от ул. Полякова до ул. Ботаническая); </t>
  </si>
  <si>
    <t>ул. Радищева (на участке от ул. Победы до ул. Новозаводская);</t>
  </si>
  <si>
    <t>ул. Северная (на участке от ул. Борковская до дома № 105 по ул. Северная);</t>
  </si>
  <si>
    <t>ул. Диагональная (на участке от ул. Баныкина до ул. Кунеевская);</t>
  </si>
  <si>
    <t>ул. Ларина (на участке от ул. Васильевская до ул. Ломоносова)</t>
  </si>
  <si>
    <t xml:space="preserve">Проектирование устройства пешеходных дорожек, в т.ч. экспертиза выполненных работ, в т.ч: </t>
  </si>
  <si>
    <t>Устройство пешеходных дорожек, в т.ч.:</t>
  </si>
  <si>
    <t>в районе ООТ "70 лет Октября" по ул.70 лет Октября;</t>
  </si>
  <si>
    <t>Проектирование устройства и переноса остановок общественного транспорта, в т.ч. экспертиза выполненных работ, в т.ч.:</t>
  </si>
  <si>
    <t>план на 2021:</t>
  </si>
  <si>
    <t>ООТ "Грузовое автохозяйство";</t>
  </si>
  <si>
    <t>ООТ "Русь" по ул.Революционная;</t>
  </si>
  <si>
    <t>ООТ "Ул.Железнодорожная" по проезду Дорофеева;</t>
  </si>
  <si>
    <t>Устройство и перенос остановок общественного транспорта  на территории городского округа Тольятти, в т.ч.:</t>
  </si>
  <si>
    <t>ООТ "Молокозавод" на ул. Коммунальная;</t>
  </si>
  <si>
    <t>ООТ "Санаторий Волжские зори" на ул. Комзина</t>
  </si>
  <si>
    <t>Устройство парковочных площадок, карманов  и стоянок, в т.ч.:</t>
  </si>
  <si>
    <t xml:space="preserve">устройство парковочной площадки по пр-ту Степана Разина, в районе дома №93 </t>
  </si>
  <si>
    <t xml:space="preserve">в районе ООТ "Приморский бульвар" по ул.Революционная; </t>
  </si>
  <si>
    <t>в районе ООТ "Озерки" по Поволжскому шоссе;</t>
  </si>
  <si>
    <t xml:space="preserve">в районе ООТ "Сосновый бор" по Поволжскому шоссе; </t>
  </si>
  <si>
    <t>в районе пересечения бульвара 50 лет Октября - ул.Герцена - ул.Украинская;</t>
  </si>
  <si>
    <t>в районе ООТ "Гаражи" по ул.Ботаническая</t>
  </si>
  <si>
    <t>ООТ "Жилина";</t>
  </si>
  <si>
    <t>ООТ "16 квартал";</t>
  </si>
  <si>
    <t>ООТ "Детский городок";</t>
  </si>
  <si>
    <t>ООТ  "Лыжная база" по ул.М.Жукова;</t>
  </si>
  <si>
    <t>ООТ "Телецентр" по пр-ту Степана Разина</t>
  </si>
  <si>
    <t xml:space="preserve"> Ремонт дворовых территорий многоквартирных домов, проездов к дворовым территориям многоквартирных домов  городского округа Тольятти</t>
  </si>
  <si>
    <t>Цель подпрограммы: Содействие экономическому и социальному развитию городского округа Тольятти за счет поддержания надлежащего санитарно-технического и транспортно-эксплуатационного состояния объектов УДС</t>
  </si>
  <si>
    <t>Задача 3 муниципальной программы: Содействие экономическому и социальному развитию городского округа Тольятти за счет поддержания надлежащего санитарно-технического и транспортно-эксплуатационного состояния объектов УДС</t>
  </si>
  <si>
    <t>Количество разработанной проектно-сметной документации по капитальному ремонту автомобильных дорог общего пользования местного значения городского округа Тольятти</t>
  </si>
  <si>
    <t>Количество разработанной проектно-сметной документации по ремонту автомобильных дорог общего пользования местного значения городского округа Тольятти</t>
  </si>
  <si>
    <t>6.  Ремонт дворовых территорий многоквартирных домов, проездов к дворовым территориям многоквартирных домов  городского округа Тольятти:</t>
  </si>
  <si>
    <t xml:space="preserve">Приложение № 2
к Муниципальной программе
"Развитие транспортной системы
и дорожного хозяйства
городского округа Тольятти
на 2021 - 2025 гг."
</t>
  </si>
  <si>
    <t xml:space="preserve">Приложение № 3
к Муниципальной программе
"Развитие транспортной системы
и дорожного хозяйства
городского округа Тольятти
на 2021 - 2025 гг."
</t>
  </si>
  <si>
    <t xml:space="preserve">Приложение № 4
к Муниципальной программе
"Развитие транспортной системы
и дорожного хозяйства
городского округа Тольятти
на 2021 - 2025 гг."
</t>
  </si>
  <si>
    <t>4.8.</t>
  </si>
  <si>
    <t>4.15.</t>
  </si>
  <si>
    <t>Цель подпрограммы: Увеличение протяженности, пропускной способности и приведение в нормативное состояние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городского округа Тольятти</t>
  </si>
  <si>
    <t>Задача 2 муниципальной программы: Увеличение протяженности, пропускной способности и приведение в нормативное состояние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городского округа Тольятти</t>
  </si>
  <si>
    <t>Задача подпрограммы: Проектирование, строительство, реконструкция,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городского округа Тольятти</t>
  </si>
  <si>
    <t>Задача подпрограммы: Проектирование, строительство, реконструкция, капитальный ремонт и ремонт автомобильных дорог общего пользования местного значения, дворовых территорий многоквартирных домов , проездов к дворовым территориям многоквартирных домов, а также дорог в зоне застройки индивидуальными жилыми домами городского округа Тольятти</t>
  </si>
  <si>
    <t>Отсыпка асфальтогранулятом автомобильных дорог с невысокой транспортной нагрузкой,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в городском округе Тольятти</t>
  </si>
  <si>
    <t>7.Отсыпка асфальтогранулятом автомобильных дорог с невысокой транспортной нагрузкой,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в городском округе Тольятти:</t>
  </si>
  <si>
    <t>Площадь отремонтированных путем ремонта дворовых территорий многоквартирных домов, проездов к дворовым территориям многоквартирных домов городского округа Тольятти</t>
  </si>
  <si>
    <t>Автодорога по проезду Школьный (от Учительского проезда до ул. Пионерская)</t>
  </si>
  <si>
    <t>Автодорога по переулку Кирилла Белова</t>
  </si>
  <si>
    <t>Автодорога по проезду Охотничьему</t>
  </si>
  <si>
    <t>Автодорога по улице  Казачкова;</t>
  </si>
  <si>
    <t>Автодорога по улице Грачева</t>
  </si>
  <si>
    <t>Автодорога по улице Андреянова;</t>
  </si>
  <si>
    <t>Автодорога по проезду Любви;</t>
  </si>
  <si>
    <t>Автодорога по улице Еряшева;</t>
  </si>
  <si>
    <t>№   п./п.</t>
  </si>
  <si>
    <t>Общая стоимость работ (ориентировочная), тыс.руб.</t>
  </si>
  <si>
    <t>федеральный бюджет, тыс. руб.</t>
  </si>
  <si>
    <t>областной бюджет, тыс. руб.</t>
  </si>
  <si>
    <t xml:space="preserve">Строительство магистральной улицы  районного значения транспортно-пешеходной  ул. Механизаторов от ул. Громовой до ул. Лизы Чайкиной в Комсомольском районе города Тольятти </t>
  </si>
  <si>
    <t>Строительство магистральной улицы  районного значения транспортно-пешеходной  ул. Механизаторов от ул. Лизы Чайкиной до ул. Громовой в Комсомольском районе города Тольятти</t>
  </si>
  <si>
    <t>Осуществление строительного контроля на объекте: Строительство магистральной улицы  районного значения транспортно-пешеходной  ул. Механизаторов от ул. Лизы Чайкиной до ул. Громовой в Комсомольском районе</t>
  </si>
  <si>
    <t>Осуществление авторского надзора на объекте: Строительство магистральной улицы  районного значения транспортно-пешеходной  ул. Механизаторов от ул. Лизы Чайкиной до ул. Громовой в Комсомольском районе</t>
  </si>
  <si>
    <t xml:space="preserve">Осуществление строительного контроля на объекте: Реконструкция магистральной улицы общегородского значения регулируемого движения по ул.Спортивной на участке от пр-та Степана Разина до ул. Юбилейная (строительство бокового проезда) в 8 квартале Автозаводского района       </t>
  </si>
  <si>
    <t xml:space="preserve">Осуществление авторского надзора на объекте: Реконструкция магистральной улицы общегородского значения регулируемого движения по ул.Спортивной на участке от пр-та Степана Разина до ул. Юбилейная (строительство бокового проезда) в 8 квартале Автозаводского района       </t>
  </si>
  <si>
    <t>Проектно-изыскательские работы по капитальному ремонту автомобильных дорог общего пользования местного значения городского округа Тольятти</t>
  </si>
  <si>
    <t>Проектно-изыскательские работы по реконструкции автомобильных дорог общего пользования местного значения городского округа Тольятти</t>
  </si>
  <si>
    <t>Проектно-изыскательские работы по ремонту автомобильных дорог общего пользования местного значения городского округа Тольятти</t>
  </si>
  <si>
    <t>Проектно-изыскательские работы по строительству автомобильных дорог общего пользования местного значения городского округа Тольятти</t>
  </si>
  <si>
    <t>Капитальный ремонт ул.Калмыцкая на участке от ж/д. переезда до ул.Васильевская</t>
  </si>
  <si>
    <t>Осуществление строительного контроля на объекте: Капитальный ремонт автодороги по улице  ул.Калмыцкая на участке от ж/д. переезда до ул.Васильевская</t>
  </si>
  <si>
    <t>Капитальный ремонт ул.Васильевская от ул.Калмыцкая до ул.Обводное шоссе</t>
  </si>
  <si>
    <t>автодорога по улице Пескалинская от улицы Удалецкой до улицы Весенней</t>
  </si>
  <si>
    <t>автодорога по переулку Лобачевского от улицы Пушкина до проезда Ученический</t>
  </si>
  <si>
    <t>автодорога по проезду Тенистый от улицы 60 лет СССР до улицы Олимпийская</t>
  </si>
  <si>
    <t>ул. Юбилейная от ул. Фрунзе до ул. Спортивная, вкл. пересечение с б-ром Приморский</t>
  </si>
  <si>
    <t>ул. Александра Кудашева</t>
  </si>
  <si>
    <t>Площадь отремонтированных путем отсыпки асфальтогранулятом автомобильных дорог с невысокой транспортной нагрузкой, дворовых территорий многоквартирных домов, проездов к дворовым территориям многоквартирных домов а также дорог в зоне застройки индивидуальными жилыми домами в городском округе Тольятти</t>
  </si>
  <si>
    <t>шт</t>
  </si>
  <si>
    <t>Количество мест концентрации дорожно-транспортных происшествий (аварийно-опасных участков) на дорожной сети городского округа Тольятти</t>
  </si>
  <si>
    <t>Протяженность дорог, находящихся в нормативном состоянии, в общей протяженности автомобильных дорог общего пользования городского округа Тольятти</t>
  </si>
  <si>
    <t>Доля отремонтированных путем отсыпки асфальтогранулятом автомобильных дорог с невысокой транспортной нагрузкой,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в общей площади автомобильных дорог с невысокой транспортной нагрузкой в городском округе Тольятти</t>
  </si>
  <si>
    <t>Удовлетворенность населения содержанием УДС (от числа опрошенных)</t>
  </si>
  <si>
    <t>Наименование показателя конечного результата</t>
  </si>
  <si>
    <t>Единица измерения</t>
  </si>
  <si>
    <t>Планируемые значения показателя конечного результата</t>
  </si>
  <si>
    <t>Целевые показатели (индикаторы) национальных и федеральных проектов в части, касающейся городского округа Тольятти</t>
  </si>
  <si>
    <t>Показатели (индикаторы) Стратегии</t>
  </si>
  <si>
    <t>Пассажирооборот транспорта общего пользования</t>
  </si>
  <si>
    <t>млн.пассажиро-километров</t>
  </si>
  <si>
    <t>Доля подвижного состава автобусов, не превышающих нормативный срок эксплуатации</t>
  </si>
  <si>
    <t>Доля подвижного состава троллейбусов, не превышающих нормативный срок эксплуатации</t>
  </si>
  <si>
    <t>Обеспеченность парка транспортом с низким (пониженным) уровнем пола МП "ТТУ"</t>
  </si>
  <si>
    <t>Доля построенных автомобильных дорог общего пользования местного значения городского округа Тольятти в общей протяженности автомобильных дорог общего пользования городского округа Тольятти</t>
  </si>
  <si>
    <t>Доля реконструированных автомобильных дорог общего пользования местного значения городского округа Тольятти в общей протяженности автомобильных дорог общего пользования городского округа Тольятти</t>
  </si>
  <si>
    <t>базовое значение за 2018 год</t>
  </si>
  <si>
    <t>базовое значение 2018г.</t>
  </si>
  <si>
    <t>Доля отремонтированных за счет капитального ремонта автомобильных дорог общего пользования местного значения городского округа Тольятти в общей протяженности автомобильных дорог общего пользования городского округа Тольятти</t>
  </si>
  <si>
    <t xml:space="preserve">Доля протяженности дорожной сети городского округа Тольятти, находящейся в нормативном состоянии </t>
  </si>
  <si>
    <t>100*</t>
  </si>
  <si>
    <t>* Количество мест концентрации дорожно-транспортных происшествий (аварийоно-опасных участков) на дорожной сети г.о.Тольятти в 2017 году  - 36 шт.</t>
  </si>
  <si>
    <t>Протяженность автомобильных дорог общего пользования местного значения городского округа Тольятти, на которых проведена диагностика и оценка транспортно-эксплуатационного состояния</t>
  </si>
  <si>
    <t>Протяженность построенных автомобильных дорог общего пользования местного значения городского округа Тольятти</t>
  </si>
  <si>
    <t>Протяжённость реконструированных автомобильных дорог общего пользования местного значения городского округа Тольятти</t>
  </si>
  <si>
    <t>Количество разработанной проектно-сметной документации по строительству автомобильных дорог общего пользования местного значения городского округа Тольятти</t>
  </si>
  <si>
    <t>Количество разработанной проектно-сметной документации по реконструкции автомобильных дорог общего пользования местного значения городского округа Тольятти</t>
  </si>
  <si>
    <t>Количество заключенных контрактов на выполнение регулярных перевозок пассажиров и багажа по регулируемым тарифам</t>
  </si>
  <si>
    <t>Количество действующих маршрутов на выполнение регулярных перевозок пассажиров и багажа по регулируемым тарифам</t>
  </si>
  <si>
    <t>L(S) объекта, км (т.м2)</t>
  </si>
  <si>
    <t>Уровень дорожно-транспортного травматизма «Тяжесть последствий» (число погибших на 100 пострадавших) (обратный показатель)</t>
  </si>
  <si>
    <t>Количество зарегистрированных ДТП на территории городского округа Тольятти (обратный показатель)</t>
  </si>
  <si>
    <t>ул. Ленинградская, 28</t>
  </si>
  <si>
    <t>Рябиновый б-р, 1</t>
  </si>
  <si>
    <t>Рябиновый б-р, 13</t>
  </si>
  <si>
    <t>Московский пр-т - ул. Фрунзе</t>
  </si>
  <si>
    <t>ул. Олимпийская в районе д. 20 по ул. Полевая</t>
  </si>
  <si>
    <t>ул. Сиреневая, 24</t>
  </si>
  <si>
    <t>Внутриквартальный пр-д от пр-да Дорофеева до ул. Макарова</t>
  </si>
  <si>
    <t>Б-р Цветной, 24</t>
  </si>
  <si>
    <t>Б-р Цветной, 13</t>
  </si>
  <si>
    <t xml:space="preserve">ул. Ленина, ООТ "Дворец молодежи" </t>
  </si>
  <si>
    <t>ул. Л. Яшина, ООТ "Северовосточная"</t>
  </si>
  <si>
    <t>Приморский б-р пересечение с б-ром Буденного</t>
  </si>
  <si>
    <t>б-р Гая, 10</t>
  </si>
  <si>
    <t>ул. Юбилейная, ООТ "Кафе Салют"</t>
  </si>
  <si>
    <t>ул. Юбилейная, ООТ "Парк Победы"</t>
  </si>
  <si>
    <t>Ленинский пр-т, ООТ "б-р Туполева"</t>
  </si>
  <si>
    <t>пр-т Ст. Разина, ООТ "Театральная"</t>
  </si>
  <si>
    <t>ул. Л. Толстого пересечение с ул. Ленина</t>
  </si>
  <si>
    <t>ул. Победы пересечение с б-ром 50 лет Октября</t>
  </si>
  <si>
    <t>ул. Борковская, 51 (ООТ "Спецавтоцентр)</t>
  </si>
  <si>
    <t>Революционная, ООТ "Экзотика"</t>
  </si>
  <si>
    <t xml:space="preserve">Московский пр-т, ООТ "ул. Дзержинского" </t>
  </si>
  <si>
    <t>ул. Спортивная в районе д. 55 по Приморскому б-ру</t>
  </si>
  <si>
    <t>Московский пр-т, ООТ "Дом связи"</t>
  </si>
  <si>
    <t>ул. Цеховая,  ООТ "GM-АвтоВАЗ"</t>
  </si>
  <si>
    <t>ул. Родина пересечение с ул. Мира</t>
  </si>
  <si>
    <t>ул. Голосова пересечение с ул. Новозаводская</t>
  </si>
  <si>
    <t>Обводное шоссе пересечение с ул. Новозаводская</t>
  </si>
  <si>
    <t>Физкультурный проезд</t>
  </si>
  <si>
    <t>ул. Спортивная, ООТ "Вега"</t>
  </si>
  <si>
    <t>ул. Революционная, ООТ "1000 мелочей"</t>
  </si>
  <si>
    <t>ул. Свердлова, 8</t>
  </si>
  <si>
    <t>ул. Автостроителей, ООТ "40 лет Победы"</t>
  </si>
  <si>
    <t>ул. Борковская, ООТ "Южная база"</t>
  </si>
  <si>
    <t>ул. Горького, 46"А"</t>
  </si>
  <si>
    <t>ул. Матросова, 26</t>
  </si>
  <si>
    <t>ул. Революционная, 47</t>
  </si>
  <si>
    <t>ул. Гидротехническая пересечение с ул. Дорофеева</t>
  </si>
  <si>
    <t>ул. Ворошилова, ООТ "б-р Луначарского"</t>
  </si>
  <si>
    <t>ул. Л.Яшина, ООТ "Льва Яшина"</t>
  </si>
  <si>
    <t>Приморский б-р, ООТ "8 квартал"</t>
  </si>
  <si>
    <t>ул. Коммунистическая, ООТ "Тюленина"</t>
  </si>
  <si>
    <t>ул. Коммунистическая, ООТ "Космодемьянской"</t>
  </si>
  <si>
    <t>ул. Родина, ООТ"Автовокзал"</t>
  </si>
  <si>
    <t>ул. Юбилейная, 85 и ООТ "Вега"</t>
  </si>
  <si>
    <t>ул. Новозаводская, ООТ "Химико-технологический колледж"</t>
  </si>
  <si>
    <t>ул. Автостроителей, ООТ "Молодежная"</t>
  </si>
  <si>
    <t>ул. 70 лет Октября, 33Б, 38, ООТ "Магазин мир продуктов"</t>
  </si>
  <si>
    <t>Приморский б-р ООТ "Театр Дилижанс"</t>
  </si>
  <si>
    <t>Вокзальная, 100а (ООТ "10 КПП")</t>
  </si>
  <si>
    <t>ул. Комсомольская пересечение с ул. Новопромышленной</t>
  </si>
  <si>
    <t>ул. Гидротехническая пересечение с ул. Шлюзовая</t>
  </si>
  <si>
    <t>ул. Автостроителей, ООТ "Гостиница Лада"</t>
  </si>
  <si>
    <t xml:space="preserve">Перечень
объектов подпрограммы "Модернизация и развитие автомобильных дорог общего пользования местного значения, а также автомобильных дорог, расположенных в зоне застройки индивидуальными жилыми домами городского округа Тольятти, на 2021-2025 гг" и финансовые ресурсы
</t>
  </si>
  <si>
    <t>Подпрограмма "Модернизация и развитие автомобильных дорог общего пользования местного значения, а также автомобильных дорог, расположенных в зоне застройки индивидуальными жилыми домами городского округа Тольятти, на 2021-2025 гг"</t>
  </si>
  <si>
    <t>Задача подпрограммы: оптимизация режимов движения на участках УДС с использованием современных схем организации  дорожного движения, технических средств организации  дорожного движения  и автоматизированных систем управления дорожным движением</t>
  </si>
  <si>
    <t>Подпрограмма "Модернизация и развитие автомобильных дорог общего пользования местного значения, а также автомобильных дорог, расположенных в зоне застройки индивидуальными жилыми домами городского округа Тольятти, на 2021-2025 гг."</t>
  </si>
  <si>
    <t>Задача подпрограммы: оптимизация режимов движения на участках УДС с использованием современных схем организации  дорожного движения, технических средств организации  дорожного движения и автоматизированных систем управления дорожным движением</t>
  </si>
  <si>
    <t>Задача подпрограммы: оптимизация структуры парков транспортных средств и ускорение обновления их состава</t>
  </si>
  <si>
    <t>путем предоставления субсидий в целях возмещения затрат на оплату лизинговых платежей за автобусы большого класса, работающие на газомоторном топливе, приобретенные в рамках национального проекта «Безопасные и качественные автомобильные дороги»</t>
  </si>
  <si>
    <t>Приобретение автобусов</t>
  </si>
  <si>
    <t>2021-2023</t>
  </si>
  <si>
    <t>Проектно-изыскательские работы по устройству линий наружного электроосвещения, в том числе осуществление технологического присоединения к электрическим сетям</t>
  </si>
  <si>
    <t>Количество проектных работ по устройству линий наружного электроосвещения, в том числе осуществление технологического присоединения к электрическим сетям</t>
  </si>
  <si>
    <t>пр-д Фабричный</t>
  </si>
  <si>
    <t>б-р Кулибина, в районе д.4, д.8, МБУ Школа № 45, Гимназия № 38</t>
  </si>
  <si>
    <t>ул.Плотинная в районе гимназии № 39 (ул.Громовой, 38)</t>
  </si>
  <si>
    <t>внутриквартальный проезд от пр.Ст.Разина до ул.Юбилейной вдоль лицея № 76, школы № 73, ОЦ "Школа"</t>
  </si>
  <si>
    <t>внутриквартальный проезд в районе д. № 10 по ул.Носова, досуговый центр "Русич"</t>
  </si>
  <si>
    <t>ул.Шлютова, 130, д/с 130 "Соловушка"</t>
  </si>
  <si>
    <t>на проезде между зданиями № 23, 27 по ул.Свердлова МБУ СОШ № 61, Д/с № 115 "Салют"</t>
  </si>
  <si>
    <t>б-р Орджоникидзе 1 (от б-ра Орджоникидзе до дома № 20 по пр.Ст.Разина</t>
  </si>
  <si>
    <t>ул. Дзержинского между ул. Революционная и световой опорой № 84 (89) по ул. Дзержинского</t>
  </si>
  <si>
    <t>ул. Тюленина от улицы Коммунистической до улицы Мурысева</t>
  </si>
  <si>
    <t>ул. Северная от улицы Цеховая до границы г.о. Тольятти (ул. Степная)</t>
  </si>
  <si>
    <t>5.49.</t>
  </si>
  <si>
    <t>ул. Громовой, от ул. Матросова до ул.Куйбышева, северо-западнее объекта недвижимости, имеющего адрес: улица Громовой, 92</t>
  </si>
  <si>
    <t>5.50.</t>
  </si>
  <si>
    <t>Кольцевая транспортная развязка по Южному шоссе - ул.Полякова</t>
  </si>
  <si>
    <t>5.51.</t>
  </si>
  <si>
    <t>5.52.</t>
  </si>
  <si>
    <t>Устройство линий наружного электроосвещения мест концентрации ДТП</t>
  </si>
  <si>
    <t xml:space="preserve">Устройство и перенос остановок общественного транспорта  на территории городского округа Тольятти                                                                                                                                                        </t>
  </si>
  <si>
    <t>1.8.</t>
  </si>
  <si>
    <t>Строительство дороги по улице Владимира Высоцкого</t>
  </si>
  <si>
    <t>1.8.1.</t>
  </si>
  <si>
    <t>Строительство дороги местного значения и проездов в микрорайоне "Калина", Автозаводский район, г. Тольятти, Самарская область</t>
  </si>
  <si>
    <t>устройство тротуара к поликлинике на 500 посещений</t>
  </si>
  <si>
    <t>дорожка вдоль улицы Александра Кудашева на участке от ул. Льва Толстого до границы г.о.Тольятти</t>
  </si>
  <si>
    <t>ул.40 лет Победы, ООТ "Школа №70"</t>
  </si>
  <si>
    <t>ул.Победы пересечение с б-ром 50 лет Октября</t>
  </si>
  <si>
    <t>ул.Громовой, ООТ "УТЭП"</t>
  </si>
  <si>
    <t>ул.Фрунзе, ООТ "11 квартал"</t>
  </si>
  <si>
    <t>ул.Вокзальная, ООТ "Кузнечно-прессовый цех"</t>
  </si>
  <si>
    <t>ул.Железнодорожная, ООТ "Поликлиника</t>
  </si>
  <si>
    <t>Протяженность установленных пешеходных ограждений</t>
  </si>
  <si>
    <t>2021, 2024, 2025</t>
  </si>
  <si>
    <t xml:space="preserve">ул. Кудашева </t>
  </si>
  <si>
    <t>Проектно-изыскательские работы по устройству линий наружного электроосвещения, в том числе осуществление технологического присоединения к электрическим сетям, в т.ч:</t>
  </si>
  <si>
    <t>Перечень объектов подпрограммы "Повышение безопасности дорожного движения на период 2021 - 2025 гг." и финансовые ресурсы</t>
  </si>
  <si>
    <t>организация двухстороннеого движения по ул.Революционной на участке от ул.Ленинский проспект до ул.Дзержинского</t>
  </si>
  <si>
    <t>2022, 2023</t>
  </si>
  <si>
    <t xml:space="preserve">Устройство парковочных площадок, карманов и стоянок                                   </t>
  </si>
  <si>
    <r>
      <t>Содержание автомобильных дорог, в том числе: посадочных площадок ООТ, тротуаров, разделительных полос, элементов системы водоотвода, путепроводов, удерживающих барьерных ограждений</t>
    </r>
    <r>
      <rPr>
        <sz val="14"/>
        <rFont val="Arial"/>
        <family val="2"/>
        <charset val="204"/>
      </rPr>
      <t xml:space="preserve"> </t>
    </r>
  </si>
  <si>
    <t>ликвидация несанкционированного примыкания в районе ООТ "Автолюбитель" по б-ру 50 лет Октября</t>
  </si>
  <si>
    <t>по ул.Офицерской от ул.Полякова до ул.Ботанической</t>
  </si>
  <si>
    <t>островок безопасности и пешеходная дорожка в районе пересечения ул.Мичурина и ул.Герцена</t>
  </si>
  <si>
    <t>Строительство парковочных автостоянок вдоль Южных проходных ПАО "АВТОВАЗ" по Южному шоссе</t>
  </si>
  <si>
    <t>Осуществление строительного контроля на объекте: Строительство парковочных автостоянок вдоль Южных проходных ПАО "АВТОВАЗ" по Южному шоссе</t>
  </si>
  <si>
    <t>Осуществление авторского надзора на объекте: Строительство парковочных автостоянок вдоль Южных проходных ПАО "АВТОВАЗ" по Южному шоссе</t>
  </si>
  <si>
    <t>1.7.2.</t>
  </si>
  <si>
    <t>1.7.3.</t>
  </si>
  <si>
    <t>1.9.</t>
  </si>
  <si>
    <t>1.9.1.</t>
  </si>
  <si>
    <t>3.9.</t>
  </si>
  <si>
    <t>Проектно-изыскательские работы по объекту "Реконструкция магистральной улицы районного значения транспортно-пешеходной по бульвару Приморский от Московского проспекта до обводной дороги пос. Приморский"</t>
  </si>
  <si>
    <t>3.10.</t>
  </si>
  <si>
    <t>Проектно-изыскательские работы по объекту "Реконструкция пересечения Обводного и Хрящевского шоссе"</t>
  </si>
  <si>
    <t xml:space="preserve">Проектно-изыскательские работы по корректировке проектно-сметной документации "Строительство магистральной улицы районного значения транспортно-пешеходной ул. Механизаторов от ул. Лизы Чайкиной до ул. Громовой в Комсомольском районе города Тольятти" </t>
  </si>
  <si>
    <t>3.11.</t>
  </si>
  <si>
    <t>Проектно-изыскательские работы по устройству подъездной дороги к поликлинике на 1000 посещений в смену</t>
  </si>
  <si>
    <t>5.53.</t>
  </si>
  <si>
    <t>Ремонт автопарковки в районе поликлиники на 500 посещений в смену</t>
  </si>
  <si>
    <t>5.54.</t>
  </si>
  <si>
    <t xml:space="preserve">Устройство съездов для инвалидов и других маломобильных групп населения на территории городского округа Тольятти </t>
  </si>
  <si>
    <t>5.55.</t>
  </si>
  <si>
    <t>нераспределенный остаток</t>
  </si>
  <si>
    <t>4.17.</t>
  </si>
  <si>
    <t>Приложение № 2                                                                                              к  постановлению администрации городского округа Тольятти "_____" _______________2021г. № _______________</t>
  </si>
  <si>
    <t>Приложение № 3                                                                                              к  постановлению администрации городского округа Тольятти "_____" _______________2021г. № _______________</t>
  </si>
  <si>
    <t>Приложение № 1                                                                                                                      к  постановлению администрации городского округа Тольятти "_____" _______________2021г. № _______________</t>
  </si>
  <si>
    <t>Приложение № 5                                                                                                                      к  постановлению администрации городского округа Тольятти "_____" _______________2021г. № _______________</t>
  </si>
  <si>
    <t>Обеспеченность парка транспортом с низким (пониженным) уровнем пола МП "ТПАТП № 3"</t>
  </si>
  <si>
    <t>Диагностика надземных пешеходных переходов (мостов,путепроводов)</t>
  </si>
  <si>
    <t>Устройство и перенос остановок общественного транспорта на территории городского округа Тольятти</t>
  </si>
  <si>
    <t>Устройство парковочных площадок, карманов и стоянок</t>
  </si>
  <si>
    <t>Количество  вновь введенных в эксплуатацию (реконструируемых) парковочных площадок, карманов и стоянок</t>
  </si>
  <si>
    <t>Капитальный ремонт участка подъездной дороги к производственной базе ООО «ЭКОЛАЙН», расположенной по адресу: г. Тольятти, ул. Северная 21/21а, от улицы Северной до перекрестка со строением 27</t>
  </si>
  <si>
    <t>Строительный контроль и авторский надзор по строительству и реконструкции объектов дорожного хозяйства</t>
  </si>
  <si>
    <t>1.10.</t>
  </si>
  <si>
    <t>Устройство технических средств организации дорожного движения</t>
  </si>
  <si>
    <t>Устройство технических средств организации дорожного движения, в т.ч:</t>
  </si>
  <si>
    <t>Приобретение дорожных знаков (заготовок дорожных знаков)</t>
  </si>
  <si>
    <t>Количество установленных  дорожных знаков</t>
  </si>
  <si>
    <t>Количество приобретенных дорожных знаков (заготовок дорожных знаков)</t>
  </si>
  <si>
    <t xml:space="preserve">Выписка из проекта муниципальной программы"Развитие транспортной системы и дорожного хозяйства городского округа Тольятти на 2021-2025 гг." </t>
  </si>
  <si>
    <r>
      <t xml:space="preserve">Проектирование устройства пешеходных дорожек, в т.ч. экспертиза </t>
    </r>
    <r>
      <rPr>
        <sz val="12"/>
        <color rgb="FFFF0000"/>
        <rFont val="Times New Roman"/>
        <family val="1"/>
        <charset val="204"/>
      </rPr>
      <t>проектов</t>
    </r>
  </si>
  <si>
    <t>Проектирование устройства парковочных площадок (карманов и стоянок)</t>
  </si>
  <si>
    <t>2021 - 2025</t>
  </si>
  <si>
    <t>Количество проектных работ на строительство и реконструкцию парковочных площадок (карманов и стоянок)</t>
  </si>
  <si>
    <t>Проектно-изыскательские работы по капитальному ремонту путепровода</t>
  </si>
  <si>
    <t>Количество разработанной проектно-сметной документации по капитальному ремонту путепровода</t>
  </si>
  <si>
    <t>Количество диагностируемых надземных пешеходных переходов (мостов,путепроводов)</t>
  </si>
  <si>
    <t>ул. Дзержинского между ул. Ворошилова и ул. 40 лет Победы</t>
  </si>
  <si>
    <t>Борковский проезд от  ул. Вокзальная,54 до границы городского округа, южнее здания по адресу: ул. Вокзальная, 44Б</t>
  </si>
  <si>
    <t>ул.Офицерская от ул. Ботаническая до объекта недвижимости, имеющего адрес: ул. Офицерская, д.8, включая пересечение автодорог по ул.Полякова и ул.Офицерская</t>
  </si>
  <si>
    <t>улица Полякова от ул.Коммунальная до ул.Офицерская</t>
  </si>
  <si>
    <t>ул. Фрунзе между улицей Московским проспектом  и ул. Юбилейной</t>
  </si>
  <si>
    <t>ул. Мира между ул. Родины и ул. Победы</t>
  </si>
  <si>
    <t>ул. Крупской от бульвара 50 лет Октября до ул. Шлютова</t>
  </si>
  <si>
    <t>1.11.</t>
  </si>
  <si>
    <t>Строительство объектов транспортной инфраструктуры с сетями наружного электроосвещения и ливневой канализации в рамках реализации проектов по развитию территорий 14а квартала (микрорайон "Ёлки"). Западная часть квартала</t>
  </si>
  <si>
    <t>1.12.</t>
  </si>
  <si>
    <t>Строительство объектов транспортной инфраструктуры с сетями наружного электроосвещения и ливневой канализации в рамках реализации проектов по развитию территорий 14а квартала (микрорайон "Ёлки"). Восточная часть квартала</t>
  </si>
  <si>
    <t>Количество документации по строительному контролю и авторскому надзору по строительству и реконструкции объектов дорожного хозяйства</t>
  </si>
  <si>
    <t>1.13.</t>
  </si>
  <si>
    <t>3.12.</t>
  </si>
  <si>
    <t>3.13.</t>
  </si>
  <si>
    <t>Выполнение проектно-изыскательских работ по объекту: «Строительство магистральной улицы общегородского значения регулируемого движения в продолжение ул. Фермерской до Южного шоссе»</t>
  </si>
  <si>
    <t>Проектно- изыскательские работы на строительство подъездной автомобильной дороги (проезда) от внутриквартального проезда к земельному участку с кадастровым номером 63:09:0101159:10329 (Физкультурно-оздоровительный комплекс с универсальным игровым залом (36х18 м) по адресу: Самарская область, г. Тольятти, Автозаводский район, южнее здания №15 по бульвару Кулибина, для МБУДСДЮШОР № 8 «Союз»)</t>
  </si>
  <si>
    <t>Устройство  искусственных дорожных неровностей на ул.Матросова, д.37, д.60</t>
  </si>
  <si>
    <t>Установка дорожных знаков, ликвидация подхода к пешеходному переходу на ул. Матросова, в районе домов № 53, 134</t>
  </si>
  <si>
    <t>Устройство островка безопасности и дорожных знаков на ул. Карла Маркса - пересечение с ул. Максима Горького</t>
  </si>
  <si>
    <t>Устройство  искусственных неровностей трапецевидной формы по ул. Украинской перед пересечением с ул. Шлютова, устройство светофорного объекта,  установка дорожных знаков на ул. Шлютова - пересечение с ул. Украинская, ул.Шлютова д. № 108, д. № 110, д. 127</t>
  </si>
  <si>
    <t>Устройство пешеходного перехода, установка дорожных знаков, сокращение заездного кармана на ул. Новозаводская, в районе домов № 2, 2А, 2Е, 2Д.</t>
  </si>
  <si>
    <t>Устройство шумовых полос и информационных щитов индтвидуального проектирования на Автозаводском шоссе, в районе домов № 3, 5.</t>
  </si>
  <si>
    <t xml:space="preserve">Установка дорожных знаков при выезде с Цветного бульвара  и от дома №5 на
ул. Дзержинского
</t>
  </si>
  <si>
    <t>Установка дорожных знаков  в начале кривой сопряжения и дорожных знаков на разделительной полосе 4 проезда, ул. Транспортная  - пересечение с  4 проездом, ул. Транспортная, д.№  21Б</t>
  </si>
  <si>
    <t>Установка дорожных знаков   в районе д. № 52 по ул. Революционная</t>
  </si>
  <si>
    <t xml:space="preserve">Устройство  искусственных дорожных неровностей, установка дорожных знаков на б-ре Здоровья от ул. Свердлова до Ленинского пр-та </t>
  </si>
  <si>
    <t>Устройство  искусственных дорожных неровностей на ул. Фрунзе, д.2Г</t>
  </si>
  <si>
    <t>Устройство  искусственных дорожных неровностей на ул. Ленина, д.108, МБУ "№ 13", ООТ "Гагарина"</t>
  </si>
  <si>
    <t>Устройство  искусственных дорожных неровностей, установка дорожных знаков, устройство тротуара на ул. Льва Толстого, д.10</t>
  </si>
  <si>
    <t>Устройство искусственных дорожных неровностей, установка дорожных знаков на ул. Саратовская от ул. Самарской до ул. Украинской, д. 5</t>
  </si>
  <si>
    <t>Устройство  искусственных дорожных неровностей, установка дорожных знаков на дублере вдоль ул. Тополиная от ул. Дзержинского до Южного шоссе</t>
  </si>
  <si>
    <t>Устройство  искусственных дорожных неровностей, установка дорожных знаков на дублере вдоль ул. Ворошилова от ул. 40 лет Победы до ул.Дзержинского</t>
  </si>
  <si>
    <t>Устройство  искусственных дорожных неровностей, установка дорожных знаков на дублере вдоль ул.70 лет Октября от ул. Льва Яшина до ул. Офицерской</t>
  </si>
  <si>
    <t>Установка дорожных знаков, сокращение заездного кармана, установка пешеходных ограждений на ул. Матросова, в районе домов № 134</t>
  </si>
  <si>
    <t xml:space="preserve">Устройство  искусственных дорожных неровностей, установка дорожных знаков, нанесение дорожной разметки на ул.Ленина д.73 на пересечении с ул.Чапаева </t>
  </si>
  <si>
    <t>Устройство  искусственных дорожных неровностей, установка дорожных знаков на б-р Луначарского,2  (ул. Ворошилова, д.4)</t>
  </si>
  <si>
    <t>Устройство  искусственных дорожных неровностей, установка дорожных знаков на б-р Кулибина, д.2</t>
  </si>
  <si>
    <t xml:space="preserve">Ликвидация места разворота, сокращение заездного кармана, устройство тротуара, установка пешеходных ограждений на Московском пр-те, д.7                                                </t>
  </si>
  <si>
    <t>Устройство островков безопасности и установка дорожных знаков по пр-ту Степана Разина на пересечении с Ленинским проспектом</t>
  </si>
  <si>
    <t>Установка дорожных знаков и заездного кармана на ул.Новозаводская в районе д.6</t>
  </si>
  <si>
    <t>Установка П-образных опор и дорожных знаков на Южном шоссе, в районе д.№5</t>
  </si>
  <si>
    <t>Устройство световозвращателей дорожных на проезжей части Поволжского шоссе</t>
  </si>
  <si>
    <t>Устройство световозвращателей дорожных на проезжей части дороги от Московского пр-та до ул. Фермерской с. Подстепки</t>
  </si>
  <si>
    <t>Установка ограничивающих пешеходных ограждений на бульваре Ленина от ул. Ленинградская до ул.Баныкина (со стороны Краеведческого музея)</t>
  </si>
  <si>
    <t>Установка ограничивающих пешеходных ограждений на Молодежном б-ре от ул.Победы до ул.Ленина</t>
  </si>
  <si>
    <t>Установка ограничивающих пешеходных ограждений на ул.Жилина от пл.Свободы до ул.Ленинградская</t>
  </si>
  <si>
    <t>Устройство искусственных дорожных неровностей,  установка дорожных знаков  на внутриквартальном проезде вдоль ул. Железнодорожная от пр. Дорофеева до ул. Шлюзовая</t>
  </si>
  <si>
    <t>Устройство искусственных дорожных неровностей,  установка дорожных знаков на внутриквартальном проезде вдоль ул. 40 лет Победы (от Южное шоссе до ул. Тополиная)</t>
  </si>
  <si>
    <t>Установка дорожных знаков и перенос светофорного объекта на ул.Жилина в районе дома №24 (пересечение с ул.Мира)</t>
  </si>
  <si>
    <t>Ликвидация въезда (выезда), устройство дорожных знаков на бульваре Ленина в районе д.27 ул.Баныкина, д.16 "Г"</t>
  </si>
  <si>
    <t>Устройство искусственной дорожной неровности, установка дорожных знаков 
на проезде между ул. Баныкина и ул. Ленинградска ООШ №26 и Д/С "Тополек"</t>
  </si>
  <si>
    <t>Устройство островка безопасности, устройство искусственных дорожных неровностей, установка дорожных знаков на  перекрестке ул.М.Горького-ул.Октябрьская с/ш № 4</t>
  </si>
  <si>
    <t>Устройство искусственных дорожных неровностей на б-ре Космонавтов, д.17, с/ш № 79</t>
  </si>
  <si>
    <t>Устройство искусственных дорожных неровностей, установка дорожных знаков на ул. Шлютова, д.130 д/с "Соловушка"</t>
  </si>
  <si>
    <t>Устройство пешеходной дорожки на пересечении ул. Баныкина и ул. Жилина</t>
  </si>
  <si>
    <t>Перенос и устройство ООТ "улица Фрунзе" по Московскому проспекту</t>
  </si>
  <si>
    <t xml:space="preserve">Установка секций транспортных светофоров,  установка дорожных знаков перед
пресечением проезжих частей, по ул. Ларина и по ул. Новозаводской </t>
  </si>
  <si>
    <t>Модернизация светофорного объекта и установка дорожных знаков  на  ул. Юбилейная - пересечение с ул. Фрунзе, ул.Фрунзе в районе домов 31а, 14 в</t>
  </si>
  <si>
    <t xml:space="preserve">Устройство светофорного объекта, установка дорожных знаков на ул. Громовой, д.1  ООТ "ул. Механизаторов"                                                                                                               </t>
  </si>
  <si>
    <t xml:space="preserve">Устройство светофорного объекта, установка дорожных знаков, устройство тротуара, установка пешеходных ограждений на ул. Матросова, д. 70                                                                                                                                            </t>
  </si>
  <si>
    <t>Устройство светофорного объекта, установка дорожных знаков на ул. Автостроителей, д.13 А ООТ "Гостиница Лада"</t>
  </si>
  <si>
    <t>Устройство светофорного объекта, установка дорожных знаков на ул. Автостроителей, д. 11 ООТ "Солнечный б-р"</t>
  </si>
  <si>
    <t xml:space="preserve">Установка опор светофорных объектов с применением подсветки красного и зеленого цвета  (дублирующей сигналы светофорных объектов) ул. 40 лет Победы, д.80 </t>
  </si>
  <si>
    <t>Установка светофоров Т7 на ул. Мира, д.170</t>
  </si>
  <si>
    <t>Устройство светофорного объекта с установкой опор светофороного объекта с применением подсветки красного и зеленого цвета (дублирующий сигнал светофоров) на ул. Голосова, д. 30А</t>
  </si>
  <si>
    <t>Установка дополнительных секций светофорного объекта с дорожными знаками по  ул. Ленинградской, перед пересечением с ул.Жилина</t>
  </si>
  <si>
    <t>Устройство светофорного объекта, установка дорожных знаков и устройство пешеходной дорожки на Южном шоссе в районе дома №36 ООТ "КВЦ"</t>
  </si>
  <si>
    <t>Устройство светофорного объекта, установка дорожных знаков и строительство пешеходной дорожки на Южном шоссе в районе дома №36 ООТ "1-я вставка"</t>
  </si>
  <si>
    <t>Устройство светофорного объекта, установка дорожных знаков и устройство пешеходной дорожки на Южном шоссе в районе дома №36 ООТ "3-я вставка"</t>
  </si>
  <si>
    <t>Устройство светофорного объекта, установка дорожных знаков и устройство пешеходной дорожки на Южном шоссе в районе дома №36 ООТ "5-я вставка"</t>
  </si>
  <si>
    <t>Устройство светофорного объекта, установка дорожных знаков на Южном шоссе в районе дома №36 ООТ "Жигулевская долина"</t>
  </si>
  <si>
    <t>Модернизация светофорного объекта, установка дорожных знаков на ул. Заставная, д.№1, ООТ "Учебный центр"</t>
  </si>
  <si>
    <t>Установка светофора Т7,  пешеходных ограждений на ул. Мира в районе домов № 96, 96 А,100 Б, ООТ "Дом природы"</t>
  </si>
  <si>
    <t xml:space="preserve">Устройство светофорных объектов, установка П-образных опор и дорожных знаков , устройство тротуара, установка пешеходных ограждений на пересечении ул. Спортивная д.3, д.5 и автодороги - продолжения пр-та Ст.Разина со стороны Лесопаркового шоссе </t>
  </si>
  <si>
    <t>Устройство светофорного объекта, установка дорожных знаков, установка ограждений на б-ре Королева, д. № 12</t>
  </si>
  <si>
    <t>Устройство светофорного объекта, установка дорожных знаков, установка пешеходных ограждений на ул. Коммунальная, в р-не д. № 32 (напротив ТЦ "Арбуз")</t>
  </si>
  <si>
    <t>Устройство светофорного объекта, установка дорожных знаков, установка пешеходных ограждений на Южном шоссе, в районе ООТ "Машинистроительный коледж"</t>
  </si>
  <si>
    <t>Выполнение проектно-изыскательских работ по устройству линии наружного электроосвещения, в т.ч.инженерные изыскания по б-ру Буденного (от ул. Фрунзе до с/о №1) в Автозаводском районе городского округа Тольятти</t>
  </si>
  <si>
    <t>Проектирование устройства остановки общественного транспорта ООТ "Лыжная база" по ул.М. Жукова.</t>
  </si>
  <si>
    <t>Проектирование линий наружного освещения ООТ "Парк-хаус"</t>
  </si>
  <si>
    <t>Проектирование переноса  ООТ "Лесопитомник" по ул. Дзержинского.</t>
  </si>
  <si>
    <t>Проектирование устройства пешеходной дорожки вдоль ул. Шлютова от ул. Родины до ул. Победы</t>
  </si>
  <si>
    <t>Проектирование устройства пешеходной дорожки вдоль ул. Украинской</t>
  </si>
  <si>
    <t>Выполнение проектно-изыскательских работ по устройству линий наружного электроосвещения, в т.ч. инженерные изыскания по Хрящевскому шоссе (на участке от Южного шоссе до Обводного шоссе).</t>
  </si>
  <si>
    <t>Устройство наружного освещения на  Южном шоссе (на участке от опоры №501 до ул. Цеховая и от ул. Цеховая до опоры № 490)</t>
  </si>
  <si>
    <t>Выполнение работ по капитальному ремонту объекта: «Подземный пешеходный переход: подземный переход через автомобильную дорогу по адресу: Самарская область, г. Тольятти,
ул. Свердлова, в районе дома №80 (капитальный ремонт)»</t>
  </si>
  <si>
    <t>5.56.</t>
  </si>
  <si>
    <t>5.57.</t>
  </si>
  <si>
    <t>5.58.</t>
  </si>
  <si>
    <t>5.59.</t>
  </si>
  <si>
    <t>5.60.</t>
  </si>
  <si>
    <t>5.61.</t>
  </si>
  <si>
    <t>5.62.</t>
  </si>
  <si>
    <t>5.63.</t>
  </si>
  <si>
    <t>5.64.</t>
  </si>
  <si>
    <t>5.65.</t>
  </si>
  <si>
    <t>5.66.</t>
  </si>
  <si>
    <t>5.67.</t>
  </si>
  <si>
    <t>5.68.</t>
  </si>
  <si>
    <t>5.69.</t>
  </si>
  <si>
    <t>5.70.</t>
  </si>
  <si>
    <t>5.71.</t>
  </si>
  <si>
    <t>5.72.</t>
  </si>
  <si>
    <t>5.73.</t>
  </si>
  <si>
    <t>5.74.</t>
  </si>
  <si>
    <t>5.75.</t>
  </si>
  <si>
    <t>5.76.</t>
  </si>
  <si>
    <t>5.77.</t>
  </si>
  <si>
    <t>5.78.</t>
  </si>
  <si>
    <t>5.79.</t>
  </si>
  <si>
    <t>5.80.</t>
  </si>
  <si>
    <t>5.81.</t>
  </si>
  <si>
    <t>5.82.</t>
  </si>
  <si>
    <t>5.83.</t>
  </si>
  <si>
    <t>5.84.</t>
  </si>
  <si>
    <t>5.85.</t>
  </si>
  <si>
    <t>5.86.</t>
  </si>
  <si>
    <t>5.87.</t>
  </si>
  <si>
    <t>5.88.</t>
  </si>
  <si>
    <t>5.89.</t>
  </si>
  <si>
    <t>5.90.</t>
  </si>
  <si>
    <t>5.91.</t>
  </si>
  <si>
    <t>5.92.</t>
  </si>
  <si>
    <t>5.93.</t>
  </si>
  <si>
    <t>5.94.</t>
  </si>
  <si>
    <t>5.95.</t>
  </si>
  <si>
    <t>5.96.</t>
  </si>
  <si>
    <t>5.97.</t>
  </si>
  <si>
    <t>5.98.</t>
  </si>
  <si>
    <t>5.99.</t>
  </si>
  <si>
    <t>5.100.</t>
  </si>
  <si>
    <t>5.101.</t>
  </si>
  <si>
    <t>5.102.</t>
  </si>
  <si>
    <t>5.103.</t>
  </si>
  <si>
    <t>5.104.</t>
  </si>
  <si>
    <t>5.105.</t>
  </si>
  <si>
    <t>5.106.</t>
  </si>
  <si>
    <t>5.107.</t>
  </si>
  <si>
    <t>5.108.</t>
  </si>
  <si>
    <t>5.109.</t>
  </si>
  <si>
    <t>5.110.</t>
  </si>
  <si>
    <t>5.111.</t>
  </si>
  <si>
    <t>5.112.</t>
  </si>
  <si>
    <t>5.113.</t>
  </si>
  <si>
    <t>5.114.</t>
  </si>
  <si>
    <t>5.115.</t>
  </si>
  <si>
    <t>5.116.</t>
  </si>
  <si>
    <t>5.117.</t>
  </si>
  <si>
    <t>5.118.</t>
  </si>
  <si>
    <t>5.119.</t>
  </si>
  <si>
    <t>5.120.</t>
  </si>
  <si>
    <t>5.121.</t>
  </si>
  <si>
    <t>5.122.</t>
  </si>
  <si>
    <t>5.123.</t>
  </si>
  <si>
    <t>5.124.</t>
  </si>
  <si>
    <t>5.125.</t>
  </si>
  <si>
    <t>5.126.</t>
  </si>
  <si>
    <t>Установка дорожных знаков на  ул.Жилина, д. № 1</t>
  </si>
  <si>
    <t>3.14.</t>
  </si>
  <si>
    <t>3.15.</t>
  </si>
  <si>
    <t>3.16.</t>
  </si>
  <si>
    <t>Проектно-изыскательские работы на капитальный ремонт магистральной улицы общегородского значения регулируемого движения ул. Калмыцкая от ж/д переезда до ул. Васильевская</t>
  </si>
  <si>
    <t>Проектно-изыскательские работы на капитальный ремонт магистральной улицы общегородского значения регулируемого движения ул. Васильевская от ул. Калмыцкая до Обводного шоссе</t>
  </si>
  <si>
    <t>Проектно-изыскательские работы на устройство линии наружного освещения вдоль магистральной улицы общегородского значения регулируемого движения ул. Калмыцкая</t>
  </si>
  <si>
    <t>Содержание автомобильных дорог местного знначения и внутриквартальных проекздов поселений, на территории которых осуществляется среднеэтпажная и многоэтажная жилищная застройка, в городских округах с численностью населения более 600 тысяч человек</t>
  </si>
  <si>
    <t>8.1.</t>
  </si>
  <si>
    <t>8.Содержание автомобильных дорог местного знначения и внутриквартальных проекздов поселений, на территории которых осуществляется среднеэтпажная и многоэтажная жилищная застройка, в городских округах с численностью населения более 600 тысяч человек:</t>
  </si>
  <si>
    <t>Итого по разделу 8 содержание автомобильных дорог местного знначения и внутриквартальных проекздов поселений</t>
  </si>
  <si>
    <t>Ремонт дворовых территорий многоквартирных домов, проездов к дворовым территориям многоквартирных домов  городского округа Тольятти</t>
  </si>
  <si>
    <t xml:space="preserve">Количество устроенных линий наружного электроосвещения  </t>
  </si>
  <si>
    <t>Строительство магистральной улицы общегородского значения регулируемого движения ул. Офицерской</t>
  </si>
  <si>
    <t>Автодорога по улице Бузыцкова от Хрящевского шоссе до дома № 47 по ул.Бузыцкова</t>
  </si>
  <si>
    <t>ул. Грачева от Хрящевского шоссе до пересечения с ул. Бузыцкова</t>
  </si>
  <si>
    <t>7.1.155</t>
  </si>
  <si>
    <t>Количество установленных дорожных знаков</t>
  </si>
  <si>
    <t>Количество проектных работ на устройство и перенос остановок общественного транспорта</t>
  </si>
  <si>
    <t>Количество вновь введенных (перенесенных) в эксплуатацию остановок общественного транспорта</t>
  </si>
  <si>
    <t>тыс. м.п.</t>
  </si>
  <si>
    <t>Количество ликвидируемых мест разворота транспортных средств, разрывов в разделительной полосе, несанкционированных примыканий, заездных карманов, парковок, устроенных пешеходных дорожек, островков безопасности, искусственных дорожных неровностей, шумовых полос , информационных щитов индивидуального проектирования, световозвращателей дорожных</t>
  </si>
  <si>
    <t xml:space="preserve">Подпрограмма "Повышение безопасности дорожного движения на период 2021-2025 гг."                      </t>
  </si>
  <si>
    <t xml:space="preserve">Перечень мероприятий муниципальной программы "Развитие транспортной системы и дорожного хозяйства городского округа Тольятти на 2021-2025 гг." </t>
  </si>
  <si>
    <r>
      <t xml:space="preserve">ПОКАЗАТЕЛИ (ИНДИКАТОРЫ)
</t>
    </r>
    <r>
      <rPr>
        <sz val="11.5"/>
        <rFont val="Times New Roman"/>
        <family val="1"/>
        <charset val="204"/>
      </rPr>
      <t>МУНИЦИПАЛЬНОЙ ПРОГРАММЫ "РАЗВИТИЕ ТРАНСПОРТНОЙ СИСТЕМЫ И ДОРОЖНОГО ХОЗЯЙСТВА ГОРОДСКОГО ОКРУГА ТОЛЬЯТТИ</t>
    </r>
    <r>
      <rPr>
        <sz val="12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НА 2021 - 2025 ГГ."</t>
    </r>
    <r>
      <rPr>
        <sz val="12"/>
        <rFont val="Times New Roman"/>
        <family val="1"/>
        <charset val="204"/>
      </rPr>
      <t xml:space="preserve">
</t>
    </r>
  </si>
  <si>
    <t>Показатели конечного результата муниципальной программы</t>
  </si>
  <si>
    <t xml:space="preserve">Подпрограмма "Содержание улично-дорожной сети на период 2021-2025 гг."                      </t>
  </si>
  <si>
    <t>Площадь дорожных сооружений, находящихся на содержании</t>
  </si>
  <si>
    <t>Уровень исполнения обязательств по лизингу</t>
  </si>
  <si>
    <t>Содержание улично-дорожной сети</t>
  </si>
  <si>
    <t>Площадь содержания улично-дорожной сети</t>
  </si>
  <si>
    <t>1. Строительство автомобильных дорог общего пользования местного значения городского округа Тольятти, в т. ч. строительный контроль и авторский надзор:</t>
  </si>
  <si>
    <t>Строительство автомобильных дорог общего пользования местного значения городского округа Тольятти, в т. ч. строительный контроль и авторский надзор</t>
  </si>
  <si>
    <t>в том числе в рамках реализации национального проекта "Безопасные качественные автомобильные дороги"</t>
  </si>
  <si>
    <t>в том числе в рамках реализации национального проекта "Безопасные и качественные автомобильные дороги"</t>
  </si>
  <si>
    <t>объектов</t>
  </si>
  <si>
    <t>ул. Цеховая от Южного шоссе до ул. Северная</t>
  </si>
  <si>
    <t>ул. Родины от ул. Баныкина до ул. Комзина</t>
  </si>
  <si>
    <t>ул. Коммунальная от ул. Борковская до Обводного шоссе</t>
  </si>
  <si>
    <t>ул. Мичурина от ул. Ленина д. №48 до Енисейского пр-да д. № 54А</t>
  </si>
  <si>
    <t>ул. Железнодорожная от ул. Никонова до М-5 Урал</t>
  </si>
  <si>
    <t>ул. Офицерская от ул. Борковская до ул. Ботаническая</t>
  </si>
  <si>
    <t>ул. Ушакова от ул. Мира до ул. Баныкина</t>
  </si>
  <si>
    <t>ул. Дорофеева от ул. Железнодорожная до ул. Гидротехническая</t>
  </si>
  <si>
    <t>ул. Тополиная от ул. 70 лет Октября до ул. Дзержинского</t>
  </si>
  <si>
    <t>ул. Жукова от ул. Спортивная до ул. Фрунзе</t>
  </si>
  <si>
    <t>ул. Революционная от ул. Дзержинского до Приморского бульвара</t>
  </si>
  <si>
    <t>ул. Макарова от ул. Никонова до ул. Гидротехническая</t>
  </si>
  <si>
    <t>ул. Ботаническая от Южного шоссе до ул.Дзержинского</t>
  </si>
  <si>
    <t>ул. Жилина от ул. Мира до площади Свободы</t>
  </si>
  <si>
    <t>5.127.</t>
  </si>
  <si>
    <t>5.128.</t>
  </si>
  <si>
    <t>5.129.</t>
  </si>
  <si>
    <t>4.16.</t>
  </si>
  <si>
    <t>5.130.</t>
  </si>
  <si>
    <t>5.131.</t>
  </si>
  <si>
    <t>5.132.</t>
  </si>
  <si>
    <t>5.133.</t>
  </si>
  <si>
    <t>5.134.</t>
  </si>
  <si>
    <t>5.135.</t>
  </si>
  <si>
    <t>5.136.</t>
  </si>
  <si>
    <t>5.137.</t>
  </si>
  <si>
    <t>5.138.</t>
  </si>
  <si>
    <t>5.139.</t>
  </si>
  <si>
    <t>3.17.</t>
  </si>
  <si>
    <t>Приложение № 4                                                                                              к  постановлению администрации городского округа Тольятти "_____" _______________2021г. № _______________</t>
  </si>
  <si>
    <t>Проектирование устройства пешеходных дорожек, в т.ч. экспертиза проектов</t>
  </si>
  <si>
    <t>Количество проектных работ по устройству линий наружного электроосвещения</t>
  </si>
  <si>
    <t>2024, 2025</t>
  </si>
  <si>
    <t>Проектно-изыскательские работы по устройству линий наружного электроосвещения, в т.ч. осуществление технологического присоединения к электрическим сетям</t>
  </si>
  <si>
    <t>путем предоставления субсидий в целях возмещения затрат на оплату лизинговых платежей за автобусы большого класса, работающие на газомоторном топливе, приобретенные в рамках национального проекта «Безопасные и качественные автомобильные дороги» (с нарастающим итогом)</t>
  </si>
  <si>
    <t>Предоставление транспортных услуг населению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</si>
</sst>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₽_-;\-* #,##0.00\ _₽_-;_-* &quot;-&quot;??\ _₽_-;_-@_-"/>
    <numFmt numFmtId="165" formatCode="0.0"/>
    <numFmt numFmtId="166" formatCode="#,##0.0"/>
    <numFmt numFmtId="167" formatCode="#,##0.0_р_."/>
    <numFmt numFmtId="168" formatCode="#,##0_р_."/>
    <numFmt numFmtId="169" formatCode="#,##0.00_р_."/>
    <numFmt numFmtId="170" formatCode="#,##0.000_р_."/>
  </numFmts>
  <fonts count="85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name val="Arial Cyr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9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0"/>
      <name val="Arial Cyr"/>
      <charset val="204"/>
    </font>
    <font>
      <b/>
      <sz val="14"/>
      <name val="Times New Roman"/>
      <family val="1"/>
      <charset val="204"/>
    </font>
    <font>
      <sz val="10"/>
      <color rgb="FF7030A0"/>
      <name val="Arial Cyr"/>
      <charset val="204"/>
    </font>
    <font>
      <sz val="11"/>
      <name val="Arial Cyr"/>
      <charset val="204"/>
    </font>
    <font>
      <sz val="10"/>
      <color indexed="8"/>
      <name val="Arial Cyr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color theme="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Arial Cyr"/>
      <charset val="204"/>
    </font>
    <font>
      <sz val="12"/>
      <color theme="0"/>
      <name val="Arial Cyr"/>
      <charset val="204"/>
    </font>
    <font>
      <i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i/>
      <sz val="10"/>
      <color rgb="FF7030A0"/>
      <name val="Times New Roman"/>
      <family val="1"/>
      <charset val="204"/>
    </font>
    <font>
      <sz val="12"/>
      <color rgb="FF7030A0"/>
      <name val="Arial Cyr"/>
      <charset val="204"/>
    </font>
    <font>
      <b/>
      <sz val="13"/>
      <name val="Arial Cyr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4"/>
      <name val="Arial Cyr"/>
      <charset val="204"/>
    </font>
    <font>
      <b/>
      <i/>
      <sz val="9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name val="Arial Cyr"/>
      <charset val="204"/>
    </font>
    <font>
      <b/>
      <sz val="10"/>
      <name val="Arial"/>
      <family val="2"/>
      <charset val="204"/>
    </font>
    <font>
      <i/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70C0"/>
      <name val="Arial Cyr"/>
      <charset val="204"/>
    </font>
    <font>
      <sz val="10"/>
      <color rgb="FFFF000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rgb="FF00B050"/>
      <name val="Times New Roman"/>
      <family val="1"/>
      <charset val="204"/>
    </font>
    <font>
      <sz val="10"/>
      <color rgb="FF00B050"/>
      <name val="Arial Cyr"/>
      <charset val="204"/>
    </font>
    <font>
      <b/>
      <sz val="18"/>
      <name val="Times New Roman"/>
      <family val="1"/>
      <charset val="204"/>
    </font>
    <font>
      <b/>
      <sz val="18"/>
      <name val="Arial Cyr"/>
      <charset val="204"/>
    </font>
    <font>
      <i/>
      <sz val="10"/>
      <name val="Arial Cyr"/>
      <charset val="204"/>
    </font>
    <font>
      <b/>
      <i/>
      <sz val="10"/>
      <color rgb="FF7030A0"/>
      <name val="Times New Roman"/>
      <family val="1"/>
      <charset val="204"/>
    </font>
    <font>
      <b/>
      <i/>
      <sz val="9"/>
      <color rgb="FF7030A0"/>
      <name val="Times New Roman"/>
      <family val="1"/>
      <charset val="204"/>
    </font>
    <font>
      <b/>
      <i/>
      <sz val="10"/>
      <color rgb="FF7030A0"/>
      <name val="Arial Cyr"/>
      <charset val="204"/>
    </font>
    <font>
      <sz val="11"/>
      <color rgb="FFFF0000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u/>
      <sz val="10"/>
      <color rgb="FFFF0000"/>
      <name val="Times New Roman"/>
      <family val="1"/>
      <charset val="204"/>
    </font>
    <font>
      <b/>
      <sz val="10"/>
      <color rgb="FFFF0000"/>
      <name val="Arial Cyr"/>
      <charset val="204"/>
    </font>
    <font>
      <sz val="9"/>
      <color rgb="FF00B050"/>
      <name val="Times New Roman"/>
      <family val="1"/>
      <charset val="204"/>
    </font>
    <font>
      <b/>
      <i/>
      <sz val="10"/>
      <color rgb="FF00B050"/>
      <name val="Arial Cyr"/>
      <charset val="204"/>
    </font>
    <font>
      <b/>
      <sz val="10"/>
      <color rgb="FF00B050"/>
      <name val="Times New Roman"/>
      <family val="1"/>
      <charset val="204"/>
    </font>
    <font>
      <b/>
      <sz val="9"/>
      <color rgb="FF00B050"/>
      <name val="Times New Roman"/>
      <family val="1"/>
      <charset val="204"/>
    </font>
    <font>
      <b/>
      <sz val="10"/>
      <color rgb="FF00B050"/>
      <name val="Arial Cyr"/>
      <charset val="204"/>
    </font>
    <font>
      <sz val="12"/>
      <color rgb="FF00B050"/>
      <name val="Times New Roman"/>
      <family val="1"/>
      <charset val="204"/>
    </font>
    <font>
      <b/>
      <sz val="14"/>
      <color rgb="FF00B050"/>
      <name val="Arial"/>
      <family val="2"/>
      <charset val="204"/>
    </font>
    <font>
      <sz val="14"/>
      <color rgb="FF00B050"/>
      <name val="Arial"/>
      <family val="2"/>
      <charset val="204"/>
    </font>
    <font>
      <sz val="12"/>
      <color rgb="FF00B050"/>
      <name val="Arial Cyr"/>
      <charset val="204"/>
    </font>
    <font>
      <i/>
      <sz val="10"/>
      <color rgb="FF00B050"/>
      <name val="Times New Roman"/>
      <family val="1"/>
      <charset val="204"/>
    </font>
    <font>
      <sz val="18"/>
      <name val="Times New Roman"/>
      <family val="1"/>
      <charset val="204"/>
    </font>
    <font>
      <sz val="18"/>
      <name val="Arial Cyr"/>
      <charset val="204"/>
    </font>
    <font>
      <b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indexed="8"/>
      <name val="Arial Cyr"/>
      <charset val="204"/>
    </font>
    <font>
      <sz val="9"/>
      <color rgb="FF0070C0"/>
      <name val="Times New Roman"/>
      <family val="1"/>
      <charset val="204"/>
    </font>
    <font>
      <sz val="11.5"/>
      <name val="Times New Roman"/>
      <family val="1"/>
      <charset val="204"/>
    </font>
    <font>
      <sz val="9"/>
      <color rgb="FF00B0F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16" fillId="0" borderId="0"/>
    <xf numFmtId="0" fontId="16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8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564">
    <xf numFmtId="0" fontId="0" fillId="0" borderId="0" xfId="0"/>
    <xf numFmtId="0" fontId="3" fillId="0" borderId="0" xfId="0" applyFont="1" applyFill="1"/>
    <xf numFmtId="2" fontId="3" fillId="0" borderId="0" xfId="0" applyNumberFormat="1" applyFont="1" applyFill="1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/>
    <xf numFmtId="4" fontId="3" fillId="0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4" fontId="7" fillId="2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 shrinkToFit="1"/>
    </xf>
    <xf numFmtId="4" fontId="9" fillId="0" borderId="1" xfId="0" applyNumberFormat="1" applyFont="1" applyFill="1" applyBorder="1" applyAlignment="1">
      <alignment horizontal="center" vertical="center" wrapText="1"/>
    </xf>
    <xf numFmtId="0" fontId="7" fillId="7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" fontId="0" fillId="0" borderId="0" xfId="0" applyNumberFormat="1" applyFont="1" applyFill="1"/>
    <xf numFmtId="0" fontId="0" fillId="0" borderId="0" xfId="0" applyFont="1"/>
    <xf numFmtId="166" fontId="4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1" fontId="4" fillId="0" borderId="1" xfId="0" applyNumberFormat="1" applyFont="1" applyFill="1" applyBorder="1" applyAlignment="1">
      <alignment horizontal="center" vertical="center" wrapText="1" shrinkToFit="1"/>
    </xf>
    <xf numFmtId="1" fontId="4" fillId="0" borderId="1" xfId="0" applyNumberFormat="1" applyFont="1" applyFill="1" applyBorder="1" applyAlignment="1">
      <alignment horizontal="center" vertical="center" shrinkToFit="1"/>
    </xf>
    <xf numFmtId="0" fontId="0" fillId="4" borderId="0" xfId="0" applyFont="1" applyFill="1"/>
    <xf numFmtId="0" fontId="0" fillId="3" borderId="0" xfId="0" applyFont="1" applyFill="1"/>
    <xf numFmtId="0" fontId="17" fillId="4" borderId="0" xfId="0" applyFont="1" applyFill="1"/>
    <xf numFmtId="4" fontId="4" fillId="0" borderId="4" xfId="0" applyNumberFormat="1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left" vertical="center" wrapText="1" shrinkToFit="1"/>
    </xf>
    <xf numFmtId="4" fontId="9" fillId="0" borderId="1" xfId="0" applyNumberFormat="1" applyFont="1" applyFill="1" applyBorder="1" applyAlignment="1">
      <alignment horizontal="left" vertical="center" wrapText="1"/>
    </xf>
    <xf numFmtId="4" fontId="9" fillId="0" borderId="1" xfId="1" applyNumberFormat="1" applyFont="1" applyFill="1" applyBorder="1" applyAlignment="1">
      <alignment horizontal="left" vertical="center" wrapText="1"/>
    </xf>
    <xf numFmtId="4" fontId="9" fillId="0" borderId="4" xfId="1" applyNumberFormat="1" applyFont="1" applyFill="1" applyBorder="1" applyAlignment="1">
      <alignment horizontal="left" vertical="center" wrapText="1"/>
    </xf>
    <xf numFmtId="0" fontId="0" fillId="4" borderId="0" xfId="0" applyFill="1"/>
    <xf numFmtId="0" fontId="15" fillId="4" borderId="0" xfId="0" applyFont="1" applyFill="1"/>
    <xf numFmtId="0" fontId="20" fillId="4" borderId="0" xfId="0" applyFont="1" applyFill="1"/>
    <xf numFmtId="0" fontId="21" fillId="4" borderId="0" xfId="0" applyFont="1" applyFill="1"/>
    <xf numFmtId="0" fontId="22" fillId="4" borderId="0" xfId="0" applyFont="1" applyFill="1" applyAlignment="1">
      <alignment horizontal="center"/>
    </xf>
    <xf numFmtId="0" fontId="24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5" fillId="4" borderId="0" xfId="0" applyFont="1" applyFill="1" applyAlignment="1">
      <alignment horizontal="center"/>
    </xf>
    <xf numFmtId="0" fontId="26" fillId="4" borderId="0" xfId="0" applyFont="1" applyFill="1" applyAlignment="1">
      <alignment horizontal="center"/>
    </xf>
    <xf numFmtId="0" fontId="29" fillId="4" borderId="0" xfId="0" applyFont="1" applyFill="1"/>
    <xf numFmtId="0" fontId="30" fillId="4" borderId="0" xfId="0" applyFont="1" applyFill="1"/>
    <xf numFmtId="0" fontId="0" fillId="0" borderId="0" xfId="0" applyFont="1" applyFill="1" applyAlignment="1"/>
    <xf numFmtId="0" fontId="3" fillId="0" borderId="0" xfId="0" applyFont="1" applyFill="1" applyAlignment="1"/>
    <xf numFmtId="0" fontId="3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9" fillId="4" borderId="0" xfId="0" applyFont="1" applyFill="1"/>
    <xf numFmtId="0" fontId="35" fillId="4" borderId="0" xfId="0" applyFont="1" applyFill="1" applyAlignment="1">
      <alignment horizontal="center"/>
    </xf>
    <xf numFmtId="0" fontId="19" fillId="4" borderId="0" xfId="0" applyFont="1" applyFill="1" applyAlignment="1">
      <alignment vertical="center"/>
    </xf>
    <xf numFmtId="166" fontId="34" fillId="0" borderId="1" xfId="0" applyNumberFormat="1" applyFont="1" applyFill="1" applyBorder="1" applyAlignment="1">
      <alignment horizontal="center" vertical="center"/>
    </xf>
    <xf numFmtId="0" fontId="36" fillId="4" borderId="0" xfId="0" applyFont="1" applyFill="1"/>
    <xf numFmtId="0" fontId="26" fillId="8" borderId="0" xfId="0" applyFont="1" applyFill="1" applyAlignment="1">
      <alignment horizontal="center"/>
    </xf>
    <xf numFmtId="167" fontId="38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0" fillId="0" borderId="0" xfId="0" applyFont="1" applyFill="1"/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12" fillId="0" borderId="0" xfId="0" applyFont="1" applyFill="1"/>
    <xf numFmtId="0" fontId="29" fillId="0" borderId="0" xfId="0" applyFont="1" applyFill="1"/>
    <xf numFmtId="165" fontId="0" fillId="0" borderId="0" xfId="0" applyNumberFormat="1" applyFont="1" applyFill="1" applyBorder="1" applyAlignment="1">
      <alignment horizontal="center" vertical="center" wrapText="1"/>
    </xf>
    <xf numFmtId="165" fontId="41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41" fillId="0" borderId="1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left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31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center" vertical="center" wrapText="1"/>
    </xf>
    <xf numFmtId="166" fontId="6" fillId="0" borderId="1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7" fillId="9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167" fontId="3" fillId="4" borderId="0" xfId="0" applyNumberFormat="1" applyFont="1" applyFill="1"/>
    <xf numFmtId="0" fontId="26" fillId="0" borderId="1" xfId="0" applyFont="1" applyFill="1" applyBorder="1" applyAlignment="1">
      <alignment horizontal="center" vertical="center"/>
    </xf>
    <xf numFmtId="166" fontId="44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 wrapText="1" shrinkToFit="1"/>
    </xf>
    <xf numFmtId="4" fontId="11" fillId="0" borderId="1" xfId="0" applyNumberFormat="1" applyFont="1" applyFill="1" applyBorder="1" applyAlignment="1">
      <alignment horizontal="left" vertical="center" wrapText="1" shrinkToFit="1"/>
    </xf>
    <xf numFmtId="4" fontId="5" fillId="0" borderId="1" xfId="0" applyNumberFormat="1" applyFont="1" applyFill="1" applyBorder="1" applyAlignment="1">
      <alignment horizontal="center" vertical="center" wrapText="1" shrinkToFit="1"/>
    </xf>
    <xf numFmtId="166" fontId="5" fillId="0" borderId="1" xfId="0" applyNumberFormat="1" applyFont="1" applyFill="1" applyBorder="1" applyAlignment="1">
      <alignment horizontal="center" vertical="center" wrapText="1" shrinkToFit="1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3" applyNumberFormat="1" applyFont="1" applyFill="1" applyBorder="1" applyAlignment="1">
      <alignment horizontal="center" vertical="center" wrapText="1"/>
    </xf>
    <xf numFmtId="4" fontId="9" fillId="0" borderId="1" xfId="3" applyNumberFormat="1" applyFont="1" applyFill="1" applyBorder="1" applyAlignment="1">
      <alignment horizontal="left" vertical="center" wrapText="1"/>
    </xf>
    <xf numFmtId="2" fontId="6" fillId="0" borderId="1" xfId="1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left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vertical="center" wrapText="1" shrinkToFit="1"/>
    </xf>
    <xf numFmtId="4" fontId="41" fillId="0" borderId="1" xfId="0" applyNumberFormat="1" applyFont="1" applyFill="1" applyBorder="1" applyAlignment="1">
      <alignment horizontal="left" vertical="center" wrapText="1" shrinkToFit="1"/>
    </xf>
    <xf numFmtId="4" fontId="45" fillId="0" borderId="1" xfId="0" applyNumberFormat="1" applyFont="1" applyFill="1" applyBorder="1" applyAlignment="1">
      <alignment horizontal="center" vertical="center" wrapText="1" shrinkToFit="1"/>
    </xf>
    <xf numFmtId="4" fontId="4" fillId="0" borderId="1" xfId="1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right" vertical="top" wrapText="1"/>
    </xf>
    <xf numFmtId="0" fontId="0" fillId="0" borderId="0" xfId="0" applyBorder="1"/>
    <xf numFmtId="0" fontId="18" fillId="8" borderId="0" xfId="0" applyFont="1" applyFill="1" applyBorder="1" applyAlignment="1">
      <alignment vertical="center" wrapText="1"/>
    </xf>
    <xf numFmtId="0" fontId="18" fillId="6" borderId="0" xfId="0" applyFont="1" applyFill="1" applyBorder="1" applyAlignment="1">
      <alignment vertical="center" wrapText="1"/>
    </xf>
    <xf numFmtId="0" fontId="0" fillId="4" borderId="0" xfId="0" applyFont="1" applyFill="1" applyAlignment="1"/>
    <xf numFmtId="0" fontId="15" fillId="0" borderId="0" xfId="0" applyFont="1" applyFill="1"/>
    <xf numFmtId="0" fontId="3" fillId="0" borderId="6" xfId="0" applyFont="1" applyFill="1" applyBorder="1"/>
    <xf numFmtId="0" fontId="0" fillId="0" borderId="6" xfId="0" applyFont="1" applyFill="1" applyBorder="1"/>
    <xf numFmtId="0" fontId="48" fillId="4" borderId="0" xfId="0" applyFont="1" applyFill="1"/>
    <xf numFmtId="4" fontId="11" fillId="0" borderId="1" xfId="0" applyNumberFormat="1" applyFont="1" applyFill="1" applyBorder="1" applyAlignment="1">
      <alignment vertical="center" wrapText="1" shrinkToFit="1"/>
    </xf>
    <xf numFmtId="0" fontId="11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6" borderId="1" xfId="0" applyFont="1" applyFill="1" applyBorder="1" applyAlignment="1">
      <alignment horizontal="center" vertical="top" wrapText="1"/>
    </xf>
    <xf numFmtId="0" fontId="47" fillId="6" borderId="1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49" fillId="0" borderId="0" xfId="0" applyFont="1"/>
    <xf numFmtId="0" fontId="4" fillId="6" borderId="0" xfId="0" applyFont="1" applyFill="1" applyBorder="1" applyAlignment="1">
      <alignment horizontal="center" vertical="top" wrapText="1"/>
    </xf>
    <xf numFmtId="0" fontId="26" fillId="0" borderId="5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left" vertical="center" wrapText="1"/>
    </xf>
    <xf numFmtId="0" fontId="21" fillId="4" borderId="0" xfId="0" applyFont="1" applyFill="1" applyBorder="1"/>
    <xf numFmtId="0" fontId="15" fillId="4" borderId="0" xfId="0" applyFont="1" applyFill="1" applyBorder="1"/>
    <xf numFmtId="0" fontId="17" fillId="4" borderId="0" xfId="0" applyFont="1" applyFill="1" applyBorder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wrapText="1"/>
    </xf>
    <xf numFmtId="0" fontId="0" fillId="4" borderId="0" xfId="0" applyFont="1" applyFill="1" applyAlignment="1">
      <alignment wrapText="1"/>
    </xf>
    <xf numFmtId="0" fontId="0" fillId="4" borderId="0" xfId="0" applyFont="1" applyFill="1" applyBorder="1" applyAlignment="1">
      <alignment wrapText="1"/>
    </xf>
    <xf numFmtId="0" fontId="3" fillId="0" borderId="0" xfId="0" applyFont="1" applyFill="1" applyBorder="1"/>
    <xf numFmtId="0" fontId="0" fillId="0" borderId="0" xfId="0" applyFont="1" applyFill="1" applyBorder="1"/>
    <xf numFmtId="0" fontId="0" fillId="4" borderId="0" xfId="0" applyFont="1" applyFill="1" applyBorder="1"/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center" vertical="top"/>
    </xf>
    <xf numFmtId="0" fontId="4" fillId="4" borderId="1" xfId="0" applyFont="1" applyFill="1" applyBorder="1" applyAlignment="1">
      <alignment vertical="top" wrapText="1"/>
    </xf>
    <xf numFmtId="0" fontId="14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/>
    </xf>
    <xf numFmtId="2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justify" vertical="center" wrapText="1"/>
    </xf>
    <xf numFmtId="165" fontId="4" fillId="0" borderId="1" xfId="0" applyNumberFormat="1" applyFont="1" applyFill="1" applyBorder="1" applyAlignment="1">
      <alignment horizontal="center" vertical="top" wrapText="1"/>
    </xf>
    <xf numFmtId="3" fontId="39" fillId="0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top" wrapText="1"/>
    </xf>
    <xf numFmtId="0" fontId="53" fillId="0" borderId="0" xfId="0" applyFont="1" applyFill="1"/>
    <xf numFmtId="165" fontId="32" fillId="0" borderId="5" xfId="0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165" fontId="32" fillId="0" borderId="4" xfId="0" applyNumberFormat="1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53" fillId="0" borderId="0" xfId="0" applyFont="1"/>
    <xf numFmtId="169" fontId="52" fillId="0" borderId="8" xfId="0" applyNumberFormat="1" applyFont="1" applyFill="1" applyBorder="1" applyAlignment="1">
      <alignment horizontal="center" vertical="top" wrapText="1"/>
    </xf>
    <xf numFmtId="0" fontId="0" fillId="11" borderId="0" xfId="0" applyFont="1" applyFill="1"/>
    <xf numFmtId="0" fontId="29" fillId="4" borderId="0" xfId="0" applyFont="1" applyFill="1" applyAlignment="1">
      <alignment horizontal="center" wrapText="1"/>
    </xf>
    <xf numFmtId="0" fontId="29" fillId="4" borderId="0" xfId="0" applyFont="1" applyFill="1" applyBorder="1" applyAlignment="1">
      <alignment horizontal="center" wrapText="1"/>
    </xf>
    <xf numFmtId="0" fontId="29" fillId="4" borderId="0" xfId="0" applyFont="1" applyFill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center" vertical="top" wrapText="1"/>
    </xf>
    <xf numFmtId="3" fontId="44" fillId="0" borderId="1" xfId="0" applyNumberFormat="1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left" vertical="center" wrapText="1"/>
    </xf>
    <xf numFmtId="168" fontId="13" fillId="0" borderId="1" xfId="0" applyNumberFormat="1" applyFont="1" applyFill="1" applyBorder="1" applyAlignment="1">
      <alignment horizontal="center" vertical="center"/>
    </xf>
    <xf numFmtId="169" fontId="4" fillId="0" borderId="1" xfId="0" applyNumberFormat="1" applyFont="1" applyFill="1" applyBorder="1" applyAlignment="1">
      <alignment horizontal="center" vertical="top" wrapText="1"/>
    </xf>
    <xf numFmtId="169" fontId="4" fillId="0" borderId="8" xfId="0" applyNumberFormat="1" applyFont="1" applyFill="1" applyBorder="1" applyAlignment="1">
      <alignment horizontal="center" vertical="center" wrapText="1"/>
    </xf>
    <xf numFmtId="169" fontId="52" fillId="0" borderId="8" xfId="0" applyNumberFormat="1" applyFont="1" applyFill="1" applyBorder="1" applyAlignment="1">
      <alignment horizontal="center" vertical="center" wrapText="1"/>
    </xf>
    <xf numFmtId="168" fontId="32" fillId="0" borderId="1" xfId="0" applyNumberFormat="1" applyFont="1" applyFill="1" applyBorder="1" applyAlignment="1">
      <alignment horizontal="center" vertical="center" wrapText="1"/>
    </xf>
    <xf numFmtId="168" fontId="39" fillId="0" borderId="1" xfId="0" applyNumberFormat="1" applyFont="1" applyFill="1" applyBorder="1" applyAlignment="1">
      <alignment horizontal="center" vertical="center"/>
    </xf>
    <xf numFmtId="168" fontId="38" fillId="0" borderId="1" xfId="0" applyNumberFormat="1" applyFont="1" applyFill="1" applyBorder="1" applyAlignment="1">
      <alignment horizontal="center" vertical="center"/>
    </xf>
    <xf numFmtId="167" fontId="3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2" fillId="0" borderId="4" xfId="0" applyFont="1" applyFill="1" applyBorder="1" applyAlignment="1">
      <alignment horizontal="left" vertical="center" wrapText="1"/>
    </xf>
    <xf numFmtId="169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167" fontId="4" fillId="0" borderId="1" xfId="0" applyNumberFormat="1" applyFont="1" applyFill="1" applyBorder="1" applyAlignment="1">
      <alignment horizontal="center" vertical="top" wrapText="1"/>
    </xf>
    <xf numFmtId="168" fontId="44" fillId="0" borderId="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wrapText="1"/>
    </xf>
    <xf numFmtId="167" fontId="23" fillId="0" borderId="1" xfId="9" applyNumberFormat="1" applyFont="1" applyFill="1" applyBorder="1" applyAlignment="1">
      <alignment horizontal="center" vertical="center" wrapText="1"/>
    </xf>
    <xf numFmtId="166" fontId="14" fillId="0" borderId="1" xfId="0" applyNumberFormat="1" applyFont="1" applyFill="1" applyBorder="1" applyAlignment="1">
      <alignment horizontal="center" vertical="center"/>
    </xf>
    <xf numFmtId="3" fontId="38" fillId="0" borderId="1" xfId="0" applyNumberFormat="1" applyFont="1" applyFill="1" applyBorder="1" applyAlignment="1">
      <alignment horizontal="center" vertical="center"/>
    </xf>
    <xf numFmtId="168" fontId="0" fillId="0" borderId="0" xfId="0" applyNumberFormat="1" applyFont="1" applyFill="1"/>
    <xf numFmtId="0" fontId="22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165" fontId="32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37" fillId="0" borderId="0" xfId="0" applyFont="1" applyFill="1" applyBorder="1"/>
    <xf numFmtId="2" fontId="9" fillId="0" borderId="1" xfId="1" applyNumberFormat="1" applyFont="1" applyFill="1" applyBorder="1" applyAlignment="1">
      <alignment horizontal="left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0" fillId="5" borderId="0" xfId="0" applyFont="1" applyFill="1" applyAlignment="1">
      <alignment horizontal="center" vertical="center"/>
    </xf>
    <xf numFmtId="0" fontId="0" fillId="0" borderId="0" xfId="0" applyFont="1" applyFill="1" applyAlignment="1">
      <alignment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7" borderId="0" xfId="0" applyFont="1" applyFill="1"/>
    <xf numFmtId="0" fontId="0" fillId="2" borderId="0" xfId="0" applyFont="1" applyFill="1"/>
    <xf numFmtId="4" fontId="56" fillId="0" borderId="0" xfId="0" applyNumberFormat="1" applyFont="1" applyFill="1"/>
    <xf numFmtId="0" fontId="56" fillId="0" borderId="0" xfId="0" applyFont="1" applyFill="1"/>
    <xf numFmtId="0" fontId="56" fillId="2" borderId="0" xfId="0" applyFont="1" applyFill="1"/>
    <xf numFmtId="0" fontId="3" fillId="7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4" fontId="7" fillId="9" borderId="0" xfId="0" applyNumberFormat="1" applyFont="1" applyFill="1" applyAlignment="1">
      <alignment horizontal="center" vertical="center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 shrinkToFit="1"/>
    </xf>
    <xf numFmtId="3" fontId="4" fillId="0" borderId="1" xfId="0" applyNumberFormat="1" applyFont="1" applyFill="1" applyBorder="1" applyAlignment="1">
      <alignment horizontal="center" vertical="center" shrinkToFit="1"/>
    </xf>
    <xf numFmtId="3" fontId="4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 shrinkToFit="1"/>
    </xf>
    <xf numFmtId="3" fontId="4" fillId="0" borderId="1" xfId="1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 wrapText="1" shrinkToFit="1"/>
    </xf>
    <xf numFmtId="3" fontId="5" fillId="0" borderId="1" xfId="1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3" fontId="32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 wrapText="1" shrinkToFit="1"/>
    </xf>
    <xf numFmtId="3" fontId="4" fillId="0" borderId="4" xfId="1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" fontId="31" fillId="0" borderId="1" xfId="0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 shrinkToFit="1"/>
    </xf>
    <xf numFmtId="3" fontId="38" fillId="0" borderId="1" xfId="4" applyNumberFormat="1" applyFont="1" applyFill="1" applyBorder="1" applyAlignment="1">
      <alignment horizontal="center" vertical="center"/>
    </xf>
    <xf numFmtId="3" fontId="38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/>
    <xf numFmtId="2" fontId="18" fillId="0" borderId="0" xfId="0" applyNumberFormat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horizontal="center" vertical="center" wrapText="1" shrinkToFit="1"/>
    </xf>
    <xf numFmtId="2" fontId="6" fillId="0" borderId="1" xfId="0" applyNumberFormat="1" applyFont="1" applyFill="1" applyBorder="1" applyAlignment="1">
      <alignment horizontal="center" vertical="center" wrapText="1" shrinkToFit="1"/>
    </xf>
    <xf numFmtId="2" fontId="5" fillId="0" borderId="1" xfId="1" applyNumberFormat="1" applyFont="1" applyFill="1" applyBorder="1" applyAlignment="1">
      <alignment horizontal="center" vertical="center" wrapText="1"/>
    </xf>
    <xf numFmtId="2" fontId="2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shrinkToFit="1"/>
    </xf>
    <xf numFmtId="2" fontId="4" fillId="4" borderId="1" xfId="0" applyNumberFormat="1" applyFont="1" applyFill="1" applyBorder="1" applyAlignment="1">
      <alignment horizontal="center" vertical="center" wrapText="1" shrinkToFit="1"/>
    </xf>
    <xf numFmtId="2" fontId="4" fillId="0" borderId="1" xfId="2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 shrinkToFit="1"/>
    </xf>
    <xf numFmtId="2" fontId="4" fillId="0" borderId="4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wrapText="1"/>
    </xf>
    <xf numFmtId="2" fontId="0" fillId="0" borderId="6" xfId="0" applyNumberFormat="1" applyFont="1" applyFill="1" applyBorder="1" applyAlignment="1">
      <alignment wrapText="1"/>
    </xf>
    <xf numFmtId="2" fontId="4" fillId="0" borderId="1" xfId="1" applyNumberFormat="1" applyFont="1" applyFill="1" applyBorder="1" applyAlignment="1">
      <alignment horizontal="center" vertical="center"/>
    </xf>
    <xf numFmtId="2" fontId="4" fillId="0" borderId="4" xfId="1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top" wrapText="1"/>
    </xf>
    <xf numFmtId="4" fontId="57" fillId="0" borderId="1" xfId="0" applyNumberFormat="1" applyFont="1" applyFill="1" applyBorder="1" applyAlignment="1">
      <alignment horizontal="center" vertical="center" wrapText="1" shrinkToFit="1"/>
    </xf>
    <xf numFmtId="4" fontId="58" fillId="0" borderId="1" xfId="0" applyNumberFormat="1" applyFont="1" applyFill="1" applyBorder="1" applyAlignment="1">
      <alignment vertical="center" wrapText="1" shrinkToFit="1"/>
    </xf>
    <xf numFmtId="2" fontId="57" fillId="0" borderId="1" xfId="0" applyNumberFormat="1" applyFont="1" applyFill="1" applyBorder="1" applyAlignment="1">
      <alignment horizontal="center" vertical="center" wrapText="1" shrinkToFit="1"/>
    </xf>
    <xf numFmtId="3" fontId="57" fillId="0" borderId="1" xfId="0" applyNumberFormat="1" applyFont="1" applyFill="1" applyBorder="1" applyAlignment="1">
      <alignment horizontal="center" vertical="center" wrapText="1" shrinkToFit="1"/>
    </xf>
    <xf numFmtId="4" fontId="59" fillId="0" borderId="0" xfId="0" applyNumberFormat="1" applyFont="1" applyFill="1"/>
    <xf numFmtId="4" fontId="59" fillId="2" borderId="0" xfId="0" applyNumberFormat="1" applyFont="1" applyFill="1"/>
    <xf numFmtId="0" fontId="32" fillId="0" borderId="0" xfId="0" applyFont="1" applyFill="1" applyAlignment="1">
      <alignment vertical="center" wrapText="1"/>
    </xf>
    <xf numFmtId="0" fontId="3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3" fontId="38" fillId="0" borderId="5" xfId="4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top" wrapText="1"/>
    </xf>
    <xf numFmtId="169" fontId="4" fillId="4" borderId="1" xfId="0" applyNumberFormat="1" applyFont="1" applyFill="1" applyBorder="1" applyAlignment="1">
      <alignment horizontal="center" vertical="top" wrapText="1"/>
    </xf>
    <xf numFmtId="2" fontId="4" fillId="4" borderId="1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justify" vertical="top"/>
    </xf>
    <xf numFmtId="168" fontId="4" fillId="4" borderId="1" xfId="0" applyNumberFormat="1" applyFont="1" applyFill="1" applyBorder="1" applyAlignment="1">
      <alignment horizontal="center" vertical="top" wrapText="1"/>
    </xf>
    <xf numFmtId="0" fontId="4" fillId="4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/>
    </xf>
    <xf numFmtId="0" fontId="0" fillId="12" borderId="0" xfId="0" applyFont="1" applyFill="1"/>
    <xf numFmtId="0" fontId="60" fillId="0" borderId="1" xfId="0" applyFont="1" applyFill="1" applyBorder="1" applyAlignment="1">
      <alignment horizontal="center" vertical="center"/>
    </xf>
    <xf numFmtId="168" fontId="44" fillId="0" borderId="4" xfId="0" applyNumberFormat="1" applyFont="1" applyFill="1" applyBorder="1" applyAlignment="1">
      <alignment horizontal="center" vertical="center"/>
    </xf>
    <xf numFmtId="168" fontId="13" fillId="0" borderId="5" xfId="0" applyNumberFormat="1" applyFont="1" applyFill="1" applyBorder="1" applyAlignment="1">
      <alignment horizontal="center" vertical="center"/>
    </xf>
    <xf numFmtId="168" fontId="13" fillId="0" borderId="4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168" fontId="38" fillId="0" borderId="5" xfId="0" applyNumberFormat="1" applyFont="1" applyFill="1" applyBorder="1" applyAlignment="1">
      <alignment horizontal="center" vertical="center"/>
    </xf>
    <xf numFmtId="170" fontId="4" fillId="0" borderId="1" xfId="0" applyNumberFormat="1" applyFont="1" applyFill="1" applyBorder="1" applyAlignment="1">
      <alignment horizontal="center" vertical="top" wrapText="1"/>
    </xf>
    <xf numFmtId="0" fontId="63" fillId="0" borderId="1" xfId="0" applyFont="1" applyFill="1" applyBorder="1" applyAlignment="1">
      <alignment horizontal="center" vertical="center" wrapText="1"/>
    </xf>
    <xf numFmtId="0" fontId="65" fillId="6" borderId="1" xfId="0" applyFont="1" applyFill="1" applyBorder="1" applyAlignment="1">
      <alignment horizontal="center" vertical="top" wrapText="1"/>
    </xf>
    <xf numFmtId="2" fontId="64" fillId="0" borderId="1" xfId="0" applyNumberFormat="1" applyFont="1" applyFill="1" applyBorder="1" applyAlignment="1">
      <alignment horizontal="center" vertical="center" wrapText="1" shrinkToFit="1"/>
    </xf>
    <xf numFmtId="3" fontId="64" fillId="0" borderId="1" xfId="0" applyNumberFormat="1" applyFont="1" applyFill="1" applyBorder="1" applyAlignment="1">
      <alignment horizontal="center" vertical="center" wrapText="1" shrinkToFit="1"/>
    </xf>
    <xf numFmtId="4" fontId="64" fillId="0" borderId="1" xfId="0" applyNumberFormat="1" applyFont="1" applyFill="1" applyBorder="1" applyAlignment="1">
      <alignment horizontal="center" vertical="center"/>
    </xf>
    <xf numFmtId="0" fontId="64" fillId="0" borderId="1" xfId="0" applyFont="1" applyFill="1" applyBorder="1" applyAlignment="1">
      <alignment horizontal="left" vertical="center" wrapText="1"/>
    </xf>
    <xf numFmtId="2" fontId="64" fillId="0" borderId="1" xfId="1" applyNumberFormat="1" applyFont="1" applyFill="1" applyBorder="1" applyAlignment="1">
      <alignment horizontal="center" vertical="center" wrapText="1"/>
    </xf>
    <xf numFmtId="3" fontId="64" fillId="0" borderId="1" xfId="1" applyNumberFormat="1" applyFont="1" applyFill="1" applyBorder="1" applyAlignment="1">
      <alignment horizontal="center" vertical="center" wrapText="1"/>
    </xf>
    <xf numFmtId="3" fontId="64" fillId="0" borderId="1" xfId="1" applyNumberFormat="1" applyFont="1" applyFill="1" applyBorder="1" applyAlignment="1">
      <alignment horizontal="center" vertical="center"/>
    </xf>
    <xf numFmtId="2" fontId="64" fillId="0" borderId="1" xfId="1" applyNumberFormat="1" applyFont="1" applyFill="1" applyBorder="1" applyAlignment="1">
      <alignment horizontal="center" vertical="center"/>
    </xf>
    <xf numFmtId="4" fontId="66" fillId="0" borderId="0" xfId="0" applyNumberFormat="1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center"/>
    </xf>
    <xf numFmtId="0" fontId="64" fillId="6" borderId="0" xfId="0" applyFont="1" applyFill="1" applyBorder="1" applyAlignment="1">
      <alignment horizontal="center" vertical="top" wrapText="1"/>
    </xf>
    <xf numFmtId="0" fontId="64" fillId="6" borderId="1" xfId="0" applyFont="1" applyFill="1" applyBorder="1" applyAlignment="1">
      <alignment horizontal="center" vertical="top" wrapText="1"/>
    </xf>
    <xf numFmtId="3" fontId="11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49" fontId="52" fillId="0" borderId="1" xfId="0" applyNumberFormat="1" applyFont="1" applyFill="1" applyBorder="1" applyAlignment="1">
      <alignment horizontal="center" vertical="center"/>
    </xf>
    <xf numFmtId="0" fontId="67" fillId="0" borderId="1" xfId="0" applyFont="1" applyFill="1" applyBorder="1" applyAlignment="1">
      <alignment horizontal="left" vertical="center" wrapText="1"/>
    </xf>
    <xf numFmtId="2" fontId="52" fillId="0" borderId="1" xfId="0" applyNumberFormat="1" applyFont="1" applyFill="1" applyBorder="1" applyAlignment="1">
      <alignment horizontal="center" vertical="center" wrapText="1"/>
    </xf>
    <xf numFmtId="1" fontId="52" fillId="0" borderId="1" xfId="1" applyNumberFormat="1" applyFont="1" applyFill="1" applyBorder="1" applyAlignment="1">
      <alignment horizontal="center" vertical="center" wrapText="1"/>
    </xf>
    <xf numFmtId="2" fontId="52" fillId="0" borderId="1" xfId="1" applyNumberFormat="1" applyFont="1" applyFill="1" applyBorder="1" applyAlignment="1">
      <alignment horizontal="center" vertical="center" wrapText="1"/>
    </xf>
    <xf numFmtId="1" fontId="52" fillId="0" borderId="1" xfId="0" applyNumberFormat="1" applyFont="1" applyFill="1" applyBorder="1" applyAlignment="1">
      <alignment horizontal="center" vertical="center"/>
    </xf>
    <xf numFmtId="2" fontId="67" fillId="0" borderId="1" xfId="0" applyNumberFormat="1" applyFont="1" applyFill="1" applyBorder="1" applyAlignment="1">
      <alignment horizontal="center" vertical="center" wrapText="1"/>
    </xf>
    <xf numFmtId="1" fontId="67" fillId="0" borderId="1" xfId="0" applyNumberFormat="1" applyFont="1" applyFill="1" applyBorder="1" applyAlignment="1">
      <alignment horizontal="center" vertical="center" wrapText="1"/>
    </xf>
    <xf numFmtId="4" fontId="68" fillId="0" borderId="0" xfId="0" applyNumberFormat="1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68" fillId="7" borderId="0" xfId="0" applyFont="1" applyFill="1" applyAlignment="1">
      <alignment horizontal="center" vertical="center"/>
    </xf>
    <xf numFmtId="3" fontId="52" fillId="0" borderId="1" xfId="1" applyNumberFormat="1" applyFont="1" applyFill="1" applyBorder="1" applyAlignment="1">
      <alignment horizontal="center" vertical="center" wrapText="1"/>
    </xf>
    <xf numFmtId="3" fontId="52" fillId="0" borderId="1" xfId="0" applyNumberFormat="1" applyFont="1" applyFill="1" applyBorder="1" applyAlignment="1">
      <alignment horizontal="center" vertical="center"/>
    </xf>
    <xf numFmtId="2" fontId="52" fillId="0" borderId="1" xfId="0" applyNumberFormat="1" applyFont="1" applyFill="1" applyBorder="1" applyAlignment="1">
      <alignment horizontal="center" vertical="center"/>
    </xf>
    <xf numFmtId="2" fontId="67" fillId="0" borderId="1" xfId="1" applyNumberFormat="1" applyFont="1" applyFill="1" applyBorder="1" applyAlignment="1">
      <alignment horizontal="left" vertical="center" wrapText="1"/>
    </xf>
    <xf numFmtId="0" fontId="68" fillId="5" borderId="0" xfId="0" applyFont="1" applyFill="1" applyAlignment="1">
      <alignment horizontal="center" vertical="center"/>
    </xf>
    <xf numFmtId="4" fontId="69" fillId="0" borderId="1" xfId="0" applyNumberFormat="1" applyFont="1" applyFill="1" applyBorder="1" applyAlignment="1">
      <alignment horizontal="center" vertical="center" wrapText="1" shrinkToFit="1"/>
    </xf>
    <xf numFmtId="0" fontId="70" fillId="0" borderId="1" xfId="0" applyFont="1" applyFill="1" applyBorder="1" applyAlignment="1">
      <alignment vertical="center" wrapText="1"/>
    </xf>
    <xf numFmtId="2" fontId="52" fillId="0" borderId="1" xfId="0" applyNumberFormat="1" applyFont="1" applyFill="1" applyBorder="1" applyAlignment="1">
      <alignment horizontal="center" vertical="center" wrapText="1" shrinkToFit="1"/>
    </xf>
    <xf numFmtId="3" fontId="52" fillId="0" borderId="1" xfId="0" applyNumberFormat="1" applyFont="1" applyFill="1" applyBorder="1" applyAlignment="1">
      <alignment horizontal="center" vertical="center" wrapText="1" shrinkToFit="1"/>
    </xf>
    <xf numFmtId="3" fontId="52" fillId="0" borderId="1" xfId="0" applyNumberFormat="1" applyFont="1" applyFill="1" applyBorder="1" applyAlignment="1">
      <alignment horizontal="center" vertical="center" shrinkToFit="1"/>
    </xf>
    <xf numFmtId="2" fontId="52" fillId="0" borderId="1" xfId="0" applyNumberFormat="1" applyFont="1" applyFill="1" applyBorder="1" applyAlignment="1">
      <alignment horizontal="center" vertical="center" shrinkToFit="1"/>
    </xf>
    <xf numFmtId="0" fontId="71" fillId="0" borderId="0" xfId="0" applyFont="1" applyFill="1"/>
    <xf numFmtId="2" fontId="69" fillId="0" borderId="1" xfId="0" applyNumberFormat="1" applyFont="1" applyFill="1" applyBorder="1" applyAlignment="1">
      <alignment horizontal="center" vertical="center" wrapText="1" shrinkToFit="1"/>
    </xf>
    <xf numFmtId="3" fontId="69" fillId="0" borderId="1" xfId="0" applyNumberFormat="1" applyFont="1" applyFill="1" applyBorder="1" applyAlignment="1">
      <alignment horizontal="center" vertical="center" wrapText="1" shrinkToFit="1"/>
    </xf>
    <xf numFmtId="4" fontId="52" fillId="0" borderId="1" xfId="0" applyNumberFormat="1" applyFont="1" applyFill="1" applyBorder="1" applyAlignment="1">
      <alignment horizontal="center" vertical="center" wrapText="1" shrinkToFit="1"/>
    </xf>
    <xf numFmtId="0" fontId="67" fillId="0" borderId="1" xfId="0" applyFont="1" applyFill="1" applyBorder="1" applyAlignment="1">
      <alignment vertical="center" wrapText="1"/>
    </xf>
    <xf numFmtId="0" fontId="72" fillId="0" borderId="1" xfId="0" applyFont="1" applyFill="1" applyBorder="1" applyAlignment="1">
      <alignment horizontal="center" vertical="center" wrapText="1"/>
    </xf>
    <xf numFmtId="3" fontId="73" fillId="0" borderId="1" xfId="0" applyNumberFormat="1" applyFont="1" applyFill="1" applyBorder="1" applyAlignment="1">
      <alignment horizontal="center" vertical="center"/>
    </xf>
    <xf numFmtId="3" fontId="74" fillId="0" borderId="1" xfId="4" applyNumberFormat="1" applyFont="1" applyFill="1" applyBorder="1" applyAlignment="1">
      <alignment horizontal="center" vertical="center"/>
    </xf>
    <xf numFmtId="3" fontId="74" fillId="0" borderId="1" xfId="0" applyNumberFormat="1" applyFont="1" applyFill="1" applyBorder="1" applyAlignment="1">
      <alignment horizontal="center" vertical="center" wrapText="1"/>
    </xf>
    <xf numFmtId="3" fontId="74" fillId="0" borderId="1" xfId="0" applyNumberFormat="1" applyFont="1" applyFill="1" applyBorder="1" applyAlignment="1">
      <alignment horizontal="center" vertical="center"/>
    </xf>
    <xf numFmtId="0" fontId="76" fillId="4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 shrinkToFit="1"/>
    </xf>
    <xf numFmtId="0" fontId="72" fillId="0" borderId="5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top" wrapText="1"/>
    </xf>
    <xf numFmtId="168" fontId="4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3" fontId="39" fillId="0" borderId="5" xfId="0" applyNumberFormat="1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17" fillId="0" borderId="0" xfId="0" applyFont="1" applyFill="1"/>
    <xf numFmtId="0" fontId="30" fillId="0" borderId="0" xfId="0" applyFont="1" applyFill="1"/>
    <xf numFmtId="0" fontId="27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36" fillId="0" borderId="0" xfId="0" applyFont="1" applyFill="1"/>
    <xf numFmtId="0" fontId="19" fillId="0" borderId="0" xfId="0" applyFont="1" applyFill="1"/>
    <xf numFmtId="4" fontId="36" fillId="0" borderId="0" xfId="0" applyNumberFormat="1" applyFont="1" applyFill="1"/>
    <xf numFmtId="3" fontId="36" fillId="0" borderId="0" xfId="0" applyNumberFormat="1" applyFont="1" applyFill="1"/>
    <xf numFmtId="4" fontId="75" fillId="0" borderId="0" xfId="0" applyNumberFormat="1" applyFont="1" applyFill="1"/>
    <xf numFmtId="3" fontId="75" fillId="0" borderId="0" xfId="0" applyNumberFormat="1" applyFont="1" applyFill="1"/>
    <xf numFmtId="0" fontId="21" fillId="0" borderId="0" xfId="0" applyFont="1" applyFill="1"/>
    <xf numFmtId="0" fontId="48" fillId="0" borderId="0" xfId="0" applyFont="1" applyFill="1"/>
    <xf numFmtId="0" fontId="52" fillId="0" borderId="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66" fontId="81" fillId="0" borderId="0" xfId="0" applyNumberFormat="1" applyFont="1" applyFill="1"/>
    <xf numFmtId="166" fontId="61" fillId="0" borderId="1" xfId="0" applyNumberFormat="1" applyFont="1" applyFill="1" applyBorder="1" applyAlignment="1">
      <alignment horizontal="center" vertical="center"/>
    </xf>
    <xf numFmtId="168" fontId="44" fillId="0" borderId="8" xfId="0" applyNumberFormat="1" applyFont="1" applyFill="1" applyBorder="1" applyAlignment="1">
      <alignment horizontal="center" vertical="center"/>
    </xf>
    <xf numFmtId="168" fontId="13" fillId="0" borderId="8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165" fontId="82" fillId="0" borderId="1" xfId="0" applyNumberFormat="1" applyFont="1" applyBorder="1" applyAlignment="1">
      <alignment horizontal="center" vertical="center" wrapText="1"/>
    </xf>
    <xf numFmtId="2" fontId="82" fillId="0" borderId="1" xfId="0" applyNumberFormat="1" applyFont="1" applyBorder="1" applyAlignment="1">
      <alignment horizontal="center" vertical="center" wrapText="1"/>
    </xf>
    <xf numFmtId="0" fontId="82" fillId="0" borderId="1" xfId="0" applyFont="1" applyFill="1" applyBorder="1" applyAlignment="1">
      <alignment horizontal="center" vertical="center" wrapText="1"/>
    </xf>
    <xf numFmtId="0" fontId="82" fillId="0" borderId="1" xfId="0" applyFont="1" applyBorder="1" applyAlignment="1">
      <alignment horizontal="center" vertical="center" wrapText="1"/>
    </xf>
    <xf numFmtId="0" fontId="0" fillId="0" borderId="6" xfId="0" applyFont="1" applyBorder="1"/>
    <xf numFmtId="1" fontId="4" fillId="0" borderId="1" xfId="0" applyNumberFormat="1" applyFont="1" applyFill="1" applyBorder="1" applyAlignment="1">
      <alignment horizontal="center" vertical="center" wrapText="1"/>
    </xf>
    <xf numFmtId="168" fontId="4" fillId="4" borderId="1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15" borderId="0" xfId="0" applyFill="1"/>
    <xf numFmtId="3" fontId="6" fillId="15" borderId="1" xfId="1" applyNumberFormat="1" applyFont="1" applyFill="1" applyBorder="1" applyAlignment="1">
      <alignment horizontal="center" vertical="center" wrapText="1"/>
    </xf>
    <xf numFmtId="2" fontId="84" fillId="0" borderId="1" xfId="0" applyNumberFormat="1" applyFont="1" applyFill="1" applyBorder="1" applyAlignment="1">
      <alignment horizontal="center" vertical="center" wrapText="1"/>
    </xf>
    <xf numFmtId="0" fontId="53" fillId="4" borderId="0" xfId="0" applyFont="1" applyFill="1"/>
    <xf numFmtId="2" fontId="4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67" fillId="0" borderId="1" xfId="0" applyFont="1" applyBorder="1" applyAlignment="1">
      <alignment horizontal="center" vertical="center" wrapText="1"/>
    </xf>
    <xf numFmtId="0" fontId="0" fillId="0" borderId="3" xfId="0" applyFont="1" applyFill="1" applyBorder="1"/>
    <xf numFmtId="0" fontId="3" fillId="0" borderId="3" xfId="0" applyFont="1" applyFill="1" applyBorder="1"/>
    <xf numFmtId="168" fontId="44" fillId="0" borderId="8" xfId="0" applyNumberFormat="1" applyFont="1" applyFill="1" applyBorder="1" applyAlignment="1">
      <alignment vertical="center"/>
    </xf>
    <xf numFmtId="168" fontId="44" fillId="0" borderId="4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top" wrapText="1"/>
    </xf>
    <xf numFmtId="49" fontId="3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15" xfId="0" applyFont="1" applyBorder="1" applyAlignment="1">
      <alignment horizontal="left" wrapText="1"/>
    </xf>
    <xf numFmtId="0" fontId="14" fillId="10" borderId="1" xfId="0" applyFont="1" applyFill="1" applyBorder="1" applyAlignment="1">
      <alignment wrapText="1"/>
    </xf>
    <xf numFmtId="0" fontId="0" fillId="10" borderId="1" xfId="0" applyFont="1" applyFill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/>
    </xf>
    <xf numFmtId="168" fontId="13" fillId="0" borderId="5" xfId="0" applyNumberFormat="1" applyFont="1" applyFill="1" applyBorder="1" applyAlignment="1">
      <alignment horizontal="center" vertical="center"/>
    </xf>
    <xf numFmtId="168" fontId="13" fillId="0" borderId="8" xfId="0" applyNumberFormat="1" applyFont="1" applyFill="1" applyBorder="1" applyAlignment="1">
      <alignment horizontal="center" vertical="center"/>
    </xf>
    <xf numFmtId="168" fontId="13" fillId="0" borderId="4" xfId="0" applyNumberFormat="1" applyFont="1" applyFill="1" applyBorder="1" applyAlignment="1">
      <alignment horizontal="center" vertical="center"/>
    </xf>
    <xf numFmtId="167" fontId="44" fillId="0" borderId="5" xfId="0" applyNumberFormat="1" applyFont="1" applyFill="1" applyBorder="1" applyAlignment="1">
      <alignment horizontal="center" vertical="center"/>
    </xf>
    <xf numFmtId="167" fontId="44" fillId="0" borderId="8" xfId="0" applyNumberFormat="1" applyFont="1" applyFill="1" applyBorder="1" applyAlignment="1">
      <alignment horizontal="center" vertical="center"/>
    </xf>
    <xf numFmtId="167" fontId="44" fillId="0" borderId="4" xfId="0" applyNumberFormat="1" applyFont="1" applyFill="1" applyBorder="1" applyAlignment="1">
      <alignment horizontal="center" vertical="center"/>
    </xf>
    <xf numFmtId="168" fontId="44" fillId="0" borderId="5" xfId="0" applyNumberFormat="1" applyFont="1" applyFill="1" applyBorder="1" applyAlignment="1">
      <alignment horizontal="center" vertical="center"/>
    </xf>
    <xf numFmtId="168" fontId="44" fillId="0" borderId="8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168" fontId="44" fillId="0" borderId="4" xfId="0" applyNumberFormat="1" applyFont="1" applyFill="1" applyBorder="1" applyAlignment="1">
      <alignment horizontal="center" vertical="center"/>
    </xf>
    <xf numFmtId="0" fontId="23" fillId="0" borderId="1" xfId="6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0" fontId="54" fillId="0" borderId="6" xfId="0" applyFont="1" applyFill="1" applyBorder="1" applyAlignment="1">
      <alignment horizontal="center" vertical="center" wrapText="1"/>
    </xf>
    <xf numFmtId="0" fontId="55" fillId="0" borderId="6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68" fontId="44" fillId="0" borderId="12" xfId="0" applyNumberFormat="1" applyFont="1" applyFill="1" applyBorder="1" applyAlignment="1">
      <alignment horizontal="center" vertical="center"/>
    </xf>
    <xf numFmtId="168" fontId="44" fillId="0" borderId="13" xfId="0" applyNumberFormat="1" applyFont="1" applyFill="1" applyBorder="1" applyAlignment="1">
      <alignment horizontal="center" vertical="center"/>
    </xf>
    <xf numFmtId="168" fontId="44" fillId="0" borderId="14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wrapText="1"/>
    </xf>
    <xf numFmtId="2" fontId="8" fillId="0" borderId="7" xfId="1" applyNumberFormat="1" applyFont="1" applyFill="1" applyBorder="1" applyAlignment="1">
      <alignment horizontal="left" vertical="center" wrapText="1"/>
    </xf>
    <xf numFmtId="2" fontId="8" fillId="0" borderId="3" xfId="1" applyNumberFormat="1" applyFont="1" applyFill="1" applyBorder="1" applyAlignment="1">
      <alignment horizontal="left" vertical="center" wrapText="1"/>
    </xf>
    <xf numFmtId="2" fontId="8" fillId="0" borderId="2" xfId="1" applyNumberFormat="1" applyFont="1" applyFill="1" applyBorder="1" applyAlignment="1">
      <alignment horizontal="left" vertical="center" wrapText="1"/>
    </xf>
    <xf numFmtId="4" fontId="8" fillId="0" borderId="1" xfId="1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left" vertical="center" wrapText="1"/>
    </xf>
    <xf numFmtId="165" fontId="8" fillId="0" borderId="7" xfId="1" applyNumberFormat="1" applyFont="1" applyFill="1" applyBorder="1" applyAlignment="1">
      <alignment horizontal="left" vertical="center" wrapText="1"/>
    </xf>
    <xf numFmtId="165" fontId="8" fillId="0" borderId="3" xfId="1" applyNumberFormat="1" applyFont="1" applyFill="1" applyBorder="1" applyAlignment="1">
      <alignment horizontal="left" vertical="center" wrapText="1"/>
    </xf>
    <xf numFmtId="165" fontId="8" fillId="0" borderId="2" xfId="1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33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3" fontId="38" fillId="0" borderId="5" xfId="0" applyNumberFormat="1" applyFont="1" applyFill="1" applyBorder="1" applyAlignment="1">
      <alignment horizontal="center" vertical="center"/>
    </xf>
    <xf numFmtId="3" fontId="38" fillId="0" borderId="4" xfId="0" applyNumberFormat="1" applyFont="1" applyFill="1" applyBorder="1" applyAlignment="1">
      <alignment horizontal="center" vertical="center"/>
    </xf>
    <xf numFmtId="3" fontId="39" fillId="0" borderId="5" xfId="0" applyNumberFormat="1" applyFont="1" applyFill="1" applyBorder="1" applyAlignment="1">
      <alignment horizontal="center" vertical="center"/>
    </xf>
    <xf numFmtId="3" fontId="39" fillId="0" borderId="4" xfId="0" applyNumberFormat="1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77" fillId="0" borderId="1" xfId="0" applyFont="1" applyFill="1" applyBorder="1" applyAlignment="1">
      <alignment horizontal="center" vertical="center"/>
    </xf>
    <xf numFmtId="0" fontId="8" fillId="0" borderId="7" xfId="6" applyFont="1" applyFill="1" applyBorder="1" applyAlignment="1">
      <alignment horizontal="center" vertical="center" wrapText="1"/>
    </xf>
    <xf numFmtId="0" fontId="8" fillId="0" borderId="3" xfId="6" applyFont="1" applyFill="1" applyBorder="1" applyAlignment="1">
      <alignment horizontal="center" vertical="center" wrapText="1"/>
    </xf>
    <xf numFmtId="0" fontId="8" fillId="0" borderId="2" xfId="6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79" fillId="13" borderId="1" xfId="0" applyFont="1" applyFill="1" applyBorder="1" applyAlignment="1">
      <alignment horizontal="center" vertical="center" wrapText="1"/>
    </xf>
    <xf numFmtId="0" fontId="80" fillId="0" borderId="7" xfId="0" applyFont="1" applyFill="1" applyBorder="1" applyAlignment="1">
      <alignment horizontal="left" vertical="center" wrapText="1"/>
    </xf>
    <xf numFmtId="0" fontId="80" fillId="0" borderId="3" xfId="0" applyFont="1" applyFill="1" applyBorder="1" applyAlignment="1">
      <alignment horizontal="left" vertical="center" wrapText="1"/>
    </xf>
    <xf numFmtId="0" fontId="80" fillId="0" borderId="2" xfId="0" applyFont="1" applyFill="1" applyBorder="1" applyAlignment="1">
      <alignment horizontal="left" vertical="center" wrapText="1"/>
    </xf>
    <xf numFmtId="0" fontId="79" fillId="13" borderId="7" xfId="0" applyFont="1" applyFill="1" applyBorder="1" applyAlignment="1">
      <alignment horizontal="center" vertical="center" wrapText="1"/>
    </xf>
    <xf numFmtId="0" fontId="79" fillId="13" borderId="3" xfId="0" applyFont="1" applyFill="1" applyBorder="1" applyAlignment="1">
      <alignment horizontal="center" vertical="center" wrapText="1"/>
    </xf>
    <xf numFmtId="0" fontId="79" fillId="13" borderId="2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42" fillId="0" borderId="6" xfId="0" applyFont="1" applyFill="1" applyBorder="1" applyAlignment="1">
      <alignment horizontal="center" vertical="center" wrapText="1"/>
    </xf>
    <xf numFmtId="0" fontId="43" fillId="0" borderId="6" xfId="0" applyFont="1" applyFill="1" applyBorder="1" applyAlignment="1"/>
    <xf numFmtId="0" fontId="14" fillId="0" borderId="5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77" fillId="0" borderId="1" xfId="0" applyFont="1" applyFill="1" applyBorder="1" applyAlignment="1">
      <alignment horizontal="center" vertical="center" wrapText="1"/>
    </xf>
    <xf numFmtId="0" fontId="78" fillId="0" borderId="1" xfId="0" applyFont="1" applyFill="1" applyBorder="1" applyAlignment="1">
      <alignment horizontal="center" vertical="center" wrapText="1"/>
    </xf>
    <xf numFmtId="0" fontId="80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8" fillId="13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/>
    </xf>
    <xf numFmtId="0" fontId="23" fillId="0" borderId="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46" fillId="8" borderId="0" xfId="0" applyFont="1" applyFill="1" applyBorder="1" applyAlignment="1">
      <alignment horizontal="left" vertical="center" wrapText="1"/>
    </xf>
    <xf numFmtId="0" fontId="46" fillId="6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6" fillId="4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5" fillId="4" borderId="1" xfId="0" applyFont="1" applyFill="1" applyBorder="1" applyAlignment="1">
      <alignment horizontal="left" vertical="top" wrapText="1"/>
    </xf>
    <xf numFmtId="0" fontId="8" fillId="14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vertical="top"/>
    </xf>
    <xf numFmtId="0" fontId="0" fillId="0" borderId="5" xfId="0" applyFont="1" applyFill="1" applyBorder="1" applyAlignment="1">
      <alignment horizontal="center" vertical="top"/>
    </xf>
    <xf numFmtId="0" fontId="0" fillId="0" borderId="8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0" fontId="4" fillId="0" borderId="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 wrapText="1"/>
    </xf>
    <xf numFmtId="0" fontId="8" fillId="1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wrapText="1"/>
    </xf>
    <xf numFmtId="0" fontId="10" fillId="0" borderId="0" xfId="0" applyFont="1" applyAlignment="1">
      <alignment horizontal="center" wrapText="1"/>
    </xf>
    <xf numFmtId="0" fontId="32" fillId="4" borderId="0" xfId="0" applyFont="1" applyFill="1" applyBorder="1" applyAlignment="1">
      <alignment horizontal="center" vertical="top" wrapText="1"/>
    </xf>
    <xf numFmtId="3" fontId="62" fillId="0" borderId="5" xfId="0" applyNumberFormat="1" applyFont="1" applyFill="1" applyBorder="1" applyAlignment="1">
      <alignment horizontal="center" vertical="center"/>
    </xf>
    <xf numFmtId="3" fontId="62" fillId="0" borderId="4" xfId="0" applyNumberFormat="1" applyFont="1" applyFill="1" applyBorder="1" applyAlignment="1">
      <alignment horizontal="center" vertical="center"/>
    </xf>
    <xf numFmtId="3" fontId="61" fillId="0" borderId="5" xfId="0" applyNumberFormat="1" applyFont="1" applyFill="1" applyBorder="1" applyAlignment="1">
      <alignment horizontal="center" vertical="center"/>
    </xf>
    <xf numFmtId="3" fontId="61" fillId="0" borderId="4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168" fontId="4" fillId="0" borderId="5" xfId="0" applyNumberFormat="1" applyFont="1" applyFill="1" applyBorder="1" applyAlignment="1">
      <alignment horizontal="center" vertical="top" wrapText="1"/>
    </xf>
    <xf numFmtId="168" fontId="4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/>
    <xf numFmtId="0" fontId="4" fillId="0" borderId="4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center" wrapText="1"/>
    </xf>
    <xf numFmtId="168" fontId="4" fillId="0" borderId="4" xfId="0" applyNumberFormat="1" applyFont="1" applyFill="1" applyBorder="1" applyAlignment="1">
      <alignment horizontal="center" vertical="center" wrapText="1"/>
    </xf>
  </cellXfs>
  <cellStyles count="11">
    <cellStyle name="Обычный" xfId="0" builtinId="0"/>
    <cellStyle name="Обычный 2" xfId="1" xr:uid="{00000000-0005-0000-0000-000001000000}"/>
    <cellStyle name="Обычный 2 2" xfId="7" xr:uid="{00000000-0005-0000-0000-000002000000}"/>
    <cellStyle name="Обычный 2 3" xfId="8" xr:uid="{00000000-0005-0000-0000-000003000000}"/>
    <cellStyle name="Обычный 3" xfId="2" xr:uid="{00000000-0005-0000-0000-000004000000}"/>
    <cellStyle name="Обычный 4" xfId="3" xr:uid="{00000000-0005-0000-0000-000005000000}"/>
    <cellStyle name="Обычный_Лист1" xfId="6" xr:uid="{00000000-0005-0000-0000-000006000000}"/>
    <cellStyle name="Финансовый" xfId="4" builtinId="3"/>
    <cellStyle name="Финансовый 2" xfId="5" xr:uid="{00000000-0005-0000-0000-000008000000}"/>
    <cellStyle name="Финансовый 3" xfId="9" xr:uid="{00000000-0005-0000-0000-000009000000}"/>
    <cellStyle name="Финансовый 4" xfId="10" xr:uid="{00000000-0005-0000-0000-00000A000000}"/>
  </cellStyles>
  <dxfs count="0"/>
  <tableStyles count="0" defaultTableStyle="TableStyleMedium2" defaultPivotStyle="PivotStyleLight16"/>
  <colors>
    <mruColors>
      <color rgb="FFFFFF00"/>
      <color rgb="FFFFFF66"/>
      <color rgb="FFFFFFCC"/>
      <color rgb="FFF9B67F"/>
      <color rgb="FFFFFF99"/>
      <color rgb="FFFF9933"/>
      <color rgb="FFFFCC66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87;&#1088;&#1080;&#1083;&#1086;&#1078;&#1077;&#1085;&#1080;&#1103;%2024.03.21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3;.&#1087;&#1086;&#1095;&#1090;&#1072;/&#1054;&#1058;&#1063;&#1045;&#1058;&#1067;%20&#1069;&#1050;&#1054;&#1053;&#1054;&#1052;&#1048;&#1057;&#1058;&#1067;/&#1055;&#1088;&#1086;&#1075;&#1088;&#1072;&#1084;&#1084;&#1072;/&#1055;&#1088;&#1086;&#1077;&#1082;&#1090;&#1099;%20&#1087;&#1086;&#1089;&#1090;&#1072;&#1085;&#1086;&#1074;&#1083;&#1077;&#1085;&#1080;&#1081;/&#1055;&#1088;&#1086;&#1075;&#1088;&#1072;&#1084;&#1084;&#1072;%202021-2025/&#1059;&#1090;&#1074;&#1077;&#1088;&#1076;&#1080;&#1083;&#1080;%20&#1085;&#1072;%20&#1044;&#1059;&#1052;&#1077;%20(&#1079;&#1072;&#1087;&#1091;&#1089;&#1082;&#1072;&#1077;&#1084;%20&#1087;&#1088;&#1086;&#1077;&#1082;&#1090;%20&#1087;&#1086;&#1089;&#1090;&#1072;&#1085;&#1086;&#1074;&#1083;&#1077;&#1085;&#1080;&#1103;)/&#1059;&#1090;&#1074;.&#1087;&#1088;&#1080;&#1083;&#1086;&#1078;&#1077;&#1085;&#1080;&#1103;%2021-25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конеч.рез."/>
      <sheetName val="2.переченьПБДД"/>
      <sheetName val="3.переченьМРАД"/>
      <sheetName val="4.меропр."/>
      <sheetName val="5.индик."/>
      <sheetName val="Лист1"/>
    </sheetNames>
    <sheetDataSet>
      <sheetData sheetId="0" refreshError="1"/>
      <sheetData sheetId="1" refreshError="1"/>
      <sheetData sheetId="2" refreshError="1">
        <row r="96">
          <cell r="G96">
            <v>0</v>
          </cell>
          <cell r="Q96">
            <v>0</v>
          </cell>
          <cell r="V96">
            <v>0</v>
          </cell>
          <cell r="AA96">
            <v>0</v>
          </cell>
        </row>
        <row r="215">
          <cell r="G215">
            <v>0</v>
          </cell>
          <cell r="L215">
            <v>0</v>
          </cell>
          <cell r="Q215">
            <v>0</v>
          </cell>
          <cell r="V215">
            <v>0</v>
          </cell>
          <cell r="W215">
            <v>0</v>
          </cell>
          <cell r="X215">
            <v>0</v>
          </cell>
          <cell r="AA215">
            <v>0</v>
          </cell>
          <cell r="AB215">
            <v>0</v>
          </cell>
          <cell r="AC215">
            <v>0</v>
          </cell>
        </row>
        <row r="216">
          <cell r="G216">
            <v>0</v>
          </cell>
          <cell r="L216">
            <v>0</v>
          </cell>
          <cell r="Q216">
            <v>0</v>
          </cell>
          <cell r="V216">
            <v>0</v>
          </cell>
          <cell r="W216">
            <v>0</v>
          </cell>
          <cell r="X216">
            <v>0</v>
          </cell>
          <cell r="AA216">
            <v>0</v>
          </cell>
          <cell r="AB216">
            <v>0</v>
          </cell>
          <cell r="AC216">
            <v>0</v>
          </cell>
        </row>
        <row r="217">
          <cell r="G217">
            <v>0</v>
          </cell>
          <cell r="L217">
            <v>0</v>
          </cell>
          <cell r="Q217">
            <v>0</v>
          </cell>
          <cell r="V217">
            <v>0</v>
          </cell>
          <cell r="W217">
            <v>0</v>
          </cell>
          <cell r="X217">
            <v>0</v>
          </cell>
          <cell r="AA217">
            <v>0</v>
          </cell>
          <cell r="AB217">
            <v>0</v>
          </cell>
          <cell r="AC217">
            <v>0</v>
          </cell>
        </row>
        <row r="218">
          <cell r="G218">
            <v>0</v>
          </cell>
          <cell r="L218">
            <v>0</v>
          </cell>
          <cell r="Q218">
            <v>0</v>
          </cell>
          <cell r="V218">
            <v>0</v>
          </cell>
          <cell r="W218">
            <v>0</v>
          </cell>
          <cell r="X218">
            <v>0</v>
          </cell>
          <cell r="AA218">
            <v>0</v>
          </cell>
          <cell r="AB218">
            <v>0</v>
          </cell>
          <cell r="AC218">
            <v>0</v>
          </cell>
        </row>
        <row r="219">
          <cell r="G219">
            <v>0</v>
          </cell>
          <cell r="L219">
            <v>0</v>
          </cell>
          <cell r="Q219">
            <v>0</v>
          </cell>
          <cell r="V219">
            <v>0</v>
          </cell>
          <cell r="W219">
            <v>0</v>
          </cell>
          <cell r="X219">
            <v>0</v>
          </cell>
          <cell r="AA219">
            <v>0</v>
          </cell>
          <cell r="AB219">
            <v>0</v>
          </cell>
          <cell r="AC219">
            <v>0</v>
          </cell>
        </row>
        <row r="220">
          <cell r="G220">
            <v>0</v>
          </cell>
          <cell r="L220">
            <v>0</v>
          </cell>
          <cell r="Q220">
            <v>0</v>
          </cell>
          <cell r="V220">
            <v>0</v>
          </cell>
          <cell r="W220">
            <v>0</v>
          </cell>
          <cell r="X220">
            <v>0</v>
          </cell>
          <cell r="AA220">
            <v>0</v>
          </cell>
          <cell r="AB220">
            <v>0</v>
          </cell>
          <cell r="AC220">
            <v>0</v>
          </cell>
        </row>
        <row r="221">
          <cell r="G221">
            <v>0</v>
          </cell>
          <cell r="L221">
            <v>0</v>
          </cell>
          <cell r="Q221">
            <v>0</v>
          </cell>
          <cell r="V221">
            <v>0</v>
          </cell>
          <cell r="W221">
            <v>0</v>
          </cell>
          <cell r="X221">
            <v>0</v>
          </cell>
          <cell r="AA221">
            <v>0</v>
          </cell>
          <cell r="AB221">
            <v>0</v>
          </cell>
          <cell r="AC221">
            <v>0</v>
          </cell>
        </row>
        <row r="222">
          <cell r="G222">
            <v>0</v>
          </cell>
          <cell r="L222">
            <v>0</v>
          </cell>
          <cell r="Q222">
            <v>0</v>
          </cell>
          <cell r="V222">
            <v>0</v>
          </cell>
          <cell r="W222">
            <v>0</v>
          </cell>
          <cell r="X222">
            <v>0</v>
          </cell>
          <cell r="AA222">
            <v>0</v>
          </cell>
          <cell r="AB222">
            <v>0</v>
          </cell>
          <cell r="AC222">
            <v>0</v>
          </cell>
        </row>
        <row r="223">
          <cell r="G223">
            <v>0</v>
          </cell>
          <cell r="L223">
            <v>0</v>
          </cell>
          <cell r="Q223">
            <v>0</v>
          </cell>
          <cell r="V223">
            <v>0</v>
          </cell>
          <cell r="W223">
            <v>0</v>
          </cell>
          <cell r="X223">
            <v>0</v>
          </cell>
          <cell r="AA223">
            <v>0</v>
          </cell>
          <cell r="AB223">
            <v>0</v>
          </cell>
          <cell r="AC223">
            <v>0</v>
          </cell>
        </row>
        <row r="224">
          <cell r="G224">
            <v>0</v>
          </cell>
          <cell r="L224">
            <v>0</v>
          </cell>
          <cell r="Q224">
            <v>0</v>
          </cell>
          <cell r="V224">
            <v>0</v>
          </cell>
          <cell r="W224">
            <v>0</v>
          </cell>
          <cell r="X224">
            <v>0</v>
          </cell>
          <cell r="AA224">
            <v>0</v>
          </cell>
          <cell r="AB224">
            <v>0</v>
          </cell>
          <cell r="AC224">
            <v>0</v>
          </cell>
        </row>
        <row r="225">
          <cell r="G225">
            <v>0</v>
          </cell>
          <cell r="L225">
            <v>0</v>
          </cell>
          <cell r="Q225">
            <v>0</v>
          </cell>
          <cell r="V225">
            <v>0</v>
          </cell>
          <cell r="W225">
            <v>0</v>
          </cell>
          <cell r="X225">
            <v>0</v>
          </cell>
          <cell r="AA225">
            <v>0</v>
          </cell>
          <cell r="AB225">
            <v>0</v>
          </cell>
          <cell r="AC225">
            <v>0</v>
          </cell>
        </row>
        <row r="226">
          <cell r="G226">
            <v>0</v>
          </cell>
          <cell r="L226">
            <v>0</v>
          </cell>
          <cell r="Q226">
            <v>0</v>
          </cell>
          <cell r="V226">
            <v>0</v>
          </cell>
          <cell r="W226">
            <v>0</v>
          </cell>
          <cell r="X226">
            <v>0</v>
          </cell>
          <cell r="AA226">
            <v>0</v>
          </cell>
          <cell r="AB226">
            <v>0</v>
          </cell>
          <cell r="AC226">
            <v>0</v>
          </cell>
        </row>
        <row r="227">
          <cell r="G227">
            <v>0</v>
          </cell>
          <cell r="L227">
            <v>0</v>
          </cell>
          <cell r="Q227">
            <v>0</v>
          </cell>
          <cell r="V227">
            <v>0</v>
          </cell>
          <cell r="W227">
            <v>0</v>
          </cell>
          <cell r="X227">
            <v>0</v>
          </cell>
          <cell r="AA227">
            <v>0</v>
          </cell>
          <cell r="AB227">
            <v>0</v>
          </cell>
          <cell r="AC227">
            <v>0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иска (МРАД)"/>
      <sheetName val="1.переченьПБДД"/>
      <sheetName val="2.переченьМРАД"/>
      <sheetName val="3.меропр."/>
      <sheetName val="4.индикаторы"/>
      <sheetName val="конечные результаты"/>
      <sheetName val="Лист1"/>
    </sheetNames>
    <sheetDataSet>
      <sheetData sheetId="0"/>
      <sheetData sheetId="1"/>
      <sheetData sheetId="2"/>
      <sheetData sheetId="3">
        <row r="44">
          <cell r="F44">
            <v>78904.999280000004</v>
          </cell>
          <cell r="G44">
            <v>700000.00072000001</v>
          </cell>
          <cell r="H44">
            <v>0</v>
          </cell>
          <cell r="I44">
            <v>0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view="pageBreakPreview" topLeftCell="A22" zoomScale="80" zoomScaleNormal="100" zoomScaleSheetLayoutView="80" workbookViewId="0">
      <selection activeCell="D25" sqref="D25:E25"/>
    </sheetView>
  </sheetViews>
  <sheetFormatPr defaultRowHeight="13.2" x14ac:dyDescent="0.25"/>
  <cols>
    <col min="1" max="1" width="4.88671875" style="21" customWidth="1"/>
    <col min="2" max="2" width="35.109375" style="21" customWidth="1"/>
    <col min="3" max="3" width="10.109375" style="21" customWidth="1"/>
    <col min="4" max="4" width="8.88671875" style="5"/>
    <col min="5" max="5" width="9.44140625" style="5" bestFit="1" customWidth="1"/>
    <col min="6" max="9" width="8.88671875" style="5"/>
    <col min="10" max="10" width="18.5546875" customWidth="1"/>
  </cols>
  <sheetData>
    <row r="1" spans="1:9" ht="70.2" customHeight="1" x14ac:dyDescent="0.25">
      <c r="E1" s="277"/>
      <c r="F1" s="408" t="s">
        <v>1044</v>
      </c>
      <c r="G1" s="408"/>
      <c r="H1" s="408"/>
      <c r="I1" s="408"/>
    </row>
    <row r="2" spans="1:9" ht="40.200000000000003" customHeight="1" x14ac:dyDescent="0.25">
      <c r="A2" s="413" t="s">
        <v>1250</v>
      </c>
      <c r="B2" s="413"/>
      <c r="C2" s="413"/>
      <c r="D2" s="413"/>
      <c r="E2" s="413"/>
      <c r="F2" s="413"/>
      <c r="G2" s="413"/>
      <c r="H2" s="413"/>
      <c r="I2" s="413"/>
    </row>
    <row r="3" spans="1:9" ht="27.6" customHeight="1" x14ac:dyDescent="0.25">
      <c r="A3" s="412" t="s">
        <v>215</v>
      </c>
      <c r="B3" s="412" t="s">
        <v>886</v>
      </c>
      <c r="C3" s="412" t="s">
        <v>887</v>
      </c>
      <c r="D3" s="412" t="s">
        <v>714</v>
      </c>
      <c r="E3" s="412" t="s">
        <v>888</v>
      </c>
      <c r="F3" s="412"/>
      <c r="G3" s="412"/>
      <c r="H3" s="412"/>
      <c r="I3" s="412"/>
    </row>
    <row r="4" spans="1:9" ht="13.8" x14ac:dyDescent="0.25">
      <c r="A4" s="412"/>
      <c r="B4" s="412"/>
      <c r="C4" s="412"/>
      <c r="D4" s="412"/>
      <c r="E4" s="159">
        <v>2021</v>
      </c>
      <c r="F4" s="159">
        <v>2022</v>
      </c>
      <c r="G4" s="159">
        <v>2023</v>
      </c>
      <c r="H4" s="159">
        <v>2024</v>
      </c>
      <c r="I4" s="159">
        <v>2025</v>
      </c>
    </row>
    <row r="5" spans="1:9" ht="13.8" x14ac:dyDescent="0.25">
      <c r="A5" s="159">
        <v>1</v>
      </c>
      <c r="B5" s="159">
        <v>2</v>
      </c>
      <c r="C5" s="159">
        <v>3</v>
      </c>
      <c r="D5" s="159">
        <v>4</v>
      </c>
      <c r="E5" s="159">
        <v>5</v>
      </c>
      <c r="F5" s="159">
        <v>6</v>
      </c>
      <c r="G5" s="159">
        <v>7</v>
      </c>
      <c r="H5" s="159">
        <v>8</v>
      </c>
      <c r="I5" s="159">
        <v>9</v>
      </c>
    </row>
    <row r="6" spans="1:9" ht="59.4" customHeight="1" x14ac:dyDescent="0.25">
      <c r="A6" s="157">
        <v>1</v>
      </c>
      <c r="B6" s="160" t="s">
        <v>912</v>
      </c>
      <c r="C6" s="153" t="s">
        <v>735</v>
      </c>
      <c r="D6" s="153">
        <v>2.5</v>
      </c>
      <c r="E6" s="153">
        <v>2.4500000000000002</v>
      </c>
      <c r="F6" s="155">
        <v>2.4</v>
      </c>
      <c r="G6" s="155">
        <v>2.35</v>
      </c>
      <c r="H6" s="155">
        <v>2.2999999999999998</v>
      </c>
      <c r="I6" s="153">
        <v>2.25</v>
      </c>
    </row>
    <row r="7" spans="1:9" ht="52.2" customHeight="1" x14ac:dyDescent="0.25">
      <c r="A7" s="157">
        <v>2</v>
      </c>
      <c r="B7" s="160" t="s">
        <v>913</v>
      </c>
      <c r="C7" s="153" t="s">
        <v>881</v>
      </c>
      <c r="D7" s="153">
        <v>789</v>
      </c>
      <c r="E7" s="153">
        <v>788</v>
      </c>
      <c r="F7" s="153">
        <v>785</v>
      </c>
      <c r="G7" s="153">
        <v>780</v>
      </c>
      <c r="H7" s="153">
        <v>775</v>
      </c>
      <c r="I7" s="153">
        <v>770</v>
      </c>
    </row>
    <row r="8" spans="1:9" ht="76.95" customHeight="1" x14ac:dyDescent="0.25">
      <c r="A8" s="157">
        <v>3</v>
      </c>
      <c r="B8" s="160" t="s">
        <v>883</v>
      </c>
      <c r="C8" s="159" t="s">
        <v>738</v>
      </c>
      <c r="D8" s="153">
        <v>711.9</v>
      </c>
      <c r="E8" s="378">
        <v>732.6</v>
      </c>
      <c r="F8" s="378">
        <v>766.1</v>
      </c>
      <c r="G8" s="378">
        <v>769.3</v>
      </c>
      <c r="H8" s="378">
        <v>810.3</v>
      </c>
      <c r="I8" s="393">
        <v>817.5</v>
      </c>
    </row>
    <row r="9" spans="1:9" ht="104.4" customHeight="1" x14ac:dyDescent="0.25">
      <c r="A9" s="157">
        <v>4</v>
      </c>
      <c r="B9" s="152" t="s">
        <v>896</v>
      </c>
      <c r="C9" s="159" t="s">
        <v>735</v>
      </c>
      <c r="D9" s="161" t="s">
        <v>718</v>
      </c>
      <c r="E9" s="379">
        <v>0.35</v>
      </c>
      <c r="F9" s="379">
        <v>0.32</v>
      </c>
      <c r="G9" s="155" t="s">
        <v>718</v>
      </c>
      <c r="H9" s="379">
        <v>0.72</v>
      </c>
      <c r="I9" s="155">
        <v>0.79</v>
      </c>
    </row>
    <row r="10" spans="1:9" ht="103.95" customHeight="1" x14ac:dyDescent="0.25">
      <c r="A10" s="157">
        <v>5</v>
      </c>
      <c r="B10" s="152" t="s">
        <v>897</v>
      </c>
      <c r="C10" s="159" t="s">
        <v>735</v>
      </c>
      <c r="D10" s="161" t="s">
        <v>718</v>
      </c>
      <c r="E10" s="153" t="s">
        <v>718</v>
      </c>
      <c r="F10" s="153" t="s">
        <v>718</v>
      </c>
      <c r="G10" s="153" t="s">
        <v>718</v>
      </c>
      <c r="H10" s="153" t="s">
        <v>718</v>
      </c>
      <c r="I10" s="153" t="s">
        <v>718</v>
      </c>
    </row>
    <row r="11" spans="1:9" ht="103.2" customHeight="1" x14ac:dyDescent="0.25">
      <c r="A11" s="157">
        <v>6</v>
      </c>
      <c r="B11" s="160" t="s">
        <v>900</v>
      </c>
      <c r="C11" s="159" t="s">
        <v>735</v>
      </c>
      <c r="D11" s="161" t="s">
        <v>718</v>
      </c>
      <c r="E11" s="379">
        <v>0.05</v>
      </c>
      <c r="F11" s="389">
        <v>1.3</v>
      </c>
      <c r="G11" s="389">
        <v>1</v>
      </c>
      <c r="H11" s="379">
        <v>1.26</v>
      </c>
      <c r="I11" s="155">
        <v>0.98</v>
      </c>
    </row>
    <row r="12" spans="1:9" ht="180" customHeight="1" x14ac:dyDescent="0.25">
      <c r="A12" s="157">
        <v>7</v>
      </c>
      <c r="B12" s="160" t="s">
        <v>884</v>
      </c>
      <c r="C12" s="159" t="s">
        <v>735</v>
      </c>
      <c r="D12" s="161">
        <v>43.8</v>
      </c>
      <c r="E12" s="380">
        <v>3</v>
      </c>
      <c r="F12" s="153" t="s">
        <v>718</v>
      </c>
      <c r="G12" s="153" t="s">
        <v>718</v>
      </c>
      <c r="H12" s="381">
        <v>68.760000000000005</v>
      </c>
      <c r="I12" s="153">
        <v>37</v>
      </c>
    </row>
    <row r="13" spans="1:9" ht="52.2" customHeight="1" x14ac:dyDescent="0.25">
      <c r="A13" s="157">
        <v>8</v>
      </c>
      <c r="B13" s="160" t="s">
        <v>885</v>
      </c>
      <c r="C13" s="159" t="s">
        <v>735</v>
      </c>
      <c r="D13" s="153">
        <v>40</v>
      </c>
      <c r="E13" s="153">
        <v>45</v>
      </c>
      <c r="F13" s="153">
        <v>49</v>
      </c>
      <c r="G13" s="153">
        <v>50</v>
      </c>
      <c r="H13" s="153">
        <v>55</v>
      </c>
      <c r="I13" s="153">
        <v>60</v>
      </c>
    </row>
    <row r="14" spans="1:9" ht="42.6" customHeight="1" x14ac:dyDescent="0.25">
      <c r="A14" s="157">
        <v>9</v>
      </c>
      <c r="B14" s="162" t="s">
        <v>893</v>
      </c>
      <c r="C14" s="153" t="s">
        <v>735</v>
      </c>
      <c r="D14" s="153">
        <v>20.5</v>
      </c>
      <c r="E14" s="153">
        <v>32.6</v>
      </c>
      <c r="F14" s="153">
        <v>32.6</v>
      </c>
      <c r="G14" s="153">
        <v>32.6</v>
      </c>
      <c r="H14" s="153">
        <v>32.6</v>
      </c>
      <c r="I14" s="153">
        <v>32.6</v>
      </c>
    </row>
    <row r="15" spans="1:9" ht="42.6" customHeight="1" x14ac:dyDescent="0.25">
      <c r="A15" s="157">
        <v>10</v>
      </c>
      <c r="B15" s="162" t="s">
        <v>894</v>
      </c>
      <c r="C15" s="153" t="s">
        <v>735</v>
      </c>
      <c r="D15" s="153">
        <v>77.5</v>
      </c>
      <c r="E15" s="153">
        <v>77.5</v>
      </c>
      <c r="F15" s="153">
        <v>77.5</v>
      </c>
      <c r="G15" s="153">
        <v>77.5</v>
      </c>
      <c r="H15" s="153">
        <v>77.5</v>
      </c>
      <c r="I15" s="153">
        <v>77.5</v>
      </c>
    </row>
    <row r="16" spans="1:9" ht="43.95" customHeight="1" x14ac:dyDescent="0.25">
      <c r="A16" s="157">
        <v>11</v>
      </c>
      <c r="B16" s="162" t="s">
        <v>1046</v>
      </c>
      <c r="C16" s="153" t="s">
        <v>735</v>
      </c>
      <c r="D16" s="153">
        <v>90.1</v>
      </c>
      <c r="E16" s="153">
        <v>91.3</v>
      </c>
      <c r="F16" s="153">
        <v>91.3</v>
      </c>
      <c r="G16" s="153">
        <v>91.3</v>
      </c>
      <c r="H16" s="153">
        <v>91.3</v>
      </c>
      <c r="I16" s="153">
        <v>91.3</v>
      </c>
    </row>
    <row r="17" spans="1:9" ht="39.6" customHeight="1" x14ac:dyDescent="0.25">
      <c r="A17" s="157">
        <v>12</v>
      </c>
      <c r="B17" s="162" t="s">
        <v>895</v>
      </c>
      <c r="C17" s="153" t="s">
        <v>735</v>
      </c>
      <c r="D17" s="153">
        <v>81.3</v>
      </c>
      <c r="E17" s="153">
        <v>81.3</v>
      </c>
      <c r="F17" s="153">
        <v>81.3</v>
      </c>
      <c r="G17" s="153">
        <v>81.3</v>
      </c>
      <c r="H17" s="153">
        <v>81.3</v>
      </c>
      <c r="I17" s="153">
        <v>81.3</v>
      </c>
    </row>
    <row r="18" spans="1:9" x14ac:dyDescent="0.25">
      <c r="A18" s="410" t="s">
        <v>890</v>
      </c>
      <c r="B18" s="411"/>
      <c r="C18" s="411"/>
      <c r="D18" s="411"/>
      <c r="E18" s="411"/>
      <c r="F18" s="411"/>
      <c r="G18" s="411"/>
      <c r="H18" s="411"/>
      <c r="I18" s="411"/>
    </row>
    <row r="19" spans="1:9" ht="36" x14ac:dyDescent="0.25">
      <c r="A19" s="158">
        <v>13</v>
      </c>
      <c r="B19" s="152" t="s">
        <v>891</v>
      </c>
      <c r="C19" s="153" t="s">
        <v>892</v>
      </c>
      <c r="D19" s="156">
        <v>1115.1470999999999</v>
      </c>
      <c r="E19" s="153">
        <v>1115.5</v>
      </c>
      <c r="F19" s="156">
        <v>1115.75</v>
      </c>
      <c r="G19" s="156">
        <v>1116</v>
      </c>
      <c r="H19" s="156">
        <v>1116.25</v>
      </c>
      <c r="I19" s="153">
        <v>1116.5</v>
      </c>
    </row>
    <row r="20" spans="1:9" ht="27.6" customHeight="1" x14ac:dyDescent="0.25">
      <c r="A20" s="410" t="s">
        <v>889</v>
      </c>
      <c r="B20" s="411"/>
      <c r="C20" s="411"/>
      <c r="D20" s="411"/>
      <c r="E20" s="411"/>
      <c r="F20" s="411"/>
      <c r="G20" s="411"/>
      <c r="H20" s="411"/>
      <c r="I20" s="411"/>
    </row>
    <row r="21" spans="1:9" ht="51.6" customHeight="1" x14ac:dyDescent="0.25">
      <c r="A21" s="157">
        <v>14</v>
      </c>
      <c r="B21" s="163" t="s">
        <v>901</v>
      </c>
      <c r="C21" s="159" t="s">
        <v>735</v>
      </c>
      <c r="D21" s="156">
        <v>82.5</v>
      </c>
      <c r="E21" s="82">
        <v>85.2</v>
      </c>
      <c r="F21" s="82">
        <v>87.2</v>
      </c>
      <c r="G21" s="82">
        <v>89.9</v>
      </c>
      <c r="H21" s="82">
        <v>90.1</v>
      </c>
      <c r="I21" s="82">
        <v>92.3</v>
      </c>
    </row>
    <row r="22" spans="1:9" ht="77.400000000000006" customHeight="1" x14ac:dyDescent="0.25">
      <c r="A22" s="157">
        <v>15</v>
      </c>
      <c r="B22" s="152" t="s">
        <v>882</v>
      </c>
      <c r="C22" s="153" t="s">
        <v>735</v>
      </c>
      <c r="D22" s="153" t="s">
        <v>902</v>
      </c>
      <c r="E22" s="153">
        <v>76</v>
      </c>
      <c r="F22" s="153">
        <v>68</v>
      </c>
      <c r="G22" s="153">
        <v>60</v>
      </c>
      <c r="H22" s="153">
        <v>50</v>
      </c>
      <c r="I22" s="153">
        <v>45</v>
      </c>
    </row>
    <row r="23" spans="1:9" ht="29.4" customHeight="1" x14ac:dyDescent="0.25">
      <c r="A23" s="409" t="s">
        <v>903</v>
      </c>
      <c r="B23" s="409"/>
      <c r="C23" s="409"/>
      <c r="D23" s="409"/>
      <c r="E23" s="409"/>
      <c r="F23" s="409"/>
      <c r="G23" s="409"/>
      <c r="H23" s="409"/>
      <c r="I23" s="409"/>
    </row>
    <row r="25" spans="1:9" x14ac:dyDescent="0.25">
      <c r="D25" s="118"/>
      <c r="E25" s="118"/>
    </row>
  </sheetData>
  <mergeCells count="10">
    <mergeCell ref="F1:I1"/>
    <mergeCell ref="A23:I23"/>
    <mergeCell ref="A20:I20"/>
    <mergeCell ref="A18:I18"/>
    <mergeCell ref="A3:A4"/>
    <mergeCell ref="B3:B4"/>
    <mergeCell ref="C3:C4"/>
    <mergeCell ref="D3:D4"/>
    <mergeCell ref="E3:I3"/>
    <mergeCell ref="A2:I2"/>
  </mergeCells>
  <pageMargins left="0.70866141732283472" right="0.11811023622047245" top="0.74803149606299213" bottom="0.74803149606299213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266"/>
  <sheetViews>
    <sheetView view="pageBreakPreview" zoomScale="70" zoomScaleNormal="50" zoomScaleSheetLayoutView="70" workbookViewId="0">
      <selection activeCell="A48" sqref="A48:AB104"/>
    </sheetView>
  </sheetViews>
  <sheetFormatPr defaultColWidth="9.109375" defaultRowHeight="42" customHeight="1" outlineLevelCol="2" x14ac:dyDescent="0.25"/>
  <cols>
    <col min="1" max="1" width="5" style="26" customWidth="1"/>
    <col min="2" max="2" width="105.5546875" style="177" customWidth="1"/>
    <col min="3" max="3" width="11.109375" style="1" customWidth="1"/>
    <col min="4" max="4" width="16.5546875" style="5" customWidth="1"/>
    <col min="5" max="5" width="10.44140625" style="5" hidden="1" customWidth="1" outlineLevel="1"/>
    <col min="6" max="6" width="11.6640625" style="5" hidden="1" customWidth="1" outlineLevel="1"/>
    <col min="7" max="7" width="13" style="5" hidden="1" customWidth="1" outlineLevel="1"/>
    <col min="8" max="8" width="10.88671875" style="1" customWidth="1" collapsed="1"/>
    <col min="9" max="9" width="15.88671875" style="5" customWidth="1"/>
    <col min="10" max="10" width="10.109375" style="5" hidden="1" customWidth="1" outlineLevel="2"/>
    <col min="11" max="11" width="12.44140625" style="5" hidden="1" customWidth="1" outlineLevel="2"/>
    <col min="12" max="12" width="13.88671875" style="5" hidden="1" customWidth="1" outlineLevel="2"/>
    <col min="13" max="13" width="10.6640625" style="1" customWidth="1" collapsed="1"/>
    <col min="14" max="14" width="14.33203125" style="5" customWidth="1"/>
    <col min="15" max="15" width="10.33203125" style="5" hidden="1" customWidth="1" outlineLevel="1"/>
    <col min="16" max="16" width="12.5546875" style="5" hidden="1" customWidth="1" outlineLevel="1"/>
    <col min="17" max="17" width="2.109375" style="5" hidden="1" customWidth="1" outlineLevel="1"/>
    <col min="18" max="18" width="10.33203125" style="1" customWidth="1" collapsed="1"/>
    <col min="19" max="19" width="15.88671875" style="5" customWidth="1"/>
    <col min="20" max="20" width="9.5546875" style="5" hidden="1" customWidth="1" outlineLevel="1"/>
    <col min="21" max="21" width="11.33203125" style="5" hidden="1" customWidth="1" outlineLevel="1"/>
    <col min="22" max="22" width="13" style="5" hidden="1" customWidth="1" outlineLevel="1"/>
    <col min="23" max="23" width="10.6640625" style="1" customWidth="1" collapsed="1"/>
    <col min="24" max="24" width="15.88671875" style="26" customWidth="1"/>
    <col min="25" max="25" width="10.44140625" style="26" hidden="1" customWidth="1" outlineLevel="1"/>
    <col min="26" max="26" width="11.44140625" style="26" hidden="1" customWidth="1" outlineLevel="1"/>
    <col min="27" max="27" width="14" style="26" hidden="1" customWidth="1" outlineLevel="1"/>
    <col min="28" max="28" width="11.5546875" style="36" customWidth="1" collapsed="1"/>
    <col min="29" max="29" width="14.5546875" style="28" bestFit="1" customWidth="1"/>
    <col min="30" max="30" width="11" style="35" bestFit="1" customWidth="1"/>
    <col min="31" max="16384" width="9.109375" style="35"/>
  </cols>
  <sheetData>
    <row r="1" spans="1:29" ht="83.4" customHeight="1" x14ac:dyDescent="0.3">
      <c r="S1" s="276"/>
      <c r="T1" s="276" t="s">
        <v>1042</v>
      </c>
      <c r="U1" s="276" t="s">
        <v>1042</v>
      </c>
      <c r="V1" s="276" t="s">
        <v>1042</v>
      </c>
      <c r="W1" s="443" t="s">
        <v>1042</v>
      </c>
      <c r="X1" s="443"/>
      <c r="Y1" s="443"/>
      <c r="Z1" s="443"/>
      <c r="AA1" s="443"/>
      <c r="AB1" s="443"/>
    </row>
    <row r="2" spans="1:29" s="44" customFormat="1" ht="107.4" customHeight="1" x14ac:dyDescent="0.3">
      <c r="A2" s="48"/>
      <c r="B2" s="48"/>
      <c r="C2" s="62"/>
      <c r="D2" s="63"/>
      <c r="E2" s="63"/>
      <c r="F2" s="63"/>
      <c r="G2" s="63"/>
      <c r="H2" s="140"/>
      <c r="I2" s="141"/>
      <c r="J2" s="141"/>
      <c r="K2" s="141"/>
      <c r="L2" s="141"/>
      <c r="M2" s="46"/>
      <c r="N2" s="46"/>
      <c r="O2" s="64"/>
      <c r="P2" s="46"/>
      <c r="Q2" s="46"/>
      <c r="R2" s="46"/>
      <c r="S2" s="275"/>
      <c r="T2" s="275" t="s">
        <v>782</v>
      </c>
      <c r="U2" s="275" t="s">
        <v>782</v>
      </c>
      <c r="V2" s="275" t="s">
        <v>782</v>
      </c>
      <c r="W2" s="442" t="s">
        <v>782</v>
      </c>
      <c r="X2" s="442"/>
      <c r="Y2" s="442"/>
      <c r="Z2" s="442"/>
      <c r="AA2" s="442"/>
      <c r="AB2" s="442"/>
      <c r="AC2" s="45"/>
    </row>
    <row r="3" spans="1:29" ht="30.6" customHeight="1" x14ac:dyDescent="0.4">
      <c r="A3" s="10"/>
      <c r="B3" s="431" t="s">
        <v>1013</v>
      </c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432"/>
      <c r="AB3" s="432"/>
    </row>
    <row r="4" spans="1:29" ht="27.6" customHeight="1" x14ac:dyDescent="0.25">
      <c r="A4" s="433" t="s">
        <v>215</v>
      </c>
      <c r="B4" s="434" t="s">
        <v>710</v>
      </c>
      <c r="C4" s="436" t="s">
        <v>709</v>
      </c>
      <c r="D4" s="436"/>
      <c r="E4" s="436"/>
      <c r="F4" s="436"/>
      <c r="G4" s="436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7"/>
      <c r="V4" s="437"/>
      <c r="W4" s="437"/>
      <c r="X4" s="437"/>
      <c r="Y4" s="437"/>
      <c r="Z4" s="437"/>
      <c r="AA4" s="437"/>
      <c r="AB4" s="438" t="s">
        <v>211</v>
      </c>
    </row>
    <row r="5" spans="1:29" ht="27.6" customHeight="1" x14ac:dyDescent="0.25">
      <c r="A5" s="433"/>
      <c r="B5" s="435"/>
      <c r="C5" s="430" t="s">
        <v>210</v>
      </c>
      <c r="D5" s="430"/>
      <c r="E5" s="430"/>
      <c r="F5" s="430"/>
      <c r="G5" s="430"/>
      <c r="H5" s="430" t="s">
        <v>209</v>
      </c>
      <c r="I5" s="430"/>
      <c r="J5" s="430"/>
      <c r="K5" s="430"/>
      <c r="L5" s="430"/>
      <c r="M5" s="430" t="s">
        <v>208</v>
      </c>
      <c r="N5" s="430"/>
      <c r="O5" s="430"/>
      <c r="P5" s="430"/>
      <c r="Q5" s="430"/>
      <c r="R5" s="430" t="s">
        <v>207</v>
      </c>
      <c r="S5" s="430"/>
      <c r="T5" s="430"/>
      <c r="U5" s="430"/>
      <c r="V5" s="430"/>
      <c r="W5" s="430" t="s">
        <v>206</v>
      </c>
      <c r="X5" s="430"/>
      <c r="Y5" s="430"/>
      <c r="Z5" s="430"/>
      <c r="AA5" s="430"/>
      <c r="AB5" s="438"/>
    </row>
    <row r="6" spans="1:29" ht="24.6" customHeight="1" x14ac:dyDescent="0.25">
      <c r="A6" s="433"/>
      <c r="B6" s="435"/>
      <c r="C6" s="49" t="s">
        <v>205</v>
      </c>
      <c r="D6" s="139" t="s">
        <v>707</v>
      </c>
      <c r="E6" s="139" t="s">
        <v>203</v>
      </c>
      <c r="F6" s="139" t="s">
        <v>202</v>
      </c>
      <c r="G6" s="139" t="s">
        <v>201</v>
      </c>
      <c r="H6" s="49" t="s">
        <v>205</v>
      </c>
      <c r="I6" s="179" t="s">
        <v>707</v>
      </c>
      <c r="J6" s="139" t="s">
        <v>203</v>
      </c>
      <c r="K6" s="139" t="s">
        <v>202</v>
      </c>
      <c r="L6" s="139" t="s">
        <v>201</v>
      </c>
      <c r="M6" s="49" t="s">
        <v>205</v>
      </c>
      <c r="N6" s="179" t="s">
        <v>707</v>
      </c>
      <c r="O6" s="139" t="s">
        <v>203</v>
      </c>
      <c r="P6" s="139" t="s">
        <v>202</v>
      </c>
      <c r="Q6" s="139" t="s">
        <v>201</v>
      </c>
      <c r="R6" s="49" t="s">
        <v>205</v>
      </c>
      <c r="S6" s="179" t="s">
        <v>707</v>
      </c>
      <c r="T6" s="139" t="s">
        <v>203</v>
      </c>
      <c r="U6" s="139" t="s">
        <v>202</v>
      </c>
      <c r="V6" s="139" t="s">
        <v>201</v>
      </c>
      <c r="W6" s="49" t="s">
        <v>205</v>
      </c>
      <c r="X6" s="179" t="s">
        <v>707</v>
      </c>
      <c r="Y6" s="139" t="s">
        <v>203</v>
      </c>
      <c r="Z6" s="139" t="s">
        <v>202</v>
      </c>
      <c r="AA6" s="139" t="s">
        <v>201</v>
      </c>
      <c r="AB6" s="438"/>
    </row>
    <row r="7" spans="1:29" s="39" customFormat="1" ht="21.6" customHeight="1" x14ac:dyDescent="0.25">
      <c r="A7" s="84">
        <v>1</v>
      </c>
      <c r="B7" s="133">
        <v>2</v>
      </c>
      <c r="C7" s="84">
        <v>3</v>
      </c>
      <c r="D7" s="84">
        <v>4</v>
      </c>
      <c r="E7" s="84">
        <v>5</v>
      </c>
      <c r="F7" s="84">
        <v>6</v>
      </c>
      <c r="G7" s="84">
        <v>7</v>
      </c>
      <c r="H7" s="84">
        <v>5</v>
      </c>
      <c r="I7" s="84">
        <v>6</v>
      </c>
      <c r="J7" s="84">
        <v>10</v>
      </c>
      <c r="K7" s="84">
        <v>11</v>
      </c>
      <c r="L7" s="84">
        <v>12</v>
      </c>
      <c r="M7" s="84">
        <v>7</v>
      </c>
      <c r="N7" s="84">
        <v>8</v>
      </c>
      <c r="O7" s="84">
        <v>15</v>
      </c>
      <c r="P7" s="84">
        <v>16</v>
      </c>
      <c r="Q7" s="84">
        <v>17</v>
      </c>
      <c r="R7" s="84">
        <v>9</v>
      </c>
      <c r="S7" s="84">
        <v>10</v>
      </c>
      <c r="T7" s="84">
        <v>20</v>
      </c>
      <c r="U7" s="84">
        <v>21</v>
      </c>
      <c r="V7" s="84">
        <v>22</v>
      </c>
      <c r="W7" s="84">
        <v>11</v>
      </c>
      <c r="X7" s="84">
        <v>12</v>
      </c>
      <c r="Y7" s="84">
        <v>25</v>
      </c>
      <c r="Z7" s="84">
        <v>26</v>
      </c>
      <c r="AA7" s="84">
        <v>27</v>
      </c>
      <c r="AB7" s="84">
        <v>13</v>
      </c>
      <c r="AC7" s="42"/>
    </row>
    <row r="8" spans="1:29" s="37" customFormat="1" ht="16.2" customHeight="1" x14ac:dyDescent="0.25">
      <c r="A8" s="422">
        <v>1</v>
      </c>
      <c r="B8" s="182" t="s">
        <v>803</v>
      </c>
      <c r="C8" s="420">
        <f>D8+E8+F8+G8</f>
        <v>69182</v>
      </c>
      <c r="D8" s="414">
        <v>69182</v>
      </c>
      <c r="E8" s="183">
        <v>0</v>
      </c>
      <c r="F8" s="183">
        <v>0</v>
      </c>
      <c r="G8" s="183">
        <v>0</v>
      </c>
      <c r="H8" s="420">
        <f>I8+J8+K8+L8</f>
        <v>30758</v>
      </c>
      <c r="I8" s="414">
        <v>30758</v>
      </c>
      <c r="J8" s="183">
        <v>0</v>
      </c>
      <c r="K8" s="183">
        <v>0</v>
      </c>
      <c r="L8" s="183">
        <v>0</v>
      </c>
      <c r="M8" s="420">
        <f>N8</f>
        <v>30758</v>
      </c>
      <c r="N8" s="414">
        <v>30758</v>
      </c>
      <c r="O8" s="183">
        <v>0</v>
      </c>
      <c r="P8" s="183">
        <v>0</v>
      </c>
      <c r="Q8" s="183">
        <v>0</v>
      </c>
      <c r="R8" s="414">
        <v>0</v>
      </c>
      <c r="S8" s="414">
        <v>0</v>
      </c>
      <c r="T8" s="183">
        <v>0</v>
      </c>
      <c r="U8" s="183">
        <v>0</v>
      </c>
      <c r="V8" s="183">
        <v>0</v>
      </c>
      <c r="W8" s="414">
        <v>0</v>
      </c>
      <c r="X8" s="414">
        <v>0</v>
      </c>
      <c r="Y8" s="183">
        <v>0</v>
      </c>
      <c r="Z8" s="183">
        <v>0</v>
      </c>
      <c r="AA8" s="183">
        <v>0</v>
      </c>
      <c r="AB8" s="420">
        <f>C8+H8+M8+R8+W8</f>
        <v>130698</v>
      </c>
    </row>
    <row r="9" spans="1:29" s="37" customFormat="1" ht="16.2" customHeight="1" x14ac:dyDescent="0.25">
      <c r="A9" s="423"/>
      <c r="B9" s="134" t="s">
        <v>797</v>
      </c>
      <c r="C9" s="421"/>
      <c r="D9" s="415"/>
      <c r="E9" s="183"/>
      <c r="F9" s="183"/>
      <c r="G9" s="183"/>
      <c r="H9" s="421"/>
      <c r="I9" s="415"/>
      <c r="J9" s="183"/>
      <c r="K9" s="183"/>
      <c r="L9" s="183"/>
      <c r="M9" s="421"/>
      <c r="N9" s="415"/>
      <c r="O9" s="183"/>
      <c r="P9" s="183"/>
      <c r="Q9" s="183"/>
      <c r="R9" s="415"/>
      <c r="S9" s="415"/>
      <c r="T9" s="183"/>
      <c r="U9" s="183"/>
      <c r="V9" s="183"/>
      <c r="W9" s="415"/>
      <c r="X9" s="415"/>
      <c r="Y9" s="183"/>
      <c r="Z9" s="183"/>
      <c r="AA9" s="183"/>
      <c r="AB9" s="421"/>
    </row>
    <row r="10" spans="1:29" s="37" customFormat="1" ht="16.2" customHeight="1" x14ac:dyDescent="0.25">
      <c r="A10" s="423"/>
      <c r="B10" s="134" t="s">
        <v>804</v>
      </c>
      <c r="C10" s="421"/>
      <c r="D10" s="415"/>
      <c r="E10" s="183"/>
      <c r="F10" s="183"/>
      <c r="G10" s="183"/>
      <c r="H10" s="421"/>
      <c r="I10" s="415"/>
      <c r="J10" s="183"/>
      <c r="K10" s="183"/>
      <c r="L10" s="183"/>
      <c r="M10" s="421"/>
      <c r="N10" s="415"/>
      <c r="O10" s="183"/>
      <c r="P10" s="183"/>
      <c r="Q10" s="183"/>
      <c r="R10" s="415"/>
      <c r="S10" s="415"/>
      <c r="T10" s="183"/>
      <c r="U10" s="183"/>
      <c r="V10" s="183"/>
      <c r="W10" s="415"/>
      <c r="X10" s="415"/>
      <c r="Y10" s="183"/>
      <c r="Z10" s="183"/>
      <c r="AA10" s="183"/>
      <c r="AB10" s="421"/>
    </row>
    <row r="11" spans="1:29" s="37" customFormat="1" ht="16.2" customHeight="1" x14ac:dyDescent="0.25">
      <c r="A11" s="423"/>
      <c r="B11" s="134" t="s">
        <v>805</v>
      </c>
      <c r="C11" s="421"/>
      <c r="D11" s="415"/>
      <c r="E11" s="183"/>
      <c r="F11" s="183"/>
      <c r="G11" s="183"/>
      <c r="H11" s="421"/>
      <c r="I11" s="415"/>
      <c r="J11" s="183"/>
      <c r="K11" s="183"/>
      <c r="L11" s="183"/>
      <c r="M11" s="421"/>
      <c r="N11" s="415"/>
      <c r="O11" s="183"/>
      <c r="P11" s="183"/>
      <c r="Q11" s="183"/>
      <c r="R11" s="415"/>
      <c r="S11" s="415"/>
      <c r="T11" s="183"/>
      <c r="U11" s="183"/>
      <c r="V11" s="183"/>
      <c r="W11" s="415"/>
      <c r="X11" s="415"/>
      <c r="Y11" s="183"/>
      <c r="Z11" s="183"/>
      <c r="AA11" s="183"/>
      <c r="AB11" s="421"/>
    </row>
    <row r="12" spans="1:29" s="37" customFormat="1" ht="16.2" customHeight="1" x14ac:dyDescent="0.25">
      <c r="A12" s="423"/>
      <c r="B12" s="134" t="s">
        <v>806</v>
      </c>
      <c r="C12" s="421"/>
      <c r="D12" s="415"/>
      <c r="E12" s="183"/>
      <c r="F12" s="183"/>
      <c r="G12" s="183"/>
      <c r="H12" s="421"/>
      <c r="I12" s="415"/>
      <c r="J12" s="183"/>
      <c r="K12" s="183"/>
      <c r="L12" s="183"/>
      <c r="M12" s="421"/>
      <c r="N12" s="415"/>
      <c r="O12" s="183"/>
      <c r="P12" s="183"/>
      <c r="Q12" s="183"/>
      <c r="R12" s="415"/>
      <c r="S12" s="415"/>
      <c r="T12" s="183"/>
      <c r="U12" s="183"/>
      <c r="V12" s="183"/>
      <c r="W12" s="415"/>
      <c r="X12" s="415"/>
      <c r="Y12" s="183"/>
      <c r="Z12" s="183"/>
      <c r="AA12" s="183"/>
      <c r="AB12" s="421"/>
    </row>
    <row r="13" spans="1:29" s="37" customFormat="1" ht="16.2" customHeight="1" x14ac:dyDescent="0.25">
      <c r="A13" s="423"/>
      <c r="B13" s="134" t="s">
        <v>807</v>
      </c>
      <c r="C13" s="421"/>
      <c r="D13" s="415"/>
      <c r="E13" s="183"/>
      <c r="F13" s="183"/>
      <c r="G13" s="183"/>
      <c r="H13" s="421"/>
      <c r="I13" s="415"/>
      <c r="J13" s="183"/>
      <c r="K13" s="183"/>
      <c r="L13" s="183"/>
      <c r="M13" s="421"/>
      <c r="N13" s="415"/>
      <c r="O13" s="183"/>
      <c r="P13" s="183"/>
      <c r="Q13" s="183"/>
      <c r="R13" s="415"/>
      <c r="S13" s="415"/>
      <c r="T13" s="183"/>
      <c r="U13" s="183"/>
      <c r="V13" s="183"/>
      <c r="W13" s="415"/>
      <c r="X13" s="415"/>
      <c r="Y13" s="183"/>
      <c r="Z13" s="183"/>
      <c r="AA13" s="183"/>
      <c r="AB13" s="421"/>
    </row>
    <row r="14" spans="1:29" s="37" customFormat="1" ht="16.2" customHeight="1" x14ac:dyDescent="0.25">
      <c r="A14" s="423"/>
      <c r="B14" s="134" t="s">
        <v>808</v>
      </c>
      <c r="C14" s="421"/>
      <c r="D14" s="415"/>
      <c r="E14" s="183"/>
      <c r="F14" s="183"/>
      <c r="G14" s="183"/>
      <c r="H14" s="421"/>
      <c r="I14" s="415"/>
      <c r="J14" s="183"/>
      <c r="K14" s="183"/>
      <c r="L14" s="183"/>
      <c r="M14" s="421"/>
      <c r="N14" s="415"/>
      <c r="O14" s="183"/>
      <c r="P14" s="183"/>
      <c r="Q14" s="183"/>
      <c r="R14" s="415"/>
      <c r="S14" s="415"/>
      <c r="T14" s="183"/>
      <c r="U14" s="183"/>
      <c r="V14" s="183"/>
      <c r="W14" s="415"/>
      <c r="X14" s="415"/>
      <c r="Y14" s="183"/>
      <c r="Z14" s="183"/>
      <c r="AA14" s="183"/>
      <c r="AB14" s="421"/>
    </row>
    <row r="15" spans="1:29" s="37" customFormat="1" ht="16.2" customHeight="1" x14ac:dyDescent="0.25">
      <c r="A15" s="423"/>
      <c r="B15" s="134" t="s">
        <v>978</v>
      </c>
      <c r="C15" s="421"/>
      <c r="D15" s="415"/>
      <c r="E15" s="183"/>
      <c r="F15" s="183"/>
      <c r="G15" s="183"/>
      <c r="H15" s="421"/>
      <c r="I15" s="415"/>
      <c r="J15" s="183"/>
      <c r="K15" s="183"/>
      <c r="L15" s="183"/>
      <c r="M15" s="421"/>
      <c r="N15" s="415"/>
      <c r="O15" s="183"/>
      <c r="P15" s="183"/>
      <c r="Q15" s="183"/>
      <c r="R15" s="415"/>
      <c r="S15" s="415"/>
      <c r="T15" s="183"/>
      <c r="U15" s="183"/>
      <c r="V15" s="183"/>
      <c r="W15" s="415"/>
      <c r="X15" s="415"/>
      <c r="Y15" s="183"/>
      <c r="Z15" s="183"/>
      <c r="AA15" s="183"/>
      <c r="AB15" s="421"/>
    </row>
    <row r="16" spans="1:29" s="5" customFormat="1" ht="16.2" customHeight="1" x14ac:dyDescent="0.25">
      <c r="A16" s="422">
        <v>2</v>
      </c>
      <c r="B16" s="182" t="s">
        <v>796</v>
      </c>
      <c r="C16" s="420">
        <f>D16+E16+F16+G16</f>
        <v>1340</v>
      </c>
      <c r="D16" s="414">
        <v>1340</v>
      </c>
      <c r="E16" s="183">
        <v>0</v>
      </c>
      <c r="F16" s="183">
        <v>0</v>
      </c>
      <c r="G16" s="183">
        <v>0</v>
      </c>
      <c r="H16" s="420">
        <f>I16+J16+K16+L16</f>
        <v>1368</v>
      </c>
      <c r="I16" s="414">
        <v>1368</v>
      </c>
      <c r="J16" s="183">
        <v>0</v>
      </c>
      <c r="K16" s="183">
        <v>0</v>
      </c>
      <c r="L16" s="183">
        <v>0</v>
      </c>
      <c r="M16" s="420">
        <f>N16</f>
        <v>1368</v>
      </c>
      <c r="N16" s="414">
        <v>1368</v>
      </c>
      <c r="O16" s="183">
        <v>0</v>
      </c>
      <c r="P16" s="183">
        <v>0</v>
      </c>
      <c r="Q16" s="183">
        <v>0</v>
      </c>
      <c r="R16" s="414">
        <v>0</v>
      </c>
      <c r="S16" s="414">
        <v>0</v>
      </c>
      <c r="T16" s="183">
        <v>0</v>
      </c>
      <c r="U16" s="183">
        <v>0</v>
      </c>
      <c r="V16" s="183">
        <v>0</v>
      </c>
      <c r="W16" s="414">
        <v>0</v>
      </c>
      <c r="X16" s="414">
        <v>0</v>
      </c>
      <c r="Y16" s="183">
        <v>0</v>
      </c>
      <c r="Z16" s="183">
        <v>0</v>
      </c>
      <c r="AA16" s="183">
        <v>0</v>
      </c>
      <c r="AB16" s="420">
        <f>C16+H16+M16+R16+W16</f>
        <v>4076</v>
      </c>
    </row>
    <row r="17" spans="1:28" s="5" customFormat="1" ht="16.2" customHeight="1" x14ac:dyDescent="0.25">
      <c r="A17" s="423"/>
      <c r="B17" s="134" t="s">
        <v>797</v>
      </c>
      <c r="C17" s="421"/>
      <c r="D17" s="415"/>
      <c r="E17" s="183"/>
      <c r="F17" s="183"/>
      <c r="G17" s="183"/>
      <c r="H17" s="421"/>
      <c r="I17" s="415"/>
      <c r="J17" s="183"/>
      <c r="K17" s="183"/>
      <c r="L17" s="183"/>
      <c r="M17" s="421"/>
      <c r="N17" s="415"/>
      <c r="O17" s="183"/>
      <c r="P17" s="183"/>
      <c r="Q17" s="183"/>
      <c r="R17" s="415"/>
      <c r="S17" s="415"/>
      <c r="T17" s="183"/>
      <c r="U17" s="183"/>
      <c r="V17" s="183"/>
      <c r="W17" s="415"/>
      <c r="X17" s="415"/>
      <c r="Y17" s="183"/>
      <c r="Z17" s="183"/>
      <c r="AA17" s="183"/>
      <c r="AB17" s="421"/>
    </row>
    <row r="18" spans="1:28" s="5" customFormat="1" ht="16.2" customHeight="1" x14ac:dyDescent="0.25">
      <c r="A18" s="423"/>
      <c r="B18" s="134" t="s">
        <v>979</v>
      </c>
      <c r="C18" s="421"/>
      <c r="D18" s="415"/>
      <c r="E18" s="183"/>
      <c r="F18" s="183"/>
      <c r="G18" s="183"/>
      <c r="H18" s="421"/>
      <c r="I18" s="415"/>
      <c r="J18" s="183"/>
      <c r="K18" s="183"/>
      <c r="L18" s="183"/>
      <c r="M18" s="421"/>
      <c r="N18" s="415"/>
      <c r="O18" s="183"/>
      <c r="P18" s="183"/>
      <c r="Q18" s="183"/>
      <c r="R18" s="415"/>
      <c r="S18" s="415"/>
      <c r="T18" s="183"/>
      <c r="U18" s="183"/>
      <c r="V18" s="183"/>
      <c r="W18" s="415"/>
      <c r="X18" s="415"/>
      <c r="Y18" s="183"/>
      <c r="Z18" s="183"/>
      <c r="AA18" s="183"/>
      <c r="AB18" s="421"/>
    </row>
    <row r="19" spans="1:28" s="5" customFormat="1" ht="16.2" customHeight="1" x14ac:dyDescent="0.25">
      <c r="A19" s="423"/>
      <c r="B19" s="134" t="s">
        <v>980</v>
      </c>
      <c r="C19" s="421"/>
      <c r="D19" s="415"/>
      <c r="E19" s="183"/>
      <c r="F19" s="183"/>
      <c r="G19" s="183"/>
      <c r="H19" s="421"/>
      <c r="I19" s="415"/>
      <c r="J19" s="183"/>
      <c r="K19" s="183"/>
      <c r="L19" s="183"/>
      <c r="M19" s="421"/>
      <c r="N19" s="415"/>
      <c r="O19" s="183"/>
      <c r="P19" s="183"/>
      <c r="Q19" s="183"/>
      <c r="R19" s="415"/>
      <c r="S19" s="415"/>
      <c r="T19" s="183"/>
      <c r="U19" s="183"/>
      <c r="V19" s="183"/>
      <c r="W19" s="415"/>
      <c r="X19" s="415"/>
      <c r="Y19" s="183"/>
      <c r="Z19" s="183"/>
      <c r="AA19" s="183"/>
      <c r="AB19" s="421"/>
    </row>
    <row r="20" spans="1:28" s="5" customFormat="1" ht="16.2" customHeight="1" x14ac:dyDescent="0.25">
      <c r="A20" s="423"/>
      <c r="B20" s="134" t="s">
        <v>981</v>
      </c>
      <c r="C20" s="421"/>
      <c r="D20" s="415"/>
      <c r="E20" s="183"/>
      <c r="F20" s="183"/>
      <c r="G20" s="183"/>
      <c r="H20" s="421"/>
      <c r="I20" s="415"/>
      <c r="J20" s="183"/>
      <c r="K20" s="183"/>
      <c r="L20" s="183"/>
      <c r="M20" s="421"/>
      <c r="N20" s="415"/>
      <c r="O20" s="183"/>
      <c r="P20" s="183"/>
      <c r="Q20" s="183"/>
      <c r="R20" s="415"/>
      <c r="S20" s="415"/>
      <c r="T20" s="183"/>
      <c r="U20" s="183"/>
      <c r="V20" s="183"/>
      <c r="W20" s="415"/>
      <c r="X20" s="415"/>
      <c r="Y20" s="183"/>
      <c r="Z20" s="183"/>
      <c r="AA20" s="183"/>
      <c r="AB20" s="421"/>
    </row>
    <row r="21" spans="1:28" s="5" customFormat="1" ht="16.2" customHeight="1" x14ac:dyDescent="0.25">
      <c r="A21" s="423"/>
      <c r="B21" s="134" t="s">
        <v>982</v>
      </c>
      <c r="C21" s="421"/>
      <c r="D21" s="415"/>
      <c r="E21" s="183"/>
      <c r="F21" s="183"/>
      <c r="G21" s="183"/>
      <c r="H21" s="421"/>
      <c r="I21" s="415"/>
      <c r="J21" s="183"/>
      <c r="K21" s="183"/>
      <c r="L21" s="183"/>
      <c r="M21" s="421"/>
      <c r="N21" s="415"/>
      <c r="O21" s="183"/>
      <c r="P21" s="183"/>
      <c r="Q21" s="183"/>
      <c r="R21" s="415"/>
      <c r="S21" s="415"/>
      <c r="T21" s="183"/>
      <c r="U21" s="183"/>
      <c r="V21" s="183"/>
      <c r="W21" s="415"/>
      <c r="X21" s="415"/>
      <c r="Y21" s="183"/>
      <c r="Z21" s="183"/>
      <c r="AA21" s="183"/>
      <c r="AB21" s="421"/>
    </row>
    <row r="22" spans="1:28" s="5" customFormat="1" ht="16.2" customHeight="1" x14ac:dyDescent="0.25">
      <c r="A22" s="423"/>
      <c r="B22" s="134" t="s">
        <v>983</v>
      </c>
      <c r="C22" s="421"/>
      <c r="D22" s="415"/>
      <c r="E22" s="183"/>
      <c r="F22" s="183"/>
      <c r="G22" s="183"/>
      <c r="H22" s="421"/>
      <c r="I22" s="415"/>
      <c r="J22" s="183"/>
      <c r="K22" s="183"/>
      <c r="L22" s="183"/>
      <c r="M22" s="421"/>
      <c r="N22" s="415"/>
      <c r="O22" s="183"/>
      <c r="P22" s="183"/>
      <c r="Q22" s="183"/>
      <c r="R22" s="415"/>
      <c r="S22" s="415"/>
      <c r="T22" s="183"/>
      <c r="U22" s="183"/>
      <c r="V22" s="183"/>
      <c r="W22" s="415"/>
      <c r="X22" s="415"/>
      <c r="Y22" s="183"/>
      <c r="Z22" s="183"/>
      <c r="AA22" s="183"/>
      <c r="AB22" s="421"/>
    </row>
    <row r="23" spans="1:28" s="5" customFormat="1" ht="16.2" customHeight="1" x14ac:dyDescent="0.25">
      <c r="A23" s="423"/>
      <c r="B23" s="134" t="s">
        <v>984</v>
      </c>
      <c r="C23" s="421"/>
      <c r="D23" s="415"/>
      <c r="E23" s="183"/>
      <c r="F23" s="183"/>
      <c r="G23" s="183"/>
      <c r="H23" s="421"/>
      <c r="I23" s="415"/>
      <c r="J23" s="183"/>
      <c r="K23" s="183"/>
      <c r="L23" s="183"/>
      <c r="M23" s="421"/>
      <c r="N23" s="415"/>
      <c r="O23" s="183"/>
      <c r="P23" s="183"/>
      <c r="Q23" s="183"/>
      <c r="R23" s="415"/>
      <c r="S23" s="415"/>
      <c r="T23" s="183"/>
      <c r="U23" s="183"/>
      <c r="V23" s="183"/>
      <c r="W23" s="415"/>
      <c r="X23" s="415"/>
      <c r="Y23" s="183"/>
      <c r="Z23" s="183"/>
      <c r="AA23" s="183"/>
      <c r="AB23" s="421"/>
    </row>
    <row r="24" spans="1:28" s="5" customFormat="1" ht="16.2" customHeight="1" x14ac:dyDescent="0.25">
      <c r="A24" s="423"/>
      <c r="B24" s="134" t="s">
        <v>985</v>
      </c>
      <c r="C24" s="421"/>
      <c r="D24" s="415"/>
      <c r="E24" s="183"/>
      <c r="F24" s="183"/>
      <c r="G24" s="183"/>
      <c r="H24" s="421"/>
      <c r="I24" s="415"/>
      <c r="J24" s="183"/>
      <c r="K24" s="183"/>
      <c r="L24" s="183"/>
      <c r="M24" s="421"/>
      <c r="N24" s="415"/>
      <c r="O24" s="183"/>
      <c r="P24" s="183"/>
      <c r="Q24" s="183"/>
      <c r="R24" s="415"/>
      <c r="S24" s="415"/>
      <c r="T24" s="183"/>
      <c r="U24" s="183"/>
      <c r="V24" s="183"/>
      <c r="W24" s="415"/>
      <c r="X24" s="415"/>
      <c r="Y24" s="183"/>
      <c r="Z24" s="183"/>
      <c r="AA24" s="183"/>
      <c r="AB24" s="421"/>
    </row>
    <row r="25" spans="1:28" s="5" customFormat="1" ht="16.2" customHeight="1" x14ac:dyDescent="0.25">
      <c r="A25" s="423"/>
      <c r="B25" s="134" t="s">
        <v>798</v>
      </c>
      <c r="C25" s="421"/>
      <c r="D25" s="415"/>
      <c r="E25" s="183"/>
      <c r="F25" s="183"/>
      <c r="G25" s="183"/>
      <c r="H25" s="421"/>
      <c r="I25" s="415"/>
      <c r="J25" s="183"/>
      <c r="K25" s="183"/>
      <c r="L25" s="183"/>
      <c r="M25" s="421"/>
      <c r="N25" s="415"/>
      <c r="O25" s="183"/>
      <c r="P25" s="183"/>
      <c r="Q25" s="183"/>
      <c r="R25" s="415"/>
      <c r="S25" s="415"/>
      <c r="T25" s="183"/>
      <c r="U25" s="183"/>
      <c r="V25" s="183"/>
      <c r="W25" s="415"/>
      <c r="X25" s="415"/>
      <c r="Y25" s="183"/>
      <c r="Z25" s="183"/>
      <c r="AA25" s="183"/>
      <c r="AB25" s="421"/>
    </row>
    <row r="26" spans="1:28" s="5" customFormat="1" ht="16.2" customHeight="1" x14ac:dyDescent="0.25">
      <c r="A26" s="423"/>
      <c r="B26" s="134" t="s">
        <v>799</v>
      </c>
      <c r="C26" s="421"/>
      <c r="D26" s="415"/>
      <c r="E26" s="183"/>
      <c r="F26" s="183"/>
      <c r="G26" s="183"/>
      <c r="H26" s="421"/>
      <c r="I26" s="415"/>
      <c r="J26" s="183"/>
      <c r="K26" s="183"/>
      <c r="L26" s="183"/>
      <c r="M26" s="421"/>
      <c r="N26" s="415"/>
      <c r="O26" s="183"/>
      <c r="P26" s="183"/>
      <c r="Q26" s="183"/>
      <c r="R26" s="415"/>
      <c r="S26" s="415"/>
      <c r="T26" s="183"/>
      <c r="U26" s="183"/>
      <c r="V26" s="183"/>
      <c r="W26" s="415"/>
      <c r="X26" s="415"/>
      <c r="Y26" s="183"/>
      <c r="Z26" s="183"/>
      <c r="AA26" s="183"/>
      <c r="AB26" s="421"/>
    </row>
    <row r="27" spans="1:28" s="5" customFormat="1" ht="31.95" customHeight="1" x14ac:dyDescent="0.25">
      <c r="A27" s="423"/>
      <c r="B27" s="134" t="s">
        <v>800</v>
      </c>
      <c r="C27" s="421"/>
      <c r="D27" s="415"/>
      <c r="E27" s="183"/>
      <c r="F27" s="183"/>
      <c r="G27" s="183"/>
      <c r="H27" s="421"/>
      <c r="I27" s="415"/>
      <c r="J27" s="183"/>
      <c r="K27" s="183"/>
      <c r="L27" s="183"/>
      <c r="M27" s="421"/>
      <c r="N27" s="415"/>
      <c r="O27" s="183"/>
      <c r="P27" s="183"/>
      <c r="Q27" s="183"/>
      <c r="R27" s="415"/>
      <c r="S27" s="415"/>
      <c r="T27" s="183"/>
      <c r="U27" s="183"/>
      <c r="V27" s="183"/>
      <c r="W27" s="415"/>
      <c r="X27" s="415"/>
      <c r="Y27" s="183"/>
      <c r="Z27" s="183"/>
      <c r="AA27" s="183"/>
      <c r="AB27" s="421"/>
    </row>
    <row r="28" spans="1:28" s="5" customFormat="1" ht="16.2" customHeight="1" x14ac:dyDescent="0.25">
      <c r="A28" s="423"/>
      <c r="B28" s="134" t="s">
        <v>801</v>
      </c>
      <c r="C28" s="421"/>
      <c r="D28" s="415"/>
      <c r="E28" s="183"/>
      <c r="F28" s="183"/>
      <c r="G28" s="183"/>
      <c r="H28" s="421"/>
      <c r="I28" s="415"/>
      <c r="J28" s="183"/>
      <c r="K28" s="183"/>
      <c r="L28" s="183"/>
      <c r="M28" s="421"/>
      <c r="N28" s="415"/>
      <c r="O28" s="183"/>
      <c r="P28" s="183"/>
      <c r="Q28" s="183"/>
      <c r="R28" s="415"/>
      <c r="S28" s="415"/>
      <c r="T28" s="183"/>
      <c r="U28" s="183"/>
      <c r="V28" s="183"/>
      <c r="W28" s="415"/>
      <c r="X28" s="415"/>
      <c r="Y28" s="183"/>
      <c r="Z28" s="183"/>
      <c r="AA28" s="183"/>
      <c r="AB28" s="421"/>
    </row>
    <row r="29" spans="1:28" s="5" customFormat="1" ht="16.2" customHeight="1" x14ac:dyDescent="0.25">
      <c r="A29" s="423"/>
      <c r="B29" s="134" t="s">
        <v>802</v>
      </c>
      <c r="C29" s="421"/>
      <c r="D29" s="415"/>
      <c r="E29" s="183"/>
      <c r="F29" s="183"/>
      <c r="G29" s="183"/>
      <c r="H29" s="421"/>
      <c r="I29" s="415"/>
      <c r="J29" s="183"/>
      <c r="K29" s="183"/>
      <c r="L29" s="183"/>
      <c r="M29" s="421"/>
      <c r="N29" s="415"/>
      <c r="O29" s="183"/>
      <c r="P29" s="183"/>
      <c r="Q29" s="183"/>
      <c r="R29" s="415"/>
      <c r="S29" s="415"/>
      <c r="T29" s="183"/>
      <c r="U29" s="183"/>
      <c r="V29" s="183"/>
      <c r="W29" s="415"/>
      <c r="X29" s="415"/>
      <c r="Y29" s="183"/>
      <c r="Z29" s="183"/>
      <c r="AA29" s="183"/>
      <c r="AB29" s="421"/>
    </row>
    <row r="30" spans="1:28" s="167" customFormat="1" ht="16.2" customHeight="1" x14ac:dyDescent="0.25">
      <c r="A30" s="427">
        <v>3</v>
      </c>
      <c r="B30" s="182" t="s">
        <v>809</v>
      </c>
      <c r="C30" s="420">
        <f>D30+E30+F30+G30</f>
        <v>1595</v>
      </c>
      <c r="D30" s="414">
        <v>1595</v>
      </c>
      <c r="E30" s="183">
        <v>0</v>
      </c>
      <c r="F30" s="183">
        <v>0</v>
      </c>
      <c r="G30" s="183">
        <v>0</v>
      </c>
      <c r="H30" s="414">
        <v>0</v>
      </c>
      <c r="I30" s="420">
        <v>0</v>
      </c>
      <c r="J30" s="183">
        <v>0</v>
      </c>
      <c r="K30" s="183">
        <v>0</v>
      </c>
      <c r="L30" s="183">
        <v>0</v>
      </c>
      <c r="M30" s="414">
        <v>0</v>
      </c>
      <c r="N30" s="414">
        <v>0</v>
      </c>
      <c r="O30" s="183">
        <v>0</v>
      </c>
      <c r="P30" s="183">
        <v>0</v>
      </c>
      <c r="Q30" s="183">
        <v>0</v>
      </c>
      <c r="R30" s="420">
        <v>0</v>
      </c>
      <c r="S30" s="414">
        <v>0</v>
      </c>
      <c r="T30" s="183">
        <v>0</v>
      </c>
      <c r="U30" s="183">
        <v>0</v>
      </c>
      <c r="V30" s="183">
        <v>0</v>
      </c>
      <c r="W30" s="420">
        <v>0</v>
      </c>
      <c r="X30" s="414">
        <v>0</v>
      </c>
      <c r="Y30" s="183">
        <v>0</v>
      </c>
      <c r="Z30" s="183">
        <v>0</v>
      </c>
      <c r="AA30" s="183">
        <v>0</v>
      </c>
      <c r="AB30" s="420">
        <f>C30+H30+M30+R30+W30</f>
        <v>1595</v>
      </c>
    </row>
    <row r="31" spans="1:28" s="167" customFormat="1" ht="16.2" customHeight="1" x14ac:dyDescent="0.25">
      <c r="A31" s="428"/>
      <c r="B31" s="134" t="s">
        <v>797</v>
      </c>
      <c r="C31" s="421"/>
      <c r="D31" s="415"/>
      <c r="E31" s="183"/>
      <c r="F31" s="183"/>
      <c r="G31" s="183"/>
      <c r="H31" s="415"/>
      <c r="I31" s="421"/>
      <c r="J31" s="183"/>
      <c r="K31" s="183"/>
      <c r="L31" s="183"/>
      <c r="M31" s="415"/>
      <c r="N31" s="415"/>
      <c r="O31" s="183"/>
      <c r="P31" s="183"/>
      <c r="Q31" s="183"/>
      <c r="R31" s="421"/>
      <c r="S31" s="415"/>
      <c r="T31" s="183"/>
      <c r="U31" s="183"/>
      <c r="V31" s="183"/>
      <c r="W31" s="421"/>
      <c r="X31" s="415"/>
      <c r="Y31" s="183"/>
      <c r="Z31" s="183"/>
      <c r="AA31" s="183"/>
      <c r="AB31" s="421"/>
    </row>
    <row r="32" spans="1:28" s="167" customFormat="1" ht="16.2" customHeight="1" x14ac:dyDescent="0.25">
      <c r="A32" s="428"/>
      <c r="B32" s="134" t="s">
        <v>1001</v>
      </c>
      <c r="C32" s="421"/>
      <c r="D32" s="415"/>
      <c r="E32" s="183"/>
      <c r="F32" s="183"/>
      <c r="G32" s="183"/>
      <c r="H32" s="415"/>
      <c r="I32" s="421"/>
      <c r="J32" s="183"/>
      <c r="K32" s="183"/>
      <c r="L32" s="183"/>
      <c r="M32" s="415"/>
      <c r="N32" s="415"/>
      <c r="O32" s="183"/>
      <c r="P32" s="183"/>
      <c r="Q32" s="183"/>
      <c r="R32" s="421"/>
      <c r="S32" s="415"/>
      <c r="T32" s="183"/>
      <c r="U32" s="183"/>
      <c r="V32" s="183"/>
      <c r="W32" s="421"/>
      <c r="X32" s="415"/>
      <c r="Y32" s="183"/>
      <c r="Z32" s="183"/>
      <c r="AA32" s="183"/>
      <c r="AB32" s="421"/>
    </row>
    <row r="33" spans="1:28" s="167" customFormat="1" ht="16.2" customHeight="1" x14ac:dyDescent="0.25">
      <c r="A33" s="428"/>
      <c r="B33" s="134" t="s">
        <v>1002</v>
      </c>
      <c r="C33" s="421"/>
      <c r="D33" s="415"/>
      <c r="E33" s="183"/>
      <c r="F33" s="183"/>
      <c r="G33" s="183"/>
      <c r="H33" s="415"/>
      <c r="I33" s="421"/>
      <c r="J33" s="183"/>
      <c r="K33" s="183"/>
      <c r="L33" s="183"/>
      <c r="M33" s="415"/>
      <c r="N33" s="415"/>
      <c r="O33" s="183"/>
      <c r="P33" s="183"/>
      <c r="Q33" s="183"/>
      <c r="R33" s="421"/>
      <c r="S33" s="415"/>
      <c r="T33" s="183"/>
      <c r="U33" s="183"/>
      <c r="V33" s="183"/>
      <c r="W33" s="421"/>
      <c r="X33" s="415"/>
      <c r="Y33" s="183"/>
      <c r="Z33" s="183"/>
      <c r="AA33" s="183"/>
      <c r="AB33" s="421"/>
    </row>
    <row r="34" spans="1:28" s="5" customFormat="1" ht="16.2" customHeight="1" x14ac:dyDescent="0.25">
      <c r="A34" s="422">
        <v>4</v>
      </c>
      <c r="B34" s="182" t="s">
        <v>810</v>
      </c>
      <c r="C34" s="420">
        <f>D34+E34+F34+G34</f>
        <v>8654</v>
      </c>
      <c r="D34" s="414">
        <v>8654</v>
      </c>
      <c r="E34" s="183">
        <v>0</v>
      </c>
      <c r="F34" s="183">
        <v>0</v>
      </c>
      <c r="G34" s="183">
        <v>0</v>
      </c>
      <c r="H34" s="420">
        <f>I34+J34+K34+L34</f>
        <v>8219</v>
      </c>
      <c r="I34" s="414">
        <v>8219</v>
      </c>
      <c r="J34" s="183">
        <v>0</v>
      </c>
      <c r="K34" s="183">
        <v>0</v>
      </c>
      <c r="L34" s="183">
        <v>0</v>
      </c>
      <c r="M34" s="420">
        <f>N34</f>
        <v>8219</v>
      </c>
      <c r="N34" s="414">
        <v>8219</v>
      </c>
      <c r="O34" s="183">
        <v>0</v>
      </c>
      <c r="P34" s="183">
        <v>0</v>
      </c>
      <c r="Q34" s="183">
        <v>0</v>
      </c>
      <c r="R34" s="420">
        <v>0</v>
      </c>
      <c r="S34" s="414">
        <v>0</v>
      </c>
      <c r="T34" s="183">
        <v>0</v>
      </c>
      <c r="U34" s="183">
        <v>0</v>
      </c>
      <c r="V34" s="183">
        <v>0</v>
      </c>
      <c r="W34" s="414">
        <v>0</v>
      </c>
      <c r="X34" s="414">
        <v>0</v>
      </c>
      <c r="Y34" s="183">
        <v>0</v>
      </c>
      <c r="Z34" s="183">
        <v>0</v>
      </c>
      <c r="AA34" s="183">
        <v>0</v>
      </c>
      <c r="AB34" s="420">
        <f>C34+H34+M34+R34+W34</f>
        <v>25092</v>
      </c>
    </row>
    <row r="35" spans="1:28" s="5" customFormat="1" ht="16.2" customHeight="1" x14ac:dyDescent="0.25">
      <c r="A35" s="423"/>
      <c r="B35" s="134" t="s">
        <v>797</v>
      </c>
      <c r="C35" s="421"/>
      <c r="D35" s="415"/>
      <c r="E35" s="183"/>
      <c r="F35" s="183"/>
      <c r="G35" s="183"/>
      <c r="H35" s="421"/>
      <c r="I35" s="415"/>
      <c r="J35" s="183"/>
      <c r="K35" s="183"/>
      <c r="L35" s="183"/>
      <c r="M35" s="421"/>
      <c r="N35" s="415"/>
      <c r="O35" s="183"/>
      <c r="P35" s="183"/>
      <c r="Q35" s="183"/>
      <c r="R35" s="421"/>
      <c r="S35" s="415"/>
      <c r="T35" s="183"/>
      <c r="U35" s="183"/>
      <c r="V35" s="183"/>
      <c r="W35" s="415"/>
      <c r="X35" s="415"/>
      <c r="Y35" s="183"/>
      <c r="Z35" s="183"/>
      <c r="AA35" s="183"/>
      <c r="AB35" s="421"/>
    </row>
    <row r="36" spans="1:28" s="5" customFormat="1" ht="16.2" customHeight="1" x14ac:dyDescent="0.25">
      <c r="A36" s="423"/>
      <c r="B36" s="134" t="s">
        <v>1018</v>
      </c>
      <c r="C36" s="421"/>
      <c r="D36" s="415"/>
      <c r="E36" s="183"/>
      <c r="F36" s="183"/>
      <c r="G36" s="183"/>
      <c r="H36" s="421"/>
      <c r="I36" s="415"/>
      <c r="J36" s="183"/>
      <c r="K36" s="183"/>
      <c r="L36" s="183"/>
      <c r="M36" s="421"/>
      <c r="N36" s="415"/>
      <c r="O36" s="183"/>
      <c r="P36" s="183"/>
      <c r="Q36" s="183"/>
      <c r="R36" s="421"/>
      <c r="S36" s="415"/>
      <c r="T36" s="183"/>
      <c r="U36" s="183"/>
      <c r="V36" s="183"/>
      <c r="W36" s="415"/>
      <c r="X36" s="415"/>
      <c r="Y36" s="183"/>
      <c r="Z36" s="183"/>
      <c r="AA36" s="183"/>
      <c r="AB36" s="421"/>
    </row>
    <row r="37" spans="1:28" s="5" customFormat="1" ht="16.2" customHeight="1" x14ac:dyDescent="0.25">
      <c r="A37" s="423"/>
      <c r="B37" s="134" t="s">
        <v>822</v>
      </c>
      <c r="C37" s="421"/>
      <c r="D37" s="415"/>
      <c r="E37" s="183"/>
      <c r="F37" s="183"/>
      <c r="G37" s="183"/>
      <c r="H37" s="421"/>
      <c r="I37" s="415"/>
      <c r="J37" s="183"/>
      <c r="K37" s="183"/>
      <c r="L37" s="183"/>
      <c r="M37" s="421"/>
      <c r="N37" s="415"/>
      <c r="O37" s="183"/>
      <c r="P37" s="183"/>
      <c r="Q37" s="183"/>
      <c r="R37" s="421"/>
      <c r="S37" s="415"/>
      <c r="T37" s="183"/>
      <c r="U37" s="183"/>
      <c r="V37" s="183"/>
      <c r="W37" s="415"/>
      <c r="X37" s="415"/>
      <c r="Y37" s="183"/>
      <c r="Z37" s="183"/>
      <c r="AA37" s="183"/>
      <c r="AB37" s="421"/>
    </row>
    <row r="38" spans="1:28" s="5" customFormat="1" ht="16.2" customHeight="1" x14ac:dyDescent="0.25">
      <c r="A38" s="423"/>
      <c r="B38" s="134" t="s">
        <v>824</v>
      </c>
      <c r="C38" s="421"/>
      <c r="D38" s="415"/>
      <c r="E38" s="183"/>
      <c r="F38" s="183"/>
      <c r="G38" s="183"/>
      <c r="H38" s="421"/>
      <c r="I38" s="415"/>
      <c r="J38" s="183"/>
      <c r="K38" s="183"/>
      <c r="L38" s="183"/>
      <c r="M38" s="421"/>
      <c r="N38" s="415"/>
      <c r="O38" s="183"/>
      <c r="P38" s="183"/>
      <c r="Q38" s="183"/>
      <c r="R38" s="421"/>
      <c r="S38" s="415"/>
      <c r="T38" s="183"/>
      <c r="U38" s="183"/>
      <c r="V38" s="183"/>
      <c r="W38" s="415"/>
      <c r="X38" s="415"/>
      <c r="Y38" s="183"/>
      <c r="Z38" s="183"/>
      <c r="AA38" s="183"/>
      <c r="AB38" s="421"/>
    </row>
    <row r="39" spans="1:28" s="5" customFormat="1" ht="16.2" customHeight="1" x14ac:dyDescent="0.25">
      <c r="A39" s="423"/>
      <c r="B39" s="134" t="s">
        <v>823</v>
      </c>
      <c r="C39" s="421"/>
      <c r="D39" s="415"/>
      <c r="E39" s="183"/>
      <c r="F39" s="183"/>
      <c r="G39" s="183"/>
      <c r="H39" s="421"/>
      <c r="I39" s="415"/>
      <c r="J39" s="183"/>
      <c r="K39" s="183"/>
      <c r="L39" s="183"/>
      <c r="M39" s="421"/>
      <c r="N39" s="415"/>
      <c r="O39" s="183"/>
      <c r="P39" s="183"/>
      <c r="Q39" s="183"/>
      <c r="R39" s="421"/>
      <c r="S39" s="415"/>
      <c r="T39" s="183"/>
      <c r="U39" s="183"/>
      <c r="V39" s="183"/>
      <c r="W39" s="415"/>
      <c r="X39" s="415"/>
      <c r="Y39" s="183"/>
      <c r="Z39" s="183"/>
      <c r="AA39" s="183"/>
      <c r="AB39" s="421"/>
    </row>
    <row r="40" spans="1:28" s="5" customFormat="1" ht="16.2" customHeight="1" x14ac:dyDescent="0.25">
      <c r="A40" s="423"/>
      <c r="B40" s="134" t="s">
        <v>825</v>
      </c>
      <c r="C40" s="421"/>
      <c r="D40" s="415"/>
      <c r="E40" s="183"/>
      <c r="F40" s="183"/>
      <c r="G40" s="183"/>
      <c r="H40" s="421"/>
      <c r="I40" s="415"/>
      <c r="J40" s="183"/>
      <c r="K40" s="183"/>
      <c r="L40" s="183"/>
      <c r="M40" s="421"/>
      <c r="N40" s="415"/>
      <c r="O40" s="183"/>
      <c r="P40" s="183"/>
      <c r="Q40" s="183"/>
      <c r="R40" s="421"/>
      <c r="S40" s="415"/>
      <c r="T40" s="183"/>
      <c r="U40" s="183"/>
      <c r="V40" s="183"/>
      <c r="W40" s="415"/>
      <c r="X40" s="415"/>
      <c r="Y40" s="183"/>
      <c r="Z40" s="183"/>
      <c r="AA40" s="183"/>
      <c r="AB40" s="421"/>
    </row>
    <row r="41" spans="1:28" s="5" customFormat="1" ht="16.2" customHeight="1" x14ac:dyDescent="0.25">
      <c r="A41" s="423"/>
      <c r="B41" s="134" t="s">
        <v>811</v>
      </c>
      <c r="C41" s="421"/>
      <c r="D41" s="415"/>
      <c r="E41" s="183"/>
      <c r="F41" s="183"/>
      <c r="G41" s="183"/>
      <c r="H41" s="421"/>
      <c r="I41" s="415"/>
      <c r="J41" s="183"/>
      <c r="K41" s="183"/>
      <c r="L41" s="183"/>
      <c r="M41" s="421"/>
      <c r="N41" s="415"/>
      <c r="O41" s="183"/>
      <c r="P41" s="183"/>
      <c r="Q41" s="183"/>
      <c r="R41" s="421"/>
      <c r="S41" s="415"/>
      <c r="T41" s="183"/>
      <c r="U41" s="183"/>
      <c r="V41" s="183"/>
      <c r="W41" s="415"/>
      <c r="X41" s="415"/>
      <c r="Y41" s="183"/>
      <c r="Z41" s="183"/>
      <c r="AA41" s="183"/>
      <c r="AB41" s="421"/>
    </row>
    <row r="42" spans="1:28" s="5" customFormat="1" ht="16.2" customHeight="1" x14ac:dyDescent="0.25">
      <c r="A42" s="423"/>
      <c r="B42" s="134" t="s">
        <v>826</v>
      </c>
      <c r="C42" s="421"/>
      <c r="D42" s="415"/>
      <c r="E42" s="183"/>
      <c r="F42" s="183"/>
      <c r="G42" s="183"/>
      <c r="H42" s="421"/>
      <c r="I42" s="415"/>
      <c r="J42" s="183"/>
      <c r="K42" s="183"/>
      <c r="L42" s="183"/>
      <c r="M42" s="421"/>
      <c r="N42" s="415"/>
      <c r="O42" s="183"/>
      <c r="P42" s="183"/>
      <c r="Q42" s="183"/>
      <c r="R42" s="421"/>
      <c r="S42" s="415"/>
      <c r="T42" s="183"/>
      <c r="U42" s="183"/>
      <c r="V42" s="183"/>
      <c r="W42" s="415"/>
      <c r="X42" s="415"/>
      <c r="Y42" s="183"/>
      <c r="Z42" s="183"/>
      <c r="AA42" s="183"/>
      <c r="AB42" s="421"/>
    </row>
    <row r="43" spans="1:28" s="5" customFormat="1" ht="16.2" customHeight="1" x14ac:dyDescent="0.25">
      <c r="A43" s="423"/>
      <c r="B43" s="134" t="s">
        <v>1019</v>
      </c>
      <c r="C43" s="421"/>
      <c r="D43" s="415"/>
      <c r="E43" s="183"/>
      <c r="F43" s="183"/>
      <c r="G43" s="183"/>
      <c r="H43" s="421"/>
      <c r="I43" s="415"/>
      <c r="J43" s="183"/>
      <c r="K43" s="183"/>
      <c r="L43" s="183"/>
      <c r="M43" s="421"/>
      <c r="N43" s="415"/>
      <c r="O43" s="183"/>
      <c r="P43" s="183"/>
      <c r="Q43" s="183"/>
      <c r="R43" s="421"/>
      <c r="S43" s="415"/>
      <c r="T43" s="183"/>
      <c r="U43" s="183"/>
      <c r="V43" s="183"/>
      <c r="W43" s="415"/>
      <c r="X43" s="415"/>
      <c r="Y43" s="183"/>
      <c r="Z43" s="183"/>
      <c r="AA43" s="183"/>
      <c r="AB43" s="421"/>
    </row>
    <row r="44" spans="1:28" s="5" customFormat="1" ht="16.2" customHeight="1" x14ac:dyDescent="0.25">
      <c r="A44" s="424"/>
      <c r="B44" s="192" t="s">
        <v>1020</v>
      </c>
      <c r="C44" s="425"/>
      <c r="D44" s="416"/>
      <c r="E44" s="183"/>
      <c r="F44" s="183"/>
      <c r="G44" s="183"/>
      <c r="H44" s="425"/>
      <c r="I44" s="416"/>
      <c r="J44" s="183"/>
      <c r="K44" s="183"/>
      <c r="L44" s="183"/>
      <c r="M44" s="425"/>
      <c r="N44" s="416"/>
      <c r="O44" s="183"/>
      <c r="P44" s="183"/>
      <c r="Q44" s="183"/>
      <c r="R44" s="425"/>
      <c r="S44" s="416"/>
      <c r="T44" s="183"/>
      <c r="U44" s="183"/>
      <c r="V44" s="183"/>
      <c r="W44" s="416"/>
      <c r="X44" s="416"/>
      <c r="Y44" s="183"/>
      <c r="Z44" s="183"/>
      <c r="AA44" s="183"/>
      <c r="AB44" s="425"/>
    </row>
    <row r="45" spans="1:28" s="5" customFormat="1" ht="31.95" customHeight="1" x14ac:dyDescent="0.25">
      <c r="A45" s="422">
        <v>5</v>
      </c>
      <c r="B45" s="182" t="s">
        <v>1012</v>
      </c>
      <c r="C45" s="439">
        <v>2268</v>
      </c>
      <c r="D45" s="414">
        <v>2268</v>
      </c>
      <c r="E45" s="417"/>
      <c r="F45" s="417"/>
      <c r="G45" s="417"/>
      <c r="H45" s="420">
        <f>I45</f>
        <v>0</v>
      </c>
      <c r="I45" s="414">
        <v>0</v>
      </c>
      <c r="J45" s="417"/>
      <c r="K45" s="417"/>
      <c r="L45" s="417"/>
      <c r="M45" s="420">
        <f>N45</f>
        <v>0</v>
      </c>
      <c r="N45" s="414">
        <v>0</v>
      </c>
      <c r="O45" s="417"/>
      <c r="P45" s="417"/>
      <c r="Q45" s="417"/>
      <c r="R45" s="420">
        <f>S45</f>
        <v>0</v>
      </c>
      <c r="S45" s="414">
        <v>0</v>
      </c>
      <c r="T45" s="417"/>
      <c r="U45" s="417"/>
      <c r="V45" s="417"/>
      <c r="W45" s="420">
        <f>X45</f>
        <v>0</v>
      </c>
      <c r="X45" s="414">
        <v>0</v>
      </c>
      <c r="Y45" s="417"/>
      <c r="Z45" s="417"/>
      <c r="AA45" s="417"/>
      <c r="AB45" s="420">
        <f>C45+H45+M45+R45+W45</f>
        <v>2268</v>
      </c>
    </row>
    <row r="46" spans="1:28" s="5" customFormat="1" ht="16.2" customHeight="1" x14ac:dyDescent="0.25">
      <c r="A46" s="423"/>
      <c r="B46" s="134" t="s">
        <v>797</v>
      </c>
      <c r="C46" s="440"/>
      <c r="D46" s="415"/>
      <c r="E46" s="418"/>
      <c r="F46" s="418"/>
      <c r="G46" s="418"/>
      <c r="H46" s="421"/>
      <c r="I46" s="415"/>
      <c r="J46" s="418"/>
      <c r="K46" s="418"/>
      <c r="L46" s="418"/>
      <c r="M46" s="421"/>
      <c r="N46" s="415"/>
      <c r="O46" s="418"/>
      <c r="P46" s="418"/>
      <c r="Q46" s="418"/>
      <c r="R46" s="421"/>
      <c r="S46" s="415"/>
      <c r="T46" s="418"/>
      <c r="U46" s="418"/>
      <c r="V46" s="418"/>
      <c r="W46" s="421"/>
      <c r="X46" s="415"/>
      <c r="Y46" s="418"/>
      <c r="Z46" s="418"/>
      <c r="AA46" s="418"/>
      <c r="AB46" s="421"/>
    </row>
    <row r="47" spans="1:28" s="5" customFormat="1" ht="16.2" customHeight="1" x14ac:dyDescent="0.25">
      <c r="A47" s="424"/>
      <c r="B47" s="192" t="s">
        <v>1011</v>
      </c>
      <c r="C47" s="441"/>
      <c r="D47" s="416"/>
      <c r="E47" s="419"/>
      <c r="F47" s="419"/>
      <c r="G47" s="419"/>
      <c r="H47" s="425"/>
      <c r="I47" s="416"/>
      <c r="J47" s="419"/>
      <c r="K47" s="419"/>
      <c r="L47" s="419"/>
      <c r="M47" s="425"/>
      <c r="N47" s="416"/>
      <c r="O47" s="419"/>
      <c r="P47" s="419"/>
      <c r="Q47" s="419"/>
      <c r="R47" s="425"/>
      <c r="S47" s="416"/>
      <c r="T47" s="419"/>
      <c r="U47" s="419"/>
      <c r="V47" s="419"/>
      <c r="W47" s="425"/>
      <c r="X47" s="416"/>
      <c r="Y47" s="419"/>
      <c r="Z47" s="419"/>
      <c r="AA47" s="419"/>
      <c r="AB47" s="425"/>
    </row>
    <row r="48" spans="1:28" s="5" customFormat="1" ht="13.95" customHeight="1" x14ac:dyDescent="0.25">
      <c r="A48" s="422">
        <v>6</v>
      </c>
      <c r="B48" s="182" t="s">
        <v>1055</v>
      </c>
      <c r="C48" s="420">
        <f>D48</f>
        <v>51269</v>
      </c>
      <c r="D48" s="420">
        <v>51269</v>
      </c>
      <c r="E48" s="420"/>
      <c r="F48" s="420"/>
      <c r="G48" s="420"/>
      <c r="H48" s="420">
        <f>I48</f>
        <v>13924</v>
      </c>
      <c r="I48" s="420">
        <v>13924</v>
      </c>
      <c r="J48" s="420"/>
      <c r="K48" s="420"/>
      <c r="L48" s="420"/>
      <c r="M48" s="420">
        <f>N48</f>
        <v>13924</v>
      </c>
      <c r="N48" s="420">
        <v>13924</v>
      </c>
      <c r="O48" s="420"/>
      <c r="P48" s="420"/>
      <c r="Q48" s="420"/>
      <c r="R48" s="420">
        <f>S48</f>
        <v>29781</v>
      </c>
      <c r="S48" s="420">
        <f>34281-4500</f>
        <v>29781</v>
      </c>
      <c r="T48" s="420"/>
      <c r="U48" s="420"/>
      <c r="V48" s="420"/>
      <c r="W48" s="420">
        <f>X48</f>
        <v>29781</v>
      </c>
      <c r="X48" s="420">
        <f>34281-4500</f>
        <v>29781</v>
      </c>
      <c r="Y48" s="420"/>
      <c r="Z48" s="420"/>
      <c r="AA48" s="420"/>
      <c r="AB48" s="420">
        <f>C48+H48+M48+R48+W48</f>
        <v>138679</v>
      </c>
    </row>
    <row r="49" spans="1:28" s="5" customFormat="1" ht="13.95" customHeight="1" x14ac:dyDescent="0.25">
      <c r="A49" s="423"/>
      <c r="B49" s="134" t="s">
        <v>813</v>
      </c>
      <c r="C49" s="421"/>
      <c r="D49" s="421"/>
      <c r="E49" s="421"/>
      <c r="F49" s="421"/>
      <c r="G49" s="421"/>
      <c r="H49" s="421"/>
      <c r="I49" s="421"/>
      <c r="J49" s="421"/>
      <c r="K49" s="421"/>
      <c r="L49" s="421"/>
      <c r="M49" s="421"/>
      <c r="N49" s="421"/>
      <c r="O49" s="421"/>
      <c r="P49" s="421"/>
      <c r="Q49" s="421"/>
      <c r="R49" s="421"/>
      <c r="S49" s="421"/>
      <c r="T49" s="421"/>
      <c r="U49" s="421"/>
      <c r="V49" s="421"/>
      <c r="W49" s="421"/>
      <c r="X49" s="421"/>
      <c r="Y49" s="421"/>
      <c r="Z49" s="421"/>
      <c r="AA49" s="421"/>
      <c r="AB49" s="421"/>
    </row>
    <row r="50" spans="1:28" s="5" customFormat="1" ht="13.95" customHeight="1" x14ac:dyDescent="0.25">
      <c r="A50" s="423"/>
      <c r="B50" s="182" t="s">
        <v>1003</v>
      </c>
      <c r="C50" s="421"/>
      <c r="D50" s="421"/>
      <c r="E50" s="421"/>
      <c r="F50" s="421"/>
      <c r="G50" s="421"/>
      <c r="H50" s="421"/>
      <c r="I50" s="421"/>
      <c r="J50" s="421"/>
      <c r="K50" s="421"/>
      <c r="L50" s="421"/>
      <c r="M50" s="421"/>
      <c r="N50" s="421"/>
      <c r="O50" s="421"/>
      <c r="P50" s="421"/>
      <c r="Q50" s="421"/>
      <c r="R50" s="421"/>
      <c r="S50" s="421"/>
      <c r="T50" s="421"/>
      <c r="U50" s="421"/>
      <c r="V50" s="421"/>
      <c r="W50" s="421"/>
      <c r="X50" s="421"/>
      <c r="Y50" s="421"/>
      <c r="Z50" s="421"/>
      <c r="AA50" s="421"/>
      <c r="AB50" s="421"/>
    </row>
    <row r="51" spans="1:28" s="5" customFormat="1" ht="13.95" customHeight="1" x14ac:dyDescent="0.25">
      <c r="A51" s="423"/>
      <c r="B51" s="134" t="s">
        <v>1004</v>
      </c>
      <c r="C51" s="421"/>
      <c r="D51" s="421"/>
      <c r="E51" s="421"/>
      <c r="F51" s="421"/>
      <c r="G51" s="421"/>
      <c r="H51" s="421"/>
      <c r="I51" s="421"/>
      <c r="J51" s="421"/>
      <c r="K51" s="421"/>
      <c r="L51" s="421"/>
      <c r="M51" s="421"/>
      <c r="N51" s="421"/>
      <c r="O51" s="421"/>
      <c r="P51" s="421"/>
      <c r="Q51" s="421"/>
      <c r="R51" s="421"/>
      <c r="S51" s="421"/>
      <c r="T51" s="421"/>
      <c r="U51" s="421"/>
      <c r="V51" s="421"/>
      <c r="W51" s="421"/>
      <c r="X51" s="421"/>
      <c r="Y51" s="421"/>
      <c r="Z51" s="421"/>
      <c r="AA51" s="421"/>
      <c r="AB51" s="421"/>
    </row>
    <row r="52" spans="1:28" s="5" customFormat="1" ht="13.95" customHeight="1" x14ac:dyDescent="0.25">
      <c r="A52" s="423"/>
      <c r="B52" s="134" t="s">
        <v>1005</v>
      </c>
      <c r="C52" s="421"/>
      <c r="D52" s="421"/>
      <c r="E52" s="421"/>
      <c r="F52" s="421"/>
      <c r="G52" s="421"/>
      <c r="H52" s="421"/>
      <c r="I52" s="421"/>
      <c r="J52" s="421"/>
      <c r="K52" s="421"/>
      <c r="L52" s="421"/>
      <c r="M52" s="421"/>
      <c r="N52" s="421"/>
      <c r="O52" s="421"/>
      <c r="P52" s="421"/>
      <c r="Q52" s="421"/>
      <c r="R52" s="421"/>
      <c r="S52" s="421"/>
      <c r="T52" s="421"/>
      <c r="U52" s="421"/>
      <c r="V52" s="421"/>
      <c r="W52" s="421"/>
      <c r="X52" s="421"/>
      <c r="Y52" s="421"/>
      <c r="Z52" s="421"/>
      <c r="AA52" s="421"/>
      <c r="AB52" s="421"/>
    </row>
    <row r="53" spans="1:28" s="5" customFormat="1" ht="13.95" customHeight="1" x14ac:dyDescent="0.25">
      <c r="A53" s="423"/>
      <c r="B53" s="134" t="s">
        <v>1006</v>
      </c>
      <c r="C53" s="421"/>
      <c r="D53" s="421"/>
      <c r="E53" s="421"/>
      <c r="F53" s="421"/>
      <c r="G53" s="421"/>
      <c r="H53" s="421"/>
      <c r="I53" s="421"/>
      <c r="J53" s="421"/>
      <c r="K53" s="421"/>
      <c r="L53" s="421"/>
      <c r="M53" s="421"/>
      <c r="N53" s="421"/>
      <c r="O53" s="421"/>
      <c r="P53" s="421"/>
      <c r="Q53" s="421"/>
      <c r="R53" s="421"/>
      <c r="S53" s="421"/>
      <c r="T53" s="421"/>
      <c r="U53" s="421"/>
      <c r="V53" s="421"/>
      <c r="W53" s="421"/>
      <c r="X53" s="421"/>
      <c r="Y53" s="421"/>
      <c r="Z53" s="421"/>
      <c r="AA53" s="421"/>
      <c r="AB53" s="421"/>
    </row>
    <row r="54" spans="1:28" s="5" customFormat="1" ht="13.95" customHeight="1" x14ac:dyDescent="0.25">
      <c r="A54" s="423"/>
      <c r="B54" s="134" t="s">
        <v>1007</v>
      </c>
      <c r="C54" s="421"/>
      <c r="D54" s="421"/>
      <c r="E54" s="421"/>
      <c r="F54" s="421"/>
      <c r="G54" s="421"/>
      <c r="H54" s="421"/>
      <c r="I54" s="421"/>
      <c r="J54" s="421"/>
      <c r="K54" s="421"/>
      <c r="L54" s="421"/>
      <c r="M54" s="421"/>
      <c r="N54" s="421"/>
      <c r="O54" s="421"/>
      <c r="P54" s="421"/>
      <c r="Q54" s="421"/>
      <c r="R54" s="421"/>
      <c r="S54" s="421"/>
      <c r="T54" s="421"/>
      <c r="U54" s="421"/>
      <c r="V54" s="421"/>
      <c r="W54" s="421"/>
      <c r="X54" s="421"/>
      <c r="Y54" s="421"/>
      <c r="Z54" s="421"/>
      <c r="AA54" s="421"/>
      <c r="AB54" s="421"/>
    </row>
    <row r="55" spans="1:28" s="5" customFormat="1" ht="13.95" customHeight="1" x14ac:dyDescent="0.25">
      <c r="A55" s="423"/>
      <c r="B55" s="192" t="s">
        <v>1008</v>
      </c>
      <c r="C55" s="421"/>
      <c r="D55" s="421"/>
      <c r="E55" s="421"/>
      <c r="F55" s="421"/>
      <c r="G55" s="421"/>
      <c r="H55" s="421"/>
      <c r="I55" s="421"/>
      <c r="J55" s="421"/>
      <c r="K55" s="421"/>
      <c r="L55" s="421"/>
      <c r="M55" s="421"/>
      <c r="N55" s="421"/>
      <c r="O55" s="421"/>
      <c r="P55" s="421"/>
      <c r="Q55" s="421"/>
      <c r="R55" s="421"/>
      <c r="S55" s="421"/>
      <c r="T55" s="421"/>
      <c r="U55" s="421"/>
      <c r="V55" s="421"/>
      <c r="W55" s="421"/>
      <c r="X55" s="421"/>
      <c r="Y55" s="421"/>
      <c r="Z55" s="421"/>
      <c r="AA55" s="421"/>
      <c r="AB55" s="421"/>
    </row>
    <row r="56" spans="1:28" s="288" customFormat="1" ht="13.95" customHeight="1" x14ac:dyDescent="0.25">
      <c r="A56" s="423"/>
      <c r="B56" s="182" t="s">
        <v>914</v>
      </c>
      <c r="C56" s="421"/>
      <c r="D56" s="421"/>
      <c r="E56" s="421"/>
      <c r="F56" s="421"/>
      <c r="G56" s="421"/>
      <c r="H56" s="421"/>
      <c r="I56" s="421"/>
      <c r="J56" s="421"/>
      <c r="K56" s="421"/>
      <c r="L56" s="421"/>
      <c r="M56" s="421"/>
      <c r="N56" s="421"/>
      <c r="O56" s="421"/>
      <c r="P56" s="421"/>
      <c r="Q56" s="421"/>
      <c r="R56" s="421"/>
      <c r="S56" s="421"/>
      <c r="T56" s="421"/>
      <c r="U56" s="421"/>
      <c r="V56" s="421"/>
      <c r="W56" s="421"/>
      <c r="X56" s="421"/>
      <c r="Y56" s="421"/>
      <c r="Z56" s="421"/>
      <c r="AA56" s="421"/>
      <c r="AB56" s="421"/>
    </row>
    <row r="57" spans="1:28" s="288" customFormat="1" ht="13.95" customHeight="1" x14ac:dyDescent="0.25">
      <c r="A57" s="423"/>
      <c r="B57" s="134" t="s">
        <v>915</v>
      </c>
      <c r="C57" s="421"/>
      <c r="D57" s="421"/>
      <c r="E57" s="421"/>
      <c r="F57" s="421"/>
      <c r="G57" s="421"/>
      <c r="H57" s="421"/>
      <c r="I57" s="421"/>
      <c r="J57" s="421"/>
      <c r="K57" s="421"/>
      <c r="L57" s="421"/>
      <c r="M57" s="421"/>
      <c r="N57" s="421"/>
      <c r="O57" s="421"/>
      <c r="P57" s="421"/>
      <c r="Q57" s="421"/>
      <c r="R57" s="421"/>
      <c r="S57" s="421"/>
      <c r="T57" s="421"/>
      <c r="U57" s="421"/>
      <c r="V57" s="421"/>
      <c r="W57" s="421"/>
      <c r="X57" s="421"/>
      <c r="Y57" s="421"/>
      <c r="Z57" s="421"/>
      <c r="AA57" s="421"/>
      <c r="AB57" s="421"/>
    </row>
    <row r="58" spans="1:28" s="288" customFormat="1" ht="13.95" customHeight="1" x14ac:dyDescent="0.25">
      <c r="A58" s="423"/>
      <c r="B58" s="134" t="s">
        <v>916</v>
      </c>
      <c r="C58" s="421"/>
      <c r="D58" s="421"/>
      <c r="E58" s="421"/>
      <c r="F58" s="421"/>
      <c r="G58" s="421"/>
      <c r="H58" s="421"/>
      <c r="I58" s="421"/>
      <c r="J58" s="421"/>
      <c r="K58" s="421"/>
      <c r="L58" s="421"/>
      <c r="M58" s="421"/>
      <c r="N58" s="421"/>
      <c r="O58" s="421"/>
      <c r="P58" s="421"/>
      <c r="Q58" s="421"/>
      <c r="R58" s="421"/>
      <c r="S58" s="421"/>
      <c r="T58" s="421"/>
      <c r="U58" s="421"/>
      <c r="V58" s="421"/>
      <c r="W58" s="421"/>
      <c r="X58" s="421"/>
      <c r="Y58" s="421"/>
      <c r="Z58" s="421"/>
      <c r="AA58" s="421"/>
      <c r="AB58" s="421"/>
    </row>
    <row r="59" spans="1:28" s="288" customFormat="1" ht="13.95" customHeight="1" x14ac:dyDescent="0.25">
      <c r="A59" s="423"/>
      <c r="B59" s="134" t="s">
        <v>917</v>
      </c>
      <c r="C59" s="421"/>
      <c r="D59" s="421"/>
      <c r="E59" s="421"/>
      <c r="F59" s="421"/>
      <c r="G59" s="421"/>
      <c r="H59" s="421"/>
      <c r="I59" s="421"/>
      <c r="J59" s="421"/>
      <c r="K59" s="421"/>
      <c r="L59" s="421"/>
      <c r="M59" s="421"/>
      <c r="N59" s="421"/>
      <c r="O59" s="421"/>
      <c r="P59" s="421"/>
      <c r="Q59" s="421"/>
      <c r="R59" s="421"/>
      <c r="S59" s="421"/>
      <c r="T59" s="421"/>
      <c r="U59" s="421"/>
      <c r="V59" s="421"/>
      <c r="W59" s="421"/>
      <c r="X59" s="421"/>
      <c r="Y59" s="421"/>
      <c r="Z59" s="421"/>
      <c r="AA59" s="421"/>
      <c r="AB59" s="421"/>
    </row>
    <row r="60" spans="1:28" s="288" customFormat="1" ht="13.95" customHeight="1" x14ac:dyDescent="0.25">
      <c r="A60" s="423"/>
      <c r="B60" s="134" t="s">
        <v>918</v>
      </c>
      <c r="C60" s="421"/>
      <c r="D60" s="421"/>
      <c r="E60" s="421"/>
      <c r="F60" s="421"/>
      <c r="G60" s="421"/>
      <c r="H60" s="421"/>
      <c r="I60" s="421"/>
      <c r="J60" s="421"/>
      <c r="K60" s="421"/>
      <c r="L60" s="421"/>
      <c r="M60" s="421"/>
      <c r="N60" s="421"/>
      <c r="O60" s="421"/>
      <c r="P60" s="421"/>
      <c r="Q60" s="421"/>
      <c r="R60" s="421"/>
      <c r="S60" s="421"/>
      <c r="T60" s="421"/>
      <c r="U60" s="421"/>
      <c r="V60" s="421"/>
      <c r="W60" s="421"/>
      <c r="X60" s="421"/>
      <c r="Y60" s="421"/>
      <c r="Z60" s="421"/>
      <c r="AA60" s="421"/>
      <c r="AB60" s="421"/>
    </row>
    <row r="61" spans="1:28" s="288" customFormat="1" ht="13.95" customHeight="1" x14ac:dyDescent="0.25">
      <c r="A61" s="423"/>
      <c r="B61" s="134" t="s">
        <v>919</v>
      </c>
      <c r="C61" s="421"/>
      <c r="D61" s="421"/>
      <c r="E61" s="421"/>
      <c r="F61" s="421"/>
      <c r="G61" s="421"/>
      <c r="H61" s="421"/>
      <c r="I61" s="421"/>
      <c r="J61" s="421"/>
      <c r="K61" s="421"/>
      <c r="L61" s="421"/>
      <c r="M61" s="421"/>
      <c r="N61" s="421"/>
      <c r="O61" s="421"/>
      <c r="P61" s="421"/>
      <c r="Q61" s="421"/>
      <c r="R61" s="421"/>
      <c r="S61" s="421"/>
      <c r="T61" s="421"/>
      <c r="U61" s="421"/>
      <c r="V61" s="421"/>
      <c r="W61" s="421"/>
      <c r="X61" s="421"/>
      <c r="Y61" s="421"/>
      <c r="Z61" s="421"/>
      <c r="AA61" s="421"/>
      <c r="AB61" s="421"/>
    </row>
    <row r="62" spans="1:28" s="288" customFormat="1" ht="13.95" customHeight="1" x14ac:dyDescent="0.25">
      <c r="A62" s="423"/>
      <c r="B62" s="134" t="s">
        <v>920</v>
      </c>
      <c r="C62" s="421"/>
      <c r="D62" s="421"/>
      <c r="E62" s="421"/>
      <c r="F62" s="421"/>
      <c r="G62" s="421"/>
      <c r="H62" s="421"/>
      <c r="I62" s="421"/>
      <c r="J62" s="421"/>
      <c r="K62" s="421"/>
      <c r="L62" s="421"/>
      <c r="M62" s="421"/>
      <c r="N62" s="421"/>
      <c r="O62" s="421"/>
      <c r="P62" s="421"/>
      <c r="Q62" s="421"/>
      <c r="R62" s="421"/>
      <c r="S62" s="421"/>
      <c r="T62" s="421"/>
      <c r="U62" s="421"/>
      <c r="V62" s="421"/>
      <c r="W62" s="421"/>
      <c r="X62" s="421"/>
      <c r="Y62" s="421"/>
      <c r="Z62" s="421"/>
      <c r="AA62" s="421"/>
      <c r="AB62" s="421"/>
    </row>
    <row r="63" spans="1:28" s="288" customFormat="1" ht="13.95" customHeight="1" x14ac:dyDescent="0.25">
      <c r="A63" s="423"/>
      <c r="B63" s="134" t="s">
        <v>921</v>
      </c>
      <c r="C63" s="421"/>
      <c r="D63" s="421"/>
      <c r="E63" s="421"/>
      <c r="F63" s="421"/>
      <c r="G63" s="421"/>
      <c r="H63" s="421"/>
      <c r="I63" s="421"/>
      <c r="J63" s="421"/>
      <c r="K63" s="421"/>
      <c r="L63" s="421"/>
      <c r="M63" s="421"/>
      <c r="N63" s="421"/>
      <c r="O63" s="421"/>
      <c r="P63" s="421"/>
      <c r="Q63" s="421"/>
      <c r="R63" s="421"/>
      <c r="S63" s="421"/>
      <c r="T63" s="421"/>
      <c r="U63" s="421"/>
      <c r="V63" s="421"/>
      <c r="W63" s="421"/>
      <c r="X63" s="421"/>
      <c r="Y63" s="421"/>
      <c r="Z63" s="421"/>
      <c r="AA63" s="421"/>
      <c r="AB63" s="421"/>
    </row>
    <row r="64" spans="1:28" s="288" customFormat="1" ht="13.95" customHeight="1" x14ac:dyDescent="0.25">
      <c r="A64" s="423"/>
      <c r="B64" s="134" t="s">
        <v>922</v>
      </c>
      <c r="C64" s="421"/>
      <c r="D64" s="421"/>
      <c r="E64" s="421"/>
      <c r="F64" s="421"/>
      <c r="G64" s="421"/>
      <c r="H64" s="421"/>
      <c r="I64" s="421"/>
      <c r="J64" s="421"/>
      <c r="K64" s="421"/>
      <c r="L64" s="421"/>
      <c r="M64" s="421"/>
      <c r="N64" s="421"/>
      <c r="O64" s="421"/>
      <c r="P64" s="421"/>
      <c r="Q64" s="421"/>
      <c r="R64" s="421"/>
      <c r="S64" s="421"/>
      <c r="T64" s="421"/>
      <c r="U64" s="421"/>
      <c r="V64" s="421"/>
      <c r="W64" s="421"/>
      <c r="X64" s="421"/>
      <c r="Y64" s="421"/>
      <c r="Z64" s="421"/>
      <c r="AA64" s="421"/>
      <c r="AB64" s="421"/>
    </row>
    <row r="65" spans="1:28" s="288" customFormat="1" ht="13.95" customHeight="1" x14ac:dyDescent="0.25">
      <c r="A65" s="423"/>
      <c r="B65" s="134" t="s">
        <v>923</v>
      </c>
      <c r="C65" s="421"/>
      <c r="D65" s="421"/>
      <c r="E65" s="421"/>
      <c r="F65" s="421"/>
      <c r="G65" s="421"/>
      <c r="H65" s="421"/>
      <c r="I65" s="421"/>
      <c r="J65" s="421"/>
      <c r="K65" s="421"/>
      <c r="L65" s="421"/>
      <c r="M65" s="421"/>
      <c r="N65" s="421"/>
      <c r="O65" s="421"/>
      <c r="P65" s="421"/>
      <c r="Q65" s="421"/>
      <c r="R65" s="421"/>
      <c r="S65" s="421"/>
      <c r="T65" s="421"/>
      <c r="U65" s="421"/>
      <c r="V65" s="421"/>
      <c r="W65" s="421"/>
      <c r="X65" s="421"/>
      <c r="Y65" s="421"/>
      <c r="Z65" s="421"/>
      <c r="AA65" s="421"/>
      <c r="AB65" s="421"/>
    </row>
    <row r="66" spans="1:28" s="288" customFormat="1" ht="13.95" customHeight="1" x14ac:dyDescent="0.25">
      <c r="A66" s="423"/>
      <c r="B66" s="134" t="s">
        <v>924</v>
      </c>
      <c r="C66" s="421"/>
      <c r="D66" s="421"/>
      <c r="E66" s="421"/>
      <c r="F66" s="421"/>
      <c r="G66" s="421"/>
      <c r="H66" s="421"/>
      <c r="I66" s="421"/>
      <c r="J66" s="421"/>
      <c r="K66" s="421"/>
      <c r="L66" s="421"/>
      <c r="M66" s="421"/>
      <c r="N66" s="421"/>
      <c r="O66" s="421"/>
      <c r="P66" s="421"/>
      <c r="Q66" s="421"/>
      <c r="R66" s="421"/>
      <c r="S66" s="421"/>
      <c r="T66" s="421"/>
      <c r="U66" s="421"/>
      <c r="V66" s="421"/>
      <c r="W66" s="421"/>
      <c r="X66" s="421"/>
      <c r="Y66" s="421"/>
      <c r="Z66" s="421"/>
      <c r="AA66" s="421"/>
      <c r="AB66" s="421"/>
    </row>
    <row r="67" spans="1:28" s="288" customFormat="1" ht="13.95" customHeight="1" x14ac:dyDescent="0.25">
      <c r="A67" s="423"/>
      <c r="B67" s="134" t="s">
        <v>925</v>
      </c>
      <c r="C67" s="421"/>
      <c r="D67" s="421"/>
      <c r="E67" s="421"/>
      <c r="F67" s="421"/>
      <c r="G67" s="421"/>
      <c r="H67" s="421"/>
      <c r="I67" s="421"/>
      <c r="J67" s="421"/>
      <c r="K67" s="421"/>
      <c r="L67" s="421"/>
      <c r="M67" s="421"/>
      <c r="N67" s="421"/>
      <c r="O67" s="421"/>
      <c r="P67" s="421"/>
      <c r="Q67" s="421"/>
      <c r="R67" s="421"/>
      <c r="S67" s="421"/>
      <c r="T67" s="421"/>
      <c r="U67" s="421"/>
      <c r="V67" s="421"/>
      <c r="W67" s="421"/>
      <c r="X67" s="421"/>
      <c r="Y67" s="421"/>
      <c r="Z67" s="421"/>
      <c r="AA67" s="421"/>
      <c r="AB67" s="421"/>
    </row>
    <row r="68" spans="1:28" s="288" customFormat="1" ht="13.95" customHeight="1" x14ac:dyDescent="0.25">
      <c r="A68" s="423"/>
      <c r="B68" s="134" t="s">
        <v>926</v>
      </c>
      <c r="C68" s="421"/>
      <c r="D68" s="421"/>
      <c r="E68" s="421"/>
      <c r="F68" s="421"/>
      <c r="G68" s="421"/>
      <c r="H68" s="421"/>
      <c r="I68" s="421"/>
      <c r="J68" s="421"/>
      <c r="K68" s="421"/>
      <c r="L68" s="421"/>
      <c r="M68" s="421"/>
      <c r="N68" s="421"/>
      <c r="O68" s="421"/>
      <c r="P68" s="421"/>
      <c r="Q68" s="421"/>
      <c r="R68" s="421"/>
      <c r="S68" s="421"/>
      <c r="T68" s="421"/>
      <c r="U68" s="421"/>
      <c r="V68" s="421"/>
      <c r="W68" s="421"/>
      <c r="X68" s="421"/>
      <c r="Y68" s="421"/>
      <c r="Z68" s="421"/>
      <c r="AA68" s="421"/>
      <c r="AB68" s="421"/>
    </row>
    <row r="69" spans="1:28" s="288" customFormat="1" ht="13.95" customHeight="1" x14ac:dyDescent="0.25">
      <c r="A69" s="423"/>
      <c r="B69" s="134" t="s">
        <v>927</v>
      </c>
      <c r="C69" s="421"/>
      <c r="D69" s="421"/>
      <c r="E69" s="421"/>
      <c r="F69" s="421"/>
      <c r="G69" s="421"/>
      <c r="H69" s="421"/>
      <c r="I69" s="421"/>
      <c r="J69" s="421"/>
      <c r="K69" s="421"/>
      <c r="L69" s="421"/>
      <c r="M69" s="421"/>
      <c r="N69" s="421"/>
      <c r="O69" s="421"/>
      <c r="P69" s="421"/>
      <c r="Q69" s="421"/>
      <c r="R69" s="421"/>
      <c r="S69" s="421"/>
      <c r="T69" s="421"/>
      <c r="U69" s="421"/>
      <c r="V69" s="421"/>
      <c r="W69" s="421"/>
      <c r="X69" s="421"/>
      <c r="Y69" s="421"/>
      <c r="Z69" s="421"/>
      <c r="AA69" s="421"/>
      <c r="AB69" s="421"/>
    </row>
    <row r="70" spans="1:28" s="288" customFormat="1" ht="13.95" customHeight="1" x14ac:dyDescent="0.25">
      <c r="A70" s="423"/>
      <c r="B70" s="134" t="s">
        <v>928</v>
      </c>
      <c r="C70" s="421"/>
      <c r="D70" s="421"/>
      <c r="E70" s="421"/>
      <c r="F70" s="421"/>
      <c r="G70" s="421"/>
      <c r="H70" s="421"/>
      <c r="I70" s="421"/>
      <c r="J70" s="421"/>
      <c r="K70" s="421"/>
      <c r="L70" s="421"/>
      <c r="M70" s="421"/>
      <c r="N70" s="421"/>
      <c r="O70" s="421"/>
      <c r="P70" s="421"/>
      <c r="Q70" s="421"/>
      <c r="R70" s="421"/>
      <c r="S70" s="421"/>
      <c r="T70" s="421"/>
      <c r="U70" s="421"/>
      <c r="V70" s="421"/>
      <c r="W70" s="421"/>
      <c r="X70" s="421"/>
      <c r="Y70" s="421"/>
      <c r="Z70" s="421"/>
      <c r="AA70" s="421"/>
      <c r="AB70" s="421"/>
    </row>
    <row r="71" spans="1:28" s="288" customFormat="1" ht="13.95" customHeight="1" x14ac:dyDescent="0.25">
      <c r="A71" s="423"/>
      <c r="B71" s="134" t="s">
        <v>929</v>
      </c>
      <c r="C71" s="421"/>
      <c r="D71" s="421"/>
      <c r="E71" s="421"/>
      <c r="F71" s="421"/>
      <c r="G71" s="421"/>
      <c r="H71" s="421"/>
      <c r="I71" s="421"/>
      <c r="J71" s="421"/>
      <c r="K71" s="421"/>
      <c r="L71" s="421"/>
      <c r="M71" s="421"/>
      <c r="N71" s="421"/>
      <c r="O71" s="421"/>
      <c r="P71" s="421"/>
      <c r="Q71" s="421"/>
      <c r="R71" s="421"/>
      <c r="S71" s="421"/>
      <c r="T71" s="421"/>
      <c r="U71" s="421"/>
      <c r="V71" s="421"/>
      <c r="W71" s="421"/>
      <c r="X71" s="421"/>
      <c r="Y71" s="421"/>
      <c r="Z71" s="421"/>
      <c r="AA71" s="421"/>
      <c r="AB71" s="421"/>
    </row>
    <row r="72" spans="1:28" s="288" customFormat="1" ht="13.95" customHeight="1" x14ac:dyDescent="0.25">
      <c r="A72" s="423"/>
      <c r="B72" s="134" t="s">
        <v>930</v>
      </c>
      <c r="C72" s="421"/>
      <c r="D72" s="421"/>
      <c r="E72" s="421"/>
      <c r="F72" s="421"/>
      <c r="G72" s="421"/>
      <c r="H72" s="421"/>
      <c r="I72" s="421"/>
      <c r="J72" s="421"/>
      <c r="K72" s="421"/>
      <c r="L72" s="421"/>
      <c r="M72" s="421"/>
      <c r="N72" s="421"/>
      <c r="O72" s="421"/>
      <c r="P72" s="421"/>
      <c r="Q72" s="421"/>
      <c r="R72" s="421"/>
      <c r="S72" s="421"/>
      <c r="T72" s="421"/>
      <c r="U72" s="421"/>
      <c r="V72" s="421"/>
      <c r="W72" s="421"/>
      <c r="X72" s="421"/>
      <c r="Y72" s="421"/>
      <c r="Z72" s="421"/>
      <c r="AA72" s="421"/>
      <c r="AB72" s="421"/>
    </row>
    <row r="73" spans="1:28" s="288" customFormat="1" ht="13.95" customHeight="1" x14ac:dyDescent="0.25">
      <c r="A73" s="423"/>
      <c r="B73" s="134" t="s">
        <v>931</v>
      </c>
      <c r="C73" s="421"/>
      <c r="D73" s="421"/>
      <c r="E73" s="421"/>
      <c r="F73" s="421"/>
      <c r="G73" s="421"/>
      <c r="H73" s="421"/>
      <c r="I73" s="421"/>
      <c r="J73" s="421"/>
      <c r="K73" s="421"/>
      <c r="L73" s="421"/>
      <c r="M73" s="421"/>
      <c r="N73" s="421"/>
      <c r="O73" s="421"/>
      <c r="P73" s="421"/>
      <c r="Q73" s="421"/>
      <c r="R73" s="421"/>
      <c r="S73" s="421"/>
      <c r="T73" s="421"/>
      <c r="U73" s="421"/>
      <c r="V73" s="421"/>
      <c r="W73" s="421"/>
      <c r="X73" s="421"/>
      <c r="Y73" s="421"/>
      <c r="Z73" s="421"/>
      <c r="AA73" s="421"/>
      <c r="AB73" s="421"/>
    </row>
    <row r="74" spans="1:28" s="288" customFormat="1" ht="13.95" customHeight="1" x14ac:dyDescent="0.25">
      <c r="A74" s="423"/>
      <c r="B74" s="134" t="s">
        <v>932</v>
      </c>
      <c r="C74" s="421"/>
      <c r="D74" s="421"/>
      <c r="E74" s="421"/>
      <c r="F74" s="421"/>
      <c r="G74" s="421"/>
      <c r="H74" s="421"/>
      <c r="I74" s="421"/>
      <c r="J74" s="421"/>
      <c r="K74" s="421"/>
      <c r="L74" s="421"/>
      <c r="M74" s="421"/>
      <c r="N74" s="421"/>
      <c r="O74" s="421"/>
      <c r="P74" s="421"/>
      <c r="Q74" s="421"/>
      <c r="R74" s="421"/>
      <c r="S74" s="421"/>
      <c r="T74" s="421"/>
      <c r="U74" s="421"/>
      <c r="V74" s="421"/>
      <c r="W74" s="421"/>
      <c r="X74" s="421"/>
      <c r="Y74" s="421"/>
      <c r="Z74" s="421"/>
      <c r="AA74" s="421"/>
      <c r="AB74" s="421"/>
    </row>
    <row r="75" spans="1:28" s="288" customFormat="1" ht="13.95" customHeight="1" x14ac:dyDescent="0.25">
      <c r="A75" s="423"/>
      <c r="B75" s="134" t="s">
        <v>933</v>
      </c>
      <c r="C75" s="421"/>
      <c r="D75" s="421"/>
      <c r="E75" s="421"/>
      <c r="F75" s="421"/>
      <c r="G75" s="421"/>
      <c r="H75" s="421"/>
      <c r="I75" s="421"/>
      <c r="J75" s="421"/>
      <c r="K75" s="421"/>
      <c r="L75" s="421"/>
      <c r="M75" s="421"/>
      <c r="N75" s="421"/>
      <c r="O75" s="421"/>
      <c r="P75" s="421"/>
      <c r="Q75" s="421"/>
      <c r="R75" s="421"/>
      <c r="S75" s="421"/>
      <c r="T75" s="421"/>
      <c r="U75" s="421"/>
      <c r="V75" s="421"/>
      <c r="W75" s="421"/>
      <c r="X75" s="421"/>
      <c r="Y75" s="421"/>
      <c r="Z75" s="421"/>
      <c r="AA75" s="421"/>
      <c r="AB75" s="421"/>
    </row>
    <row r="76" spans="1:28" s="288" customFormat="1" ht="13.95" customHeight="1" x14ac:dyDescent="0.25">
      <c r="A76" s="423"/>
      <c r="B76" s="134" t="s">
        <v>934</v>
      </c>
      <c r="C76" s="421"/>
      <c r="D76" s="421"/>
      <c r="E76" s="421"/>
      <c r="F76" s="421"/>
      <c r="G76" s="421"/>
      <c r="H76" s="421"/>
      <c r="I76" s="421"/>
      <c r="J76" s="421"/>
      <c r="K76" s="421"/>
      <c r="L76" s="421"/>
      <c r="M76" s="421"/>
      <c r="N76" s="421"/>
      <c r="O76" s="421"/>
      <c r="P76" s="421"/>
      <c r="Q76" s="421"/>
      <c r="R76" s="421"/>
      <c r="S76" s="421"/>
      <c r="T76" s="421"/>
      <c r="U76" s="421"/>
      <c r="V76" s="421"/>
      <c r="W76" s="421"/>
      <c r="X76" s="421"/>
      <c r="Y76" s="421"/>
      <c r="Z76" s="421"/>
      <c r="AA76" s="421"/>
      <c r="AB76" s="421"/>
    </row>
    <row r="77" spans="1:28" s="288" customFormat="1" ht="13.95" customHeight="1" x14ac:dyDescent="0.25">
      <c r="A77" s="423"/>
      <c r="B77" s="134" t="s">
        <v>935</v>
      </c>
      <c r="C77" s="421"/>
      <c r="D77" s="421"/>
      <c r="E77" s="421"/>
      <c r="F77" s="421"/>
      <c r="G77" s="421"/>
      <c r="H77" s="421"/>
      <c r="I77" s="421"/>
      <c r="J77" s="421"/>
      <c r="K77" s="421"/>
      <c r="L77" s="421"/>
      <c r="M77" s="421"/>
      <c r="N77" s="421"/>
      <c r="O77" s="421"/>
      <c r="P77" s="421"/>
      <c r="Q77" s="421"/>
      <c r="R77" s="421"/>
      <c r="S77" s="421"/>
      <c r="T77" s="421"/>
      <c r="U77" s="421"/>
      <c r="V77" s="421"/>
      <c r="W77" s="421"/>
      <c r="X77" s="421"/>
      <c r="Y77" s="421"/>
      <c r="Z77" s="421"/>
      <c r="AA77" s="421"/>
      <c r="AB77" s="421"/>
    </row>
    <row r="78" spans="1:28" s="288" customFormat="1" ht="13.95" customHeight="1" x14ac:dyDescent="0.25">
      <c r="A78" s="423"/>
      <c r="B78" s="134" t="s">
        <v>936</v>
      </c>
      <c r="C78" s="421"/>
      <c r="D78" s="421"/>
      <c r="E78" s="421"/>
      <c r="F78" s="421"/>
      <c r="G78" s="421"/>
      <c r="H78" s="421"/>
      <c r="I78" s="421"/>
      <c r="J78" s="421"/>
      <c r="K78" s="421"/>
      <c r="L78" s="421"/>
      <c r="M78" s="421"/>
      <c r="N78" s="421"/>
      <c r="O78" s="421"/>
      <c r="P78" s="421"/>
      <c r="Q78" s="421"/>
      <c r="R78" s="421"/>
      <c r="S78" s="421"/>
      <c r="T78" s="421"/>
      <c r="U78" s="421"/>
      <c r="V78" s="421"/>
      <c r="W78" s="421"/>
      <c r="X78" s="421"/>
      <c r="Y78" s="421"/>
      <c r="Z78" s="421"/>
      <c r="AA78" s="421"/>
      <c r="AB78" s="421"/>
    </row>
    <row r="79" spans="1:28" s="288" customFormat="1" ht="13.95" customHeight="1" x14ac:dyDescent="0.25">
      <c r="A79" s="423"/>
      <c r="B79" s="134" t="s">
        <v>937</v>
      </c>
      <c r="C79" s="421"/>
      <c r="D79" s="421"/>
      <c r="E79" s="421"/>
      <c r="F79" s="421"/>
      <c r="G79" s="421"/>
      <c r="H79" s="421"/>
      <c r="I79" s="421"/>
      <c r="J79" s="421"/>
      <c r="K79" s="421"/>
      <c r="L79" s="421"/>
      <c r="M79" s="421"/>
      <c r="N79" s="421"/>
      <c r="O79" s="421"/>
      <c r="P79" s="421"/>
      <c r="Q79" s="421"/>
      <c r="R79" s="421"/>
      <c r="S79" s="421"/>
      <c r="T79" s="421"/>
      <c r="U79" s="421"/>
      <c r="V79" s="421"/>
      <c r="W79" s="421"/>
      <c r="X79" s="421"/>
      <c r="Y79" s="421"/>
      <c r="Z79" s="421"/>
      <c r="AA79" s="421"/>
      <c r="AB79" s="421"/>
    </row>
    <row r="80" spans="1:28" s="288" customFormat="1" ht="13.95" customHeight="1" x14ac:dyDescent="0.25">
      <c r="A80" s="423"/>
      <c r="B80" s="134" t="s">
        <v>938</v>
      </c>
      <c r="C80" s="421"/>
      <c r="D80" s="421"/>
      <c r="E80" s="421"/>
      <c r="F80" s="421"/>
      <c r="G80" s="421"/>
      <c r="H80" s="421"/>
      <c r="I80" s="421"/>
      <c r="J80" s="421"/>
      <c r="K80" s="421"/>
      <c r="L80" s="421"/>
      <c r="M80" s="421"/>
      <c r="N80" s="421"/>
      <c r="O80" s="421"/>
      <c r="P80" s="421"/>
      <c r="Q80" s="421"/>
      <c r="R80" s="421"/>
      <c r="S80" s="421"/>
      <c r="T80" s="421"/>
      <c r="U80" s="421"/>
      <c r="V80" s="421"/>
      <c r="W80" s="421"/>
      <c r="X80" s="421"/>
      <c r="Y80" s="421"/>
      <c r="Z80" s="421"/>
      <c r="AA80" s="421"/>
      <c r="AB80" s="421"/>
    </row>
    <row r="81" spans="1:28" s="288" customFormat="1" ht="13.95" customHeight="1" x14ac:dyDescent="0.25">
      <c r="A81" s="423"/>
      <c r="B81" s="134" t="s">
        <v>939</v>
      </c>
      <c r="C81" s="421"/>
      <c r="D81" s="421"/>
      <c r="E81" s="421"/>
      <c r="F81" s="421"/>
      <c r="G81" s="421"/>
      <c r="H81" s="421"/>
      <c r="I81" s="421"/>
      <c r="J81" s="421"/>
      <c r="K81" s="421"/>
      <c r="L81" s="421"/>
      <c r="M81" s="421"/>
      <c r="N81" s="421"/>
      <c r="O81" s="421"/>
      <c r="P81" s="421"/>
      <c r="Q81" s="421"/>
      <c r="R81" s="421"/>
      <c r="S81" s="421"/>
      <c r="T81" s="421"/>
      <c r="U81" s="421"/>
      <c r="V81" s="421"/>
      <c r="W81" s="421"/>
      <c r="X81" s="421"/>
      <c r="Y81" s="421"/>
      <c r="Z81" s="421"/>
      <c r="AA81" s="421"/>
      <c r="AB81" s="421"/>
    </row>
    <row r="82" spans="1:28" s="288" customFormat="1" ht="13.95" customHeight="1" x14ac:dyDescent="0.25">
      <c r="A82" s="423"/>
      <c r="B82" s="134" t="s">
        <v>940</v>
      </c>
      <c r="C82" s="421"/>
      <c r="D82" s="421"/>
      <c r="E82" s="421"/>
      <c r="F82" s="421"/>
      <c r="G82" s="421"/>
      <c r="H82" s="421"/>
      <c r="I82" s="421"/>
      <c r="J82" s="421"/>
      <c r="K82" s="421"/>
      <c r="L82" s="421"/>
      <c r="M82" s="421"/>
      <c r="N82" s="421"/>
      <c r="O82" s="421"/>
      <c r="P82" s="421"/>
      <c r="Q82" s="421"/>
      <c r="R82" s="421"/>
      <c r="S82" s="421"/>
      <c r="T82" s="421"/>
      <c r="U82" s="421"/>
      <c r="V82" s="421"/>
      <c r="W82" s="421"/>
      <c r="X82" s="421"/>
      <c r="Y82" s="421"/>
      <c r="Z82" s="421"/>
      <c r="AA82" s="421"/>
      <c r="AB82" s="421"/>
    </row>
    <row r="83" spans="1:28" s="288" customFormat="1" ht="13.95" customHeight="1" x14ac:dyDescent="0.25">
      <c r="A83" s="423"/>
      <c r="B83" s="134" t="s">
        <v>941</v>
      </c>
      <c r="C83" s="421"/>
      <c r="D83" s="421"/>
      <c r="E83" s="421"/>
      <c r="F83" s="421"/>
      <c r="G83" s="421"/>
      <c r="H83" s="421"/>
      <c r="I83" s="421"/>
      <c r="J83" s="421"/>
      <c r="K83" s="421"/>
      <c r="L83" s="421"/>
      <c r="M83" s="421"/>
      <c r="N83" s="421"/>
      <c r="O83" s="421"/>
      <c r="P83" s="421"/>
      <c r="Q83" s="421"/>
      <c r="R83" s="421"/>
      <c r="S83" s="421"/>
      <c r="T83" s="421"/>
      <c r="U83" s="421"/>
      <c r="V83" s="421"/>
      <c r="W83" s="421"/>
      <c r="X83" s="421"/>
      <c r="Y83" s="421"/>
      <c r="Z83" s="421"/>
      <c r="AA83" s="421"/>
      <c r="AB83" s="421"/>
    </row>
    <row r="84" spans="1:28" s="288" customFormat="1" ht="13.95" customHeight="1" x14ac:dyDescent="0.25">
      <c r="A84" s="423"/>
      <c r="B84" s="134" t="s">
        <v>942</v>
      </c>
      <c r="C84" s="421"/>
      <c r="D84" s="421"/>
      <c r="E84" s="421"/>
      <c r="F84" s="421"/>
      <c r="G84" s="421"/>
      <c r="H84" s="421"/>
      <c r="I84" s="421"/>
      <c r="J84" s="421"/>
      <c r="K84" s="421"/>
      <c r="L84" s="421"/>
      <c r="M84" s="421"/>
      <c r="N84" s="421"/>
      <c r="O84" s="421"/>
      <c r="P84" s="421"/>
      <c r="Q84" s="421"/>
      <c r="R84" s="421"/>
      <c r="S84" s="421"/>
      <c r="T84" s="421"/>
      <c r="U84" s="421"/>
      <c r="V84" s="421"/>
      <c r="W84" s="421"/>
      <c r="X84" s="421"/>
      <c r="Y84" s="421"/>
      <c r="Z84" s="421"/>
      <c r="AA84" s="421"/>
      <c r="AB84" s="421"/>
    </row>
    <row r="85" spans="1:28" s="288" customFormat="1" ht="13.95" customHeight="1" x14ac:dyDescent="0.25">
      <c r="A85" s="423"/>
      <c r="B85" s="134" t="s">
        <v>943</v>
      </c>
      <c r="C85" s="421"/>
      <c r="D85" s="421"/>
      <c r="E85" s="421"/>
      <c r="F85" s="421"/>
      <c r="G85" s="421"/>
      <c r="H85" s="421"/>
      <c r="I85" s="421"/>
      <c r="J85" s="421"/>
      <c r="K85" s="421"/>
      <c r="L85" s="421"/>
      <c r="M85" s="421"/>
      <c r="N85" s="421"/>
      <c r="O85" s="421"/>
      <c r="P85" s="421"/>
      <c r="Q85" s="421"/>
      <c r="R85" s="421"/>
      <c r="S85" s="421"/>
      <c r="T85" s="421"/>
      <c r="U85" s="421"/>
      <c r="V85" s="421"/>
      <c r="W85" s="421"/>
      <c r="X85" s="421"/>
      <c r="Y85" s="421"/>
      <c r="Z85" s="421"/>
      <c r="AA85" s="421"/>
      <c r="AB85" s="421"/>
    </row>
    <row r="86" spans="1:28" s="288" customFormat="1" ht="13.95" customHeight="1" x14ac:dyDescent="0.25">
      <c r="A86" s="423"/>
      <c r="B86" s="134" t="s">
        <v>944</v>
      </c>
      <c r="C86" s="421"/>
      <c r="D86" s="421"/>
      <c r="E86" s="421"/>
      <c r="F86" s="421"/>
      <c r="G86" s="421"/>
      <c r="H86" s="421"/>
      <c r="I86" s="421"/>
      <c r="J86" s="421"/>
      <c r="K86" s="421"/>
      <c r="L86" s="421"/>
      <c r="M86" s="421"/>
      <c r="N86" s="421"/>
      <c r="O86" s="421"/>
      <c r="P86" s="421"/>
      <c r="Q86" s="421"/>
      <c r="R86" s="421"/>
      <c r="S86" s="421"/>
      <c r="T86" s="421"/>
      <c r="U86" s="421"/>
      <c r="V86" s="421"/>
      <c r="W86" s="421"/>
      <c r="X86" s="421"/>
      <c r="Y86" s="421"/>
      <c r="Z86" s="421"/>
      <c r="AA86" s="421"/>
      <c r="AB86" s="421"/>
    </row>
    <row r="87" spans="1:28" s="288" customFormat="1" ht="13.95" customHeight="1" x14ac:dyDescent="0.25">
      <c r="A87" s="423"/>
      <c r="B87" s="134" t="s">
        <v>945</v>
      </c>
      <c r="C87" s="421"/>
      <c r="D87" s="421"/>
      <c r="E87" s="421"/>
      <c r="F87" s="421"/>
      <c r="G87" s="421"/>
      <c r="H87" s="421"/>
      <c r="I87" s="421"/>
      <c r="J87" s="421"/>
      <c r="K87" s="421"/>
      <c r="L87" s="421"/>
      <c r="M87" s="421"/>
      <c r="N87" s="421"/>
      <c r="O87" s="421"/>
      <c r="P87" s="421"/>
      <c r="Q87" s="421"/>
      <c r="R87" s="421"/>
      <c r="S87" s="421"/>
      <c r="T87" s="421"/>
      <c r="U87" s="421"/>
      <c r="V87" s="421"/>
      <c r="W87" s="421"/>
      <c r="X87" s="421"/>
      <c r="Y87" s="421"/>
      <c r="Z87" s="421"/>
      <c r="AA87" s="421"/>
      <c r="AB87" s="421"/>
    </row>
    <row r="88" spans="1:28" s="288" customFormat="1" ht="13.95" customHeight="1" x14ac:dyDescent="0.25">
      <c r="A88" s="423"/>
      <c r="B88" s="134" t="s">
        <v>946</v>
      </c>
      <c r="C88" s="421"/>
      <c r="D88" s="421"/>
      <c r="E88" s="421"/>
      <c r="F88" s="421"/>
      <c r="G88" s="421"/>
      <c r="H88" s="421"/>
      <c r="I88" s="421"/>
      <c r="J88" s="421"/>
      <c r="K88" s="421"/>
      <c r="L88" s="421"/>
      <c r="M88" s="421"/>
      <c r="N88" s="421"/>
      <c r="O88" s="421"/>
      <c r="P88" s="421"/>
      <c r="Q88" s="421"/>
      <c r="R88" s="421"/>
      <c r="S88" s="421"/>
      <c r="T88" s="421"/>
      <c r="U88" s="421"/>
      <c r="V88" s="421"/>
      <c r="W88" s="421"/>
      <c r="X88" s="421"/>
      <c r="Y88" s="421"/>
      <c r="Z88" s="421"/>
      <c r="AA88" s="421"/>
      <c r="AB88" s="421"/>
    </row>
    <row r="89" spans="1:28" s="288" customFormat="1" ht="13.95" customHeight="1" x14ac:dyDescent="0.25">
      <c r="A89" s="423"/>
      <c r="B89" s="134" t="s">
        <v>947</v>
      </c>
      <c r="C89" s="421"/>
      <c r="D89" s="421"/>
      <c r="E89" s="421"/>
      <c r="F89" s="421"/>
      <c r="G89" s="421"/>
      <c r="H89" s="421"/>
      <c r="I89" s="421"/>
      <c r="J89" s="421"/>
      <c r="K89" s="421"/>
      <c r="L89" s="421"/>
      <c r="M89" s="421"/>
      <c r="N89" s="421"/>
      <c r="O89" s="421"/>
      <c r="P89" s="421"/>
      <c r="Q89" s="421"/>
      <c r="R89" s="421"/>
      <c r="S89" s="421"/>
      <c r="T89" s="421"/>
      <c r="U89" s="421"/>
      <c r="V89" s="421"/>
      <c r="W89" s="421"/>
      <c r="X89" s="421"/>
      <c r="Y89" s="421"/>
      <c r="Z89" s="421"/>
      <c r="AA89" s="421"/>
      <c r="AB89" s="421"/>
    </row>
    <row r="90" spans="1:28" s="288" customFormat="1" ht="13.95" customHeight="1" x14ac:dyDescent="0.25">
      <c r="A90" s="423"/>
      <c r="B90" s="134" t="s">
        <v>948</v>
      </c>
      <c r="C90" s="421"/>
      <c r="D90" s="421"/>
      <c r="E90" s="421"/>
      <c r="F90" s="421"/>
      <c r="G90" s="421"/>
      <c r="H90" s="421"/>
      <c r="I90" s="421"/>
      <c r="J90" s="421"/>
      <c r="K90" s="421"/>
      <c r="L90" s="421"/>
      <c r="M90" s="421"/>
      <c r="N90" s="421"/>
      <c r="O90" s="421"/>
      <c r="P90" s="421"/>
      <c r="Q90" s="421"/>
      <c r="R90" s="421"/>
      <c r="S90" s="421"/>
      <c r="T90" s="421"/>
      <c r="U90" s="421"/>
      <c r="V90" s="421"/>
      <c r="W90" s="421"/>
      <c r="X90" s="421"/>
      <c r="Y90" s="421"/>
      <c r="Z90" s="421"/>
      <c r="AA90" s="421"/>
      <c r="AB90" s="421"/>
    </row>
    <row r="91" spans="1:28" s="288" customFormat="1" ht="13.95" customHeight="1" x14ac:dyDescent="0.25">
      <c r="A91" s="423"/>
      <c r="B91" s="134" t="s">
        <v>949</v>
      </c>
      <c r="C91" s="421"/>
      <c r="D91" s="421"/>
      <c r="E91" s="421"/>
      <c r="F91" s="421"/>
      <c r="G91" s="421"/>
      <c r="H91" s="421"/>
      <c r="I91" s="421"/>
      <c r="J91" s="421"/>
      <c r="K91" s="421"/>
      <c r="L91" s="421"/>
      <c r="M91" s="421"/>
      <c r="N91" s="421"/>
      <c r="O91" s="421"/>
      <c r="P91" s="421"/>
      <c r="Q91" s="421"/>
      <c r="R91" s="421"/>
      <c r="S91" s="421"/>
      <c r="T91" s="421"/>
      <c r="U91" s="421"/>
      <c r="V91" s="421"/>
      <c r="W91" s="421"/>
      <c r="X91" s="421"/>
      <c r="Y91" s="421"/>
      <c r="Z91" s="421"/>
      <c r="AA91" s="421"/>
      <c r="AB91" s="421"/>
    </row>
    <row r="92" spans="1:28" s="288" customFormat="1" ht="13.95" customHeight="1" x14ac:dyDescent="0.25">
      <c r="A92" s="423"/>
      <c r="B92" s="134" t="s">
        <v>950</v>
      </c>
      <c r="C92" s="421"/>
      <c r="D92" s="421"/>
      <c r="E92" s="421"/>
      <c r="F92" s="421"/>
      <c r="G92" s="421"/>
      <c r="H92" s="421"/>
      <c r="I92" s="421"/>
      <c r="J92" s="421"/>
      <c r="K92" s="421"/>
      <c r="L92" s="421"/>
      <c r="M92" s="421"/>
      <c r="N92" s="421"/>
      <c r="O92" s="421"/>
      <c r="P92" s="421"/>
      <c r="Q92" s="421"/>
      <c r="R92" s="421"/>
      <c r="S92" s="421"/>
      <c r="T92" s="421"/>
      <c r="U92" s="421"/>
      <c r="V92" s="421"/>
      <c r="W92" s="421"/>
      <c r="X92" s="421"/>
      <c r="Y92" s="421"/>
      <c r="Z92" s="421"/>
      <c r="AA92" s="421"/>
      <c r="AB92" s="421"/>
    </row>
    <row r="93" spans="1:28" s="288" customFormat="1" ht="13.95" customHeight="1" x14ac:dyDescent="0.25">
      <c r="A93" s="423"/>
      <c r="B93" s="134" t="s">
        <v>951</v>
      </c>
      <c r="C93" s="421"/>
      <c r="D93" s="421"/>
      <c r="E93" s="421"/>
      <c r="F93" s="421"/>
      <c r="G93" s="421"/>
      <c r="H93" s="421"/>
      <c r="I93" s="421"/>
      <c r="J93" s="421"/>
      <c r="K93" s="421"/>
      <c r="L93" s="421"/>
      <c r="M93" s="421"/>
      <c r="N93" s="421"/>
      <c r="O93" s="421"/>
      <c r="P93" s="421"/>
      <c r="Q93" s="421"/>
      <c r="R93" s="421"/>
      <c r="S93" s="421"/>
      <c r="T93" s="421"/>
      <c r="U93" s="421"/>
      <c r="V93" s="421"/>
      <c r="W93" s="421"/>
      <c r="X93" s="421"/>
      <c r="Y93" s="421"/>
      <c r="Z93" s="421"/>
      <c r="AA93" s="421"/>
      <c r="AB93" s="421"/>
    </row>
    <row r="94" spans="1:28" s="288" customFormat="1" ht="13.95" customHeight="1" x14ac:dyDescent="0.25">
      <c r="A94" s="423"/>
      <c r="B94" s="134" t="s">
        <v>952</v>
      </c>
      <c r="C94" s="421"/>
      <c r="D94" s="421"/>
      <c r="E94" s="421"/>
      <c r="F94" s="421"/>
      <c r="G94" s="421"/>
      <c r="H94" s="421"/>
      <c r="I94" s="421"/>
      <c r="J94" s="421"/>
      <c r="K94" s="421"/>
      <c r="L94" s="421"/>
      <c r="M94" s="421"/>
      <c r="N94" s="421"/>
      <c r="O94" s="421"/>
      <c r="P94" s="421"/>
      <c r="Q94" s="421"/>
      <c r="R94" s="421"/>
      <c r="S94" s="421"/>
      <c r="T94" s="421"/>
      <c r="U94" s="421"/>
      <c r="V94" s="421"/>
      <c r="W94" s="421"/>
      <c r="X94" s="421"/>
      <c r="Y94" s="421"/>
      <c r="Z94" s="421"/>
      <c r="AA94" s="421"/>
      <c r="AB94" s="421"/>
    </row>
    <row r="95" spans="1:28" s="288" customFormat="1" ht="13.95" customHeight="1" x14ac:dyDescent="0.25">
      <c r="A95" s="423"/>
      <c r="B95" s="134" t="s">
        <v>953</v>
      </c>
      <c r="C95" s="421"/>
      <c r="D95" s="421"/>
      <c r="E95" s="421"/>
      <c r="F95" s="421"/>
      <c r="G95" s="421"/>
      <c r="H95" s="421"/>
      <c r="I95" s="421"/>
      <c r="J95" s="421"/>
      <c r="K95" s="421"/>
      <c r="L95" s="421"/>
      <c r="M95" s="421"/>
      <c r="N95" s="421"/>
      <c r="O95" s="421"/>
      <c r="P95" s="421"/>
      <c r="Q95" s="421"/>
      <c r="R95" s="421"/>
      <c r="S95" s="421"/>
      <c r="T95" s="421"/>
      <c r="U95" s="421"/>
      <c r="V95" s="421"/>
      <c r="W95" s="421"/>
      <c r="X95" s="421"/>
      <c r="Y95" s="421"/>
      <c r="Z95" s="421"/>
      <c r="AA95" s="421"/>
      <c r="AB95" s="421"/>
    </row>
    <row r="96" spans="1:28" s="288" customFormat="1" ht="13.95" customHeight="1" x14ac:dyDescent="0.25">
      <c r="A96" s="423"/>
      <c r="B96" s="134" t="s">
        <v>954</v>
      </c>
      <c r="C96" s="421"/>
      <c r="D96" s="421"/>
      <c r="E96" s="421"/>
      <c r="F96" s="421"/>
      <c r="G96" s="421"/>
      <c r="H96" s="421"/>
      <c r="I96" s="421"/>
      <c r="J96" s="421"/>
      <c r="K96" s="421"/>
      <c r="L96" s="421"/>
      <c r="M96" s="421"/>
      <c r="N96" s="421"/>
      <c r="O96" s="421"/>
      <c r="P96" s="421"/>
      <c r="Q96" s="421"/>
      <c r="R96" s="421"/>
      <c r="S96" s="421"/>
      <c r="T96" s="421"/>
      <c r="U96" s="421"/>
      <c r="V96" s="421"/>
      <c r="W96" s="421"/>
      <c r="X96" s="421"/>
      <c r="Y96" s="421"/>
      <c r="Z96" s="421"/>
      <c r="AA96" s="421"/>
      <c r="AB96" s="421"/>
    </row>
    <row r="97" spans="1:28" s="288" customFormat="1" ht="13.95" customHeight="1" x14ac:dyDescent="0.25">
      <c r="A97" s="423"/>
      <c r="B97" s="134" t="s">
        <v>955</v>
      </c>
      <c r="C97" s="421"/>
      <c r="D97" s="421"/>
      <c r="E97" s="421"/>
      <c r="F97" s="421"/>
      <c r="G97" s="421"/>
      <c r="H97" s="421"/>
      <c r="I97" s="421"/>
      <c r="J97" s="421"/>
      <c r="K97" s="421"/>
      <c r="L97" s="421"/>
      <c r="M97" s="421"/>
      <c r="N97" s="421"/>
      <c r="O97" s="421"/>
      <c r="P97" s="421"/>
      <c r="Q97" s="421"/>
      <c r="R97" s="421"/>
      <c r="S97" s="421"/>
      <c r="T97" s="421"/>
      <c r="U97" s="421"/>
      <c r="V97" s="421"/>
      <c r="W97" s="421"/>
      <c r="X97" s="421"/>
      <c r="Y97" s="421"/>
      <c r="Z97" s="421"/>
      <c r="AA97" s="421"/>
      <c r="AB97" s="421"/>
    </row>
    <row r="98" spans="1:28" s="288" customFormat="1" ht="13.95" customHeight="1" x14ac:dyDescent="0.25">
      <c r="A98" s="423"/>
      <c r="B98" s="134" t="s">
        <v>956</v>
      </c>
      <c r="C98" s="421"/>
      <c r="D98" s="421"/>
      <c r="E98" s="421"/>
      <c r="F98" s="421"/>
      <c r="G98" s="421"/>
      <c r="H98" s="421"/>
      <c r="I98" s="421"/>
      <c r="J98" s="421"/>
      <c r="K98" s="421"/>
      <c r="L98" s="421"/>
      <c r="M98" s="421"/>
      <c r="N98" s="421"/>
      <c r="O98" s="421"/>
      <c r="P98" s="421"/>
      <c r="Q98" s="421"/>
      <c r="R98" s="421"/>
      <c r="S98" s="421"/>
      <c r="T98" s="421"/>
      <c r="U98" s="421"/>
      <c r="V98" s="421"/>
      <c r="W98" s="421"/>
      <c r="X98" s="421"/>
      <c r="Y98" s="421"/>
      <c r="Z98" s="421"/>
      <c r="AA98" s="421"/>
      <c r="AB98" s="421"/>
    </row>
    <row r="99" spans="1:28" s="288" customFormat="1" ht="13.95" customHeight="1" x14ac:dyDescent="0.25">
      <c r="A99" s="423"/>
      <c r="B99" s="134" t="s">
        <v>957</v>
      </c>
      <c r="C99" s="421"/>
      <c r="D99" s="421"/>
      <c r="E99" s="421"/>
      <c r="F99" s="421"/>
      <c r="G99" s="421"/>
      <c r="H99" s="421"/>
      <c r="I99" s="421"/>
      <c r="J99" s="421"/>
      <c r="K99" s="421"/>
      <c r="L99" s="421"/>
      <c r="M99" s="421"/>
      <c r="N99" s="421"/>
      <c r="O99" s="421"/>
      <c r="P99" s="421"/>
      <c r="Q99" s="421"/>
      <c r="R99" s="421"/>
      <c r="S99" s="421"/>
      <c r="T99" s="421"/>
      <c r="U99" s="421"/>
      <c r="V99" s="421"/>
      <c r="W99" s="421"/>
      <c r="X99" s="421"/>
      <c r="Y99" s="421"/>
      <c r="Z99" s="421"/>
      <c r="AA99" s="421"/>
      <c r="AB99" s="421"/>
    </row>
    <row r="100" spans="1:28" s="288" customFormat="1" ht="13.95" customHeight="1" x14ac:dyDescent="0.25">
      <c r="A100" s="423"/>
      <c r="B100" s="134" t="s">
        <v>958</v>
      </c>
      <c r="C100" s="421"/>
      <c r="D100" s="421"/>
      <c r="E100" s="421"/>
      <c r="F100" s="421"/>
      <c r="G100" s="421"/>
      <c r="H100" s="421"/>
      <c r="I100" s="421"/>
      <c r="J100" s="421"/>
      <c r="K100" s="421"/>
      <c r="L100" s="421"/>
      <c r="M100" s="421"/>
      <c r="N100" s="421"/>
      <c r="O100" s="421"/>
      <c r="P100" s="421"/>
      <c r="Q100" s="421"/>
      <c r="R100" s="421"/>
      <c r="S100" s="421"/>
      <c r="T100" s="421"/>
      <c r="U100" s="421"/>
      <c r="V100" s="421"/>
      <c r="W100" s="421"/>
      <c r="X100" s="421"/>
      <c r="Y100" s="421"/>
      <c r="Z100" s="421"/>
      <c r="AA100" s="421"/>
      <c r="AB100" s="421"/>
    </row>
    <row r="101" spans="1:28" s="288" customFormat="1" ht="13.95" customHeight="1" x14ac:dyDescent="0.25">
      <c r="A101" s="423"/>
      <c r="B101" s="134" t="s">
        <v>959</v>
      </c>
      <c r="C101" s="421"/>
      <c r="D101" s="421"/>
      <c r="E101" s="421"/>
      <c r="F101" s="421"/>
      <c r="G101" s="421"/>
      <c r="H101" s="421"/>
      <c r="I101" s="421"/>
      <c r="J101" s="421"/>
      <c r="K101" s="421"/>
      <c r="L101" s="421"/>
      <c r="M101" s="421"/>
      <c r="N101" s="421"/>
      <c r="O101" s="421"/>
      <c r="P101" s="421"/>
      <c r="Q101" s="421"/>
      <c r="R101" s="421"/>
      <c r="S101" s="421"/>
      <c r="T101" s="421"/>
      <c r="U101" s="421"/>
      <c r="V101" s="421"/>
      <c r="W101" s="421"/>
      <c r="X101" s="421"/>
      <c r="Y101" s="421"/>
      <c r="Z101" s="421"/>
      <c r="AA101" s="421"/>
      <c r="AB101" s="421"/>
    </row>
    <row r="102" spans="1:28" s="288" customFormat="1" ht="13.95" customHeight="1" x14ac:dyDescent="0.25">
      <c r="A102" s="423"/>
      <c r="B102" s="134" t="s">
        <v>960</v>
      </c>
      <c r="C102" s="421"/>
      <c r="D102" s="421"/>
      <c r="E102" s="421"/>
      <c r="F102" s="421"/>
      <c r="G102" s="421"/>
      <c r="H102" s="421"/>
      <c r="I102" s="421"/>
      <c r="J102" s="421"/>
      <c r="K102" s="421"/>
      <c r="L102" s="421"/>
      <c r="M102" s="421"/>
      <c r="N102" s="421"/>
      <c r="O102" s="421"/>
      <c r="P102" s="421"/>
      <c r="Q102" s="421"/>
      <c r="R102" s="421"/>
      <c r="S102" s="421"/>
      <c r="T102" s="421"/>
      <c r="U102" s="421"/>
      <c r="V102" s="421"/>
      <c r="W102" s="421"/>
      <c r="X102" s="421"/>
      <c r="Y102" s="421"/>
      <c r="Z102" s="421"/>
      <c r="AA102" s="421"/>
      <c r="AB102" s="421"/>
    </row>
    <row r="103" spans="1:28" s="288" customFormat="1" ht="13.95" customHeight="1" x14ac:dyDescent="0.25">
      <c r="A103" s="423"/>
      <c r="B103" s="134" t="s">
        <v>961</v>
      </c>
      <c r="C103" s="421"/>
      <c r="D103" s="421"/>
      <c r="E103" s="421"/>
      <c r="F103" s="421"/>
      <c r="G103" s="421"/>
      <c r="H103" s="421"/>
      <c r="I103" s="421"/>
      <c r="J103" s="421"/>
      <c r="K103" s="421"/>
      <c r="L103" s="421"/>
      <c r="M103" s="421"/>
      <c r="N103" s="421"/>
      <c r="O103" s="421"/>
      <c r="P103" s="421"/>
      <c r="Q103" s="421"/>
      <c r="R103" s="421"/>
      <c r="S103" s="421"/>
      <c r="T103" s="421"/>
      <c r="U103" s="421"/>
      <c r="V103" s="421"/>
      <c r="W103" s="421"/>
      <c r="X103" s="421"/>
      <c r="Y103" s="421"/>
      <c r="Z103" s="421"/>
      <c r="AA103" s="421"/>
      <c r="AB103" s="421"/>
    </row>
    <row r="104" spans="1:28" s="288" customFormat="1" ht="13.95" customHeight="1" x14ac:dyDescent="0.25">
      <c r="A104" s="424"/>
      <c r="B104" s="192" t="s">
        <v>962</v>
      </c>
      <c r="C104" s="425"/>
      <c r="D104" s="425"/>
      <c r="E104" s="425"/>
      <c r="F104" s="425"/>
      <c r="G104" s="425"/>
      <c r="H104" s="425"/>
      <c r="I104" s="425"/>
      <c r="J104" s="425"/>
      <c r="K104" s="425"/>
      <c r="L104" s="425"/>
      <c r="M104" s="425"/>
      <c r="N104" s="425"/>
      <c r="O104" s="425"/>
      <c r="P104" s="425"/>
      <c r="Q104" s="425"/>
      <c r="R104" s="425"/>
      <c r="S104" s="425"/>
      <c r="T104" s="425"/>
      <c r="U104" s="425"/>
      <c r="V104" s="425"/>
      <c r="W104" s="425"/>
      <c r="X104" s="425"/>
      <c r="Y104" s="425"/>
      <c r="Z104" s="425"/>
      <c r="AA104" s="425"/>
      <c r="AB104" s="425"/>
    </row>
    <row r="105" spans="1:28" s="288" customFormat="1" ht="13.95" customHeight="1" x14ac:dyDescent="0.25">
      <c r="A105" s="423">
        <v>6</v>
      </c>
      <c r="B105" s="134" t="s">
        <v>963</v>
      </c>
      <c r="C105" s="396"/>
      <c r="D105" s="421"/>
      <c r="E105" s="421"/>
      <c r="F105" s="421"/>
      <c r="G105" s="421"/>
      <c r="H105" s="421"/>
      <c r="I105" s="421"/>
      <c r="J105" s="421"/>
      <c r="K105" s="421"/>
      <c r="L105" s="421"/>
      <c r="M105" s="421"/>
      <c r="N105" s="421"/>
      <c r="O105" s="421"/>
      <c r="P105" s="421"/>
      <c r="Q105" s="421"/>
      <c r="R105" s="421"/>
      <c r="S105" s="421"/>
      <c r="T105" s="421"/>
      <c r="U105" s="421"/>
      <c r="V105" s="421"/>
      <c r="W105" s="421"/>
      <c r="X105" s="421"/>
      <c r="Y105" s="421"/>
      <c r="Z105" s="421"/>
      <c r="AA105" s="421"/>
      <c r="AB105" s="421"/>
    </row>
    <row r="106" spans="1:28" s="288" customFormat="1" ht="13.95" customHeight="1" x14ac:dyDescent="0.25">
      <c r="A106" s="423"/>
      <c r="B106" s="134" t="s">
        <v>964</v>
      </c>
      <c r="C106" s="396"/>
      <c r="D106" s="421"/>
      <c r="E106" s="421"/>
      <c r="F106" s="421"/>
      <c r="G106" s="421"/>
      <c r="H106" s="421"/>
      <c r="I106" s="421"/>
      <c r="J106" s="421"/>
      <c r="K106" s="421"/>
      <c r="L106" s="421"/>
      <c r="M106" s="421"/>
      <c r="N106" s="421"/>
      <c r="O106" s="421"/>
      <c r="P106" s="421"/>
      <c r="Q106" s="421"/>
      <c r="R106" s="421"/>
      <c r="S106" s="421"/>
      <c r="T106" s="421"/>
      <c r="U106" s="421"/>
      <c r="V106" s="421"/>
      <c r="W106" s="421"/>
      <c r="X106" s="421"/>
      <c r="Y106" s="421"/>
      <c r="Z106" s="421"/>
      <c r="AA106" s="421"/>
      <c r="AB106" s="421"/>
    </row>
    <row r="107" spans="1:28" s="288" customFormat="1" ht="13.95" customHeight="1" x14ac:dyDescent="0.25">
      <c r="A107" s="423"/>
      <c r="B107" s="134" t="s">
        <v>965</v>
      </c>
      <c r="C107" s="396"/>
      <c r="D107" s="421"/>
      <c r="E107" s="421"/>
      <c r="F107" s="421"/>
      <c r="G107" s="421"/>
      <c r="H107" s="421"/>
      <c r="I107" s="421"/>
      <c r="J107" s="421"/>
      <c r="K107" s="421"/>
      <c r="L107" s="421"/>
      <c r="M107" s="421"/>
      <c r="N107" s="421"/>
      <c r="O107" s="421"/>
      <c r="P107" s="421"/>
      <c r="Q107" s="421"/>
      <c r="R107" s="421"/>
      <c r="S107" s="421"/>
      <c r="T107" s="421"/>
      <c r="U107" s="421"/>
      <c r="V107" s="421"/>
      <c r="W107" s="421"/>
      <c r="X107" s="421"/>
      <c r="Y107" s="421"/>
      <c r="Z107" s="421"/>
      <c r="AA107" s="421"/>
      <c r="AB107" s="421"/>
    </row>
    <row r="108" spans="1:28" s="288" customFormat="1" ht="13.95" customHeight="1" x14ac:dyDescent="0.25">
      <c r="A108" s="423"/>
      <c r="B108" s="134" t="s">
        <v>966</v>
      </c>
      <c r="C108" s="396"/>
      <c r="D108" s="421"/>
      <c r="E108" s="421"/>
      <c r="F108" s="421"/>
      <c r="G108" s="421"/>
      <c r="H108" s="421"/>
      <c r="I108" s="421"/>
      <c r="J108" s="421"/>
      <c r="K108" s="421"/>
      <c r="L108" s="421"/>
      <c r="M108" s="421"/>
      <c r="N108" s="421"/>
      <c r="O108" s="421"/>
      <c r="P108" s="421"/>
      <c r="Q108" s="421"/>
      <c r="R108" s="421"/>
      <c r="S108" s="421"/>
      <c r="T108" s="421"/>
      <c r="U108" s="421"/>
      <c r="V108" s="421"/>
      <c r="W108" s="421"/>
      <c r="X108" s="421"/>
      <c r="Y108" s="421"/>
      <c r="Z108" s="421"/>
      <c r="AA108" s="421"/>
      <c r="AB108" s="421"/>
    </row>
    <row r="109" spans="1:28" s="288" customFormat="1" ht="34.200000000000003" customHeight="1" x14ac:dyDescent="0.25">
      <c r="A109" s="424"/>
      <c r="B109" s="192" t="s">
        <v>1014</v>
      </c>
      <c r="C109" s="397"/>
      <c r="D109" s="421"/>
      <c r="E109" s="421"/>
      <c r="F109" s="421"/>
      <c r="G109" s="421"/>
      <c r="H109" s="421"/>
      <c r="I109" s="421"/>
      <c r="J109" s="421"/>
      <c r="K109" s="421"/>
      <c r="L109" s="421"/>
      <c r="M109" s="421"/>
      <c r="N109" s="421"/>
      <c r="O109" s="421"/>
      <c r="P109" s="421"/>
      <c r="Q109" s="421"/>
      <c r="R109" s="421"/>
      <c r="S109" s="421"/>
      <c r="T109" s="421"/>
      <c r="U109" s="421"/>
      <c r="V109" s="421"/>
      <c r="W109" s="421"/>
      <c r="X109" s="421"/>
      <c r="Y109" s="421"/>
      <c r="Z109" s="421"/>
      <c r="AA109" s="421"/>
      <c r="AB109" s="421"/>
    </row>
    <row r="110" spans="1:28" s="5" customFormat="1" ht="33.6" customHeight="1" x14ac:dyDescent="0.25">
      <c r="A110" s="427">
        <v>7</v>
      </c>
      <c r="B110" s="134" t="s">
        <v>812</v>
      </c>
      <c r="C110" s="439">
        <f>D110+E110+F110+G110</f>
        <v>0</v>
      </c>
      <c r="D110" s="414">
        <v>0</v>
      </c>
      <c r="E110" s="183">
        <v>0</v>
      </c>
      <c r="F110" s="183">
        <v>0</v>
      </c>
      <c r="G110" s="183">
        <v>0</v>
      </c>
      <c r="H110" s="420">
        <f>I110+J110+K110+L110</f>
        <v>1417</v>
      </c>
      <c r="I110" s="414">
        <v>1417</v>
      </c>
      <c r="J110" s="183">
        <v>0</v>
      </c>
      <c r="K110" s="183">
        <v>0</v>
      </c>
      <c r="L110" s="183">
        <v>0</v>
      </c>
      <c r="M110" s="414">
        <f>N110</f>
        <v>1417</v>
      </c>
      <c r="N110" s="414">
        <v>1417</v>
      </c>
      <c r="O110" s="183">
        <v>0</v>
      </c>
      <c r="P110" s="183">
        <v>0</v>
      </c>
      <c r="Q110" s="183">
        <v>0</v>
      </c>
      <c r="R110" s="414">
        <v>0</v>
      </c>
      <c r="S110" s="414">
        <v>0</v>
      </c>
      <c r="T110" s="183">
        <v>0</v>
      </c>
      <c r="U110" s="183">
        <v>0</v>
      </c>
      <c r="V110" s="183">
        <v>0</v>
      </c>
      <c r="W110" s="414">
        <v>0</v>
      </c>
      <c r="X110" s="414">
        <v>0</v>
      </c>
      <c r="Y110" s="183">
        <v>0</v>
      </c>
      <c r="Z110" s="183">
        <v>0</v>
      </c>
      <c r="AA110" s="183">
        <v>0</v>
      </c>
      <c r="AB110" s="420">
        <f>C110+H110+M110+R110+W110</f>
        <v>2834</v>
      </c>
    </row>
    <row r="111" spans="1:28" s="5" customFormat="1" ht="16.2" customHeight="1" x14ac:dyDescent="0.25">
      <c r="A111" s="428"/>
      <c r="B111" s="134" t="s">
        <v>798</v>
      </c>
      <c r="C111" s="440"/>
      <c r="D111" s="415"/>
      <c r="E111" s="183"/>
      <c r="F111" s="183"/>
      <c r="G111" s="183"/>
      <c r="H111" s="421"/>
      <c r="I111" s="415"/>
      <c r="J111" s="183"/>
      <c r="K111" s="183"/>
      <c r="L111" s="183"/>
      <c r="M111" s="415"/>
      <c r="N111" s="415"/>
      <c r="O111" s="183"/>
      <c r="P111" s="183"/>
      <c r="Q111" s="183"/>
      <c r="R111" s="415"/>
      <c r="S111" s="415"/>
      <c r="T111" s="183"/>
      <c r="U111" s="183"/>
      <c r="V111" s="183"/>
      <c r="W111" s="415"/>
      <c r="X111" s="415"/>
      <c r="Y111" s="183"/>
      <c r="Z111" s="183"/>
      <c r="AA111" s="183"/>
      <c r="AB111" s="421"/>
    </row>
    <row r="112" spans="1:28" s="5" customFormat="1" ht="16.2" customHeight="1" x14ac:dyDescent="0.25">
      <c r="A112" s="428"/>
      <c r="B112" s="134" t="s">
        <v>814</v>
      </c>
      <c r="C112" s="440"/>
      <c r="D112" s="415"/>
      <c r="E112" s="183"/>
      <c r="F112" s="183"/>
      <c r="G112" s="183"/>
      <c r="H112" s="421"/>
      <c r="I112" s="415"/>
      <c r="J112" s="183"/>
      <c r="K112" s="183"/>
      <c r="L112" s="183"/>
      <c r="M112" s="415"/>
      <c r="N112" s="415"/>
      <c r="O112" s="183"/>
      <c r="P112" s="183"/>
      <c r="Q112" s="183"/>
      <c r="R112" s="415"/>
      <c r="S112" s="415"/>
      <c r="T112" s="183"/>
      <c r="U112" s="183"/>
      <c r="V112" s="183"/>
      <c r="W112" s="415"/>
      <c r="X112" s="415"/>
      <c r="Y112" s="183"/>
      <c r="Z112" s="183"/>
      <c r="AA112" s="183"/>
      <c r="AB112" s="421"/>
    </row>
    <row r="113" spans="1:28" s="5" customFormat="1" ht="16.2" customHeight="1" x14ac:dyDescent="0.25">
      <c r="A113" s="428"/>
      <c r="B113" s="134" t="s">
        <v>827</v>
      </c>
      <c r="C113" s="440"/>
      <c r="D113" s="415"/>
      <c r="E113" s="183"/>
      <c r="F113" s="183"/>
      <c r="G113" s="183"/>
      <c r="H113" s="421"/>
      <c r="I113" s="415"/>
      <c r="J113" s="183"/>
      <c r="K113" s="183"/>
      <c r="L113" s="183"/>
      <c r="M113" s="415"/>
      <c r="N113" s="415"/>
      <c r="O113" s="183"/>
      <c r="P113" s="183"/>
      <c r="Q113" s="183"/>
      <c r="R113" s="415"/>
      <c r="S113" s="415"/>
      <c r="T113" s="183"/>
      <c r="U113" s="183"/>
      <c r="V113" s="183"/>
      <c r="W113" s="415"/>
      <c r="X113" s="415"/>
      <c r="Y113" s="183"/>
      <c r="Z113" s="183"/>
      <c r="AA113" s="183"/>
      <c r="AB113" s="421"/>
    </row>
    <row r="114" spans="1:28" s="5" customFormat="1" ht="16.2" customHeight="1" x14ac:dyDescent="0.25">
      <c r="A114" s="428"/>
      <c r="B114" s="134" t="s">
        <v>828</v>
      </c>
      <c r="C114" s="440"/>
      <c r="D114" s="415"/>
      <c r="E114" s="183"/>
      <c r="F114" s="183"/>
      <c r="G114" s="183"/>
      <c r="H114" s="421"/>
      <c r="I114" s="415"/>
      <c r="J114" s="183"/>
      <c r="K114" s="183"/>
      <c r="L114" s="183"/>
      <c r="M114" s="415"/>
      <c r="N114" s="415"/>
      <c r="O114" s="183"/>
      <c r="P114" s="183"/>
      <c r="Q114" s="183"/>
      <c r="R114" s="415"/>
      <c r="S114" s="415"/>
      <c r="T114" s="183"/>
      <c r="U114" s="183"/>
      <c r="V114" s="183"/>
      <c r="W114" s="415"/>
      <c r="X114" s="415"/>
      <c r="Y114" s="183"/>
      <c r="Z114" s="183"/>
      <c r="AA114" s="183"/>
      <c r="AB114" s="421"/>
    </row>
    <row r="115" spans="1:28" s="5" customFormat="1" ht="16.2" customHeight="1" x14ac:dyDescent="0.25">
      <c r="A115" s="428"/>
      <c r="B115" s="134" t="s">
        <v>829</v>
      </c>
      <c r="C115" s="440"/>
      <c r="D115" s="415"/>
      <c r="E115" s="183"/>
      <c r="F115" s="183"/>
      <c r="G115" s="183"/>
      <c r="H115" s="421"/>
      <c r="I115" s="415"/>
      <c r="J115" s="183"/>
      <c r="K115" s="183"/>
      <c r="L115" s="183"/>
      <c r="M115" s="415"/>
      <c r="N115" s="415"/>
      <c r="O115" s="183"/>
      <c r="P115" s="183"/>
      <c r="Q115" s="183"/>
      <c r="R115" s="415"/>
      <c r="S115" s="415"/>
      <c r="T115" s="183"/>
      <c r="U115" s="183"/>
      <c r="V115" s="183"/>
      <c r="W115" s="415"/>
      <c r="X115" s="415"/>
      <c r="Y115" s="183"/>
      <c r="Z115" s="183"/>
      <c r="AA115" s="183"/>
      <c r="AB115" s="421"/>
    </row>
    <row r="116" spans="1:28" s="5" customFormat="1" ht="16.2" customHeight="1" x14ac:dyDescent="0.25">
      <c r="A116" s="428"/>
      <c r="B116" s="134" t="s">
        <v>815</v>
      </c>
      <c r="C116" s="440"/>
      <c r="D116" s="415"/>
      <c r="E116" s="183"/>
      <c r="F116" s="183"/>
      <c r="G116" s="183"/>
      <c r="H116" s="421"/>
      <c r="I116" s="415"/>
      <c r="J116" s="183"/>
      <c r="K116" s="183"/>
      <c r="L116" s="183"/>
      <c r="M116" s="415"/>
      <c r="N116" s="415"/>
      <c r="O116" s="183"/>
      <c r="P116" s="183"/>
      <c r="Q116" s="183"/>
      <c r="R116" s="415"/>
      <c r="S116" s="415"/>
      <c r="T116" s="183"/>
      <c r="U116" s="183"/>
      <c r="V116" s="183"/>
      <c r="W116" s="415"/>
      <c r="X116" s="415"/>
      <c r="Y116" s="183"/>
      <c r="Z116" s="183"/>
      <c r="AA116" s="183"/>
      <c r="AB116" s="421"/>
    </row>
    <row r="117" spans="1:28" s="5" customFormat="1" ht="16.2" customHeight="1" x14ac:dyDescent="0.25">
      <c r="A117" s="428"/>
      <c r="B117" s="134" t="s">
        <v>830</v>
      </c>
      <c r="C117" s="440"/>
      <c r="D117" s="415"/>
      <c r="E117" s="183"/>
      <c r="F117" s="183"/>
      <c r="G117" s="183"/>
      <c r="H117" s="421"/>
      <c r="I117" s="415"/>
      <c r="J117" s="183"/>
      <c r="K117" s="183"/>
      <c r="L117" s="183"/>
      <c r="M117" s="415"/>
      <c r="N117" s="415"/>
      <c r="O117" s="183"/>
      <c r="P117" s="183"/>
      <c r="Q117" s="183"/>
      <c r="R117" s="415"/>
      <c r="S117" s="415"/>
      <c r="T117" s="183"/>
      <c r="U117" s="183"/>
      <c r="V117" s="183"/>
      <c r="W117" s="415"/>
      <c r="X117" s="415"/>
      <c r="Y117" s="183"/>
      <c r="Z117" s="183"/>
      <c r="AA117" s="183"/>
      <c r="AB117" s="421"/>
    </row>
    <row r="118" spans="1:28" s="5" customFormat="1" ht="16.2" customHeight="1" x14ac:dyDescent="0.25">
      <c r="A118" s="428"/>
      <c r="B118" s="134" t="s">
        <v>816</v>
      </c>
      <c r="C118" s="440"/>
      <c r="D118" s="415"/>
      <c r="E118" s="183"/>
      <c r="F118" s="183"/>
      <c r="G118" s="183"/>
      <c r="H118" s="421"/>
      <c r="I118" s="415"/>
      <c r="J118" s="183"/>
      <c r="K118" s="183"/>
      <c r="L118" s="183"/>
      <c r="M118" s="415"/>
      <c r="N118" s="415"/>
      <c r="O118" s="183"/>
      <c r="P118" s="183"/>
      <c r="Q118" s="183"/>
      <c r="R118" s="415"/>
      <c r="S118" s="415"/>
      <c r="T118" s="183"/>
      <c r="U118" s="183"/>
      <c r="V118" s="183"/>
      <c r="W118" s="415"/>
      <c r="X118" s="415"/>
      <c r="Y118" s="183"/>
      <c r="Z118" s="183"/>
      <c r="AA118" s="183"/>
      <c r="AB118" s="421"/>
    </row>
    <row r="119" spans="1:28" s="5" customFormat="1" ht="16.2" customHeight="1" x14ac:dyDescent="0.25">
      <c r="A119" s="429"/>
      <c r="B119" s="134" t="s">
        <v>831</v>
      </c>
      <c r="C119" s="441"/>
      <c r="D119" s="416"/>
      <c r="E119" s="183"/>
      <c r="F119" s="183"/>
      <c r="G119" s="183"/>
      <c r="H119" s="425"/>
      <c r="I119" s="416"/>
      <c r="J119" s="183"/>
      <c r="K119" s="183"/>
      <c r="L119" s="183"/>
      <c r="M119" s="416"/>
      <c r="N119" s="416"/>
      <c r="O119" s="183"/>
      <c r="P119" s="183"/>
      <c r="Q119" s="183"/>
      <c r="R119" s="416"/>
      <c r="S119" s="416"/>
      <c r="T119" s="183"/>
      <c r="U119" s="183"/>
      <c r="V119" s="183"/>
      <c r="W119" s="416"/>
      <c r="X119" s="416"/>
      <c r="Y119" s="183"/>
      <c r="Z119" s="183"/>
      <c r="AA119" s="183"/>
      <c r="AB119" s="425"/>
    </row>
    <row r="120" spans="1:28" s="5" customFormat="1" ht="25.95" customHeight="1" x14ac:dyDescent="0.25">
      <c r="A120" s="427">
        <v>8</v>
      </c>
      <c r="B120" s="182" t="s">
        <v>817</v>
      </c>
      <c r="C120" s="420">
        <f>D120+E120+F120+G120</f>
        <v>5379</v>
      </c>
      <c r="D120" s="414">
        <v>5379</v>
      </c>
      <c r="E120" s="183">
        <v>0</v>
      </c>
      <c r="F120" s="183">
        <v>0</v>
      </c>
      <c r="G120" s="183">
        <v>0</v>
      </c>
      <c r="H120" s="420">
        <f>I120+J120+K120+L120</f>
        <v>12265</v>
      </c>
      <c r="I120" s="414">
        <v>12265</v>
      </c>
      <c r="J120" s="183">
        <v>0</v>
      </c>
      <c r="K120" s="183">
        <v>0</v>
      </c>
      <c r="L120" s="183">
        <v>0</v>
      </c>
      <c r="M120" s="420">
        <f>N120</f>
        <v>12265</v>
      </c>
      <c r="N120" s="414">
        <v>12265</v>
      </c>
      <c r="O120" s="183">
        <v>0</v>
      </c>
      <c r="P120" s="183">
        <v>0</v>
      </c>
      <c r="Q120" s="183">
        <v>0</v>
      </c>
      <c r="R120" s="414">
        <v>0</v>
      </c>
      <c r="S120" s="414">
        <v>0</v>
      </c>
      <c r="T120" s="183">
        <v>0</v>
      </c>
      <c r="U120" s="183">
        <v>0</v>
      </c>
      <c r="V120" s="183">
        <v>0</v>
      </c>
      <c r="W120" s="414">
        <v>0</v>
      </c>
      <c r="X120" s="414">
        <v>0</v>
      </c>
      <c r="Y120" s="183">
        <v>0</v>
      </c>
      <c r="Z120" s="183">
        <v>0</v>
      </c>
      <c r="AA120" s="183">
        <v>0</v>
      </c>
      <c r="AB120" s="420">
        <f>C120+H120+M120+R120+W120</f>
        <v>29909</v>
      </c>
    </row>
    <row r="121" spans="1:28" s="5" customFormat="1" ht="16.2" customHeight="1" x14ac:dyDescent="0.25">
      <c r="A121" s="428"/>
      <c r="B121" s="134" t="s">
        <v>813</v>
      </c>
      <c r="C121" s="421"/>
      <c r="D121" s="415"/>
      <c r="E121" s="183"/>
      <c r="F121" s="183"/>
      <c r="G121" s="183"/>
      <c r="H121" s="421"/>
      <c r="I121" s="415"/>
      <c r="J121" s="183"/>
      <c r="K121" s="183"/>
      <c r="L121" s="183"/>
      <c r="M121" s="421"/>
      <c r="N121" s="415"/>
      <c r="O121" s="183"/>
      <c r="P121" s="183"/>
      <c r="Q121" s="183"/>
      <c r="R121" s="415"/>
      <c r="S121" s="415"/>
      <c r="T121" s="183"/>
      <c r="U121" s="183"/>
      <c r="V121" s="183"/>
      <c r="W121" s="415"/>
      <c r="X121" s="415"/>
      <c r="Y121" s="183"/>
      <c r="Z121" s="183"/>
      <c r="AA121" s="183"/>
      <c r="AB121" s="421"/>
    </row>
    <row r="122" spans="1:28" s="5" customFormat="1" ht="16.2" customHeight="1" x14ac:dyDescent="0.25">
      <c r="A122" s="428"/>
      <c r="B122" s="134" t="s">
        <v>818</v>
      </c>
      <c r="C122" s="421"/>
      <c r="D122" s="415"/>
      <c r="E122" s="183"/>
      <c r="F122" s="183"/>
      <c r="G122" s="183"/>
      <c r="H122" s="421"/>
      <c r="I122" s="415"/>
      <c r="J122" s="183"/>
      <c r="K122" s="183"/>
      <c r="L122" s="183"/>
      <c r="M122" s="421"/>
      <c r="N122" s="415"/>
      <c r="O122" s="183"/>
      <c r="P122" s="183"/>
      <c r="Q122" s="183"/>
      <c r="R122" s="415"/>
      <c r="S122" s="415"/>
      <c r="T122" s="183"/>
      <c r="U122" s="183"/>
      <c r="V122" s="183"/>
      <c r="W122" s="415"/>
      <c r="X122" s="415"/>
      <c r="Y122" s="183"/>
      <c r="Z122" s="183"/>
      <c r="AA122" s="183"/>
      <c r="AB122" s="421"/>
    </row>
    <row r="123" spans="1:28" s="5" customFormat="1" ht="16.2" customHeight="1" x14ac:dyDescent="0.25">
      <c r="A123" s="429"/>
      <c r="B123" s="134" t="s">
        <v>819</v>
      </c>
      <c r="C123" s="425"/>
      <c r="D123" s="416"/>
      <c r="E123" s="183"/>
      <c r="F123" s="183"/>
      <c r="G123" s="183"/>
      <c r="H123" s="425"/>
      <c r="I123" s="416"/>
      <c r="J123" s="183"/>
      <c r="K123" s="183"/>
      <c r="L123" s="183"/>
      <c r="M123" s="425"/>
      <c r="N123" s="416"/>
      <c r="O123" s="183"/>
      <c r="P123" s="183"/>
      <c r="Q123" s="183"/>
      <c r="R123" s="416"/>
      <c r="S123" s="416"/>
      <c r="T123" s="183"/>
      <c r="U123" s="183"/>
      <c r="V123" s="183"/>
      <c r="W123" s="416"/>
      <c r="X123" s="416"/>
      <c r="Y123" s="183"/>
      <c r="Z123" s="183"/>
      <c r="AA123" s="183"/>
      <c r="AB123" s="425"/>
    </row>
    <row r="124" spans="1:28" s="5" customFormat="1" ht="16.2" customHeight="1" x14ac:dyDescent="0.25">
      <c r="A124" s="377">
        <v>9</v>
      </c>
      <c r="B124" s="197" t="s">
        <v>1061</v>
      </c>
      <c r="C124" s="375">
        <v>0</v>
      </c>
      <c r="D124" s="376">
        <v>0</v>
      </c>
      <c r="E124" s="183"/>
      <c r="F124" s="183"/>
      <c r="G124" s="183"/>
      <c r="H124" s="375">
        <v>0</v>
      </c>
      <c r="I124" s="376">
        <v>0</v>
      </c>
      <c r="J124" s="183"/>
      <c r="K124" s="183"/>
      <c r="L124" s="183"/>
      <c r="M124" s="375">
        <v>0</v>
      </c>
      <c r="N124" s="376">
        <v>0</v>
      </c>
      <c r="O124" s="183"/>
      <c r="P124" s="183"/>
      <c r="Q124" s="183"/>
      <c r="R124" s="375">
        <f>S124</f>
        <v>2170</v>
      </c>
      <c r="S124" s="376">
        <v>2170</v>
      </c>
      <c r="T124" s="183"/>
      <c r="U124" s="183"/>
      <c r="V124" s="183"/>
      <c r="W124" s="375">
        <f>X124</f>
        <v>2170</v>
      </c>
      <c r="X124" s="376">
        <v>2170</v>
      </c>
      <c r="Y124" s="183"/>
      <c r="Z124" s="183"/>
      <c r="AA124" s="183"/>
      <c r="AB124" s="375">
        <f>C124+H124+M124+R124+W124</f>
        <v>4340</v>
      </c>
    </row>
    <row r="125" spans="1:28" s="5" customFormat="1" ht="16.2" customHeight="1" x14ac:dyDescent="0.25">
      <c r="A125" s="427">
        <v>10</v>
      </c>
      <c r="B125" s="182" t="s">
        <v>820</v>
      </c>
      <c r="C125" s="420">
        <f>D125+E125+F125+G125</f>
        <v>3478</v>
      </c>
      <c r="D125" s="414">
        <v>3478</v>
      </c>
      <c r="E125" s="183">
        <v>0</v>
      </c>
      <c r="F125" s="183">
        <v>0</v>
      </c>
      <c r="G125" s="183">
        <v>0</v>
      </c>
      <c r="H125" s="420">
        <f>I125+J125+K125+L125</f>
        <v>57</v>
      </c>
      <c r="I125" s="414">
        <v>57</v>
      </c>
      <c r="J125" s="183">
        <v>0</v>
      </c>
      <c r="K125" s="183">
        <v>0</v>
      </c>
      <c r="L125" s="183">
        <v>0</v>
      </c>
      <c r="M125" s="414">
        <f>N125</f>
        <v>57</v>
      </c>
      <c r="N125" s="414">
        <v>57</v>
      </c>
      <c r="O125" s="183">
        <v>0</v>
      </c>
      <c r="P125" s="183">
        <v>0</v>
      </c>
      <c r="Q125" s="183">
        <v>0</v>
      </c>
      <c r="R125" s="414">
        <v>0</v>
      </c>
      <c r="S125" s="414">
        <v>0</v>
      </c>
      <c r="T125" s="183">
        <v>0</v>
      </c>
      <c r="U125" s="183">
        <v>0</v>
      </c>
      <c r="V125" s="183">
        <v>0</v>
      </c>
      <c r="W125" s="414">
        <v>0</v>
      </c>
      <c r="X125" s="414">
        <v>0</v>
      </c>
      <c r="Y125" s="183">
        <v>0</v>
      </c>
      <c r="Z125" s="183">
        <v>0</v>
      </c>
      <c r="AA125" s="183">
        <v>0</v>
      </c>
      <c r="AB125" s="420">
        <f>C125+H125+M125+R125+W125</f>
        <v>3592</v>
      </c>
    </row>
    <row r="126" spans="1:28" s="5" customFormat="1" ht="16.2" customHeight="1" x14ac:dyDescent="0.25">
      <c r="A126" s="428"/>
      <c r="B126" s="134" t="s">
        <v>813</v>
      </c>
      <c r="C126" s="421"/>
      <c r="D126" s="415"/>
      <c r="E126" s="183"/>
      <c r="F126" s="183"/>
      <c r="G126" s="183"/>
      <c r="H126" s="421"/>
      <c r="I126" s="415"/>
      <c r="J126" s="183"/>
      <c r="K126" s="183"/>
      <c r="L126" s="183"/>
      <c r="M126" s="415"/>
      <c r="N126" s="415"/>
      <c r="O126" s="183"/>
      <c r="P126" s="183"/>
      <c r="Q126" s="183"/>
      <c r="R126" s="415"/>
      <c r="S126" s="415"/>
      <c r="T126" s="183"/>
      <c r="U126" s="183"/>
      <c r="V126" s="183"/>
      <c r="W126" s="415"/>
      <c r="X126" s="415"/>
      <c r="Y126" s="183"/>
      <c r="Z126" s="183"/>
      <c r="AA126" s="183"/>
      <c r="AB126" s="421"/>
    </row>
    <row r="127" spans="1:28" s="5" customFormat="1" ht="16.2" customHeight="1" x14ac:dyDescent="0.25">
      <c r="A127" s="429"/>
      <c r="B127" s="134" t="s">
        <v>821</v>
      </c>
      <c r="C127" s="421"/>
      <c r="D127" s="415"/>
      <c r="E127" s="291"/>
      <c r="F127" s="291"/>
      <c r="G127" s="291"/>
      <c r="H127" s="421"/>
      <c r="I127" s="415"/>
      <c r="J127" s="291"/>
      <c r="K127" s="291"/>
      <c r="L127" s="291"/>
      <c r="M127" s="415"/>
      <c r="N127" s="415"/>
      <c r="O127" s="291"/>
      <c r="P127" s="291"/>
      <c r="Q127" s="291"/>
      <c r="R127" s="415"/>
      <c r="S127" s="415"/>
      <c r="T127" s="291"/>
      <c r="U127" s="291"/>
      <c r="V127" s="291"/>
      <c r="W127" s="415"/>
      <c r="X127" s="415"/>
      <c r="Y127" s="291"/>
      <c r="Z127" s="291"/>
      <c r="AA127" s="291"/>
      <c r="AB127" s="421"/>
    </row>
    <row r="128" spans="1:28" s="5" customFormat="1" ht="16.2" customHeight="1" x14ac:dyDescent="0.25">
      <c r="A128" s="293">
        <v>11</v>
      </c>
      <c r="B128" s="197" t="s">
        <v>1056</v>
      </c>
      <c r="C128" s="196">
        <v>0</v>
      </c>
      <c r="D128" s="183">
        <v>0</v>
      </c>
      <c r="E128" s="183"/>
      <c r="F128" s="183"/>
      <c r="G128" s="183"/>
      <c r="H128" s="196">
        <v>0</v>
      </c>
      <c r="I128" s="183">
        <v>0</v>
      </c>
      <c r="J128" s="183"/>
      <c r="K128" s="183"/>
      <c r="L128" s="183"/>
      <c r="M128" s="183">
        <v>0</v>
      </c>
      <c r="N128" s="183">
        <v>0</v>
      </c>
      <c r="O128" s="183"/>
      <c r="P128" s="183"/>
      <c r="Q128" s="183"/>
      <c r="R128" s="196">
        <f>S128</f>
        <v>4500</v>
      </c>
      <c r="S128" s="183">
        <v>4500</v>
      </c>
      <c r="T128" s="183"/>
      <c r="U128" s="183"/>
      <c r="V128" s="183"/>
      <c r="W128" s="196">
        <f>X128</f>
        <v>4500</v>
      </c>
      <c r="X128" s="183">
        <v>4500</v>
      </c>
      <c r="Y128" s="183"/>
      <c r="Z128" s="183"/>
      <c r="AA128" s="183"/>
      <c r="AB128" s="196">
        <f>R128+W128</f>
        <v>9000</v>
      </c>
    </row>
    <row r="129" spans="1:29" s="5" customFormat="1" ht="16.2" customHeight="1" x14ac:dyDescent="0.25">
      <c r="A129" s="178">
        <v>12</v>
      </c>
      <c r="B129" s="192" t="s">
        <v>191</v>
      </c>
      <c r="C129" s="290">
        <f>SUM(D129:G129)</f>
        <v>0</v>
      </c>
      <c r="D129" s="292">
        <v>0</v>
      </c>
      <c r="E129" s="292">
        <v>0</v>
      </c>
      <c r="F129" s="292">
        <v>0</v>
      </c>
      <c r="G129" s="292">
        <v>0</v>
      </c>
      <c r="H129" s="290">
        <f>SUM(I129:L129)</f>
        <v>0</v>
      </c>
      <c r="I129" s="292">
        <v>0</v>
      </c>
      <c r="J129" s="292">
        <v>0</v>
      </c>
      <c r="K129" s="292">
        <v>0</v>
      </c>
      <c r="L129" s="292">
        <v>0</v>
      </c>
      <c r="M129" s="290">
        <f>SUM(N129:Q129)</f>
        <v>0</v>
      </c>
      <c r="N129" s="292">
        <v>0</v>
      </c>
      <c r="O129" s="292">
        <v>0</v>
      </c>
      <c r="P129" s="292">
        <v>0</v>
      </c>
      <c r="Q129" s="292">
        <v>0</v>
      </c>
      <c r="R129" s="290">
        <f>SUM(S129:V129)</f>
        <v>893</v>
      </c>
      <c r="S129" s="292">
        <v>893</v>
      </c>
      <c r="T129" s="292">
        <v>0</v>
      </c>
      <c r="U129" s="292">
        <v>0</v>
      </c>
      <c r="V129" s="292">
        <v>0</v>
      </c>
      <c r="W129" s="290">
        <f>SUM(X129:AA129)</f>
        <v>893</v>
      </c>
      <c r="X129" s="292">
        <v>893</v>
      </c>
      <c r="Y129" s="292">
        <v>0</v>
      </c>
      <c r="Z129" s="292">
        <v>0</v>
      </c>
      <c r="AA129" s="292">
        <v>0</v>
      </c>
      <c r="AB129" s="290">
        <f>C129+H129+M129+R129+W129</f>
        <v>1786</v>
      </c>
    </row>
    <row r="130" spans="1:29" s="5" customFormat="1" ht="16.2" customHeight="1" x14ac:dyDescent="0.25">
      <c r="A130" s="178">
        <v>13</v>
      </c>
      <c r="B130" s="197" t="s">
        <v>189</v>
      </c>
      <c r="C130" s="196">
        <f>SUM(D130:G130)</f>
        <v>2090</v>
      </c>
      <c r="D130" s="183">
        <v>2090</v>
      </c>
      <c r="E130" s="183">
        <v>0</v>
      </c>
      <c r="F130" s="183">
        <v>0</v>
      </c>
      <c r="G130" s="183">
        <v>0</v>
      </c>
      <c r="H130" s="196">
        <f>SUM(I130:L130)</f>
        <v>4176</v>
      </c>
      <c r="I130" s="183">
        <v>4176</v>
      </c>
      <c r="J130" s="183">
        <v>0</v>
      </c>
      <c r="K130" s="183">
        <v>0</v>
      </c>
      <c r="L130" s="183">
        <v>0</v>
      </c>
      <c r="M130" s="196">
        <f>SUM(N130:Q130)</f>
        <v>4176</v>
      </c>
      <c r="N130" s="183">
        <v>4176</v>
      </c>
      <c r="O130" s="183">
        <v>0</v>
      </c>
      <c r="P130" s="183">
        <v>0</v>
      </c>
      <c r="Q130" s="183">
        <v>0</v>
      </c>
      <c r="R130" s="196">
        <f>SUM(S130:V130)</f>
        <v>4176</v>
      </c>
      <c r="S130" s="183">
        <v>4176</v>
      </c>
      <c r="T130" s="183">
        <v>0</v>
      </c>
      <c r="U130" s="183">
        <v>0</v>
      </c>
      <c r="V130" s="183">
        <v>0</v>
      </c>
      <c r="W130" s="196">
        <f>SUM(X130:AA130)</f>
        <v>4176</v>
      </c>
      <c r="X130" s="183">
        <v>4176</v>
      </c>
      <c r="Y130" s="183">
        <v>0</v>
      </c>
      <c r="Z130" s="183">
        <v>0</v>
      </c>
      <c r="AA130" s="183">
        <v>0</v>
      </c>
      <c r="AB130" s="196">
        <f>C130+H130+M130+R130+W130</f>
        <v>18794</v>
      </c>
    </row>
    <row r="131" spans="1:29" s="5" customFormat="1" ht="16.2" customHeight="1" x14ac:dyDescent="0.25">
      <c r="A131" s="178">
        <v>14</v>
      </c>
      <c r="B131" s="197" t="s">
        <v>185</v>
      </c>
      <c r="C131" s="196">
        <f>D131+E131+F131+G131</f>
        <v>28083</v>
      </c>
      <c r="D131" s="183">
        <v>28083</v>
      </c>
      <c r="E131" s="183">
        <v>0</v>
      </c>
      <c r="F131" s="183">
        <v>0</v>
      </c>
      <c r="G131" s="183">
        <v>0</v>
      </c>
      <c r="H131" s="196">
        <f>I131+J131+K131+L131</f>
        <v>26674</v>
      </c>
      <c r="I131" s="183">
        <v>26674</v>
      </c>
      <c r="J131" s="183">
        <v>0</v>
      </c>
      <c r="K131" s="183">
        <v>0</v>
      </c>
      <c r="L131" s="183">
        <v>0</v>
      </c>
      <c r="M131" s="196">
        <f>N131+O131+P131+Q131</f>
        <v>26674</v>
      </c>
      <c r="N131" s="183">
        <v>26674</v>
      </c>
      <c r="O131" s="183">
        <v>0</v>
      </c>
      <c r="P131" s="183">
        <v>0</v>
      </c>
      <c r="Q131" s="183">
        <v>0</v>
      </c>
      <c r="R131" s="196">
        <f>S131+T131+U131+V131</f>
        <v>26839</v>
      </c>
      <c r="S131" s="183">
        <f>26539+300</f>
        <v>26839</v>
      </c>
      <c r="T131" s="183">
        <v>0</v>
      </c>
      <c r="U131" s="183">
        <v>0</v>
      </c>
      <c r="V131" s="183">
        <v>0</v>
      </c>
      <c r="W131" s="196">
        <f>X131+Y131+Z131+AA131</f>
        <v>26839</v>
      </c>
      <c r="X131" s="183">
        <f>26539+300</f>
        <v>26839</v>
      </c>
      <c r="Y131" s="183">
        <v>0</v>
      </c>
      <c r="Z131" s="183">
        <v>0</v>
      </c>
      <c r="AA131" s="183">
        <v>0</v>
      </c>
      <c r="AB131" s="196">
        <f>C131+H131+M131+R131+W131</f>
        <v>135109</v>
      </c>
    </row>
    <row r="132" spans="1:29" s="36" customFormat="1" ht="37.200000000000003" customHeight="1" x14ac:dyDescent="0.25">
      <c r="A132" s="426" t="s">
        <v>705</v>
      </c>
      <c r="B132" s="426"/>
      <c r="C132" s="181">
        <f>SUM(C8:C131)</f>
        <v>173338</v>
      </c>
      <c r="D132" s="181">
        <f t="shared" ref="D132:AA132" si="0">SUM(D8:D131)</f>
        <v>173338</v>
      </c>
      <c r="E132" s="85">
        <f t="shared" si="0"/>
        <v>0</v>
      </c>
      <c r="F132" s="85">
        <f t="shared" si="0"/>
        <v>0</v>
      </c>
      <c r="G132" s="85">
        <f t="shared" si="0"/>
        <v>0</v>
      </c>
      <c r="H132" s="181">
        <f t="shared" si="0"/>
        <v>98858</v>
      </c>
      <c r="I132" s="181">
        <f t="shared" si="0"/>
        <v>98858</v>
      </c>
      <c r="J132" s="85">
        <f t="shared" si="0"/>
        <v>0</v>
      </c>
      <c r="K132" s="85">
        <f t="shared" si="0"/>
        <v>0</v>
      </c>
      <c r="L132" s="85">
        <f t="shared" si="0"/>
        <v>0</v>
      </c>
      <c r="M132" s="181">
        <f t="shared" si="0"/>
        <v>98858</v>
      </c>
      <c r="N132" s="181">
        <f t="shared" si="0"/>
        <v>98858</v>
      </c>
      <c r="O132" s="181">
        <f t="shared" si="0"/>
        <v>0</v>
      </c>
      <c r="P132" s="181">
        <f t="shared" si="0"/>
        <v>0</v>
      </c>
      <c r="Q132" s="181">
        <f t="shared" si="0"/>
        <v>0</v>
      </c>
      <c r="R132" s="181">
        <f t="shared" si="0"/>
        <v>68359</v>
      </c>
      <c r="S132" s="181">
        <f t="shared" si="0"/>
        <v>68359</v>
      </c>
      <c r="T132" s="181">
        <f t="shared" si="0"/>
        <v>0</v>
      </c>
      <c r="U132" s="181">
        <f t="shared" si="0"/>
        <v>0</v>
      </c>
      <c r="V132" s="181">
        <f t="shared" si="0"/>
        <v>0</v>
      </c>
      <c r="W132" s="181">
        <f t="shared" si="0"/>
        <v>68359</v>
      </c>
      <c r="X132" s="181">
        <f t="shared" si="0"/>
        <v>68359</v>
      </c>
      <c r="Y132" s="181">
        <f t="shared" si="0"/>
        <v>0</v>
      </c>
      <c r="Z132" s="181">
        <f t="shared" si="0"/>
        <v>0</v>
      </c>
      <c r="AA132" s="181">
        <f t="shared" si="0"/>
        <v>0</v>
      </c>
      <c r="AB132" s="181">
        <f>SUM(AB8:AB131)</f>
        <v>507772</v>
      </c>
      <c r="AC132" s="83"/>
    </row>
    <row r="133" spans="1:29" s="38" customFormat="1" ht="16.2" customHeight="1" x14ac:dyDescent="0.25">
      <c r="A133" s="142"/>
      <c r="B133" s="175"/>
      <c r="C133" s="1"/>
      <c r="D133" s="5"/>
      <c r="E133" s="5"/>
      <c r="F133" s="5"/>
      <c r="G133" s="5"/>
      <c r="H133" s="1"/>
      <c r="I133" s="5"/>
      <c r="J133" s="5"/>
      <c r="K133" s="5"/>
      <c r="L133" s="5"/>
      <c r="M133" s="1"/>
      <c r="N133" s="5"/>
      <c r="O133" s="5"/>
      <c r="P133" s="5"/>
      <c r="Q133" s="5"/>
      <c r="R133" s="1"/>
      <c r="S133" s="5"/>
      <c r="T133" s="5"/>
      <c r="U133" s="5"/>
      <c r="V133" s="5"/>
      <c r="W133" s="1"/>
      <c r="X133" s="26"/>
      <c r="Y133" s="26"/>
      <c r="Z133" s="26"/>
      <c r="AA133" s="26"/>
      <c r="AB133" s="36"/>
      <c r="AC133" s="26"/>
    </row>
    <row r="134" spans="1:29" s="135" customFormat="1" ht="42" customHeight="1" x14ac:dyDescent="0.25">
      <c r="A134" s="143"/>
      <c r="B134" s="176"/>
      <c r="C134" s="144"/>
      <c r="D134" s="118"/>
      <c r="E134" s="118"/>
      <c r="F134" s="118"/>
      <c r="G134" s="118"/>
      <c r="H134" s="117"/>
      <c r="I134" s="118"/>
      <c r="J134" s="145"/>
      <c r="K134" s="145"/>
      <c r="L134" s="145"/>
      <c r="M134" s="144"/>
      <c r="N134" s="145"/>
      <c r="O134" s="145"/>
      <c r="P134" s="145"/>
      <c r="Q134" s="145"/>
      <c r="R134" s="144"/>
      <c r="S134" s="145"/>
      <c r="T134" s="145"/>
      <c r="U134" s="145"/>
      <c r="V134" s="145"/>
      <c r="W134" s="144"/>
      <c r="X134" s="146"/>
      <c r="Y134" s="146"/>
      <c r="Z134" s="146"/>
      <c r="AA134" s="146"/>
      <c r="AB134" s="136"/>
      <c r="AC134" s="137"/>
    </row>
    <row r="135" spans="1:29" s="38" customFormat="1" ht="42" customHeight="1" x14ac:dyDescent="0.25">
      <c r="A135" s="142"/>
      <c r="B135" s="175"/>
      <c r="C135" s="1"/>
      <c r="D135" s="5"/>
      <c r="E135" s="5"/>
      <c r="F135" s="5"/>
      <c r="G135" s="5"/>
      <c r="H135" s="1"/>
      <c r="I135" s="5"/>
      <c r="J135" s="5"/>
      <c r="K135" s="5"/>
      <c r="L135" s="5"/>
      <c r="M135" s="1"/>
      <c r="N135" s="5"/>
      <c r="O135" s="5"/>
      <c r="P135" s="5"/>
      <c r="Q135" s="5"/>
      <c r="R135" s="1"/>
      <c r="S135" s="5"/>
      <c r="T135" s="5"/>
      <c r="U135" s="5"/>
      <c r="V135" s="5"/>
      <c r="W135" s="1"/>
      <c r="X135" s="26"/>
      <c r="Y135" s="26"/>
      <c r="Z135" s="26"/>
      <c r="AA135" s="26"/>
      <c r="AB135" s="36"/>
      <c r="AC135" s="28"/>
    </row>
    <row r="136" spans="1:29" s="38" customFormat="1" ht="42" customHeight="1" x14ac:dyDescent="0.25">
      <c r="A136" s="142"/>
      <c r="B136" s="175"/>
      <c r="C136" s="1"/>
      <c r="D136" s="5"/>
      <c r="E136" s="5"/>
      <c r="F136" s="5"/>
      <c r="G136" s="5"/>
      <c r="H136" s="1"/>
      <c r="I136" s="5"/>
      <c r="J136" s="5"/>
      <c r="K136" s="5"/>
      <c r="L136" s="5"/>
      <c r="M136" s="1"/>
      <c r="N136" s="5"/>
      <c r="O136" s="5"/>
      <c r="P136" s="5"/>
      <c r="Q136" s="5"/>
      <c r="R136" s="1"/>
      <c r="S136" s="5"/>
      <c r="T136" s="5"/>
      <c r="U136" s="5"/>
      <c r="V136" s="5"/>
      <c r="W136" s="1"/>
      <c r="X136" s="26"/>
      <c r="Y136" s="26"/>
      <c r="Z136" s="26"/>
      <c r="AA136" s="26"/>
      <c r="AB136" s="36"/>
      <c r="AC136" s="28"/>
    </row>
    <row r="137" spans="1:29" s="38" customFormat="1" ht="42" customHeight="1" x14ac:dyDescent="0.25">
      <c r="A137" s="142"/>
      <c r="B137" s="175"/>
      <c r="C137" s="1"/>
      <c r="D137" s="5"/>
      <c r="E137" s="5"/>
      <c r="F137" s="5"/>
      <c r="G137" s="5"/>
      <c r="H137" s="1"/>
      <c r="I137" s="5"/>
      <c r="J137" s="5"/>
      <c r="K137" s="5"/>
      <c r="L137" s="5"/>
      <c r="M137" s="1"/>
      <c r="N137" s="5"/>
      <c r="O137" s="5"/>
      <c r="P137" s="5"/>
      <c r="Q137" s="5"/>
      <c r="R137" s="1"/>
      <c r="S137" s="5"/>
      <c r="T137" s="5"/>
      <c r="U137" s="5"/>
      <c r="V137" s="5"/>
      <c r="W137" s="1"/>
      <c r="X137" s="26"/>
      <c r="Y137" s="26"/>
      <c r="Z137" s="26"/>
      <c r="AA137" s="26"/>
      <c r="AB137" s="36"/>
      <c r="AC137" s="28"/>
    </row>
    <row r="138" spans="1:29" s="38" customFormat="1" ht="42" customHeight="1" x14ac:dyDescent="0.25">
      <c r="A138" s="142"/>
      <c r="B138" s="175"/>
      <c r="C138" s="1"/>
      <c r="D138" s="5"/>
      <c r="E138" s="5"/>
      <c r="F138" s="5"/>
      <c r="G138" s="5"/>
      <c r="H138" s="1"/>
      <c r="I138" s="5"/>
      <c r="J138" s="5"/>
      <c r="K138" s="5"/>
      <c r="L138" s="5"/>
      <c r="M138" s="1"/>
      <c r="N138" s="5"/>
      <c r="O138" s="5"/>
      <c r="P138" s="5"/>
      <c r="Q138" s="5"/>
      <c r="R138" s="1"/>
      <c r="S138" s="5"/>
      <c r="T138" s="5"/>
      <c r="U138" s="5"/>
      <c r="V138" s="5"/>
      <c r="W138" s="1"/>
      <c r="X138" s="26"/>
      <c r="Y138" s="26"/>
      <c r="Z138" s="26"/>
      <c r="AA138" s="26"/>
      <c r="AB138" s="36"/>
      <c r="AC138" s="28"/>
    </row>
    <row r="139" spans="1:29" s="38" customFormat="1" ht="42" customHeight="1" x14ac:dyDescent="0.25">
      <c r="A139" s="142"/>
      <c r="B139" s="175"/>
      <c r="C139" s="1"/>
      <c r="D139" s="5"/>
      <c r="E139" s="5"/>
      <c r="F139" s="5"/>
      <c r="G139" s="5"/>
      <c r="H139" s="1"/>
      <c r="I139" s="5"/>
      <c r="J139" s="5"/>
      <c r="K139" s="5"/>
      <c r="L139" s="5"/>
      <c r="M139" s="1"/>
      <c r="N139" s="5"/>
      <c r="O139" s="5"/>
      <c r="P139" s="5"/>
      <c r="Q139" s="5"/>
      <c r="R139" s="1"/>
      <c r="S139" s="5"/>
      <c r="T139" s="5"/>
      <c r="U139" s="5"/>
      <c r="V139" s="5"/>
      <c r="W139" s="1"/>
      <c r="X139" s="26"/>
      <c r="Y139" s="26"/>
      <c r="Z139" s="26"/>
      <c r="AA139" s="26"/>
      <c r="AB139" s="36"/>
      <c r="AC139" s="28"/>
    </row>
    <row r="140" spans="1:29" s="38" customFormat="1" ht="42" customHeight="1" x14ac:dyDescent="0.25">
      <c r="A140" s="142"/>
      <c r="B140" s="175"/>
      <c r="C140" s="1"/>
      <c r="D140" s="5"/>
      <c r="E140" s="5"/>
      <c r="F140" s="5"/>
      <c r="G140" s="5"/>
      <c r="H140" s="1"/>
      <c r="I140" s="5"/>
      <c r="J140" s="5"/>
      <c r="K140" s="5"/>
      <c r="L140" s="5"/>
      <c r="M140" s="1"/>
      <c r="N140" s="5"/>
      <c r="O140" s="5"/>
      <c r="P140" s="5"/>
      <c r="Q140" s="5"/>
      <c r="R140" s="1"/>
      <c r="S140" s="5"/>
      <c r="T140" s="5"/>
      <c r="U140" s="5"/>
      <c r="V140" s="5"/>
      <c r="W140" s="1"/>
      <c r="X140" s="26"/>
      <c r="Y140" s="26"/>
      <c r="Z140" s="26"/>
      <c r="AA140" s="26"/>
      <c r="AB140" s="36"/>
      <c r="AC140" s="28"/>
    </row>
    <row r="141" spans="1:29" s="38" customFormat="1" ht="42" customHeight="1" x14ac:dyDescent="0.25">
      <c r="A141" s="142"/>
      <c r="B141" s="175"/>
      <c r="C141" s="1"/>
      <c r="D141" s="5"/>
      <c r="E141" s="5"/>
      <c r="F141" s="5"/>
      <c r="G141" s="5"/>
      <c r="H141" s="1"/>
      <c r="I141" s="5"/>
      <c r="J141" s="5"/>
      <c r="K141" s="5"/>
      <c r="L141" s="5"/>
      <c r="M141" s="1"/>
      <c r="N141" s="5"/>
      <c r="O141" s="5"/>
      <c r="P141" s="5"/>
      <c r="Q141" s="5"/>
      <c r="R141" s="1"/>
      <c r="S141" s="5"/>
      <c r="T141" s="5"/>
      <c r="U141" s="5"/>
      <c r="V141" s="5"/>
      <c r="W141" s="1"/>
      <c r="X141" s="26"/>
      <c r="Y141" s="26"/>
      <c r="Z141" s="26"/>
      <c r="AA141" s="26"/>
      <c r="AB141" s="36"/>
      <c r="AC141" s="28"/>
    </row>
    <row r="142" spans="1:29" s="38" customFormat="1" ht="42" customHeight="1" x14ac:dyDescent="0.25">
      <c r="A142" s="142"/>
      <c r="B142" s="175"/>
      <c r="C142" s="1"/>
      <c r="D142" s="5"/>
      <c r="E142" s="5"/>
      <c r="F142" s="5"/>
      <c r="G142" s="5"/>
      <c r="H142" s="1"/>
      <c r="I142" s="5"/>
      <c r="J142" s="5"/>
      <c r="K142" s="5"/>
      <c r="L142" s="5"/>
      <c r="M142" s="1"/>
      <c r="N142" s="5"/>
      <c r="O142" s="5"/>
      <c r="P142" s="5"/>
      <c r="Q142" s="5"/>
      <c r="R142" s="1"/>
      <c r="S142" s="5"/>
      <c r="T142" s="5"/>
      <c r="U142" s="5"/>
      <c r="V142" s="5"/>
      <c r="W142" s="1"/>
      <c r="X142" s="26"/>
      <c r="Y142" s="26"/>
      <c r="Z142" s="26"/>
      <c r="AA142" s="26"/>
      <c r="AB142" s="36"/>
      <c r="AC142" s="28"/>
    </row>
    <row r="143" spans="1:29" s="38" customFormat="1" ht="42" customHeight="1" x14ac:dyDescent="0.25">
      <c r="A143" s="142"/>
      <c r="B143" s="175"/>
      <c r="C143" s="1"/>
      <c r="D143" s="5"/>
      <c r="E143" s="5"/>
      <c r="F143" s="5"/>
      <c r="G143" s="5"/>
      <c r="H143" s="1"/>
      <c r="I143" s="5"/>
      <c r="J143" s="5"/>
      <c r="K143" s="5"/>
      <c r="L143" s="5"/>
      <c r="M143" s="1"/>
      <c r="N143" s="5"/>
      <c r="O143" s="5"/>
      <c r="P143" s="5"/>
      <c r="Q143" s="5"/>
      <c r="R143" s="1"/>
      <c r="S143" s="5"/>
      <c r="T143" s="5"/>
      <c r="U143" s="5"/>
      <c r="V143" s="5"/>
      <c r="W143" s="1"/>
      <c r="X143" s="26"/>
      <c r="Y143" s="26"/>
      <c r="Z143" s="26"/>
      <c r="AA143" s="26"/>
      <c r="AB143" s="36"/>
      <c r="AC143" s="28"/>
    </row>
    <row r="144" spans="1:29" s="38" customFormat="1" ht="42" customHeight="1" x14ac:dyDescent="0.25">
      <c r="A144" s="142"/>
      <c r="B144" s="175"/>
      <c r="C144" s="1"/>
      <c r="D144" s="5"/>
      <c r="E144" s="5"/>
      <c r="F144" s="5"/>
      <c r="G144" s="5"/>
      <c r="H144" s="1"/>
      <c r="I144" s="5"/>
      <c r="J144" s="5"/>
      <c r="K144" s="5"/>
      <c r="L144" s="5"/>
      <c r="M144" s="1"/>
      <c r="N144" s="5"/>
      <c r="O144" s="5"/>
      <c r="P144" s="5"/>
      <c r="Q144" s="5"/>
      <c r="R144" s="1"/>
      <c r="S144" s="5"/>
      <c r="T144" s="5"/>
      <c r="U144" s="5"/>
      <c r="V144" s="5"/>
      <c r="W144" s="1"/>
      <c r="X144" s="26"/>
      <c r="Y144" s="26"/>
      <c r="Z144" s="26"/>
      <c r="AA144" s="26"/>
      <c r="AB144" s="36"/>
      <c r="AC144" s="28"/>
    </row>
    <row r="145" spans="1:29" s="38" customFormat="1" ht="42" customHeight="1" x14ac:dyDescent="0.25">
      <c r="A145" s="142"/>
      <c r="B145" s="175"/>
      <c r="C145" s="1"/>
      <c r="D145" s="5"/>
      <c r="E145" s="5"/>
      <c r="F145" s="5"/>
      <c r="G145" s="5"/>
      <c r="H145" s="1"/>
      <c r="I145" s="5"/>
      <c r="J145" s="5"/>
      <c r="K145" s="5"/>
      <c r="L145" s="5"/>
      <c r="M145" s="1"/>
      <c r="N145" s="5"/>
      <c r="O145" s="5"/>
      <c r="P145" s="5"/>
      <c r="Q145" s="5"/>
      <c r="R145" s="1"/>
      <c r="S145" s="5"/>
      <c r="T145" s="5"/>
      <c r="U145" s="5"/>
      <c r="V145" s="5"/>
      <c r="W145" s="1"/>
      <c r="X145" s="26"/>
      <c r="Y145" s="26"/>
      <c r="Z145" s="26"/>
      <c r="AA145" s="26"/>
      <c r="AB145" s="36"/>
      <c r="AC145" s="28"/>
    </row>
    <row r="146" spans="1:29" s="38" customFormat="1" ht="42" customHeight="1" x14ac:dyDescent="0.25">
      <c r="A146" s="142"/>
      <c r="B146" s="175"/>
      <c r="C146" s="1"/>
      <c r="D146" s="5"/>
      <c r="E146" s="5"/>
      <c r="F146" s="5"/>
      <c r="G146" s="5"/>
      <c r="H146" s="1"/>
      <c r="I146" s="5"/>
      <c r="J146" s="5"/>
      <c r="K146" s="5"/>
      <c r="L146" s="5"/>
      <c r="M146" s="1"/>
      <c r="N146" s="5"/>
      <c r="O146" s="5"/>
      <c r="P146" s="5"/>
      <c r="Q146" s="5"/>
      <c r="R146" s="1"/>
      <c r="S146" s="5"/>
      <c r="T146" s="5"/>
      <c r="U146" s="5"/>
      <c r="V146" s="5"/>
      <c r="W146" s="1"/>
      <c r="X146" s="26"/>
      <c r="Y146" s="26"/>
      <c r="Z146" s="26"/>
      <c r="AA146" s="26"/>
      <c r="AB146" s="36"/>
      <c r="AC146" s="28"/>
    </row>
    <row r="147" spans="1:29" s="38" customFormat="1" ht="42" customHeight="1" x14ac:dyDescent="0.25">
      <c r="A147" s="142"/>
      <c r="B147" s="175"/>
      <c r="C147" s="1"/>
      <c r="D147" s="5"/>
      <c r="E147" s="5"/>
      <c r="F147" s="5"/>
      <c r="G147" s="5"/>
      <c r="H147" s="1"/>
      <c r="I147" s="5"/>
      <c r="J147" s="5"/>
      <c r="K147" s="5"/>
      <c r="L147" s="5"/>
      <c r="M147" s="1"/>
      <c r="N147" s="5"/>
      <c r="O147" s="5"/>
      <c r="P147" s="5"/>
      <c r="Q147" s="5"/>
      <c r="R147" s="1"/>
      <c r="S147" s="5"/>
      <c r="T147" s="5"/>
      <c r="U147" s="5"/>
      <c r="V147" s="5"/>
      <c r="W147" s="1"/>
      <c r="X147" s="26"/>
      <c r="Y147" s="26"/>
      <c r="Z147" s="26"/>
      <c r="AA147" s="26"/>
      <c r="AB147" s="36"/>
      <c r="AC147" s="28"/>
    </row>
    <row r="148" spans="1:29" s="38" customFormat="1" ht="42" customHeight="1" x14ac:dyDescent="0.25">
      <c r="A148" s="142"/>
      <c r="B148" s="175"/>
      <c r="C148" s="1"/>
      <c r="D148" s="5"/>
      <c r="E148" s="5"/>
      <c r="F148" s="5"/>
      <c r="G148" s="5"/>
      <c r="H148" s="1"/>
      <c r="I148" s="5"/>
      <c r="J148" s="5"/>
      <c r="K148" s="5"/>
      <c r="L148" s="5"/>
      <c r="M148" s="1"/>
      <c r="N148" s="5"/>
      <c r="O148" s="5"/>
      <c r="P148" s="5"/>
      <c r="Q148" s="5"/>
      <c r="R148" s="1"/>
      <c r="S148" s="5"/>
      <c r="T148" s="5"/>
      <c r="U148" s="5"/>
      <c r="V148" s="5"/>
      <c r="W148" s="1"/>
      <c r="X148" s="26"/>
      <c r="Y148" s="26"/>
      <c r="Z148" s="26"/>
      <c r="AA148" s="26"/>
      <c r="AB148" s="36"/>
      <c r="AC148" s="28"/>
    </row>
    <row r="149" spans="1:29" s="38" customFormat="1" ht="42" customHeight="1" x14ac:dyDescent="0.25">
      <c r="A149" s="142"/>
      <c r="B149" s="175"/>
      <c r="C149" s="1"/>
      <c r="D149" s="5"/>
      <c r="E149" s="5"/>
      <c r="F149" s="5"/>
      <c r="G149" s="5"/>
      <c r="H149" s="1"/>
      <c r="I149" s="5"/>
      <c r="J149" s="5"/>
      <c r="K149" s="5"/>
      <c r="L149" s="5"/>
      <c r="M149" s="1"/>
      <c r="N149" s="5"/>
      <c r="O149" s="5"/>
      <c r="P149" s="5"/>
      <c r="Q149" s="5"/>
      <c r="R149" s="1"/>
      <c r="S149" s="5"/>
      <c r="T149" s="5"/>
      <c r="U149" s="5"/>
      <c r="V149" s="5"/>
      <c r="W149" s="1"/>
      <c r="X149" s="26"/>
      <c r="Y149" s="26"/>
      <c r="Z149" s="26"/>
      <c r="AA149" s="26"/>
      <c r="AB149" s="36"/>
      <c r="AC149" s="28"/>
    </row>
    <row r="150" spans="1:29" s="38" customFormat="1" ht="42" customHeight="1" x14ac:dyDescent="0.25">
      <c r="A150" s="142"/>
      <c r="B150" s="175"/>
      <c r="C150" s="1"/>
      <c r="D150" s="5"/>
      <c r="E150" s="5"/>
      <c r="F150" s="5"/>
      <c r="G150" s="5"/>
      <c r="H150" s="1"/>
      <c r="I150" s="5"/>
      <c r="J150" s="5"/>
      <c r="K150" s="5"/>
      <c r="L150" s="5"/>
      <c r="M150" s="1"/>
      <c r="N150" s="5"/>
      <c r="O150" s="5"/>
      <c r="P150" s="5"/>
      <c r="Q150" s="5"/>
      <c r="R150" s="1"/>
      <c r="S150" s="5"/>
      <c r="T150" s="5"/>
      <c r="U150" s="5"/>
      <c r="V150" s="5"/>
      <c r="W150" s="1"/>
      <c r="X150" s="26"/>
      <c r="Y150" s="26"/>
      <c r="Z150" s="26"/>
      <c r="AA150" s="26"/>
      <c r="AB150" s="36"/>
      <c r="AC150" s="28"/>
    </row>
    <row r="151" spans="1:29" s="38" customFormat="1" ht="42" customHeight="1" x14ac:dyDescent="0.25">
      <c r="A151" s="142"/>
      <c r="B151" s="175"/>
      <c r="C151" s="1"/>
      <c r="D151" s="5"/>
      <c r="E151" s="5"/>
      <c r="F151" s="5"/>
      <c r="G151" s="5"/>
      <c r="H151" s="1"/>
      <c r="I151" s="5"/>
      <c r="J151" s="5"/>
      <c r="K151" s="5"/>
      <c r="L151" s="5"/>
      <c r="M151" s="1"/>
      <c r="N151" s="5"/>
      <c r="O151" s="5"/>
      <c r="P151" s="5"/>
      <c r="Q151" s="5"/>
      <c r="R151" s="1"/>
      <c r="S151" s="5"/>
      <c r="T151" s="5"/>
      <c r="U151" s="5"/>
      <c r="V151" s="5"/>
      <c r="W151" s="1"/>
      <c r="X151" s="26"/>
      <c r="Y151" s="26"/>
      <c r="Z151" s="26"/>
      <c r="AA151" s="26"/>
      <c r="AB151" s="36"/>
      <c r="AC151" s="28"/>
    </row>
    <row r="152" spans="1:29" s="38" customFormat="1" ht="42" customHeight="1" x14ac:dyDescent="0.25">
      <c r="A152" s="142"/>
      <c r="B152" s="175"/>
      <c r="C152" s="1"/>
      <c r="D152" s="5"/>
      <c r="E152" s="5"/>
      <c r="F152" s="5"/>
      <c r="G152" s="5"/>
      <c r="H152" s="1"/>
      <c r="I152" s="5"/>
      <c r="J152" s="5"/>
      <c r="K152" s="5"/>
      <c r="L152" s="5"/>
      <c r="M152" s="1"/>
      <c r="N152" s="5"/>
      <c r="O152" s="5"/>
      <c r="P152" s="5"/>
      <c r="Q152" s="5"/>
      <c r="R152" s="1"/>
      <c r="S152" s="5"/>
      <c r="T152" s="5"/>
      <c r="U152" s="5"/>
      <c r="V152" s="5"/>
      <c r="W152" s="1"/>
      <c r="X152" s="26"/>
      <c r="Y152" s="26"/>
      <c r="Z152" s="26"/>
      <c r="AA152" s="26"/>
      <c r="AB152" s="36"/>
      <c r="AC152" s="28"/>
    </row>
    <row r="153" spans="1:29" s="38" customFormat="1" ht="42" customHeight="1" x14ac:dyDescent="0.25">
      <c r="A153" s="142"/>
      <c r="B153" s="175"/>
      <c r="C153" s="1"/>
      <c r="D153" s="5"/>
      <c r="E153" s="5"/>
      <c r="F153" s="5"/>
      <c r="G153" s="5"/>
      <c r="H153" s="1"/>
      <c r="I153" s="5"/>
      <c r="J153" s="5"/>
      <c r="K153" s="5"/>
      <c r="L153" s="5"/>
      <c r="M153" s="1"/>
      <c r="N153" s="5"/>
      <c r="O153" s="5"/>
      <c r="P153" s="5"/>
      <c r="Q153" s="5"/>
      <c r="R153" s="1"/>
      <c r="S153" s="5"/>
      <c r="T153" s="5"/>
      <c r="U153" s="5"/>
      <c r="V153" s="5"/>
      <c r="W153" s="1"/>
      <c r="X153" s="26"/>
      <c r="Y153" s="26"/>
      <c r="Z153" s="26"/>
      <c r="AA153" s="26"/>
      <c r="AB153" s="36"/>
      <c r="AC153" s="28"/>
    </row>
    <row r="154" spans="1:29" s="38" customFormat="1" ht="42" customHeight="1" x14ac:dyDescent="0.25">
      <c r="A154" s="142"/>
      <c r="B154" s="175"/>
      <c r="C154" s="1"/>
      <c r="D154" s="5"/>
      <c r="E154" s="5"/>
      <c r="F154" s="5"/>
      <c r="G154" s="5"/>
      <c r="H154" s="1"/>
      <c r="I154" s="5"/>
      <c r="J154" s="5"/>
      <c r="K154" s="5"/>
      <c r="L154" s="5"/>
      <c r="M154" s="1"/>
      <c r="N154" s="5"/>
      <c r="O154" s="5"/>
      <c r="P154" s="5"/>
      <c r="Q154" s="5"/>
      <c r="R154" s="1"/>
      <c r="S154" s="5"/>
      <c r="T154" s="5"/>
      <c r="U154" s="5"/>
      <c r="V154" s="5"/>
      <c r="W154" s="1"/>
      <c r="X154" s="26"/>
      <c r="Y154" s="26"/>
      <c r="Z154" s="26"/>
      <c r="AA154" s="26"/>
      <c r="AB154" s="36"/>
      <c r="AC154" s="28"/>
    </row>
    <row r="155" spans="1:29" s="38" customFormat="1" ht="42" customHeight="1" x14ac:dyDescent="0.25">
      <c r="A155" s="142"/>
      <c r="B155" s="175"/>
      <c r="C155" s="1"/>
      <c r="D155" s="5"/>
      <c r="E155" s="5"/>
      <c r="F155" s="5"/>
      <c r="G155" s="5"/>
      <c r="H155" s="1"/>
      <c r="I155" s="5"/>
      <c r="J155" s="5"/>
      <c r="K155" s="5"/>
      <c r="L155" s="5"/>
      <c r="M155" s="1"/>
      <c r="N155" s="5"/>
      <c r="O155" s="5"/>
      <c r="P155" s="5"/>
      <c r="Q155" s="5"/>
      <c r="R155" s="1"/>
      <c r="S155" s="5"/>
      <c r="T155" s="5"/>
      <c r="U155" s="5"/>
      <c r="V155" s="5"/>
      <c r="W155" s="1"/>
      <c r="X155" s="26"/>
      <c r="Y155" s="26"/>
      <c r="Z155" s="26"/>
      <c r="AA155" s="26"/>
      <c r="AB155" s="36"/>
      <c r="AC155" s="28"/>
    </row>
    <row r="156" spans="1:29" s="38" customFormat="1" ht="42" customHeight="1" x14ac:dyDescent="0.25">
      <c r="A156" s="142"/>
      <c r="B156" s="175"/>
      <c r="C156" s="1"/>
      <c r="D156" s="5"/>
      <c r="E156" s="5"/>
      <c r="F156" s="5"/>
      <c r="G156" s="5"/>
      <c r="H156" s="1"/>
      <c r="I156" s="5"/>
      <c r="J156" s="5"/>
      <c r="K156" s="5"/>
      <c r="L156" s="5"/>
      <c r="M156" s="1"/>
      <c r="N156" s="5"/>
      <c r="O156" s="5"/>
      <c r="P156" s="5"/>
      <c r="Q156" s="5"/>
      <c r="R156" s="1"/>
      <c r="S156" s="5"/>
      <c r="T156" s="5"/>
      <c r="U156" s="5"/>
      <c r="V156" s="5"/>
      <c r="W156" s="1"/>
      <c r="X156" s="26"/>
      <c r="Y156" s="26"/>
      <c r="Z156" s="26"/>
      <c r="AA156" s="26"/>
      <c r="AB156" s="36"/>
      <c r="AC156" s="28"/>
    </row>
    <row r="157" spans="1:29" s="38" customFormat="1" ht="42" customHeight="1" x14ac:dyDescent="0.25">
      <c r="A157" s="142"/>
      <c r="B157" s="175"/>
      <c r="C157" s="1"/>
      <c r="D157" s="5"/>
      <c r="E157" s="5"/>
      <c r="F157" s="5"/>
      <c r="G157" s="5"/>
      <c r="H157" s="1"/>
      <c r="I157" s="5"/>
      <c r="J157" s="5"/>
      <c r="K157" s="5"/>
      <c r="L157" s="5"/>
      <c r="M157" s="1"/>
      <c r="N157" s="5"/>
      <c r="O157" s="5"/>
      <c r="P157" s="5"/>
      <c r="Q157" s="5"/>
      <c r="R157" s="1"/>
      <c r="S157" s="5"/>
      <c r="T157" s="5"/>
      <c r="U157" s="5"/>
      <c r="V157" s="5"/>
      <c r="W157" s="1"/>
      <c r="X157" s="26"/>
      <c r="Y157" s="26"/>
      <c r="Z157" s="26"/>
      <c r="AA157" s="26"/>
      <c r="AB157" s="36"/>
      <c r="AC157" s="28"/>
    </row>
    <row r="158" spans="1:29" s="38" customFormat="1" ht="42" customHeight="1" x14ac:dyDescent="0.25">
      <c r="A158" s="142"/>
      <c r="B158" s="175"/>
      <c r="C158" s="1"/>
      <c r="D158" s="5"/>
      <c r="E158" s="5"/>
      <c r="F158" s="5"/>
      <c r="G158" s="5"/>
      <c r="H158" s="1"/>
      <c r="I158" s="5"/>
      <c r="J158" s="5"/>
      <c r="K158" s="5"/>
      <c r="L158" s="5"/>
      <c r="M158" s="1"/>
      <c r="N158" s="5"/>
      <c r="O158" s="5"/>
      <c r="P158" s="5"/>
      <c r="Q158" s="5"/>
      <c r="R158" s="1"/>
      <c r="S158" s="5"/>
      <c r="T158" s="5"/>
      <c r="U158" s="5"/>
      <c r="V158" s="5"/>
      <c r="W158" s="1"/>
      <c r="X158" s="26"/>
      <c r="Y158" s="26"/>
      <c r="Z158" s="26"/>
      <c r="AA158" s="26"/>
      <c r="AB158" s="36"/>
      <c r="AC158" s="28"/>
    </row>
    <row r="159" spans="1:29" s="38" customFormat="1" ht="42" customHeight="1" x14ac:dyDescent="0.25">
      <c r="A159" s="142"/>
      <c r="B159" s="175"/>
      <c r="C159" s="1"/>
      <c r="D159" s="5"/>
      <c r="E159" s="5"/>
      <c r="F159" s="5"/>
      <c r="G159" s="5"/>
      <c r="H159" s="1"/>
      <c r="I159" s="5"/>
      <c r="J159" s="5"/>
      <c r="K159" s="5"/>
      <c r="L159" s="5"/>
      <c r="M159" s="1"/>
      <c r="N159" s="5"/>
      <c r="O159" s="5"/>
      <c r="P159" s="5"/>
      <c r="Q159" s="5"/>
      <c r="R159" s="1"/>
      <c r="S159" s="5"/>
      <c r="T159" s="5"/>
      <c r="U159" s="5"/>
      <c r="V159" s="5"/>
      <c r="W159" s="1"/>
      <c r="X159" s="26"/>
      <c r="Y159" s="26"/>
      <c r="Z159" s="26"/>
      <c r="AA159" s="26"/>
      <c r="AB159" s="36"/>
      <c r="AC159" s="28"/>
    </row>
    <row r="160" spans="1:29" s="38" customFormat="1" ht="42" customHeight="1" x14ac:dyDescent="0.25">
      <c r="A160" s="142"/>
      <c r="B160" s="175"/>
      <c r="C160" s="1"/>
      <c r="D160" s="5"/>
      <c r="E160" s="5"/>
      <c r="F160" s="5"/>
      <c r="G160" s="5"/>
      <c r="H160" s="1"/>
      <c r="I160" s="5"/>
      <c r="J160" s="5"/>
      <c r="K160" s="5"/>
      <c r="L160" s="5"/>
      <c r="M160" s="1"/>
      <c r="N160" s="5"/>
      <c r="O160" s="5"/>
      <c r="P160" s="5"/>
      <c r="Q160" s="5"/>
      <c r="R160" s="1"/>
      <c r="S160" s="5"/>
      <c r="T160" s="5"/>
      <c r="U160" s="5"/>
      <c r="V160" s="5"/>
      <c r="W160" s="1"/>
      <c r="X160" s="26"/>
      <c r="Y160" s="26"/>
      <c r="Z160" s="26"/>
      <c r="AA160" s="26"/>
      <c r="AB160" s="36"/>
      <c r="AC160" s="28"/>
    </row>
    <row r="161" spans="1:29" s="38" customFormat="1" ht="42" customHeight="1" x14ac:dyDescent="0.25">
      <c r="A161" s="142"/>
      <c r="B161" s="175"/>
      <c r="C161" s="1"/>
      <c r="D161" s="5"/>
      <c r="E161" s="5"/>
      <c r="F161" s="5"/>
      <c r="G161" s="5"/>
      <c r="H161" s="1"/>
      <c r="I161" s="5"/>
      <c r="J161" s="5"/>
      <c r="K161" s="5"/>
      <c r="L161" s="5"/>
      <c r="M161" s="1"/>
      <c r="N161" s="5"/>
      <c r="O161" s="5"/>
      <c r="P161" s="5"/>
      <c r="Q161" s="5"/>
      <c r="R161" s="1"/>
      <c r="S161" s="5"/>
      <c r="T161" s="5"/>
      <c r="U161" s="5"/>
      <c r="V161" s="5"/>
      <c r="W161" s="1"/>
      <c r="X161" s="26"/>
      <c r="Y161" s="26"/>
      <c r="Z161" s="26"/>
      <c r="AA161" s="26"/>
      <c r="AB161" s="36"/>
      <c r="AC161" s="28"/>
    </row>
    <row r="162" spans="1:29" s="38" customFormat="1" ht="42" customHeight="1" x14ac:dyDescent="0.25">
      <c r="A162" s="142"/>
      <c r="B162" s="175"/>
      <c r="C162" s="1"/>
      <c r="D162" s="5"/>
      <c r="E162" s="5"/>
      <c r="F162" s="5"/>
      <c r="G162" s="5"/>
      <c r="H162" s="1"/>
      <c r="I162" s="5"/>
      <c r="J162" s="5"/>
      <c r="K162" s="5"/>
      <c r="L162" s="5"/>
      <c r="M162" s="1"/>
      <c r="N162" s="5"/>
      <c r="O162" s="5"/>
      <c r="P162" s="5"/>
      <c r="Q162" s="5"/>
      <c r="R162" s="1"/>
      <c r="S162" s="5"/>
      <c r="T162" s="5"/>
      <c r="U162" s="5"/>
      <c r="V162" s="5"/>
      <c r="W162" s="1"/>
      <c r="X162" s="26"/>
      <c r="Y162" s="26"/>
      <c r="Z162" s="26"/>
      <c r="AA162" s="26"/>
      <c r="AB162" s="36"/>
      <c r="AC162" s="28"/>
    </row>
    <row r="163" spans="1:29" s="38" customFormat="1" ht="42" customHeight="1" x14ac:dyDescent="0.25">
      <c r="A163" s="142"/>
      <c r="B163" s="175"/>
      <c r="C163" s="1"/>
      <c r="D163" s="5"/>
      <c r="E163" s="5"/>
      <c r="F163" s="5"/>
      <c r="G163" s="5"/>
      <c r="H163" s="1"/>
      <c r="I163" s="5"/>
      <c r="J163" s="5"/>
      <c r="K163" s="5"/>
      <c r="L163" s="5"/>
      <c r="M163" s="1"/>
      <c r="N163" s="5"/>
      <c r="O163" s="5"/>
      <c r="P163" s="5"/>
      <c r="Q163" s="5"/>
      <c r="R163" s="1"/>
      <c r="S163" s="5"/>
      <c r="T163" s="5"/>
      <c r="U163" s="5"/>
      <c r="V163" s="5"/>
      <c r="W163" s="1"/>
      <c r="X163" s="26"/>
      <c r="Y163" s="26"/>
      <c r="Z163" s="26"/>
      <c r="AA163" s="26"/>
      <c r="AB163" s="36"/>
      <c r="AC163" s="28"/>
    </row>
    <row r="164" spans="1:29" s="38" customFormat="1" ht="42" customHeight="1" x14ac:dyDescent="0.25">
      <c r="A164" s="142"/>
      <c r="B164" s="175"/>
      <c r="C164" s="1"/>
      <c r="D164" s="5"/>
      <c r="E164" s="5"/>
      <c r="F164" s="5"/>
      <c r="G164" s="5"/>
      <c r="H164" s="1"/>
      <c r="I164" s="5"/>
      <c r="J164" s="5"/>
      <c r="K164" s="5"/>
      <c r="L164" s="5"/>
      <c r="M164" s="1"/>
      <c r="N164" s="5"/>
      <c r="O164" s="5"/>
      <c r="P164" s="5"/>
      <c r="Q164" s="5"/>
      <c r="R164" s="1"/>
      <c r="S164" s="5"/>
      <c r="T164" s="5"/>
      <c r="U164" s="5"/>
      <c r="V164" s="5"/>
      <c r="W164" s="1"/>
      <c r="X164" s="26"/>
      <c r="Y164" s="26"/>
      <c r="Z164" s="26"/>
      <c r="AA164" s="26"/>
      <c r="AB164" s="36"/>
      <c r="AC164" s="28"/>
    </row>
    <row r="165" spans="1:29" s="38" customFormat="1" ht="42" customHeight="1" x14ac:dyDescent="0.25">
      <c r="A165" s="142"/>
      <c r="B165" s="175"/>
      <c r="C165" s="1"/>
      <c r="D165" s="5"/>
      <c r="E165" s="5"/>
      <c r="F165" s="5"/>
      <c r="G165" s="5"/>
      <c r="H165" s="1"/>
      <c r="I165" s="5"/>
      <c r="J165" s="5"/>
      <c r="K165" s="5"/>
      <c r="L165" s="5"/>
      <c r="M165" s="1"/>
      <c r="N165" s="5"/>
      <c r="O165" s="5"/>
      <c r="P165" s="5"/>
      <c r="Q165" s="5"/>
      <c r="R165" s="1"/>
      <c r="S165" s="5"/>
      <c r="T165" s="5"/>
      <c r="U165" s="5"/>
      <c r="V165" s="5"/>
      <c r="W165" s="1"/>
      <c r="X165" s="26"/>
      <c r="Y165" s="26"/>
      <c r="Z165" s="26"/>
      <c r="AA165" s="26"/>
      <c r="AB165" s="36"/>
      <c r="AC165" s="28"/>
    </row>
    <row r="166" spans="1:29" s="38" customFormat="1" ht="42" customHeight="1" x14ac:dyDescent="0.25">
      <c r="A166" s="142"/>
      <c r="B166" s="175"/>
      <c r="C166" s="1"/>
      <c r="D166" s="5"/>
      <c r="E166" s="5"/>
      <c r="F166" s="5"/>
      <c r="G166" s="5"/>
      <c r="H166" s="1"/>
      <c r="I166" s="5"/>
      <c r="J166" s="5"/>
      <c r="K166" s="5"/>
      <c r="L166" s="5"/>
      <c r="M166" s="1"/>
      <c r="N166" s="5"/>
      <c r="O166" s="5"/>
      <c r="P166" s="5"/>
      <c r="Q166" s="5"/>
      <c r="R166" s="1"/>
      <c r="S166" s="5"/>
      <c r="T166" s="5"/>
      <c r="U166" s="5"/>
      <c r="V166" s="5"/>
      <c r="W166" s="1"/>
      <c r="X166" s="26"/>
      <c r="Y166" s="26"/>
      <c r="Z166" s="26"/>
      <c r="AA166" s="26"/>
      <c r="AB166" s="36"/>
      <c r="AC166" s="28"/>
    </row>
    <row r="167" spans="1:29" s="38" customFormat="1" ht="42" customHeight="1" x14ac:dyDescent="0.25">
      <c r="A167" s="142"/>
      <c r="B167" s="175"/>
      <c r="C167" s="1"/>
      <c r="D167" s="5"/>
      <c r="E167" s="5"/>
      <c r="F167" s="5"/>
      <c r="G167" s="5"/>
      <c r="H167" s="1"/>
      <c r="I167" s="5"/>
      <c r="J167" s="5"/>
      <c r="K167" s="5"/>
      <c r="L167" s="5"/>
      <c r="M167" s="1"/>
      <c r="N167" s="5"/>
      <c r="O167" s="5"/>
      <c r="P167" s="5"/>
      <c r="Q167" s="5"/>
      <c r="R167" s="1"/>
      <c r="S167" s="5"/>
      <c r="T167" s="5"/>
      <c r="U167" s="5"/>
      <c r="V167" s="5"/>
      <c r="W167" s="1"/>
      <c r="X167" s="26"/>
      <c r="Y167" s="26"/>
      <c r="Z167" s="26"/>
      <c r="AA167" s="26"/>
      <c r="AB167" s="36"/>
      <c r="AC167" s="28"/>
    </row>
    <row r="168" spans="1:29" s="38" customFormat="1" ht="42" customHeight="1" x14ac:dyDescent="0.25">
      <c r="A168" s="142"/>
      <c r="B168" s="175"/>
      <c r="C168" s="1"/>
      <c r="D168" s="5"/>
      <c r="E168" s="5"/>
      <c r="F168" s="5"/>
      <c r="G168" s="5"/>
      <c r="H168" s="1"/>
      <c r="I168" s="5"/>
      <c r="J168" s="5"/>
      <c r="K168" s="5"/>
      <c r="L168" s="5"/>
      <c r="M168" s="1"/>
      <c r="N168" s="5"/>
      <c r="O168" s="5"/>
      <c r="P168" s="5"/>
      <c r="Q168" s="5"/>
      <c r="R168" s="1"/>
      <c r="S168" s="5"/>
      <c r="T168" s="5"/>
      <c r="U168" s="5"/>
      <c r="V168" s="5"/>
      <c r="W168" s="1"/>
      <c r="X168" s="26"/>
      <c r="Y168" s="26"/>
      <c r="Z168" s="26"/>
      <c r="AA168" s="26"/>
      <c r="AB168" s="36"/>
      <c r="AC168" s="28"/>
    </row>
    <row r="169" spans="1:29" s="38" customFormat="1" ht="42" customHeight="1" x14ac:dyDescent="0.25">
      <c r="A169" s="142"/>
      <c r="B169" s="175"/>
      <c r="C169" s="1"/>
      <c r="D169" s="5"/>
      <c r="E169" s="5"/>
      <c r="F169" s="5"/>
      <c r="G169" s="5"/>
      <c r="H169" s="1"/>
      <c r="I169" s="5"/>
      <c r="J169" s="5"/>
      <c r="K169" s="5"/>
      <c r="L169" s="5"/>
      <c r="M169" s="1"/>
      <c r="N169" s="5"/>
      <c r="O169" s="5"/>
      <c r="P169" s="5"/>
      <c r="Q169" s="5"/>
      <c r="R169" s="1"/>
      <c r="S169" s="5"/>
      <c r="T169" s="5"/>
      <c r="U169" s="5"/>
      <c r="V169" s="5"/>
      <c r="W169" s="1"/>
      <c r="X169" s="26"/>
      <c r="Y169" s="26"/>
      <c r="Z169" s="26"/>
      <c r="AA169" s="26"/>
      <c r="AB169" s="36"/>
      <c r="AC169" s="28"/>
    </row>
    <row r="170" spans="1:29" s="38" customFormat="1" ht="42" customHeight="1" x14ac:dyDescent="0.25">
      <c r="A170" s="142"/>
      <c r="B170" s="175"/>
      <c r="C170" s="1"/>
      <c r="D170" s="5"/>
      <c r="E170" s="5"/>
      <c r="F170" s="5"/>
      <c r="G170" s="5"/>
      <c r="H170" s="1"/>
      <c r="I170" s="5"/>
      <c r="J170" s="5"/>
      <c r="K170" s="5"/>
      <c r="L170" s="5"/>
      <c r="M170" s="1"/>
      <c r="N170" s="5"/>
      <c r="O170" s="5"/>
      <c r="P170" s="5"/>
      <c r="Q170" s="5"/>
      <c r="R170" s="1"/>
      <c r="S170" s="5"/>
      <c r="T170" s="5"/>
      <c r="U170" s="5"/>
      <c r="V170" s="5"/>
      <c r="W170" s="1"/>
      <c r="X170" s="26"/>
      <c r="Y170" s="26"/>
      <c r="Z170" s="26"/>
      <c r="AA170" s="26"/>
      <c r="AB170" s="36"/>
      <c r="AC170" s="28"/>
    </row>
    <row r="171" spans="1:29" s="38" customFormat="1" ht="42" customHeight="1" x14ac:dyDescent="0.25">
      <c r="A171" s="142"/>
      <c r="B171" s="175"/>
      <c r="C171" s="1"/>
      <c r="D171" s="5"/>
      <c r="E171" s="5"/>
      <c r="F171" s="5"/>
      <c r="G171" s="5"/>
      <c r="H171" s="1"/>
      <c r="I171" s="5"/>
      <c r="J171" s="5"/>
      <c r="K171" s="5"/>
      <c r="L171" s="5"/>
      <c r="M171" s="1"/>
      <c r="N171" s="5"/>
      <c r="O171" s="5"/>
      <c r="P171" s="5"/>
      <c r="Q171" s="5"/>
      <c r="R171" s="1"/>
      <c r="S171" s="5"/>
      <c r="T171" s="5"/>
      <c r="U171" s="5"/>
      <c r="V171" s="5"/>
      <c r="W171" s="1"/>
      <c r="X171" s="26"/>
      <c r="Y171" s="26"/>
      <c r="Z171" s="26"/>
      <c r="AA171" s="26"/>
      <c r="AB171" s="36"/>
      <c r="AC171" s="28"/>
    </row>
    <row r="172" spans="1:29" s="38" customFormat="1" ht="42" customHeight="1" x14ac:dyDescent="0.25">
      <c r="A172" s="142"/>
      <c r="B172" s="175"/>
      <c r="C172" s="1"/>
      <c r="D172" s="5"/>
      <c r="E172" s="5"/>
      <c r="F172" s="5"/>
      <c r="G172" s="5"/>
      <c r="H172" s="1"/>
      <c r="I172" s="5"/>
      <c r="J172" s="5"/>
      <c r="K172" s="5"/>
      <c r="L172" s="5"/>
      <c r="M172" s="1"/>
      <c r="N172" s="5"/>
      <c r="O172" s="5"/>
      <c r="P172" s="5"/>
      <c r="Q172" s="5"/>
      <c r="R172" s="1"/>
      <c r="S172" s="5"/>
      <c r="T172" s="5"/>
      <c r="U172" s="5"/>
      <c r="V172" s="5"/>
      <c r="W172" s="1"/>
      <c r="X172" s="26"/>
      <c r="Y172" s="26"/>
      <c r="Z172" s="26"/>
      <c r="AA172" s="26"/>
      <c r="AB172" s="36"/>
      <c r="AC172" s="28"/>
    </row>
    <row r="173" spans="1:29" s="38" customFormat="1" ht="42" customHeight="1" x14ac:dyDescent="0.25">
      <c r="A173" s="142"/>
      <c r="B173" s="175"/>
      <c r="C173" s="1"/>
      <c r="D173" s="5"/>
      <c r="E173" s="5"/>
      <c r="F173" s="5"/>
      <c r="G173" s="5"/>
      <c r="H173" s="1"/>
      <c r="I173" s="5"/>
      <c r="J173" s="5"/>
      <c r="K173" s="5"/>
      <c r="L173" s="5"/>
      <c r="M173" s="1"/>
      <c r="N173" s="5"/>
      <c r="O173" s="5"/>
      <c r="P173" s="5"/>
      <c r="Q173" s="5"/>
      <c r="R173" s="1"/>
      <c r="S173" s="5"/>
      <c r="T173" s="5"/>
      <c r="U173" s="5"/>
      <c r="V173" s="5"/>
      <c r="W173" s="1"/>
      <c r="X173" s="26"/>
      <c r="Y173" s="26"/>
      <c r="Z173" s="26"/>
      <c r="AA173" s="26"/>
      <c r="AB173" s="36"/>
      <c r="AC173" s="28"/>
    </row>
    <row r="174" spans="1:29" s="38" customFormat="1" ht="42" customHeight="1" x14ac:dyDescent="0.25">
      <c r="A174" s="142"/>
      <c r="B174" s="175"/>
      <c r="C174" s="1"/>
      <c r="D174" s="5"/>
      <c r="E174" s="5"/>
      <c r="F174" s="5"/>
      <c r="G174" s="5"/>
      <c r="H174" s="1"/>
      <c r="I174" s="5"/>
      <c r="J174" s="5"/>
      <c r="K174" s="5"/>
      <c r="L174" s="5"/>
      <c r="M174" s="1"/>
      <c r="N174" s="5"/>
      <c r="O174" s="5"/>
      <c r="P174" s="5"/>
      <c r="Q174" s="5"/>
      <c r="R174" s="1"/>
      <c r="S174" s="5"/>
      <c r="T174" s="5"/>
      <c r="U174" s="5"/>
      <c r="V174" s="5"/>
      <c r="W174" s="1"/>
      <c r="X174" s="26"/>
      <c r="Y174" s="26"/>
      <c r="Z174" s="26"/>
      <c r="AA174" s="26"/>
      <c r="AB174" s="36"/>
      <c r="AC174" s="28"/>
    </row>
    <row r="175" spans="1:29" s="38" customFormat="1" ht="42" customHeight="1" x14ac:dyDescent="0.25">
      <c r="A175" s="142"/>
      <c r="B175" s="175"/>
      <c r="C175" s="1"/>
      <c r="D175" s="5"/>
      <c r="E175" s="5"/>
      <c r="F175" s="5"/>
      <c r="G175" s="5"/>
      <c r="H175" s="1"/>
      <c r="I175" s="5"/>
      <c r="J175" s="5"/>
      <c r="K175" s="5"/>
      <c r="L175" s="5"/>
      <c r="M175" s="1"/>
      <c r="N175" s="5"/>
      <c r="O175" s="5"/>
      <c r="P175" s="5"/>
      <c r="Q175" s="5"/>
      <c r="R175" s="1"/>
      <c r="S175" s="5"/>
      <c r="T175" s="5"/>
      <c r="U175" s="5"/>
      <c r="V175" s="5"/>
      <c r="W175" s="1"/>
      <c r="X175" s="26"/>
      <c r="Y175" s="26"/>
      <c r="Z175" s="26"/>
      <c r="AA175" s="26"/>
      <c r="AB175" s="36"/>
      <c r="AC175" s="28"/>
    </row>
    <row r="176" spans="1:29" s="38" customFormat="1" ht="42" customHeight="1" x14ac:dyDescent="0.25">
      <c r="A176" s="142"/>
      <c r="B176" s="175"/>
      <c r="C176" s="1"/>
      <c r="D176" s="5"/>
      <c r="E176" s="5"/>
      <c r="F176" s="5"/>
      <c r="G176" s="5"/>
      <c r="H176" s="1"/>
      <c r="I176" s="5"/>
      <c r="J176" s="5"/>
      <c r="K176" s="5"/>
      <c r="L176" s="5"/>
      <c r="M176" s="1"/>
      <c r="N176" s="5"/>
      <c r="O176" s="5"/>
      <c r="P176" s="5"/>
      <c r="Q176" s="5"/>
      <c r="R176" s="1"/>
      <c r="S176" s="5"/>
      <c r="T176" s="5"/>
      <c r="U176" s="5"/>
      <c r="V176" s="5"/>
      <c r="W176" s="1"/>
      <c r="X176" s="26"/>
      <c r="Y176" s="26"/>
      <c r="Z176" s="26"/>
      <c r="AA176" s="26"/>
      <c r="AB176" s="36"/>
      <c r="AC176" s="28"/>
    </row>
    <row r="177" spans="1:29" s="38" customFormat="1" ht="42" customHeight="1" x14ac:dyDescent="0.25">
      <c r="A177" s="142"/>
      <c r="B177" s="175"/>
      <c r="C177" s="1"/>
      <c r="D177" s="5"/>
      <c r="E177" s="5"/>
      <c r="F177" s="5"/>
      <c r="G177" s="5"/>
      <c r="H177" s="1"/>
      <c r="I177" s="5"/>
      <c r="J177" s="5"/>
      <c r="K177" s="5"/>
      <c r="L177" s="5"/>
      <c r="M177" s="1"/>
      <c r="N177" s="5"/>
      <c r="O177" s="5"/>
      <c r="P177" s="5"/>
      <c r="Q177" s="5"/>
      <c r="R177" s="1"/>
      <c r="S177" s="5"/>
      <c r="T177" s="5"/>
      <c r="U177" s="5"/>
      <c r="V177" s="5"/>
      <c r="W177" s="1"/>
      <c r="X177" s="26"/>
      <c r="Y177" s="26"/>
      <c r="Z177" s="26"/>
      <c r="AA177" s="26"/>
      <c r="AB177" s="36"/>
      <c r="AC177" s="28"/>
    </row>
    <row r="178" spans="1:29" s="38" customFormat="1" ht="42" customHeight="1" x14ac:dyDescent="0.25">
      <c r="A178" s="142"/>
      <c r="B178" s="175"/>
      <c r="C178" s="1"/>
      <c r="D178" s="5"/>
      <c r="E178" s="5"/>
      <c r="F178" s="5"/>
      <c r="G178" s="5"/>
      <c r="H178" s="1"/>
      <c r="I178" s="5"/>
      <c r="J178" s="5"/>
      <c r="K178" s="5"/>
      <c r="L178" s="5"/>
      <c r="M178" s="1"/>
      <c r="N178" s="5"/>
      <c r="O178" s="5"/>
      <c r="P178" s="5"/>
      <c r="Q178" s="5"/>
      <c r="R178" s="1"/>
      <c r="S178" s="5"/>
      <c r="T178" s="5"/>
      <c r="U178" s="5"/>
      <c r="V178" s="5"/>
      <c r="W178" s="1"/>
      <c r="X178" s="26"/>
      <c r="Y178" s="26"/>
      <c r="Z178" s="26"/>
      <c r="AA178" s="26"/>
      <c r="AB178" s="36"/>
      <c r="AC178" s="28"/>
    </row>
    <row r="179" spans="1:29" s="38" customFormat="1" ht="42" customHeight="1" x14ac:dyDescent="0.25">
      <c r="A179" s="142"/>
      <c r="B179" s="175"/>
      <c r="C179" s="1"/>
      <c r="D179" s="5"/>
      <c r="E179" s="5"/>
      <c r="F179" s="5"/>
      <c r="G179" s="5"/>
      <c r="H179" s="1"/>
      <c r="I179" s="5"/>
      <c r="J179" s="5"/>
      <c r="K179" s="5"/>
      <c r="L179" s="5"/>
      <c r="M179" s="1"/>
      <c r="N179" s="5"/>
      <c r="O179" s="5"/>
      <c r="P179" s="5"/>
      <c r="Q179" s="5"/>
      <c r="R179" s="1"/>
      <c r="S179" s="5"/>
      <c r="T179" s="5"/>
      <c r="U179" s="5"/>
      <c r="V179" s="5"/>
      <c r="W179" s="1"/>
      <c r="X179" s="26"/>
      <c r="Y179" s="26"/>
      <c r="Z179" s="26"/>
      <c r="AA179" s="26"/>
      <c r="AB179" s="36"/>
      <c r="AC179" s="28"/>
    </row>
    <row r="180" spans="1:29" s="38" customFormat="1" ht="42" customHeight="1" x14ac:dyDescent="0.25">
      <c r="A180" s="142"/>
      <c r="B180" s="175"/>
      <c r="C180" s="1"/>
      <c r="D180" s="5"/>
      <c r="E180" s="5"/>
      <c r="F180" s="5"/>
      <c r="G180" s="5"/>
      <c r="H180" s="1"/>
      <c r="I180" s="5"/>
      <c r="J180" s="5"/>
      <c r="K180" s="5"/>
      <c r="L180" s="5"/>
      <c r="M180" s="1"/>
      <c r="N180" s="5"/>
      <c r="O180" s="5"/>
      <c r="P180" s="5"/>
      <c r="Q180" s="5"/>
      <c r="R180" s="1"/>
      <c r="S180" s="5"/>
      <c r="T180" s="5"/>
      <c r="U180" s="5"/>
      <c r="V180" s="5"/>
      <c r="W180" s="1"/>
      <c r="X180" s="26"/>
      <c r="Y180" s="26"/>
      <c r="Z180" s="26"/>
      <c r="AA180" s="26"/>
      <c r="AB180" s="36"/>
      <c r="AC180" s="28"/>
    </row>
    <row r="181" spans="1:29" s="38" customFormat="1" ht="42" customHeight="1" x14ac:dyDescent="0.25">
      <c r="A181" s="142"/>
      <c r="B181" s="175"/>
      <c r="C181" s="1"/>
      <c r="D181" s="5"/>
      <c r="E181" s="5"/>
      <c r="F181" s="5"/>
      <c r="G181" s="5"/>
      <c r="H181" s="1"/>
      <c r="I181" s="5"/>
      <c r="J181" s="5"/>
      <c r="K181" s="5"/>
      <c r="L181" s="5"/>
      <c r="M181" s="1"/>
      <c r="N181" s="5"/>
      <c r="O181" s="5"/>
      <c r="P181" s="5"/>
      <c r="Q181" s="5"/>
      <c r="R181" s="1"/>
      <c r="S181" s="5"/>
      <c r="T181" s="5"/>
      <c r="U181" s="5"/>
      <c r="V181" s="5"/>
      <c r="W181" s="1"/>
      <c r="X181" s="26"/>
      <c r="Y181" s="26"/>
      <c r="Z181" s="26"/>
      <c r="AA181" s="26"/>
      <c r="AB181" s="36"/>
      <c r="AC181" s="28"/>
    </row>
    <row r="182" spans="1:29" s="38" customFormat="1" ht="42" customHeight="1" x14ac:dyDescent="0.25">
      <c r="A182" s="142"/>
      <c r="B182" s="175"/>
      <c r="C182" s="1"/>
      <c r="D182" s="5"/>
      <c r="E182" s="5"/>
      <c r="F182" s="5"/>
      <c r="G182" s="5"/>
      <c r="H182" s="1"/>
      <c r="I182" s="5"/>
      <c r="J182" s="5"/>
      <c r="K182" s="5"/>
      <c r="L182" s="5"/>
      <c r="M182" s="1"/>
      <c r="N182" s="5"/>
      <c r="O182" s="5"/>
      <c r="P182" s="5"/>
      <c r="Q182" s="5"/>
      <c r="R182" s="1"/>
      <c r="S182" s="5"/>
      <c r="T182" s="5"/>
      <c r="U182" s="5"/>
      <c r="V182" s="5"/>
      <c r="W182" s="1"/>
      <c r="X182" s="26"/>
      <c r="Y182" s="26"/>
      <c r="Z182" s="26"/>
      <c r="AA182" s="26"/>
      <c r="AB182" s="36"/>
      <c r="AC182" s="28"/>
    </row>
    <row r="183" spans="1:29" s="38" customFormat="1" ht="42" customHeight="1" x14ac:dyDescent="0.25">
      <c r="A183" s="142"/>
      <c r="B183" s="175"/>
      <c r="C183" s="1"/>
      <c r="D183" s="5"/>
      <c r="E183" s="5"/>
      <c r="F183" s="5"/>
      <c r="G183" s="5"/>
      <c r="H183" s="1"/>
      <c r="I183" s="5"/>
      <c r="J183" s="5"/>
      <c r="K183" s="5"/>
      <c r="L183" s="5"/>
      <c r="M183" s="1"/>
      <c r="N183" s="5"/>
      <c r="O183" s="5"/>
      <c r="P183" s="5"/>
      <c r="Q183" s="5"/>
      <c r="R183" s="1"/>
      <c r="S183" s="5"/>
      <c r="T183" s="5"/>
      <c r="U183" s="5"/>
      <c r="V183" s="5"/>
      <c r="W183" s="1"/>
      <c r="X183" s="26"/>
      <c r="Y183" s="26"/>
      <c r="Z183" s="26"/>
      <c r="AA183" s="26"/>
      <c r="AB183" s="36"/>
      <c r="AC183" s="28"/>
    </row>
    <row r="184" spans="1:29" s="38" customFormat="1" ht="42" customHeight="1" x14ac:dyDescent="0.25">
      <c r="A184" s="142"/>
      <c r="B184" s="175"/>
      <c r="C184" s="1"/>
      <c r="D184" s="5"/>
      <c r="E184" s="5"/>
      <c r="F184" s="5"/>
      <c r="G184" s="5"/>
      <c r="H184" s="1"/>
      <c r="I184" s="5"/>
      <c r="J184" s="5"/>
      <c r="K184" s="5"/>
      <c r="L184" s="5"/>
      <c r="M184" s="1"/>
      <c r="N184" s="5"/>
      <c r="O184" s="5"/>
      <c r="P184" s="5"/>
      <c r="Q184" s="5"/>
      <c r="R184" s="1"/>
      <c r="S184" s="5"/>
      <c r="T184" s="5"/>
      <c r="U184" s="5"/>
      <c r="V184" s="5"/>
      <c r="W184" s="1"/>
      <c r="X184" s="26"/>
      <c r="Y184" s="26"/>
      <c r="Z184" s="26"/>
      <c r="AA184" s="26"/>
      <c r="AB184" s="36"/>
      <c r="AC184" s="28"/>
    </row>
    <row r="185" spans="1:29" s="38" customFormat="1" ht="42" customHeight="1" x14ac:dyDescent="0.25">
      <c r="A185" s="142"/>
      <c r="B185" s="175"/>
      <c r="C185" s="1"/>
      <c r="D185" s="5"/>
      <c r="E185" s="5"/>
      <c r="F185" s="5"/>
      <c r="G185" s="5"/>
      <c r="H185" s="1"/>
      <c r="I185" s="5"/>
      <c r="J185" s="5"/>
      <c r="K185" s="5"/>
      <c r="L185" s="5"/>
      <c r="M185" s="1"/>
      <c r="N185" s="5"/>
      <c r="O185" s="5"/>
      <c r="P185" s="5"/>
      <c r="Q185" s="5"/>
      <c r="R185" s="1"/>
      <c r="S185" s="5"/>
      <c r="T185" s="5"/>
      <c r="U185" s="5"/>
      <c r="V185" s="5"/>
      <c r="W185" s="1"/>
      <c r="X185" s="26"/>
      <c r="Y185" s="26"/>
      <c r="Z185" s="26"/>
      <c r="AA185" s="26"/>
      <c r="AB185" s="36"/>
      <c r="AC185" s="28"/>
    </row>
    <row r="186" spans="1:29" s="38" customFormat="1" ht="42" customHeight="1" x14ac:dyDescent="0.25">
      <c r="A186" s="142"/>
      <c r="B186" s="175"/>
      <c r="C186" s="1"/>
      <c r="D186" s="5"/>
      <c r="E186" s="5"/>
      <c r="F186" s="5"/>
      <c r="G186" s="5"/>
      <c r="H186" s="1"/>
      <c r="I186" s="5"/>
      <c r="J186" s="5"/>
      <c r="K186" s="5"/>
      <c r="L186" s="5"/>
      <c r="M186" s="1"/>
      <c r="N186" s="5"/>
      <c r="O186" s="5"/>
      <c r="P186" s="5"/>
      <c r="Q186" s="5"/>
      <c r="R186" s="1"/>
      <c r="S186" s="5"/>
      <c r="T186" s="5"/>
      <c r="U186" s="5"/>
      <c r="V186" s="5"/>
      <c r="W186" s="1"/>
      <c r="X186" s="26"/>
      <c r="Y186" s="26"/>
      <c r="Z186" s="26"/>
      <c r="AA186" s="26"/>
      <c r="AB186" s="36"/>
      <c r="AC186" s="28"/>
    </row>
    <row r="187" spans="1:29" s="38" customFormat="1" ht="42" customHeight="1" x14ac:dyDescent="0.25">
      <c r="A187" s="142"/>
      <c r="B187" s="175"/>
      <c r="C187" s="1"/>
      <c r="D187" s="5"/>
      <c r="E187" s="5"/>
      <c r="F187" s="5"/>
      <c r="G187" s="5"/>
      <c r="H187" s="1"/>
      <c r="I187" s="5"/>
      <c r="J187" s="5"/>
      <c r="K187" s="5"/>
      <c r="L187" s="5"/>
      <c r="M187" s="1"/>
      <c r="N187" s="5"/>
      <c r="O187" s="5"/>
      <c r="P187" s="5"/>
      <c r="Q187" s="5"/>
      <c r="R187" s="1"/>
      <c r="S187" s="5"/>
      <c r="T187" s="5"/>
      <c r="U187" s="5"/>
      <c r="V187" s="5"/>
      <c r="W187" s="1"/>
      <c r="X187" s="26"/>
      <c r="Y187" s="26"/>
      <c r="Z187" s="26"/>
      <c r="AA187" s="26"/>
      <c r="AB187" s="36"/>
      <c r="AC187" s="28"/>
    </row>
    <row r="188" spans="1:29" s="38" customFormat="1" ht="42" customHeight="1" x14ac:dyDescent="0.25">
      <c r="A188" s="142"/>
      <c r="B188" s="175"/>
      <c r="C188" s="1"/>
      <c r="D188" s="5"/>
      <c r="E188" s="5"/>
      <c r="F188" s="5"/>
      <c r="G188" s="5"/>
      <c r="H188" s="1"/>
      <c r="I188" s="5"/>
      <c r="J188" s="5"/>
      <c r="K188" s="5"/>
      <c r="L188" s="5"/>
      <c r="M188" s="1"/>
      <c r="N188" s="5"/>
      <c r="O188" s="5"/>
      <c r="P188" s="5"/>
      <c r="Q188" s="5"/>
      <c r="R188" s="1"/>
      <c r="S188" s="5"/>
      <c r="T188" s="5"/>
      <c r="U188" s="5"/>
      <c r="V188" s="5"/>
      <c r="W188" s="1"/>
      <c r="X188" s="26"/>
      <c r="Y188" s="26"/>
      <c r="Z188" s="26"/>
      <c r="AA188" s="26"/>
      <c r="AB188" s="36"/>
      <c r="AC188" s="28"/>
    </row>
    <row r="189" spans="1:29" s="38" customFormat="1" ht="42" customHeight="1" x14ac:dyDescent="0.25">
      <c r="A189" s="142"/>
      <c r="B189" s="175"/>
      <c r="C189" s="1"/>
      <c r="D189" s="5"/>
      <c r="E189" s="5"/>
      <c r="F189" s="5"/>
      <c r="G189" s="5"/>
      <c r="H189" s="1"/>
      <c r="I189" s="5"/>
      <c r="J189" s="5"/>
      <c r="K189" s="5"/>
      <c r="L189" s="5"/>
      <c r="M189" s="1"/>
      <c r="N189" s="5"/>
      <c r="O189" s="5"/>
      <c r="P189" s="5"/>
      <c r="Q189" s="5"/>
      <c r="R189" s="1"/>
      <c r="S189" s="5"/>
      <c r="T189" s="5"/>
      <c r="U189" s="5"/>
      <c r="V189" s="5"/>
      <c r="W189" s="1"/>
      <c r="X189" s="26"/>
      <c r="Y189" s="26"/>
      <c r="Z189" s="26"/>
      <c r="AA189" s="26"/>
      <c r="AB189" s="36"/>
      <c r="AC189" s="28"/>
    </row>
    <row r="190" spans="1:29" s="38" customFormat="1" ht="42" customHeight="1" x14ac:dyDescent="0.25">
      <c r="A190" s="142"/>
      <c r="B190" s="175"/>
      <c r="C190" s="1"/>
      <c r="D190" s="5"/>
      <c r="E190" s="5"/>
      <c r="F190" s="5"/>
      <c r="G190" s="5"/>
      <c r="H190" s="1"/>
      <c r="I190" s="5"/>
      <c r="J190" s="5"/>
      <c r="K190" s="5"/>
      <c r="L190" s="5"/>
      <c r="M190" s="1"/>
      <c r="N190" s="5"/>
      <c r="O190" s="5"/>
      <c r="P190" s="5"/>
      <c r="Q190" s="5"/>
      <c r="R190" s="1"/>
      <c r="S190" s="5"/>
      <c r="T190" s="5"/>
      <c r="U190" s="5"/>
      <c r="V190" s="5"/>
      <c r="W190" s="1"/>
      <c r="X190" s="26"/>
      <c r="Y190" s="26"/>
      <c r="Z190" s="26"/>
      <c r="AA190" s="26"/>
      <c r="AB190" s="36"/>
      <c r="AC190" s="28"/>
    </row>
    <row r="191" spans="1:29" s="38" customFormat="1" ht="42" customHeight="1" x14ac:dyDescent="0.25">
      <c r="A191" s="142"/>
      <c r="B191" s="175"/>
      <c r="C191" s="1"/>
      <c r="D191" s="5"/>
      <c r="E191" s="5"/>
      <c r="F191" s="5"/>
      <c r="G191" s="5"/>
      <c r="H191" s="1"/>
      <c r="I191" s="5"/>
      <c r="J191" s="5"/>
      <c r="K191" s="5"/>
      <c r="L191" s="5"/>
      <c r="M191" s="1"/>
      <c r="N191" s="5"/>
      <c r="O191" s="5"/>
      <c r="P191" s="5"/>
      <c r="Q191" s="5"/>
      <c r="R191" s="1"/>
      <c r="S191" s="5"/>
      <c r="T191" s="5"/>
      <c r="U191" s="5"/>
      <c r="V191" s="5"/>
      <c r="W191" s="1"/>
      <c r="X191" s="26"/>
      <c r="Y191" s="26"/>
      <c r="Z191" s="26"/>
      <c r="AA191" s="26"/>
      <c r="AB191" s="36"/>
      <c r="AC191" s="28"/>
    </row>
    <row r="192" spans="1:29" s="38" customFormat="1" ht="42" customHeight="1" x14ac:dyDescent="0.25">
      <c r="A192" s="142"/>
      <c r="B192" s="175"/>
      <c r="C192" s="1"/>
      <c r="D192" s="5"/>
      <c r="E192" s="5"/>
      <c r="F192" s="5"/>
      <c r="G192" s="5"/>
      <c r="H192" s="1"/>
      <c r="I192" s="5"/>
      <c r="J192" s="5"/>
      <c r="K192" s="5"/>
      <c r="L192" s="5"/>
      <c r="M192" s="1"/>
      <c r="N192" s="5"/>
      <c r="O192" s="5"/>
      <c r="P192" s="5"/>
      <c r="Q192" s="5"/>
      <c r="R192" s="1"/>
      <c r="S192" s="5"/>
      <c r="T192" s="5"/>
      <c r="U192" s="5"/>
      <c r="V192" s="5"/>
      <c r="W192" s="1"/>
      <c r="X192" s="26"/>
      <c r="Y192" s="26"/>
      <c r="Z192" s="26"/>
      <c r="AA192" s="26"/>
      <c r="AB192" s="36"/>
      <c r="AC192" s="28"/>
    </row>
    <row r="193" spans="1:29" s="38" customFormat="1" ht="42" customHeight="1" x14ac:dyDescent="0.25">
      <c r="A193" s="142"/>
      <c r="B193" s="175"/>
      <c r="C193" s="1"/>
      <c r="D193" s="5"/>
      <c r="E193" s="5"/>
      <c r="F193" s="5"/>
      <c r="G193" s="5"/>
      <c r="H193" s="1"/>
      <c r="I193" s="5"/>
      <c r="J193" s="5"/>
      <c r="K193" s="5"/>
      <c r="L193" s="5"/>
      <c r="M193" s="1"/>
      <c r="N193" s="5"/>
      <c r="O193" s="5"/>
      <c r="P193" s="5"/>
      <c r="Q193" s="5"/>
      <c r="R193" s="1"/>
      <c r="S193" s="5"/>
      <c r="T193" s="5"/>
      <c r="U193" s="5"/>
      <c r="V193" s="5"/>
      <c r="W193" s="1"/>
      <c r="X193" s="26"/>
      <c r="Y193" s="26"/>
      <c r="Z193" s="26"/>
      <c r="AA193" s="26"/>
      <c r="AB193" s="36"/>
      <c r="AC193" s="28"/>
    </row>
    <row r="194" spans="1:29" s="38" customFormat="1" ht="42" customHeight="1" x14ac:dyDescent="0.25">
      <c r="A194" s="142"/>
      <c r="B194" s="175"/>
      <c r="C194" s="1"/>
      <c r="D194" s="5"/>
      <c r="E194" s="5"/>
      <c r="F194" s="5"/>
      <c r="G194" s="5"/>
      <c r="H194" s="1"/>
      <c r="I194" s="5"/>
      <c r="J194" s="5"/>
      <c r="K194" s="5"/>
      <c r="L194" s="5"/>
      <c r="M194" s="1"/>
      <c r="N194" s="5"/>
      <c r="O194" s="5"/>
      <c r="P194" s="5"/>
      <c r="Q194" s="5"/>
      <c r="R194" s="1"/>
      <c r="S194" s="5"/>
      <c r="T194" s="5"/>
      <c r="U194" s="5"/>
      <c r="V194" s="5"/>
      <c r="W194" s="1"/>
      <c r="X194" s="26"/>
      <c r="Y194" s="26"/>
      <c r="Z194" s="26"/>
      <c r="AA194" s="26"/>
      <c r="AB194" s="36"/>
      <c r="AC194" s="28"/>
    </row>
    <row r="195" spans="1:29" s="38" customFormat="1" ht="42" customHeight="1" x14ac:dyDescent="0.25">
      <c r="A195" s="142"/>
      <c r="B195" s="175"/>
      <c r="C195" s="1"/>
      <c r="D195" s="5"/>
      <c r="E195" s="5"/>
      <c r="F195" s="5"/>
      <c r="G195" s="5"/>
      <c r="H195" s="1"/>
      <c r="I195" s="5"/>
      <c r="J195" s="5"/>
      <c r="K195" s="5"/>
      <c r="L195" s="5"/>
      <c r="M195" s="1"/>
      <c r="N195" s="5"/>
      <c r="O195" s="5"/>
      <c r="P195" s="5"/>
      <c r="Q195" s="5"/>
      <c r="R195" s="1"/>
      <c r="S195" s="5"/>
      <c r="T195" s="5"/>
      <c r="U195" s="5"/>
      <c r="V195" s="5"/>
      <c r="W195" s="1"/>
      <c r="X195" s="26"/>
      <c r="Y195" s="26"/>
      <c r="Z195" s="26"/>
      <c r="AA195" s="26"/>
      <c r="AB195" s="36"/>
      <c r="AC195" s="28"/>
    </row>
    <row r="196" spans="1:29" s="38" customFormat="1" ht="42" customHeight="1" x14ac:dyDescent="0.25">
      <c r="A196" s="142"/>
      <c r="B196" s="175"/>
      <c r="C196" s="1"/>
      <c r="D196" s="5"/>
      <c r="E196" s="5"/>
      <c r="F196" s="5"/>
      <c r="G196" s="5"/>
      <c r="H196" s="1"/>
      <c r="I196" s="5"/>
      <c r="J196" s="5"/>
      <c r="K196" s="5"/>
      <c r="L196" s="5"/>
      <c r="M196" s="1"/>
      <c r="N196" s="5"/>
      <c r="O196" s="5"/>
      <c r="P196" s="5"/>
      <c r="Q196" s="5"/>
      <c r="R196" s="1"/>
      <c r="S196" s="5"/>
      <c r="T196" s="5"/>
      <c r="U196" s="5"/>
      <c r="V196" s="5"/>
      <c r="W196" s="1"/>
      <c r="X196" s="26"/>
      <c r="Y196" s="26"/>
      <c r="Z196" s="26"/>
      <c r="AA196" s="26"/>
      <c r="AB196" s="36"/>
      <c r="AC196" s="28"/>
    </row>
    <row r="197" spans="1:29" s="38" customFormat="1" ht="42" customHeight="1" x14ac:dyDescent="0.25">
      <c r="A197" s="142"/>
      <c r="B197" s="175"/>
      <c r="C197" s="1"/>
      <c r="D197" s="5"/>
      <c r="E197" s="5"/>
      <c r="F197" s="5"/>
      <c r="G197" s="5"/>
      <c r="H197" s="1"/>
      <c r="I197" s="5"/>
      <c r="J197" s="5"/>
      <c r="K197" s="5"/>
      <c r="L197" s="5"/>
      <c r="M197" s="1"/>
      <c r="N197" s="5"/>
      <c r="O197" s="5"/>
      <c r="P197" s="5"/>
      <c r="Q197" s="5"/>
      <c r="R197" s="1"/>
      <c r="S197" s="5"/>
      <c r="T197" s="5"/>
      <c r="U197" s="5"/>
      <c r="V197" s="5"/>
      <c r="W197" s="1"/>
      <c r="X197" s="26"/>
      <c r="Y197" s="26"/>
      <c r="Z197" s="26"/>
      <c r="AA197" s="26"/>
      <c r="AB197" s="36"/>
      <c r="AC197" s="28"/>
    </row>
    <row r="198" spans="1:29" s="38" customFormat="1" ht="42" customHeight="1" x14ac:dyDescent="0.25">
      <c r="A198" s="142"/>
      <c r="B198" s="175"/>
      <c r="C198" s="1"/>
      <c r="D198" s="5"/>
      <c r="E198" s="5"/>
      <c r="F198" s="5"/>
      <c r="G198" s="5"/>
      <c r="H198" s="1"/>
      <c r="I198" s="5"/>
      <c r="J198" s="5"/>
      <c r="K198" s="5"/>
      <c r="L198" s="5"/>
      <c r="M198" s="1"/>
      <c r="N198" s="5"/>
      <c r="O198" s="5"/>
      <c r="P198" s="5"/>
      <c r="Q198" s="5"/>
      <c r="R198" s="1"/>
      <c r="S198" s="5"/>
      <c r="T198" s="5"/>
      <c r="U198" s="5"/>
      <c r="V198" s="5"/>
      <c r="W198" s="1"/>
      <c r="X198" s="26"/>
      <c r="Y198" s="26"/>
      <c r="Z198" s="26"/>
      <c r="AA198" s="26"/>
      <c r="AB198" s="36"/>
      <c r="AC198" s="28"/>
    </row>
    <row r="199" spans="1:29" s="38" customFormat="1" ht="42" customHeight="1" x14ac:dyDescent="0.25">
      <c r="A199" s="142"/>
      <c r="B199" s="175"/>
      <c r="C199" s="1"/>
      <c r="D199" s="5"/>
      <c r="E199" s="5"/>
      <c r="F199" s="5"/>
      <c r="G199" s="5"/>
      <c r="H199" s="1"/>
      <c r="I199" s="5"/>
      <c r="J199" s="5"/>
      <c r="K199" s="5"/>
      <c r="L199" s="5"/>
      <c r="M199" s="1"/>
      <c r="N199" s="5"/>
      <c r="O199" s="5"/>
      <c r="P199" s="5"/>
      <c r="Q199" s="5"/>
      <c r="R199" s="1"/>
      <c r="S199" s="5"/>
      <c r="T199" s="5"/>
      <c r="U199" s="5"/>
      <c r="V199" s="5"/>
      <c r="W199" s="1"/>
      <c r="X199" s="26"/>
      <c r="Y199" s="26"/>
      <c r="Z199" s="26"/>
      <c r="AA199" s="26"/>
      <c r="AB199" s="36"/>
      <c r="AC199" s="28"/>
    </row>
    <row r="200" spans="1:29" s="38" customFormat="1" ht="42" customHeight="1" x14ac:dyDescent="0.25">
      <c r="A200" s="142"/>
      <c r="B200" s="175"/>
      <c r="C200" s="1"/>
      <c r="D200" s="5"/>
      <c r="E200" s="5"/>
      <c r="F200" s="5"/>
      <c r="G200" s="5"/>
      <c r="H200" s="1"/>
      <c r="I200" s="5"/>
      <c r="J200" s="5"/>
      <c r="K200" s="5"/>
      <c r="L200" s="5"/>
      <c r="M200" s="1"/>
      <c r="N200" s="5"/>
      <c r="O200" s="5"/>
      <c r="P200" s="5"/>
      <c r="Q200" s="5"/>
      <c r="R200" s="1"/>
      <c r="S200" s="5"/>
      <c r="T200" s="5"/>
      <c r="U200" s="5"/>
      <c r="V200" s="5"/>
      <c r="W200" s="1"/>
      <c r="X200" s="26"/>
      <c r="Y200" s="26"/>
      <c r="Z200" s="26"/>
      <c r="AA200" s="26"/>
      <c r="AB200" s="36"/>
      <c r="AC200" s="28"/>
    </row>
    <row r="201" spans="1:29" s="38" customFormat="1" ht="42" customHeight="1" x14ac:dyDescent="0.25">
      <c r="A201" s="142"/>
      <c r="B201" s="175"/>
      <c r="C201" s="1"/>
      <c r="D201" s="5"/>
      <c r="E201" s="5"/>
      <c r="F201" s="5"/>
      <c r="G201" s="5"/>
      <c r="H201" s="1"/>
      <c r="I201" s="5"/>
      <c r="J201" s="5"/>
      <c r="K201" s="5"/>
      <c r="L201" s="5"/>
      <c r="M201" s="1"/>
      <c r="N201" s="5"/>
      <c r="O201" s="5"/>
      <c r="P201" s="5"/>
      <c r="Q201" s="5"/>
      <c r="R201" s="1"/>
      <c r="S201" s="5"/>
      <c r="T201" s="5"/>
      <c r="U201" s="5"/>
      <c r="V201" s="5"/>
      <c r="W201" s="1"/>
      <c r="X201" s="26"/>
      <c r="Y201" s="26"/>
      <c r="Z201" s="26"/>
      <c r="AA201" s="26"/>
      <c r="AB201" s="36"/>
      <c r="AC201" s="28"/>
    </row>
    <row r="202" spans="1:29" s="38" customFormat="1" ht="42" customHeight="1" x14ac:dyDescent="0.25">
      <c r="A202" s="142"/>
      <c r="B202" s="175"/>
      <c r="C202" s="1"/>
      <c r="D202" s="5"/>
      <c r="E202" s="5"/>
      <c r="F202" s="5"/>
      <c r="G202" s="5"/>
      <c r="H202" s="1"/>
      <c r="I202" s="5"/>
      <c r="J202" s="5"/>
      <c r="K202" s="5"/>
      <c r="L202" s="5"/>
      <c r="M202" s="1"/>
      <c r="N202" s="5"/>
      <c r="O202" s="5"/>
      <c r="P202" s="5"/>
      <c r="Q202" s="5"/>
      <c r="R202" s="1"/>
      <c r="S202" s="5"/>
      <c r="T202" s="5"/>
      <c r="U202" s="5"/>
      <c r="V202" s="5"/>
      <c r="W202" s="1"/>
      <c r="X202" s="26"/>
      <c r="Y202" s="26"/>
      <c r="Z202" s="26"/>
      <c r="AA202" s="26"/>
      <c r="AB202" s="36"/>
      <c r="AC202" s="28"/>
    </row>
    <row r="203" spans="1:29" s="38" customFormat="1" ht="42" customHeight="1" x14ac:dyDescent="0.25">
      <c r="A203" s="142"/>
      <c r="B203" s="175"/>
      <c r="C203" s="1"/>
      <c r="D203" s="5"/>
      <c r="E203" s="5"/>
      <c r="F203" s="5"/>
      <c r="G203" s="5"/>
      <c r="H203" s="1"/>
      <c r="I203" s="5"/>
      <c r="J203" s="5"/>
      <c r="K203" s="5"/>
      <c r="L203" s="5"/>
      <c r="M203" s="1"/>
      <c r="N203" s="5"/>
      <c r="O203" s="5"/>
      <c r="P203" s="5"/>
      <c r="Q203" s="5"/>
      <c r="R203" s="1"/>
      <c r="S203" s="5"/>
      <c r="T203" s="5"/>
      <c r="U203" s="5"/>
      <c r="V203" s="5"/>
      <c r="W203" s="1"/>
      <c r="X203" s="26"/>
      <c r="Y203" s="26"/>
      <c r="Z203" s="26"/>
      <c r="AA203" s="26"/>
      <c r="AB203" s="36"/>
      <c r="AC203" s="28"/>
    </row>
    <row r="204" spans="1:29" s="38" customFormat="1" ht="42" customHeight="1" x14ac:dyDescent="0.25">
      <c r="A204" s="142"/>
      <c r="B204" s="175"/>
      <c r="C204" s="1"/>
      <c r="D204" s="5"/>
      <c r="E204" s="5"/>
      <c r="F204" s="5"/>
      <c r="G204" s="5"/>
      <c r="H204" s="1"/>
      <c r="I204" s="5"/>
      <c r="J204" s="5"/>
      <c r="K204" s="5"/>
      <c r="L204" s="5"/>
      <c r="M204" s="1"/>
      <c r="N204" s="5"/>
      <c r="O204" s="5"/>
      <c r="P204" s="5"/>
      <c r="Q204" s="5"/>
      <c r="R204" s="1"/>
      <c r="S204" s="5"/>
      <c r="T204" s="5"/>
      <c r="U204" s="5"/>
      <c r="V204" s="5"/>
      <c r="W204" s="1"/>
      <c r="X204" s="26"/>
      <c r="Y204" s="26"/>
      <c r="Z204" s="26"/>
      <c r="AA204" s="26"/>
      <c r="AB204" s="36"/>
      <c r="AC204" s="28"/>
    </row>
    <row r="205" spans="1:29" s="38" customFormat="1" ht="42" customHeight="1" x14ac:dyDescent="0.25">
      <c r="A205" s="142"/>
      <c r="B205" s="175"/>
      <c r="C205" s="1"/>
      <c r="D205" s="5"/>
      <c r="E205" s="5"/>
      <c r="F205" s="5"/>
      <c r="G205" s="5"/>
      <c r="H205" s="1"/>
      <c r="I205" s="5"/>
      <c r="J205" s="5"/>
      <c r="K205" s="5"/>
      <c r="L205" s="5"/>
      <c r="M205" s="1"/>
      <c r="N205" s="5"/>
      <c r="O205" s="5"/>
      <c r="P205" s="5"/>
      <c r="Q205" s="5"/>
      <c r="R205" s="1"/>
      <c r="S205" s="5"/>
      <c r="T205" s="5"/>
      <c r="U205" s="5"/>
      <c r="V205" s="5"/>
      <c r="W205" s="1"/>
      <c r="X205" s="26"/>
      <c r="Y205" s="26"/>
      <c r="Z205" s="26"/>
      <c r="AA205" s="26"/>
      <c r="AB205" s="36"/>
      <c r="AC205" s="28"/>
    </row>
    <row r="206" spans="1:29" s="38" customFormat="1" ht="42" customHeight="1" x14ac:dyDescent="0.25">
      <c r="A206" s="142"/>
      <c r="B206" s="175"/>
      <c r="C206" s="1"/>
      <c r="D206" s="5"/>
      <c r="E206" s="5"/>
      <c r="F206" s="5"/>
      <c r="G206" s="5"/>
      <c r="H206" s="1"/>
      <c r="I206" s="5"/>
      <c r="J206" s="5"/>
      <c r="K206" s="5"/>
      <c r="L206" s="5"/>
      <c r="M206" s="1"/>
      <c r="N206" s="5"/>
      <c r="O206" s="5"/>
      <c r="P206" s="5"/>
      <c r="Q206" s="5"/>
      <c r="R206" s="1"/>
      <c r="S206" s="5"/>
      <c r="T206" s="5"/>
      <c r="U206" s="5"/>
      <c r="V206" s="5"/>
      <c r="W206" s="1"/>
      <c r="X206" s="26"/>
      <c r="Y206" s="26"/>
      <c r="Z206" s="26"/>
      <c r="AA206" s="26"/>
      <c r="AB206" s="36"/>
      <c r="AC206" s="28"/>
    </row>
    <row r="207" spans="1:29" s="38" customFormat="1" ht="42" customHeight="1" x14ac:dyDescent="0.25">
      <c r="A207" s="142"/>
      <c r="B207" s="175"/>
      <c r="C207" s="1"/>
      <c r="D207" s="5"/>
      <c r="E207" s="5"/>
      <c r="F207" s="5"/>
      <c r="G207" s="5"/>
      <c r="H207" s="1"/>
      <c r="I207" s="5"/>
      <c r="J207" s="5"/>
      <c r="K207" s="5"/>
      <c r="L207" s="5"/>
      <c r="M207" s="1"/>
      <c r="N207" s="5"/>
      <c r="O207" s="5"/>
      <c r="P207" s="5"/>
      <c r="Q207" s="5"/>
      <c r="R207" s="1"/>
      <c r="S207" s="5"/>
      <c r="T207" s="5"/>
      <c r="U207" s="5"/>
      <c r="V207" s="5"/>
      <c r="W207" s="1"/>
      <c r="X207" s="26"/>
      <c r="Y207" s="26"/>
      <c r="Z207" s="26"/>
      <c r="AA207" s="26"/>
      <c r="AB207" s="36"/>
      <c r="AC207" s="28"/>
    </row>
    <row r="208" spans="1:29" s="38" customFormat="1" ht="42" customHeight="1" x14ac:dyDescent="0.25">
      <c r="A208" s="142"/>
      <c r="B208" s="175"/>
      <c r="C208" s="1"/>
      <c r="D208" s="5"/>
      <c r="E208" s="5"/>
      <c r="F208" s="5"/>
      <c r="G208" s="5"/>
      <c r="H208" s="1"/>
      <c r="I208" s="5"/>
      <c r="J208" s="5"/>
      <c r="K208" s="5"/>
      <c r="L208" s="5"/>
      <c r="M208" s="1"/>
      <c r="N208" s="5"/>
      <c r="O208" s="5"/>
      <c r="P208" s="5"/>
      <c r="Q208" s="5"/>
      <c r="R208" s="1"/>
      <c r="S208" s="5"/>
      <c r="T208" s="5"/>
      <c r="U208" s="5"/>
      <c r="V208" s="5"/>
      <c r="W208" s="1"/>
      <c r="X208" s="26"/>
      <c r="Y208" s="26"/>
      <c r="Z208" s="26"/>
      <c r="AA208" s="26"/>
      <c r="AB208" s="36"/>
      <c r="AC208" s="28"/>
    </row>
    <row r="209" spans="1:29" s="38" customFormat="1" ht="42" customHeight="1" x14ac:dyDescent="0.25">
      <c r="A209" s="26"/>
      <c r="B209" s="177"/>
      <c r="C209" s="1"/>
      <c r="D209" s="5"/>
      <c r="E209" s="5"/>
      <c r="F209" s="5"/>
      <c r="G209" s="5"/>
      <c r="H209" s="1"/>
      <c r="I209" s="5"/>
      <c r="J209" s="5"/>
      <c r="K209" s="5"/>
      <c r="L209" s="5"/>
      <c r="M209" s="1"/>
      <c r="N209" s="5"/>
      <c r="O209" s="5"/>
      <c r="P209" s="5"/>
      <c r="Q209" s="5"/>
      <c r="R209" s="1"/>
      <c r="S209" s="5"/>
      <c r="T209" s="5"/>
      <c r="U209" s="5"/>
      <c r="V209" s="5"/>
      <c r="W209" s="1"/>
      <c r="X209" s="26"/>
      <c r="Y209" s="26"/>
      <c r="Z209" s="26"/>
      <c r="AA209" s="26"/>
      <c r="AB209" s="36"/>
      <c r="AC209" s="28"/>
    </row>
    <row r="210" spans="1:29" s="38" customFormat="1" ht="42" customHeight="1" x14ac:dyDescent="0.25">
      <c r="A210" s="26"/>
      <c r="B210" s="177"/>
      <c r="C210" s="1"/>
      <c r="D210" s="5"/>
      <c r="E210" s="5"/>
      <c r="F210" s="5"/>
      <c r="G210" s="5"/>
      <c r="H210" s="1"/>
      <c r="I210" s="5"/>
      <c r="J210" s="5"/>
      <c r="K210" s="5"/>
      <c r="L210" s="5"/>
      <c r="M210" s="1"/>
      <c r="N210" s="5"/>
      <c r="O210" s="5"/>
      <c r="P210" s="5"/>
      <c r="Q210" s="5"/>
      <c r="R210" s="1"/>
      <c r="S210" s="5"/>
      <c r="T210" s="5"/>
      <c r="U210" s="5"/>
      <c r="V210" s="5"/>
      <c r="W210" s="1"/>
      <c r="X210" s="26"/>
      <c r="Y210" s="26"/>
      <c r="Z210" s="26"/>
      <c r="AA210" s="26"/>
      <c r="AB210" s="36"/>
      <c r="AC210" s="28"/>
    </row>
    <row r="211" spans="1:29" s="38" customFormat="1" ht="42" customHeight="1" x14ac:dyDescent="0.25">
      <c r="A211" s="26"/>
      <c r="B211" s="177"/>
      <c r="C211" s="1"/>
      <c r="D211" s="5"/>
      <c r="E211" s="5"/>
      <c r="F211" s="5"/>
      <c r="G211" s="5"/>
      <c r="H211" s="1"/>
      <c r="I211" s="5"/>
      <c r="J211" s="5"/>
      <c r="K211" s="5"/>
      <c r="L211" s="5"/>
      <c r="M211" s="1"/>
      <c r="N211" s="5"/>
      <c r="O211" s="5"/>
      <c r="P211" s="5"/>
      <c r="Q211" s="5"/>
      <c r="R211" s="1"/>
      <c r="S211" s="5"/>
      <c r="T211" s="5"/>
      <c r="U211" s="5"/>
      <c r="V211" s="5"/>
      <c r="W211" s="1"/>
      <c r="X211" s="26"/>
      <c r="Y211" s="26"/>
      <c r="Z211" s="26"/>
      <c r="AA211" s="26"/>
      <c r="AB211" s="36"/>
      <c r="AC211" s="28"/>
    </row>
    <row r="212" spans="1:29" s="38" customFormat="1" ht="42" customHeight="1" x14ac:dyDescent="0.25">
      <c r="A212" s="26"/>
      <c r="B212" s="177"/>
      <c r="C212" s="1"/>
      <c r="D212" s="5"/>
      <c r="E212" s="5"/>
      <c r="F212" s="5"/>
      <c r="G212" s="5"/>
      <c r="H212" s="1"/>
      <c r="I212" s="5"/>
      <c r="J212" s="5"/>
      <c r="K212" s="5"/>
      <c r="L212" s="5"/>
      <c r="M212" s="1"/>
      <c r="N212" s="5"/>
      <c r="O212" s="5"/>
      <c r="P212" s="5"/>
      <c r="Q212" s="5"/>
      <c r="R212" s="1"/>
      <c r="S212" s="5"/>
      <c r="T212" s="5"/>
      <c r="U212" s="5"/>
      <c r="V212" s="5"/>
      <c r="W212" s="1"/>
      <c r="X212" s="26"/>
      <c r="Y212" s="26"/>
      <c r="Z212" s="26"/>
      <c r="AA212" s="26"/>
      <c r="AB212" s="36"/>
      <c r="AC212" s="28"/>
    </row>
    <row r="213" spans="1:29" s="38" customFormat="1" ht="42" customHeight="1" x14ac:dyDescent="0.25">
      <c r="A213" s="26"/>
      <c r="B213" s="177"/>
      <c r="C213" s="1"/>
      <c r="D213" s="5"/>
      <c r="E213" s="5"/>
      <c r="F213" s="5"/>
      <c r="G213" s="5"/>
      <c r="H213" s="1"/>
      <c r="I213" s="5"/>
      <c r="J213" s="5"/>
      <c r="K213" s="5"/>
      <c r="L213" s="5"/>
      <c r="M213" s="1"/>
      <c r="N213" s="5"/>
      <c r="O213" s="5"/>
      <c r="P213" s="5"/>
      <c r="Q213" s="5"/>
      <c r="R213" s="1"/>
      <c r="S213" s="5"/>
      <c r="T213" s="5"/>
      <c r="U213" s="5"/>
      <c r="V213" s="5"/>
      <c r="W213" s="1"/>
      <c r="X213" s="26"/>
      <c r="Y213" s="26"/>
      <c r="Z213" s="26"/>
      <c r="AA213" s="26"/>
      <c r="AB213" s="36"/>
      <c r="AC213" s="28"/>
    </row>
    <row r="214" spans="1:29" s="38" customFormat="1" ht="42" customHeight="1" x14ac:dyDescent="0.25">
      <c r="A214" s="26"/>
      <c r="B214" s="177"/>
      <c r="C214" s="1"/>
      <c r="D214" s="5"/>
      <c r="E214" s="5"/>
      <c r="F214" s="5"/>
      <c r="G214" s="5"/>
      <c r="H214" s="1"/>
      <c r="I214" s="5"/>
      <c r="J214" s="5"/>
      <c r="K214" s="5"/>
      <c r="L214" s="5"/>
      <c r="M214" s="1"/>
      <c r="N214" s="5"/>
      <c r="O214" s="5"/>
      <c r="P214" s="5"/>
      <c r="Q214" s="5"/>
      <c r="R214" s="1"/>
      <c r="S214" s="5"/>
      <c r="T214" s="5"/>
      <c r="U214" s="5"/>
      <c r="V214" s="5"/>
      <c r="W214" s="1"/>
      <c r="X214" s="26"/>
      <c r="Y214" s="26"/>
      <c r="Z214" s="26"/>
      <c r="AA214" s="26"/>
      <c r="AB214" s="36"/>
      <c r="AC214" s="28"/>
    </row>
    <row r="215" spans="1:29" s="38" customFormat="1" ht="42" customHeight="1" x14ac:dyDescent="0.25">
      <c r="A215" s="26"/>
      <c r="B215" s="177"/>
      <c r="C215" s="1"/>
      <c r="D215" s="5"/>
      <c r="E215" s="5"/>
      <c r="F215" s="5"/>
      <c r="G215" s="5"/>
      <c r="H215" s="1"/>
      <c r="I215" s="5"/>
      <c r="J215" s="5"/>
      <c r="K215" s="5"/>
      <c r="L215" s="5"/>
      <c r="M215" s="1"/>
      <c r="N215" s="5"/>
      <c r="O215" s="5"/>
      <c r="P215" s="5"/>
      <c r="Q215" s="5"/>
      <c r="R215" s="1"/>
      <c r="S215" s="5"/>
      <c r="T215" s="5"/>
      <c r="U215" s="5"/>
      <c r="V215" s="5"/>
      <c r="W215" s="1"/>
      <c r="X215" s="26"/>
      <c r="Y215" s="26"/>
      <c r="Z215" s="26"/>
      <c r="AA215" s="26"/>
      <c r="AB215" s="36"/>
      <c r="AC215" s="28"/>
    </row>
    <row r="216" spans="1:29" s="38" customFormat="1" ht="42" customHeight="1" x14ac:dyDescent="0.25">
      <c r="A216" s="26"/>
      <c r="B216" s="177"/>
      <c r="C216" s="1"/>
      <c r="D216" s="5"/>
      <c r="E216" s="5"/>
      <c r="F216" s="5"/>
      <c r="G216" s="5"/>
      <c r="H216" s="1"/>
      <c r="I216" s="5"/>
      <c r="J216" s="5"/>
      <c r="K216" s="5"/>
      <c r="L216" s="5"/>
      <c r="M216" s="1"/>
      <c r="N216" s="5"/>
      <c r="O216" s="5"/>
      <c r="P216" s="5"/>
      <c r="Q216" s="5"/>
      <c r="R216" s="1"/>
      <c r="S216" s="5"/>
      <c r="T216" s="5"/>
      <c r="U216" s="5"/>
      <c r="V216" s="5"/>
      <c r="W216" s="1"/>
      <c r="X216" s="26"/>
      <c r="Y216" s="26"/>
      <c r="Z216" s="26"/>
      <c r="AA216" s="26"/>
      <c r="AB216" s="36"/>
      <c r="AC216" s="28"/>
    </row>
    <row r="217" spans="1:29" s="38" customFormat="1" ht="42" customHeight="1" x14ac:dyDescent="0.25">
      <c r="A217" s="26"/>
      <c r="B217" s="177"/>
      <c r="C217" s="1"/>
      <c r="D217" s="5"/>
      <c r="E217" s="5"/>
      <c r="F217" s="5"/>
      <c r="G217" s="5"/>
      <c r="H217" s="1"/>
      <c r="I217" s="5"/>
      <c r="J217" s="5"/>
      <c r="K217" s="5"/>
      <c r="L217" s="5"/>
      <c r="M217" s="1"/>
      <c r="N217" s="5"/>
      <c r="O217" s="5"/>
      <c r="P217" s="5"/>
      <c r="Q217" s="5"/>
      <c r="R217" s="1"/>
      <c r="S217" s="5"/>
      <c r="T217" s="5"/>
      <c r="U217" s="5"/>
      <c r="V217" s="5"/>
      <c r="W217" s="1"/>
      <c r="X217" s="26"/>
      <c r="Y217" s="26"/>
      <c r="Z217" s="26"/>
      <c r="AA217" s="26"/>
      <c r="AB217" s="36"/>
      <c r="AC217" s="28"/>
    </row>
    <row r="218" spans="1:29" s="38" customFormat="1" ht="42" customHeight="1" x14ac:dyDescent="0.25">
      <c r="A218" s="26"/>
      <c r="B218" s="177"/>
      <c r="C218" s="1"/>
      <c r="D218" s="5"/>
      <c r="E218" s="5"/>
      <c r="F218" s="5"/>
      <c r="G218" s="5"/>
      <c r="H218" s="1"/>
      <c r="I218" s="5"/>
      <c r="J218" s="5"/>
      <c r="K218" s="5"/>
      <c r="L218" s="5"/>
      <c r="M218" s="1"/>
      <c r="N218" s="5"/>
      <c r="O218" s="5"/>
      <c r="P218" s="5"/>
      <c r="Q218" s="5"/>
      <c r="R218" s="1"/>
      <c r="S218" s="5"/>
      <c r="T218" s="5"/>
      <c r="U218" s="5"/>
      <c r="V218" s="5"/>
      <c r="W218" s="1"/>
      <c r="X218" s="26"/>
      <c r="Y218" s="26"/>
      <c r="Z218" s="26"/>
      <c r="AA218" s="26"/>
      <c r="AB218" s="36"/>
      <c r="AC218" s="28"/>
    </row>
    <row r="219" spans="1:29" s="38" customFormat="1" ht="42" customHeight="1" x14ac:dyDescent="0.25">
      <c r="A219" s="26"/>
      <c r="B219" s="177"/>
      <c r="C219" s="1"/>
      <c r="D219" s="5"/>
      <c r="E219" s="5"/>
      <c r="F219" s="5"/>
      <c r="G219" s="5"/>
      <c r="H219" s="1"/>
      <c r="I219" s="5"/>
      <c r="J219" s="5"/>
      <c r="K219" s="5"/>
      <c r="L219" s="5"/>
      <c r="M219" s="1"/>
      <c r="N219" s="5"/>
      <c r="O219" s="5"/>
      <c r="P219" s="5"/>
      <c r="Q219" s="5"/>
      <c r="R219" s="1"/>
      <c r="S219" s="5"/>
      <c r="T219" s="5"/>
      <c r="U219" s="5"/>
      <c r="V219" s="5"/>
      <c r="W219" s="1"/>
      <c r="X219" s="26"/>
      <c r="Y219" s="26"/>
      <c r="Z219" s="26"/>
      <c r="AA219" s="26"/>
      <c r="AB219" s="36"/>
      <c r="AC219" s="28"/>
    </row>
    <row r="220" spans="1:29" s="38" customFormat="1" ht="42" customHeight="1" x14ac:dyDescent="0.25">
      <c r="A220" s="26"/>
      <c r="B220" s="177"/>
      <c r="C220" s="1"/>
      <c r="D220" s="5"/>
      <c r="E220" s="5"/>
      <c r="F220" s="5"/>
      <c r="G220" s="5"/>
      <c r="H220" s="1"/>
      <c r="I220" s="5"/>
      <c r="J220" s="5"/>
      <c r="K220" s="5"/>
      <c r="L220" s="5"/>
      <c r="M220" s="1"/>
      <c r="N220" s="5"/>
      <c r="O220" s="5"/>
      <c r="P220" s="5"/>
      <c r="Q220" s="5"/>
      <c r="R220" s="1"/>
      <c r="S220" s="5"/>
      <c r="T220" s="5"/>
      <c r="U220" s="5"/>
      <c r="V220" s="5"/>
      <c r="W220" s="1"/>
      <c r="X220" s="26"/>
      <c r="Y220" s="26"/>
      <c r="Z220" s="26"/>
      <c r="AA220" s="26"/>
      <c r="AB220" s="36"/>
      <c r="AC220" s="28"/>
    </row>
    <row r="221" spans="1:29" s="38" customFormat="1" ht="42" customHeight="1" x14ac:dyDescent="0.25">
      <c r="A221" s="26"/>
      <c r="B221" s="177"/>
      <c r="C221" s="1"/>
      <c r="D221" s="5"/>
      <c r="E221" s="5"/>
      <c r="F221" s="5"/>
      <c r="G221" s="5"/>
      <c r="H221" s="1"/>
      <c r="I221" s="5"/>
      <c r="J221" s="5"/>
      <c r="K221" s="5"/>
      <c r="L221" s="5"/>
      <c r="M221" s="1"/>
      <c r="N221" s="5"/>
      <c r="O221" s="5"/>
      <c r="P221" s="5"/>
      <c r="Q221" s="5"/>
      <c r="R221" s="1"/>
      <c r="S221" s="5"/>
      <c r="T221" s="5"/>
      <c r="U221" s="5"/>
      <c r="V221" s="5"/>
      <c r="W221" s="1"/>
      <c r="X221" s="26"/>
      <c r="Y221" s="26"/>
      <c r="Z221" s="26"/>
      <c r="AA221" s="26"/>
      <c r="AB221" s="36"/>
      <c r="AC221" s="28"/>
    </row>
    <row r="222" spans="1:29" s="38" customFormat="1" ht="42" customHeight="1" x14ac:dyDescent="0.25">
      <c r="A222" s="26"/>
      <c r="B222" s="177"/>
      <c r="C222" s="1"/>
      <c r="D222" s="5"/>
      <c r="E222" s="5"/>
      <c r="F222" s="5"/>
      <c r="G222" s="5"/>
      <c r="H222" s="1"/>
      <c r="I222" s="5"/>
      <c r="J222" s="5"/>
      <c r="K222" s="5"/>
      <c r="L222" s="5"/>
      <c r="M222" s="1"/>
      <c r="N222" s="5"/>
      <c r="O222" s="5"/>
      <c r="P222" s="5"/>
      <c r="Q222" s="5"/>
      <c r="R222" s="1"/>
      <c r="S222" s="5"/>
      <c r="T222" s="5"/>
      <c r="U222" s="5"/>
      <c r="V222" s="5"/>
      <c r="W222" s="1"/>
      <c r="X222" s="26"/>
      <c r="Y222" s="26"/>
      <c r="Z222" s="26"/>
      <c r="AA222" s="26"/>
      <c r="AB222" s="36"/>
      <c r="AC222" s="28"/>
    </row>
    <row r="223" spans="1:29" s="38" customFormat="1" ht="42" customHeight="1" x14ac:dyDescent="0.25">
      <c r="A223" s="26"/>
      <c r="B223" s="177"/>
      <c r="C223" s="1"/>
      <c r="D223" s="5"/>
      <c r="E223" s="5"/>
      <c r="F223" s="5"/>
      <c r="G223" s="5"/>
      <c r="H223" s="1"/>
      <c r="I223" s="5"/>
      <c r="J223" s="5"/>
      <c r="K223" s="5"/>
      <c r="L223" s="5"/>
      <c r="M223" s="1"/>
      <c r="N223" s="5"/>
      <c r="O223" s="5"/>
      <c r="P223" s="5"/>
      <c r="Q223" s="5"/>
      <c r="R223" s="1"/>
      <c r="S223" s="5"/>
      <c r="T223" s="5"/>
      <c r="U223" s="5"/>
      <c r="V223" s="5"/>
      <c r="W223" s="1"/>
      <c r="X223" s="26"/>
      <c r="Y223" s="26"/>
      <c r="Z223" s="26"/>
      <c r="AA223" s="26"/>
      <c r="AB223" s="36"/>
      <c r="AC223" s="28"/>
    </row>
    <row r="224" spans="1:29" s="38" customFormat="1" ht="42" customHeight="1" x14ac:dyDescent="0.25">
      <c r="A224" s="26"/>
      <c r="B224" s="177"/>
      <c r="C224" s="1"/>
      <c r="D224" s="5"/>
      <c r="E224" s="5"/>
      <c r="F224" s="5"/>
      <c r="G224" s="5"/>
      <c r="H224" s="1"/>
      <c r="I224" s="5"/>
      <c r="J224" s="5"/>
      <c r="K224" s="5"/>
      <c r="L224" s="5"/>
      <c r="M224" s="1"/>
      <c r="N224" s="5"/>
      <c r="O224" s="5"/>
      <c r="P224" s="5"/>
      <c r="Q224" s="5"/>
      <c r="R224" s="1"/>
      <c r="S224" s="5"/>
      <c r="T224" s="5"/>
      <c r="U224" s="5"/>
      <c r="V224" s="5"/>
      <c r="W224" s="1"/>
      <c r="X224" s="26"/>
      <c r="Y224" s="26"/>
      <c r="Z224" s="26"/>
      <c r="AA224" s="26"/>
      <c r="AB224" s="36"/>
      <c r="AC224" s="28"/>
    </row>
    <row r="225" spans="1:29" s="38" customFormat="1" ht="42" customHeight="1" x14ac:dyDescent="0.25">
      <c r="A225" s="26"/>
      <c r="B225" s="177"/>
      <c r="C225" s="1"/>
      <c r="D225" s="5"/>
      <c r="E225" s="5"/>
      <c r="F225" s="5"/>
      <c r="G225" s="5"/>
      <c r="H225" s="1"/>
      <c r="I225" s="5"/>
      <c r="J225" s="5"/>
      <c r="K225" s="5"/>
      <c r="L225" s="5"/>
      <c r="M225" s="1"/>
      <c r="N225" s="5"/>
      <c r="O225" s="5"/>
      <c r="P225" s="5"/>
      <c r="Q225" s="5"/>
      <c r="R225" s="1"/>
      <c r="S225" s="5"/>
      <c r="T225" s="5"/>
      <c r="U225" s="5"/>
      <c r="V225" s="5"/>
      <c r="W225" s="1"/>
      <c r="X225" s="26"/>
      <c r="Y225" s="26"/>
      <c r="Z225" s="26"/>
      <c r="AA225" s="26"/>
      <c r="AB225" s="36"/>
      <c r="AC225" s="28"/>
    </row>
    <row r="226" spans="1:29" s="38" customFormat="1" ht="42" customHeight="1" x14ac:dyDescent="0.25">
      <c r="A226" s="26"/>
      <c r="B226" s="177"/>
      <c r="C226" s="1"/>
      <c r="D226" s="5"/>
      <c r="E226" s="5"/>
      <c r="F226" s="5"/>
      <c r="G226" s="5"/>
      <c r="H226" s="1"/>
      <c r="I226" s="5"/>
      <c r="J226" s="5"/>
      <c r="K226" s="5"/>
      <c r="L226" s="5"/>
      <c r="M226" s="1"/>
      <c r="N226" s="5"/>
      <c r="O226" s="5"/>
      <c r="P226" s="5"/>
      <c r="Q226" s="5"/>
      <c r="R226" s="1"/>
      <c r="S226" s="5"/>
      <c r="T226" s="5"/>
      <c r="U226" s="5"/>
      <c r="V226" s="5"/>
      <c r="W226" s="1"/>
      <c r="X226" s="26"/>
      <c r="Y226" s="26"/>
      <c r="Z226" s="26"/>
      <c r="AA226" s="26"/>
      <c r="AB226" s="36"/>
      <c r="AC226" s="28"/>
    </row>
    <row r="227" spans="1:29" s="38" customFormat="1" ht="42" customHeight="1" x14ac:dyDescent="0.25">
      <c r="A227" s="26"/>
      <c r="B227" s="177"/>
      <c r="C227" s="1"/>
      <c r="D227" s="5"/>
      <c r="E227" s="5"/>
      <c r="F227" s="5"/>
      <c r="G227" s="5"/>
      <c r="H227" s="1"/>
      <c r="I227" s="5"/>
      <c r="J227" s="5"/>
      <c r="K227" s="5"/>
      <c r="L227" s="5"/>
      <c r="M227" s="1"/>
      <c r="N227" s="5"/>
      <c r="O227" s="5"/>
      <c r="P227" s="5"/>
      <c r="Q227" s="5"/>
      <c r="R227" s="1"/>
      <c r="S227" s="5"/>
      <c r="T227" s="5"/>
      <c r="U227" s="5"/>
      <c r="V227" s="5"/>
      <c r="W227" s="1"/>
      <c r="X227" s="26"/>
      <c r="Y227" s="26"/>
      <c r="Z227" s="26"/>
      <c r="AA227" s="26"/>
      <c r="AB227" s="36"/>
      <c r="AC227" s="28"/>
    </row>
    <row r="228" spans="1:29" s="38" customFormat="1" ht="42" customHeight="1" x14ac:dyDescent="0.25">
      <c r="A228" s="26"/>
      <c r="B228" s="177"/>
      <c r="C228" s="1"/>
      <c r="D228" s="5"/>
      <c r="E228" s="5"/>
      <c r="F228" s="5"/>
      <c r="G228" s="5"/>
      <c r="H228" s="1"/>
      <c r="I228" s="5"/>
      <c r="J228" s="5"/>
      <c r="K228" s="5"/>
      <c r="L228" s="5"/>
      <c r="M228" s="1"/>
      <c r="N228" s="5"/>
      <c r="O228" s="5"/>
      <c r="P228" s="5"/>
      <c r="Q228" s="5"/>
      <c r="R228" s="1"/>
      <c r="S228" s="5"/>
      <c r="T228" s="5"/>
      <c r="U228" s="5"/>
      <c r="V228" s="5"/>
      <c r="W228" s="1"/>
      <c r="X228" s="26"/>
      <c r="Y228" s="26"/>
      <c r="Z228" s="26"/>
      <c r="AA228" s="26"/>
      <c r="AB228" s="36"/>
      <c r="AC228" s="28"/>
    </row>
    <row r="229" spans="1:29" s="38" customFormat="1" ht="42" customHeight="1" x14ac:dyDescent="0.25">
      <c r="A229" s="26"/>
      <c r="B229" s="177"/>
      <c r="C229" s="1"/>
      <c r="D229" s="5"/>
      <c r="E229" s="5"/>
      <c r="F229" s="5"/>
      <c r="G229" s="5"/>
      <c r="H229" s="1"/>
      <c r="I229" s="5"/>
      <c r="J229" s="5"/>
      <c r="K229" s="5"/>
      <c r="L229" s="5"/>
      <c r="M229" s="1"/>
      <c r="N229" s="5"/>
      <c r="O229" s="5"/>
      <c r="P229" s="5"/>
      <c r="Q229" s="5"/>
      <c r="R229" s="1"/>
      <c r="S229" s="5"/>
      <c r="T229" s="5"/>
      <c r="U229" s="5"/>
      <c r="V229" s="5"/>
      <c r="W229" s="1"/>
      <c r="X229" s="26"/>
      <c r="Y229" s="26"/>
      <c r="Z229" s="26"/>
      <c r="AA229" s="26"/>
      <c r="AB229" s="36"/>
      <c r="AC229" s="28"/>
    </row>
    <row r="230" spans="1:29" s="38" customFormat="1" ht="42" customHeight="1" x14ac:dyDescent="0.25">
      <c r="A230" s="26"/>
      <c r="B230" s="177"/>
      <c r="C230" s="1"/>
      <c r="D230" s="5"/>
      <c r="E230" s="5"/>
      <c r="F230" s="5"/>
      <c r="G230" s="5"/>
      <c r="H230" s="1"/>
      <c r="I230" s="5"/>
      <c r="J230" s="5"/>
      <c r="K230" s="5"/>
      <c r="L230" s="5"/>
      <c r="M230" s="1"/>
      <c r="N230" s="5"/>
      <c r="O230" s="5"/>
      <c r="P230" s="5"/>
      <c r="Q230" s="5"/>
      <c r="R230" s="1"/>
      <c r="S230" s="5"/>
      <c r="T230" s="5"/>
      <c r="U230" s="5"/>
      <c r="V230" s="5"/>
      <c r="W230" s="1"/>
      <c r="X230" s="26"/>
      <c r="Y230" s="26"/>
      <c r="Z230" s="26"/>
      <c r="AA230" s="26"/>
      <c r="AB230" s="36"/>
      <c r="AC230" s="28"/>
    </row>
    <row r="231" spans="1:29" s="38" customFormat="1" ht="42" customHeight="1" x14ac:dyDescent="0.25">
      <c r="A231" s="26"/>
      <c r="B231" s="177"/>
      <c r="C231" s="1"/>
      <c r="D231" s="5"/>
      <c r="E231" s="5"/>
      <c r="F231" s="5"/>
      <c r="G231" s="5"/>
      <c r="H231" s="1"/>
      <c r="I231" s="5"/>
      <c r="J231" s="5"/>
      <c r="K231" s="5"/>
      <c r="L231" s="5"/>
      <c r="M231" s="1"/>
      <c r="N231" s="5"/>
      <c r="O231" s="5"/>
      <c r="P231" s="5"/>
      <c r="Q231" s="5"/>
      <c r="R231" s="1"/>
      <c r="S231" s="5"/>
      <c r="T231" s="5"/>
      <c r="U231" s="5"/>
      <c r="V231" s="5"/>
      <c r="W231" s="1"/>
      <c r="X231" s="26"/>
      <c r="Y231" s="26"/>
      <c r="Z231" s="26"/>
      <c r="AA231" s="26"/>
      <c r="AB231" s="36"/>
      <c r="AC231" s="28"/>
    </row>
    <row r="232" spans="1:29" s="38" customFormat="1" ht="42" customHeight="1" x14ac:dyDescent="0.25">
      <c r="A232" s="26"/>
      <c r="B232" s="177"/>
      <c r="C232" s="1"/>
      <c r="D232" s="5"/>
      <c r="E232" s="5"/>
      <c r="F232" s="5"/>
      <c r="G232" s="5"/>
      <c r="H232" s="1"/>
      <c r="I232" s="5"/>
      <c r="J232" s="5"/>
      <c r="K232" s="5"/>
      <c r="L232" s="5"/>
      <c r="M232" s="1"/>
      <c r="N232" s="5"/>
      <c r="O232" s="5"/>
      <c r="P232" s="5"/>
      <c r="Q232" s="5"/>
      <c r="R232" s="1"/>
      <c r="S232" s="5"/>
      <c r="T232" s="5"/>
      <c r="U232" s="5"/>
      <c r="V232" s="5"/>
      <c r="W232" s="1"/>
      <c r="X232" s="26"/>
      <c r="Y232" s="26"/>
      <c r="Z232" s="26"/>
      <c r="AA232" s="26"/>
      <c r="AB232" s="36"/>
      <c r="AC232" s="28"/>
    </row>
    <row r="233" spans="1:29" s="38" customFormat="1" ht="42" customHeight="1" x14ac:dyDescent="0.25">
      <c r="A233" s="26"/>
      <c r="B233" s="177"/>
      <c r="C233" s="1"/>
      <c r="D233" s="5"/>
      <c r="E233" s="5"/>
      <c r="F233" s="5"/>
      <c r="G233" s="5"/>
      <c r="H233" s="1"/>
      <c r="I233" s="5"/>
      <c r="J233" s="5"/>
      <c r="K233" s="5"/>
      <c r="L233" s="5"/>
      <c r="M233" s="1"/>
      <c r="N233" s="5"/>
      <c r="O233" s="5"/>
      <c r="P233" s="5"/>
      <c r="Q233" s="5"/>
      <c r="R233" s="1"/>
      <c r="S233" s="5"/>
      <c r="T233" s="5"/>
      <c r="U233" s="5"/>
      <c r="V233" s="5"/>
      <c r="W233" s="1"/>
      <c r="X233" s="26"/>
      <c r="Y233" s="26"/>
      <c r="Z233" s="26"/>
      <c r="AA233" s="26"/>
      <c r="AB233" s="36"/>
      <c r="AC233" s="28"/>
    </row>
    <row r="234" spans="1:29" s="38" customFormat="1" ht="42" customHeight="1" x14ac:dyDescent="0.25">
      <c r="A234" s="26"/>
      <c r="B234" s="177"/>
      <c r="C234" s="1"/>
      <c r="D234" s="5"/>
      <c r="E234" s="5"/>
      <c r="F234" s="5"/>
      <c r="G234" s="5"/>
      <c r="H234" s="1"/>
      <c r="I234" s="5"/>
      <c r="J234" s="5"/>
      <c r="K234" s="5"/>
      <c r="L234" s="5"/>
      <c r="M234" s="1"/>
      <c r="N234" s="5"/>
      <c r="O234" s="5"/>
      <c r="P234" s="5"/>
      <c r="Q234" s="5"/>
      <c r="R234" s="1"/>
      <c r="S234" s="5"/>
      <c r="T234" s="5"/>
      <c r="U234" s="5"/>
      <c r="V234" s="5"/>
      <c r="W234" s="1"/>
      <c r="X234" s="26"/>
      <c r="Y234" s="26"/>
      <c r="Z234" s="26"/>
      <c r="AA234" s="26"/>
      <c r="AB234" s="36"/>
      <c r="AC234" s="28"/>
    </row>
    <row r="235" spans="1:29" s="38" customFormat="1" ht="42" customHeight="1" x14ac:dyDescent="0.25">
      <c r="A235" s="26"/>
      <c r="B235" s="177"/>
      <c r="C235" s="1"/>
      <c r="D235" s="5"/>
      <c r="E235" s="5"/>
      <c r="F235" s="5"/>
      <c r="G235" s="5"/>
      <c r="H235" s="1"/>
      <c r="I235" s="5"/>
      <c r="J235" s="5"/>
      <c r="K235" s="5"/>
      <c r="L235" s="5"/>
      <c r="M235" s="1"/>
      <c r="N235" s="5"/>
      <c r="O235" s="5"/>
      <c r="P235" s="5"/>
      <c r="Q235" s="5"/>
      <c r="R235" s="1"/>
      <c r="S235" s="5"/>
      <c r="T235" s="5"/>
      <c r="U235" s="5"/>
      <c r="V235" s="5"/>
      <c r="W235" s="1"/>
      <c r="X235" s="26"/>
      <c r="Y235" s="26"/>
      <c r="Z235" s="26"/>
      <c r="AA235" s="26"/>
      <c r="AB235" s="36"/>
      <c r="AC235" s="28"/>
    </row>
    <row r="236" spans="1:29" s="38" customFormat="1" ht="42" customHeight="1" x14ac:dyDescent="0.25">
      <c r="A236" s="26"/>
      <c r="B236" s="177"/>
      <c r="C236" s="1"/>
      <c r="D236" s="5"/>
      <c r="E236" s="5"/>
      <c r="F236" s="5"/>
      <c r="G236" s="5"/>
      <c r="H236" s="1"/>
      <c r="I236" s="5"/>
      <c r="J236" s="5"/>
      <c r="K236" s="5"/>
      <c r="L236" s="5"/>
      <c r="M236" s="1"/>
      <c r="N236" s="5"/>
      <c r="O236" s="5"/>
      <c r="P236" s="5"/>
      <c r="Q236" s="5"/>
      <c r="R236" s="1"/>
      <c r="S236" s="5"/>
      <c r="T236" s="5"/>
      <c r="U236" s="5"/>
      <c r="V236" s="5"/>
      <c r="W236" s="1"/>
      <c r="X236" s="26"/>
      <c r="Y236" s="26"/>
      <c r="Z236" s="26"/>
      <c r="AA236" s="26"/>
      <c r="AB236" s="36"/>
      <c r="AC236" s="28"/>
    </row>
    <row r="237" spans="1:29" s="38" customFormat="1" ht="42" customHeight="1" x14ac:dyDescent="0.25">
      <c r="A237" s="26"/>
      <c r="B237" s="177"/>
      <c r="C237" s="1"/>
      <c r="D237" s="5"/>
      <c r="E237" s="5"/>
      <c r="F237" s="5"/>
      <c r="G237" s="5"/>
      <c r="H237" s="1"/>
      <c r="I237" s="5"/>
      <c r="J237" s="5"/>
      <c r="K237" s="5"/>
      <c r="L237" s="5"/>
      <c r="M237" s="1"/>
      <c r="N237" s="5"/>
      <c r="O237" s="5"/>
      <c r="P237" s="5"/>
      <c r="Q237" s="5"/>
      <c r="R237" s="1"/>
      <c r="S237" s="5"/>
      <c r="T237" s="5"/>
      <c r="U237" s="5"/>
      <c r="V237" s="5"/>
      <c r="W237" s="1"/>
      <c r="X237" s="26"/>
      <c r="Y237" s="26"/>
      <c r="Z237" s="26"/>
      <c r="AA237" s="26"/>
      <c r="AB237" s="36"/>
      <c r="AC237" s="28"/>
    </row>
    <row r="238" spans="1:29" s="38" customFormat="1" ht="42" customHeight="1" x14ac:dyDescent="0.25">
      <c r="A238" s="26"/>
      <c r="B238" s="177"/>
      <c r="C238" s="1"/>
      <c r="D238" s="5"/>
      <c r="E238" s="5"/>
      <c r="F238" s="5"/>
      <c r="G238" s="5"/>
      <c r="H238" s="1"/>
      <c r="I238" s="5"/>
      <c r="J238" s="5"/>
      <c r="K238" s="5"/>
      <c r="L238" s="5"/>
      <c r="M238" s="1"/>
      <c r="N238" s="5"/>
      <c r="O238" s="5"/>
      <c r="P238" s="5"/>
      <c r="Q238" s="5"/>
      <c r="R238" s="1"/>
      <c r="S238" s="5"/>
      <c r="T238" s="5"/>
      <c r="U238" s="5"/>
      <c r="V238" s="5"/>
      <c r="W238" s="1"/>
      <c r="X238" s="26"/>
      <c r="Y238" s="26"/>
      <c r="Z238" s="26"/>
      <c r="AA238" s="26"/>
      <c r="AB238" s="36"/>
      <c r="AC238" s="28"/>
    </row>
    <row r="239" spans="1:29" s="38" customFormat="1" ht="42" customHeight="1" x14ac:dyDescent="0.25">
      <c r="A239" s="26"/>
      <c r="B239" s="177"/>
      <c r="C239" s="1"/>
      <c r="D239" s="5"/>
      <c r="E239" s="5"/>
      <c r="F239" s="5"/>
      <c r="G239" s="5"/>
      <c r="H239" s="1"/>
      <c r="I239" s="5"/>
      <c r="J239" s="5"/>
      <c r="K239" s="5"/>
      <c r="L239" s="5"/>
      <c r="M239" s="1"/>
      <c r="N239" s="5"/>
      <c r="O239" s="5"/>
      <c r="P239" s="5"/>
      <c r="Q239" s="5"/>
      <c r="R239" s="1"/>
      <c r="S239" s="5"/>
      <c r="T239" s="5"/>
      <c r="U239" s="5"/>
      <c r="V239" s="5"/>
      <c r="W239" s="1"/>
      <c r="X239" s="26"/>
      <c r="Y239" s="26"/>
      <c r="Z239" s="26"/>
      <c r="AA239" s="26"/>
      <c r="AB239" s="36"/>
      <c r="AC239" s="28"/>
    </row>
    <row r="240" spans="1:29" s="38" customFormat="1" ht="42" customHeight="1" x14ac:dyDescent="0.25">
      <c r="A240" s="26"/>
      <c r="B240" s="177"/>
      <c r="C240" s="1"/>
      <c r="D240" s="5"/>
      <c r="E240" s="5"/>
      <c r="F240" s="5"/>
      <c r="G240" s="5"/>
      <c r="H240" s="1"/>
      <c r="I240" s="5"/>
      <c r="J240" s="5"/>
      <c r="K240" s="5"/>
      <c r="L240" s="5"/>
      <c r="M240" s="1"/>
      <c r="N240" s="5"/>
      <c r="O240" s="5"/>
      <c r="P240" s="5"/>
      <c r="Q240" s="5"/>
      <c r="R240" s="1"/>
      <c r="S240" s="5"/>
      <c r="T240" s="5"/>
      <c r="U240" s="5"/>
      <c r="V240" s="5"/>
      <c r="W240" s="1"/>
      <c r="X240" s="26"/>
      <c r="Y240" s="26"/>
      <c r="Z240" s="26"/>
      <c r="AA240" s="26"/>
      <c r="AB240" s="36"/>
      <c r="AC240" s="28"/>
    </row>
    <row r="241" spans="1:29" s="38" customFormat="1" ht="42" customHeight="1" x14ac:dyDescent="0.25">
      <c r="A241" s="26"/>
      <c r="B241" s="177"/>
      <c r="C241" s="1"/>
      <c r="D241" s="5"/>
      <c r="E241" s="5"/>
      <c r="F241" s="5"/>
      <c r="G241" s="5"/>
      <c r="H241" s="1"/>
      <c r="I241" s="5"/>
      <c r="J241" s="5"/>
      <c r="K241" s="5"/>
      <c r="L241" s="5"/>
      <c r="M241" s="1"/>
      <c r="N241" s="5"/>
      <c r="O241" s="5"/>
      <c r="P241" s="5"/>
      <c r="Q241" s="5"/>
      <c r="R241" s="1"/>
      <c r="S241" s="5"/>
      <c r="T241" s="5"/>
      <c r="U241" s="5"/>
      <c r="V241" s="5"/>
      <c r="W241" s="1"/>
      <c r="X241" s="26"/>
      <c r="Y241" s="26"/>
      <c r="Z241" s="26"/>
      <c r="AA241" s="26"/>
      <c r="AB241" s="36"/>
      <c r="AC241" s="28"/>
    </row>
    <row r="242" spans="1:29" s="38" customFormat="1" ht="42" customHeight="1" x14ac:dyDescent="0.25">
      <c r="A242" s="26"/>
      <c r="B242" s="177"/>
      <c r="C242" s="1"/>
      <c r="D242" s="5"/>
      <c r="E242" s="5"/>
      <c r="F242" s="5"/>
      <c r="G242" s="5"/>
      <c r="H242" s="1"/>
      <c r="I242" s="5"/>
      <c r="J242" s="5"/>
      <c r="K242" s="5"/>
      <c r="L242" s="5"/>
      <c r="M242" s="1"/>
      <c r="N242" s="5"/>
      <c r="O242" s="5"/>
      <c r="P242" s="5"/>
      <c r="Q242" s="5"/>
      <c r="R242" s="1"/>
      <c r="S242" s="5"/>
      <c r="T242" s="5"/>
      <c r="U242" s="5"/>
      <c r="V242" s="5"/>
      <c r="W242" s="1"/>
      <c r="X242" s="26"/>
      <c r="Y242" s="26"/>
      <c r="Z242" s="26"/>
      <c r="AA242" s="26"/>
      <c r="AB242" s="36"/>
      <c r="AC242" s="28"/>
    </row>
    <row r="243" spans="1:29" s="38" customFormat="1" ht="42" customHeight="1" x14ac:dyDescent="0.25">
      <c r="A243" s="26"/>
      <c r="B243" s="177"/>
      <c r="C243" s="1"/>
      <c r="D243" s="5"/>
      <c r="E243" s="5"/>
      <c r="F243" s="5"/>
      <c r="G243" s="5"/>
      <c r="H243" s="1"/>
      <c r="I243" s="5"/>
      <c r="J243" s="5"/>
      <c r="K243" s="5"/>
      <c r="L243" s="5"/>
      <c r="M243" s="1"/>
      <c r="N243" s="5"/>
      <c r="O243" s="5"/>
      <c r="P243" s="5"/>
      <c r="Q243" s="5"/>
      <c r="R243" s="1"/>
      <c r="S243" s="5"/>
      <c r="T243" s="5"/>
      <c r="U243" s="5"/>
      <c r="V243" s="5"/>
      <c r="W243" s="1"/>
      <c r="X243" s="26"/>
      <c r="Y243" s="26"/>
      <c r="Z243" s="26"/>
      <c r="AA243" s="26"/>
      <c r="AB243" s="36"/>
      <c r="AC243" s="28"/>
    </row>
    <row r="244" spans="1:29" s="38" customFormat="1" ht="42" customHeight="1" x14ac:dyDescent="0.25">
      <c r="A244" s="26"/>
      <c r="B244" s="177"/>
      <c r="C244" s="1"/>
      <c r="D244" s="5"/>
      <c r="E244" s="5"/>
      <c r="F244" s="5"/>
      <c r="G244" s="5"/>
      <c r="H244" s="1"/>
      <c r="I244" s="5"/>
      <c r="J244" s="5"/>
      <c r="K244" s="5"/>
      <c r="L244" s="5"/>
      <c r="M244" s="1"/>
      <c r="N244" s="5"/>
      <c r="O244" s="5"/>
      <c r="P244" s="5"/>
      <c r="Q244" s="5"/>
      <c r="R244" s="1"/>
      <c r="S244" s="5"/>
      <c r="T244" s="5"/>
      <c r="U244" s="5"/>
      <c r="V244" s="5"/>
      <c r="W244" s="1"/>
      <c r="X244" s="26"/>
      <c r="Y244" s="26"/>
      <c r="Z244" s="26"/>
      <c r="AA244" s="26"/>
      <c r="AB244" s="36"/>
      <c r="AC244" s="28"/>
    </row>
    <row r="245" spans="1:29" s="38" customFormat="1" ht="42" customHeight="1" x14ac:dyDescent="0.25">
      <c r="A245" s="26"/>
      <c r="B245" s="177"/>
      <c r="C245" s="1"/>
      <c r="D245" s="5"/>
      <c r="E245" s="5"/>
      <c r="F245" s="5"/>
      <c r="G245" s="5"/>
      <c r="H245" s="1"/>
      <c r="I245" s="5"/>
      <c r="J245" s="5"/>
      <c r="K245" s="5"/>
      <c r="L245" s="5"/>
      <c r="M245" s="1"/>
      <c r="N245" s="5"/>
      <c r="O245" s="5"/>
      <c r="P245" s="5"/>
      <c r="Q245" s="5"/>
      <c r="R245" s="1"/>
      <c r="S245" s="5"/>
      <c r="T245" s="5"/>
      <c r="U245" s="5"/>
      <c r="V245" s="5"/>
      <c r="W245" s="1"/>
      <c r="X245" s="26"/>
      <c r="Y245" s="26"/>
      <c r="Z245" s="26"/>
      <c r="AA245" s="26"/>
      <c r="AB245" s="36"/>
      <c r="AC245" s="28"/>
    </row>
    <row r="246" spans="1:29" s="38" customFormat="1" ht="42" customHeight="1" x14ac:dyDescent="0.25">
      <c r="A246" s="26"/>
      <c r="B246" s="177"/>
      <c r="C246" s="1"/>
      <c r="D246" s="5"/>
      <c r="E246" s="5"/>
      <c r="F246" s="5"/>
      <c r="G246" s="5"/>
      <c r="H246" s="1"/>
      <c r="I246" s="5"/>
      <c r="J246" s="5"/>
      <c r="K246" s="5"/>
      <c r="L246" s="5"/>
      <c r="M246" s="1"/>
      <c r="N246" s="5"/>
      <c r="O246" s="5"/>
      <c r="P246" s="5"/>
      <c r="Q246" s="5"/>
      <c r="R246" s="1"/>
      <c r="S246" s="5"/>
      <c r="T246" s="5"/>
      <c r="U246" s="5"/>
      <c r="V246" s="5"/>
      <c r="W246" s="1"/>
      <c r="X246" s="26"/>
      <c r="Y246" s="26"/>
      <c r="Z246" s="26"/>
      <c r="AA246" s="26"/>
      <c r="AB246" s="36"/>
      <c r="AC246" s="28"/>
    </row>
    <row r="247" spans="1:29" s="38" customFormat="1" ht="42" customHeight="1" x14ac:dyDescent="0.25">
      <c r="A247" s="26"/>
      <c r="B247" s="177"/>
      <c r="C247" s="1"/>
      <c r="D247" s="5"/>
      <c r="E247" s="5"/>
      <c r="F247" s="5"/>
      <c r="G247" s="5"/>
      <c r="H247" s="1"/>
      <c r="I247" s="5"/>
      <c r="J247" s="5"/>
      <c r="K247" s="5"/>
      <c r="L247" s="5"/>
      <c r="M247" s="1"/>
      <c r="N247" s="5"/>
      <c r="O247" s="5"/>
      <c r="P247" s="5"/>
      <c r="Q247" s="5"/>
      <c r="R247" s="1"/>
      <c r="S247" s="5"/>
      <c r="T247" s="5"/>
      <c r="U247" s="5"/>
      <c r="V247" s="5"/>
      <c r="W247" s="1"/>
      <c r="X247" s="26"/>
      <c r="Y247" s="26"/>
      <c r="Z247" s="26"/>
      <c r="AA247" s="26"/>
      <c r="AB247" s="36"/>
      <c r="AC247" s="28"/>
    </row>
    <row r="248" spans="1:29" s="38" customFormat="1" ht="42" customHeight="1" x14ac:dyDescent="0.25">
      <c r="A248" s="26"/>
      <c r="B248" s="177"/>
      <c r="C248" s="1"/>
      <c r="D248" s="5"/>
      <c r="E248" s="5"/>
      <c r="F248" s="5"/>
      <c r="G248" s="5"/>
      <c r="H248" s="1"/>
      <c r="I248" s="5"/>
      <c r="J248" s="5"/>
      <c r="K248" s="5"/>
      <c r="L248" s="5"/>
      <c r="M248" s="1"/>
      <c r="N248" s="5"/>
      <c r="O248" s="5"/>
      <c r="P248" s="5"/>
      <c r="Q248" s="5"/>
      <c r="R248" s="1"/>
      <c r="S248" s="5"/>
      <c r="T248" s="5"/>
      <c r="U248" s="5"/>
      <c r="V248" s="5"/>
      <c r="W248" s="1"/>
      <c r="X248" s="26"/>
      <c r="Y248" s="26"/>
      <c r="Z248" s="26"/>
      <c r="AA248" s="26"/>
      <c r="AB248" s="36"/>
      <c r="AC248" s="28"/>
    </row>
    <row r="249" spans="1:29" s="38" customFormat="1" ht="42" customHeight="1" x14ac:dyDescent="0.25">
      <c r="A249" s="26"/>
      <c r="B249" s="177"/>
      <c r="C249" s="1"/>
      <c r="D249" s="5"/>
      <c r="E249" s="5"/>
      <c r="F249" s="5"/>
      <c r="G249" s="5"/>
      <c r="H249" s="1"/>
      <c r="I249" s="5"/>
      <c r="J249" s="5"/>
      <c r="K249" s="5"/>
      <c r="L249" s="5"/>
      <c r="M249" s="1"/>
      <c r="N249" s="5"/>
      <c r="O249" s="5"/>
      <c r="P249" s="5"/>
      <c r="Q249" s="5"/>
      <c r="R249" s="1"/>
      <c r="S249" s="5"/>
      <c r="T249" s="5"/>
      <c r="U249" s="5"/>
      <c r="V249" s="5"/>
      <c r="W249" s="1"/>
      <c r="X249" s="26"/>
      <c r="Y249" s="26"/>
      <c r="Z249" s="26"/>
      <c r="AA249" s="26"/>
      <c r="AB249" s="36"/>
      <c r="AC249" s="28"/>
    </row>
    <row r="250" spans="1:29" s="38" customFormat="1" ht="42" customHeight="1" x14ac:dyDescent="0.25">
      <c r="A250" s="26"/>
      <c r="B250" s="177"/>
      <c r="C250" s="1"/>
      <c r="D250" s="5"/>
      <c r="E250" s="5"/>
      <c r="F250" s="5"/>
      <c r="G250" s="5"/>
      <c r="H250" s="1"/>
      <c r="I250" s="5"/>
      <c r="J250" s="5"/>
      <c r="K250" s="5"/>
      <c r="L250" s="5"/>
      <c r="M250" s="1"/>
      <c r="N250" s="5"/>
      <c r="O250" s="5"/>
      <c r="P250" s="5"/>
      <c r="Q250" s="5"/>
      <c r="R250" s="1"/>
      <c r="S250" s="5"/>
      <c r="T250" s="5"/>
      <c r="U250" s="5"/>
      <c r="V250" s="5"/>
      <c r="W250" s="1"/>
      <c r="X250" s="26"/>
      <c r="Y250" s="26"/>
      <c r="Z250" s="26"/>
      <c r="AA250" s="26"/>
      <c r="AB250" s="36"/>
      <c r="AC250" s="28"/>
    </row>
    <row r="251" spans="1:29" s="38" customFormat="1" ht="42" customHeight="1" x14ac:dyDescent="0.25">
      <c r="A251" s="26"/>
      <c r="B251" s="177"/>
      <c r="C251" s="1"/>
      <c r="D251" s="5"/>
      <c r="E251" s="5"/>
      <c r="F251" s="5"/>
      <c r="G251" s="5"/>
      <c r="H251" s="1"/>
      <c r="I251" s="5"/>
      <c r="J251" s="5"/>
      <c r="K251" s="5"/>
      <c r="L251" s="5"/>
      <c r="M251" s="1"/>
      <c r="N251" s="5"/>
      <c r="O251" s="5"/>
      <c r="P251" s="5"/>
      <c r="Q251" s="5"/>
      <c r="R251" s="1"/>
      <c r="S251" s="5"/>
      <c r="T251" s="5"/>
      <c r="U251" s="5"/>
      <c r="V251" s="5"/>
      <c r="W251" s="1"/>
      <c r="X251" s="26"/>
      <c r="Y251" s="26"/>
      <c r="Z251" s="26"/>
      <c r="AA251" s="26"/>
      <c r="AB251" s="36"/>
      <c r="AC251" s="28"/>
    </row>
    <row r="252" spans="1:29" s="38" customFormat="1" ht="42" customHeight="1" x14ac:dyDescent="0.25">
      <c r="A252" s="26"/>
      <c r="B252" s="177"/>
      <c r="C252" s="1"/>
      <c r="D252" s="5"/>
      <c r="E252" s="5"/>
      <c r="F252" s="5"/>
      <c r="G252" s="5"/>
      <c r="H252" s="1"/>
      <c r="I252" s="5"/>
      <c r="J252" s="5"/>
      <c r="K252" s="5"/>
      <c r="L252" s="5"/>
      <c r="M252" s="1"/>
      <c r="N252" s="5"/>
      <c r="O252" s="5"/>
      <c r="P252" s="5"/>
      <c r="Q252" s="5"/>
      <c r="R252" s="1"/>
      <c r="S252" s="5"/>
      <c r="T252" s="5"/>
      <c r="U252" s="5"/>
      <c r="V252" s="5"/>
      <c r="W252" s="1"/>
      <c r="X252" s="26"/>
      <c r="Y252" s="26"/>
      <c r="Z252" s="26"/>
      <c r="AA252" s="26"/>
      <c r="AB252" s="36"/>
      <c r="AC252" s="28"/>
    </row>
    <row r="253" spans="1:29" s="38" customFormat="1" ht="42" customHeight="1" x14ac:dyDescent="0.25">
      <c r="A253" s="26"/>
      <c r="B253" s="177"/>
      <c r="C253" s="1"/>
      <c r="D253" s="5"/>
      <c r="E253" s="5"/>
      <c r="F253" s="5"/>
      <c r="G253" s="5"/>
      <c r="H253" s="1"/>
      <c r="I253" s="5"/>
      <c r="J253" s="5"/>
      <c r="K253" s="5"/>
      <c r="L253" s="5"/>
      <c r="M253" s="1"/>
      <c r="N253" s="5"/>
      <c r="O253" s="5"/>
      <c r="P253" s="5"/>
      <c r="Q253" s="5"/>
      <c r="R253" s="1"/>
      <c r="S253" s="5"/>
      <c r="T253" s="5"/>
      <c r="U253" s="5"/>
      <c r="V253" s="5"/>
      <c r="W253" s="1"/>
      <c r="X253" s="26"/>
      <c r="Y253" s="26"/>
      <c r="Z253" s="26"/>
      <c r="AA253" s="26"/>
      <c r="AB253" s="36"/>
      <c r="AC253" s="28"/>
    </row>
    <row r="254" spans="1:29" s="38" customFormat="1" ht="42" customHeight="1" x14ac:dyDescent="0.25">
      <c r="A254" s="26"/>
      <c r="B254" s="177"/>
      <c r="C254" s="1"/>
      <c r="D254" s="5"/>
      <c r="E254" s="5"/>
      <c r="F254" s="5"/>
      <c r="G254" s="5"/>
      <c r="H254" s="1"/>
      <c r="I254" s="5"/>
      <c r="J254" s="5"/>
      <c r="K254" s="5"/>
      <c r="L254" s="5"/>
      <c r="M254" s="1"/>
      <c r="N254" s="5"/>
      <c r="O254" s="5"/>
      <c r="P254" s="5"/>
      <c r="Q254" s="5"/>
      <c r="R254" s="1"/>
      <c r="S254" s="5"/>
      <c r="T254" s="5"/>
      <c r="U254" s="5"/>
      <c r="V254" s="5"/>
      <c r="W254" s="1"/>
      <c r="X254" s="26"/>
      <c r="Y254" s="26"/>
      <c r="Z254" s="26"/>
      <c r="AA254" s="26"/>
      <c r="AB254" s="36"/>
      <c r="AC254" s="28"/>
    </row>
    <row r="255" spans="1:29" s="38" customFormat="1" ht="42" customHeight="1" x14ac:dyDescent="0.25">
      <c r="A255" s="26"/>
      <c r="B255" s="177"/>
      <c r="C255" s="1"/>
      <c r="D255" s="5"/>
      <c r="E255" s="5"/>
      <c r="F255" s="5"/>
      <c r="G255" s="5"/>
      <c r="H255" s="1"/>
      <c r="I255" s="5"/>
      <c r="J255" s="5"/>
      <c r="K255" s="5"/>
      <c r="L255" s="5"/>
      <c r="M255" s="1"/>
      <c r="N255" s="5"/>
      <c r="O255" s="5"/>
      <c r="P255" s="5"/>
      <c r="Q255" s="5"/>
      <c r="R255" s="1"/>
      <c r="S255" s="5"/>
      <c r="T255" s="5"/>
      <c r="U255" s="5"/>
      <c r="V255" s="5"/>
      <c r="W255" s="1"/>
      <c r="X255" s="26"/>
      <c r="Y255" s="26"/>
      <c r="Z255" s="26"/>
      <c r="AA255" s="26"/>
      <c r="AB255" s="36"/>
      <c r="AC255" s="28"/>
    </row>
    <row r="256" spans="1:29" s="38" customFormat="1" ht="42" customHeight="1" x14ac:dyDescent="0.25">
      <c r="A256" s="26"/>
      <c r="B256" s="177"/>
      <c r="C256" s="1"/>
      <c r="D256" s="5"/>
      <c r="E256" s="5"/>
      <c r="F256" s="5"/>
      <c r="G256" s="5"/>
      <c r="H256" s="1"/>
      <c r="I256" s="5"/>
      <c r="J256" s="5"/>
      <c r="K256" s="5"/>
      <c r="L256" s="5"/>
      <c r="M256" s="1"/>
      <c r="N256" s="5"/>
      <c r="O256" s="5"/>
      <c r="P256" s="5"/>
      <c r="Q256" s="5"/>
      <c r="R256" s="1"/>
      <c r="S256" s="5"/>
      <c r="T256" s="5"/>
      <c r="U256" s="5"/>
      <c r="V256" s="5"/>
      <c r="W256" s="1"/>
      <c r="X256" s="26"/>
      <c r="Y256" s="26"/>
      <c r="Z256" s="26"/>
      <c r="AA256" s="26"/>
      <c r="AB256" s="36"/>
      <c r="AC256" s="28"/>
    </row>
    <row r="257" spans="1:29" s="38" customFormat="1" ht="42" customHeight="1" x14ac:dyDescent="0.25">
      <c r="A257" s="26"/>
      <c r="B257" s="177"/>
      <c r="C257" s="1"/>
      <c r="D257" s="5"/>
      <c r="E257" s="5"/>
      <c r="F257" s="5"/>
      <c r="G257" s="5"/>
      <c r="H257" s="1"/>
      <c r="I257" s="5"/>
      <c r="J257" s="5"/>
      <c r="K257" s="5"/>
      <c r="L257" s="5"/>
      <c r="M257" s="1"/>
      <c r="N257" s="5"/>
      <c r="O257" s="5"/>
      <c r="P257" s="5"/>
      <c r="Q257" s="5"/>
      <c r="R257" s="1"/>
      <c r="S257" s="5"/>
      <c r="T257" s="5"/>
      <c r="U257" s="5"/>
      <c r="V257" s="5"/>
      <c r="W257" s="1"/>
      <c r="X257" s="26"/>
      <c r="Y257" s="26"/>
      <c r="Z257" s="26"/>
      <c r="AA257" s="26"/>
      <c r="AB257" s="36"/>
      <c r="AC257" s="28"/>
    </row>
    <row r="258" spans="1:29" s="38" customFormat="1" ht="42" customHeight="1" x14ac:dyDescent="0.25">
      <c r="A258" s="26"/>
      <c r="B258" s="177"/>
      <c r="C258" s="1"/>
      <c r="D258" s="5"/>
      <c r="E258" s="5"/>
      <c r="F258" s="5"/>
      <c r="G258" s="5"/>
      <c r="H258" s="1"/>
      <c r="I258" s="5"/>
      <c r="J258" s="5"/>
      <c r="K258" s="5"/>
      <c r="L258" s="5"/>
      <c r="M258" s="1"/>
      <c r="N258" s="5"/>
      <c r="O258" s="5"/>
      <c r="P258" s="5"/>
      <c r="Q258" s="5"/>
      <c r="R258" s="1"/>
      <c r="S258" s="5"/>
      <c r="T258" s="5"/>
      <c r="U258" s="5"/>
      <c r="V258" s="5"/>
      <c r="W258" s="1"/>
      <c r="X258" s="26"/>
      <c r="Y258" s="26"/>
      <c r="Z258" s="26"/>
      <c r="AA258" s="26"/>
      <c r="AB258" s="36"/>
      <c r="AC258" s="28"/>
    </row>
    <row r="259" spans="1:29" s="38" customFormat="1" ht="42" customHeight="1" x14ac:dyDescent="0.25">
      <c r="A259" s="26"/>
      <c r="B259" s="177"/>
      <c r="C259" s="1"/>
      <c r="D259" s="5"/>
      <c r="E259" s="5"/>
      <c r="F259" s="5"/>
      <c r="G259" s="5"/>
      <c r="H259" s="1"/>
      <c r="I259" s="5"/>
      <c r="J259" s="5"/>
      <c r="K259" s="5"/>
      <c r="L259" s="5"/>
      <c r="M259" s="1"/>
      <c r="N259" s="5"/>
      <c r="O259" s="5"/>
      <c r="P259" s="5"/>
      <c r="Q259" s="5"/>
      <c r="R259" s="1"/>
      <c r="S259" s="5"/>
      <c r="T259" s="5"/>
      <c r="U259" s="5"/>
      <c r="V259" s="5"/>
      <c r="W259" s="1"/>
      <c r="X259" s="26"/>
      <c r="Y259" s="26"/>
      <c r="Z259" s="26"/>
      <c r="AA259" s="26"/>
      <c r="AB259" s="36"/>
      <c r="AC259" s="28"/>
    </row>
    <row r="260" spans="1:29" s="38" customFormat="1" ht="42" customHeight="1" x14ac:dyDescent="0.25">
      <c r="A260" s="26"/>
      <c r="B260" s="177"/>
      <c r="C260" s="1"/>
      <c r="D260" s="5"/>
      <c r="E260" s="5"/>
      <c r="F260" s="5"/>
      <c r="G260" s="5"/>
      <c r="H260" s="1"/>
      <c r="I260" s="5"/>
      <c r="J260" s="5"/>
      <c r="K260" s="5"/>
      <c r="L260" s="5"/>
      <c r="M260" s="1"/>
      <c r="N260" s="5"/>
      <c r="O260" s="5"/>
      <c r="P260" s="5"/>
      <c r="Q260" s="5"/>
      <c r="R260" s="1"/>
      <c r="S260" s="5"/>
      <c r="T260" s="5"/>
      <c r="U260" s="5"/>
      <c r="V260" s="5"/>
      <c r="W260" s="1"/>
      <c r="X260" s="26"/>
      <c r="Y260" s="26"/>
      <c r="Z260" s="26"/>
      <c r="AA260" s="26"/>
      <c r="AB260" s="36"/>
      <c r="AC260" s="28"/>
    </row>
    <row r="261" spans="1:29" s="38" customFormat="1" ht="42" customHeight="1" x14ac:dyDescent="0.25">
      <c r="A261" s="26"/>
      <c r="B261" s="177"/>
      <c r="C261" s="1"/>
      <c r="D261" s="5"/>
      <c r="E261" s="5"/>
      <c r="F261" s="5"/>
      <c r="G261" s="5"/>
      <c r="H261" s="1"/>
      <c r="I261" s="5"/>
      <c r="J261" s="5"/>
      <c r="K261" s="5"/>
      <c r="L261" s="5"/>
      <c r="M261" s="1"/>
      <c r="N261" s="5"/>
      <c r="O261" s="5"/>
      <c r="P261" s="5"/>
      <c r="Q261" s="5"/>
      <c r="R261" s="1"/>
      <c r="S261" s="5"/>
      <c r="T261" s="5"/>
      <c r="U261" s="5"/>
      <c r="V261" s="5"/>
      <c r="W261" s="1"/>
      <c r="X261" s="26"/>
      <c r="Y261" s="26"/>
      <c r="Z261" s="26"/>
      <c r="AA261" s="26"/>
      <c r="AB261" s="36"/>
      <c r="AC261" s="28"/>
    </row>
    <row r="262" spans="1:29" s="38" customFormat="1" ht="42" customHeight="1" x14ac:dyDescent="0.25">
      <c r="A262" s="26"/>
      <c r="B262" s="177"/>
      <c r="C262" s="1"/>
      <c r="D262" s="5"/>
      <c r="E262" s="5"/>
      <c r="F262" s="5"/>
      <c r="G262" s="5"/>
      <c r="H262" s="1"/>
      <c r="I262" s="5"/>
      <c r="J262" s="5"/>
      <c r="K262" s="5"/>
      <c r="L262" s="5"/>
      <c r="M262" s="1"/>
      <c r="N262" s="5"/>
      <c r="O262" s="5"/>
      <c r="P262" s="5"/>
      <c r="Q262" s="5"/>
      <c r="R262" s="1"/>
      <c r="S262" s="5"/>
      <c r="T262" s="5"/>
      <c r="U262" s="5"/>
      <c r="V262" s="5"/>
      <c r="W262" s="1"/>
      <c r="X262" s="26"/>
      <c r="Y262" s="26"/>
      <c r="Z262" s="26"/>
      <c r="AA262" s="26"/>
      <c r="AB262" s="36"/>
      <c r="AC262" s="28"/>
    </row>
    <row r="263" spans="1:29" s="38" customFormat="1" ht="42" customHeight="1" x14ac:dyDescent="0.25">
      <c r="A263" s="26"/>
      <c r="B263" s="177"/>
      <c r="C263" s="1"/>
      <c r="D263" s="5"/>
      <c r="E263" s="5"/>
      <c r="F263" s="5"/>
      <c r="G263" s="5"/>
      <c r="H263" s="1"/>
      <c r="I263" s="5"/>
      <c r="J263" s="5"/>
      <c r="K263" s="5"/>
      <c r="L263" s="5"/>
      <c r="M263" s="1"/>
      <c r="N263" s="5"/>
      <c r="O263" s="5"/>
      <c r="P263" s="5"/>
      <c r="Q263" s="5"/>
      <c r="R263" s="1"/>
      <c r="S263" s="5"/>
      <c r="T263" s="5"/>
      <c r="U263" s="5"/>
      <c r="V263" s="5"/>
      <c r="W263" s="1"/>
      <c r="X263" s="26"/>
      <c r="Y263" s="26"/>
      <c r="Z263" s="26"/>
      <c r="AA263" s="26"/>
      <c r="AB263" s="36"/>
      <c r="AC263" s="28"/>
    </row>
    <row r="264" spans="1:29" s="38" customFormat="1" ht="42" customHeight="1" x14ac:dyDescent="0.25">
      <c r="A264" s="26"/>
      <c r="B264" s="177"/>
      <c r="C264" s="1"/>
      <c r="D264" s="5"/>
      <c r="E264" s="5"/>
      <c r="F264" s="5"/>
      <c r="G264" s="5"/>
      <c r="H264" s="1"/>
      <c r="I264" s="5"/>
      <c r="J264" s="5"/>
      <c r="K264" s="5"/>
      <c r="L264" s="5"/>
      <c r="M264" s="1"/>
      <c r="N264" s="5"/>
      <c r="O264" s="5"/>
      <c r="P264" s="5"/>
      <c r="Q264" s="5"/>
      <c r="R264" s="1"/>
      <c r="S264" s="5"/>
      <c r="T264" s="5"/>
      <c r="U264" s="5"/>
      <c r="V264" s="5"/>
      <c r="W264" s="1"/>
      <c r="X264" s="26"/>
      <c r="Y264" s="26"/>
      <c r="Z264" s="26"/>
      <c r="AA264" s="26"/>
      <c r="AB264" s="36"/>
      <c r="AC264" s="28"/>
    </row>
    <row r="265" spans="1:29" s="38" customFormat="1" ht="42" customHeight="1" x14ac:dyDescent="0.25">
      <c r="A265" s="26"/>
      <c r="B265" s="177"/>
      <c r="C265" s="1"/>
      <c r="D265" s="5"/>
      <c r="E265" s="5"/>
      <c r="F265" s="5"/>
      <c r="G265" s="5"/>
      <c r="H265" s="1"/>
      <c r="I265" s="5"/>
      <c r="J265" s="5"/>
      <c r="K265" s="5"/>
      <c r="L265" s="5"/>
      <c r="M265" s="1"/>
      <c r="N265" s="5"/>
      <c r="O265" s="5"/>
      <c r="P265" s="5"/>
      <c r="Q265" s="5"/>
      <c r="R265" s="1"/>
      <c r="S265" s="5"/>
      <c r="T265" s="5"/>
      <c r="U265" s="5"/>
      <c r="V265" s="5"/>
      <c r="W265" s="1"/>
      <c r="X265" s="26"/>
      <c r="Y265" s="26"/>
      <c r="Z265" s="26"/>
      <c r="AA265" s="26"/>
      <c r="AB265" s="36"/>
      <c r="AC265" s="28"/>
    </row>
    <row r="266" spans="1:29" s="38" customFormat="1" ht="42" customHeight="1" x14ac:dyDescent="0.25">
      <c r="A266" s="26"/>
      <c r="B266" s="177"/>
      <c r="C266" s="1"/>
      <c r="D266" s="5"/>
      <c r="E266" s="5"/>
      <c r="F266" s="5"/>
      <c r="G266" s="5"/>
      <c r="H266" s="1"/>
      <c r="I266" s="5"/>
      <c r="J266" s="5"/>
      <c r="K266" s="5"/>
      <c r="L266" s="5"/>
      <c r="M266" s="1"/>
      <c r="N266" s="5"/>
      <c r="O266" s="5"/>
      <c r="P266" s="5"/>
      <c r="Q266" s="5"/>
      <c r="R266" s="1"/>
      <c r="S266" s="5"/>
      <c r="T266" s="5"/>
      <c r="U266" s="5"/>
      <c r="V266" s="5"/>
      <c r="W266" s="1"/>
      <c r="X266" s="26"/>
      <c r="Y266" s="26"/>
      <c r="Z266" s="26"/>
      <c r="AA266" s="26"/>
      <c r="AB266" s="36"/>
      <c r="AC266" s="28"/>
    </row>
  </sheetData>
  <mergeCells count="177">
    <mergeCell ref="X105:X109"/>
    <mergeCell ref="Y105:Y109"/>
    <mergeCell ref="Z105:Z109"/>
    <mergeCell ref="AA105:AA109"/>
    <mergeCell ref="AB105:AB109"/>
    <mergeCell ref="Y48:Y104"/>
    <mergeCell ref="Z48:Z104"/>
    <mergeCell ref="AA48:AA104"/>
    <mergeCell ref="AB48:AB104"/>
    <mergeCell ref="X48:X104"/>
    <mergeCell ref="D105:D109"/>
    <mergeCell ref="E105:E109"/>
    <mergeCell ref="F105:F109"/>
    <mergeCell ref="G105:G109"/>
    <mergeCell ref="H105:H109"/>
    <mergeCell ref="I105:I109"/>
    <mergeCell ref="J105:J109"/>
    <mergeCell ref="K105:K109"/>
    <mergeCell ref="L105:L109"/>
    <mergeCell ref="M105:M109"/>
    <mergeCell ref="N105:N109"/>
    <mergeCell ref="O105:O109"/>
    <mergeCell ref="P105:P109"/>
    <mergeCell ref="Q105:Q109"/>
    <mergeCell ref="R105:R109"/>
    <mergeCell ref="S105:S109"/>
    <mergeCell ref="T105:T109"/>
    <mergeCell ref="U105:U109"/>
    <mergeCell ref="V105:V109"/>
    <mergeCell ref="W105:W109"/>
    <mergeCell ref="P48:P104"/>
    <mergeCell ref="Q48:Q104"/>
    <mergeCell ref="R48:R104"/>
    <mergeCell ref="S48:S104"/>
    <mergeCell ref="T48:T104"/>
    <mergeCell ref="U48:U104"/>
    <mergeCell ref="V48:V104"/>
    <mergeCell ref="W48:W104"/>
    <mergeCell ref="W2:AB2"/>
    <mergeCell ref="W1:AB1"/>
    <mergeCell ref="AB45:AB47"/>
    <mergeCell ref="A45:A47"/>
    <mergeCell ref="S45:S47"/>
    <mergeCell ref="T45:T47"/>
    <mergeCell ref="U45:U47"/>
    <mergeCell ref="V45:V47"/>
    <mergeCell ref="W45:W47"/>
    <mergeCell ref="X45:X47"/>
    <mergeCell ref="Y45:Y47"/>
    <mergeCell ref="Z45:Z47"/>
    <mergeCell ref="AA45:AA47"/>
    <mergeCell ref="J45:J47"/>
    <mergeCell ref="K45:K47"/>
    <mergeCell ref="L45:L47"/>
    <mergeCell ref="M45:M47"/>
    <mergeCell ref="X34:X44"/>
    <mergeCell ref="AB34:AB44"/>
    <mergeCell ref="D45:D47"/>
    <mergeCell ref="E45:E47"/>
    <mergeCell ref="C45:C47"/>
    <mergeCell ref="R45:R47"/>
    <mergeCell ref="X16:X29"/>
    <mergeCell ref="AB125:AB127"/>
    <mergeCell ref="W125:W127"/>
    <mergeCell ref="A125:A127"/>
    <mergeCell ref="C125:C127"/>
    <mergeCell ref="D125:D127"/>
    <mergeCell ref="H125:H127"/>
    <mergeCell ref="I125:I127"/>
    <mergeCell ref="M125:M127"/>
    <mergeCell ref="N125:N127"/>
    <mergeCell ref="R125:R127"/>
    <mergeCell ref="S125:S127"/>
    <mergeCell ref="X125:X127"/>
    <mergeCell ref="AB120:AB123"/>
    <mergeCell ref="I110:I119"/>
    <mergeCell ref="M110:M119"/>
    <mergeCell ref="N110:N119"/>
    <mergeCell ref="R110:R119"/>
    <mergeCell ref="S110:S119"/>
    <mergeCell ref="R120:R123"/>
    <mergeCell ref="S120:S123"/>
    <mergeCell ref="A110:A119"/>
    <mergeCell ref="D120:D123"/>
    <mergeCell ref="D110:D119"/>
    <mergeCell ref="C120:C123"/>
    <mergeCell ref="H120:H123"/>
    <mergeCell ref="I120:I123"/>
    <mergeCell ref="M120:M123"/>
    <mergeCell ref="N120:N123"/>
    <mergeCell ref="W110:W119"/>
    <mergeCell ref="X110:X119"/>
    <mergeCell ref="AB110:AB119"/>
    <mergeCell ref="W120:W123"/>
    <mergeCell ref="X120:X123"/>
    <mergeCell ref="C110:C119"/>
    <mergeCell ref="H110:H119"/>
    <mergeCell ref="X8:X15"/>
    <mergeCell ref="AB8:AB15"/>
    <mergeCell ref="X30:X33"/>
    <mergeCell ref="AB30:AB33"/>
    <mergeCell ref="M30:M33"/>
    <mergeCell ref="N30:N33"/>
    <mergeCell ref="R30:R33"/>
    <mergeCell ref="S30:S33"/>
    <mergeCell ref="W30:W33"/>
    <mergeCell ref="W16:W29"/>
    <mergeCell ref="S8:S15"/>
    <mergeCell ref="R8:R15"/>
    <mergeCell ref="M5:Q5"/>
    <mergeCell ref="R5:V5"/>
    <mergeCell ref="W5:AA5"/>
    <mergeCell ref="B3:AB3"/>
    <mergeCell ref="A4:A6"/>
    <mergeCell ref="B4:B6"/>
    <mergeCell ref="C4:AA4"/>
    <mergeCell ref="AB4:AB6"/>
    <mergeCell ref="C5:G5"/>
    <mergeCell ref="H5:L5"/>
    <mergeCell ref="A132:B132"/>
    <mergeCell ref="W8:W15"/>
    <mergeCell ref="A30:A33"/>
    <mergeCell ref="A120:A123"/>
    <mergeCell ref="Q45:Q47"/>
    <mergeCell ref="A16:A29"/>
    <mergeCell ref="C30:C33"/>
    <mergeCell ref="D16:D29"/>
    <mergeCell ref="H16:H29"/>
    <mergeCell ref="D30:D33"/>
    <mergeCell ref="H30:H33"/>
    <mergeCell ref="I30:I33"/>
    <mergeCell ref="F45:F47"/>
    <mergeCell ref="G45:G47"/>
    <mergeCell ref="H45:H47"/>
    <mergeCell ref="I45:I47"/>
    <mergeCell ref="A34:A44"/>
    <mergeCell ref="C34:C44"/>
    <mergeCell ref="D34:D44"/>
    <mergeCell ref="H34:H44"/>
    <mergeCell ref="I34:I44"/>
    <mergeCell ref="C16:C29"/>
    <mergeCell ref="R34:R44"/>
    <mergeCell ref="S34:S44"/>
    <mergeCell ref="M34:M44"/>
    <mergeCell ref="N34:N44"/>
    <mergeCell ref="R16:R29"/>
    <mergeCell ref="A8:A15"/>
    <mergeCell ref="C8:C15"/>
    <mergeCell ref="D8:D15"/>
    <mergeCell ref="H8:H15"/>
    <mergeCell ref="I8:I15"/>
    <mergeCell ref="M8:M15"/>
    <mergeCell ref="N8:N15"/>
    <mergeCell ref="W34:W44"/>
    <mergeCell ref="S16:S29"/>
    <mergeCell ref="N45:N47"/>
    <mergeCell ref="O45:O47"/>
    <mergeCell ref="P45:P47"/>
    <mergeCell ref="AB16:AB29"/>
    <mergeCell ref="A48:A104"/>
    <mergeCell ref="A105:A109"/>
    <mergeCell ref="C48:C104"/>
    <mergeCell ref="D48:D104"/>
    <mergeCell ref="E48:E104"/>
    <mergeCell ref="F48:F104"/>
    <mergeCell ref="G48:G104"/>
    <mergeCell ref="H48:H104"/>
    <mergeCell ref="I48:I104"/>
    <mergeCell ref="J48:J104"/>
    <mergeCell ref="K48:K104"/>
    <mergeCell ref="L48:L104"/>
    <mergeCell ref="M48:M104"/>
    <mergeCell ref="N48:N104"/>
    <mergeCell ref="O48:O104"/>
    <mergeCell ref="I16:I29"/>
    <mergeCell ref="M16:M29"/>
    <mergeCell ref="N16:N29"/>
  </mergeCells>
  <printOptions horizontalCentered="1"/>
  <pageMargins left="0.19685039370078741" right="0.19685039370078741" top="0.62992125984251968" bottom="0.59055118110236227" header="0.19685039370078741" footer="0.15748031496062992"/>
  <pageSetup paperSize="8" scale="55" fitToHeight="0" orientation="landscape" r:id="rId1"/>
  <headerFooter alignWithMargins="0"/>
  <rowBreaks count="2" manualBreakCount="2">
    <brk id="44" max="27" man="1"/>
    <brk id="104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E537"/>
  <sheetViews>
    <sheetView showRuler="0" view="pageBreakPreview" topLeftCell="A4" zoomScale="80" zoomScaleNormal="79" zoomScaleSheetLayoutView="80" zoomScalePageLayoutView="80" workbookViewId="0">
      <pane xSplit="8" ySplit="3" topLeftCell="I7" activePane="bottomRight" state="frozen"/>
      <selection activeCell="A4" sqref="A4"/>
      <selection pane="topRight" activeCell="I4" sqref="I4"/>
      <selection pane="bottomLeft" activeCell="A7" sqref="A7"/>
      <selection pane="bottomRight" activeCell="H6" sqref="H6"/>
    </sheetView>
  </sheetViews>
  <sheetFormatPr defaultColWidth="8.6640625" defaultRowHeight="13.2" outlineLevelRow="1" x14ac:dyDescent="0.25"/>
  <cols>
    <col min="1" max="1" width="6.88671875" style="20" customWidth="1"/>
    <col min="2" max="2" width="26.33203125" style="5" customWidth="1"/>
    <col min="3" max="3" width="9" style="253" customWidth="1"/>
    <col min="4" max="4" width="13.5546875" style="2" customWidth="1"/>
    <col min="5" max="5" width="7.6640625" style="2" customWidth="1"/>
    <col min="6" max="6" width="13.33203125" style="2" customWidth="1"/>
    <col min="7" max="7" width="9.5546875" style="2" customWidth="1"/>
    <col min="8" max="8" width="11.109375" style="2" customWidth="1"/>
    <col min="9" max="9" width="10.109375" style="2" customWidth="1"/>
    <col min="10" max="10" width="9" style="2" customWidth="1"/>
    <col min="11" max="11" width="11" style="1" customWidth="1"/>
    <col min="12" max="12" width="8.88671875" style="1" customWidth="1"/>
    <col min="13" max="13" width="10.88671875" style="210" customWidth="1"/>
    <col min="14" max="14" width="10.109375" style="210" customWidth="1"/>
    <col min="15" max="15" width="7.5546875" style="264" customWidth="1"/>
    <col min="16" max="16" width="10.88671875" style="3" customWidth="1"/>
    <col min="17" max="17" width="9" style="3" customWidth="1"/>
    <col min="18" max="18" width="10.88671875" style="210" customWidth="1"/>
    <col min="19" max="19" width="10.109375" style="210" customWidth="1"/>
    <col min="20" max="20" width="7.6640625" style="264" customWidth="1"/>
    <col min="21" max="21" width="12.6640625" style="3" customWidth="1"/>
    <col min="22" max="22" width="9.88671875" style="3" customWidth="1"/>
    <col min="23" max="23" width="12.5546875" style="210" customWidth="1"/>
    <col min="24" max="24" width="10.6640625" style="210" customWidth="1"/>
    <col min="25" max="25" width="8.44140625" style="264" customWidth="1"/>
    <col min="26" max="26" width="11" style="3" customWidth="1"/>
    <col min="27" max="27" width="9.6640625" style="210" customWidth="1"/>
    <col min="28" max="28" width="10.88671875" style="210" customWidth="1"/>
    <col min="29" max="29" width="10.109375" style="210" customWidth="1"/>
    <col min="30" max="30" width="14.33203125" style="21" bestFit="1" customWidth="1"/>
    <col min="31" max="31" width="14.6640625" style="21" customWidth="1"/>
    <col min="32" max="32" width="10.88671875" style="21" bestFit="1" customWidth="1"/>
    <col min="33" max="16384" width="8.6640625" style="21"/>
  </cols>
  <sheetData>
    <row r="1" spans="1:57" s="5" customFormat="1" ht="85.2" customHeight="1" x14ac:dyDescent="0.25">
      <c r="A1" s="86"/>
      <c r="B1" s="87"/>
      <c r="C1" s="254"/>
      <c r="D1" s="87"/>
      <c r="E1" s="254"/>
      <c r="F1" s="87"/>
      <c r="G1" s="87"/>
      <c r="H1" s="87"/>
      <c r="I1" s="87"/>
      <c r="J1" s="254"/>
      <c r="K1" s="87"/>
      <c r="L1" s="87"/>
      <c r="M1" s="87"/>
      <c r="N1" s="87"/>
      <c r="O1" s="254"/>
      <c r="P1" s="87"/>
      <c r="Q1" s="87"/>
      <c r="R1" s="87"/>
      <c r="S1" s="87"/>
      <c r="T1" s="254"/>
      <c r="U1" s="87"/>
      <c r="V1" s="87"/>
      <c r="W1" s="87"/>
      <c r="X1" s="87"/>
      <c r="Y1" s="275"/>
      <c r="Z1" s="442" t="s">
        <v>1043</v>
      </c>
      <c r="AA1" s="442"/>
      <c r="AB1" s="442"/>
      <c r="AC1" s="442"/>
    </row>
    <row r="2" spans="1:57" s="5" customFormat="1" ht="115.2" customHeight="1" x14ac:dyDescent="0.25">
      <c r="A2" s="86"/>
      <c r="B2" s="87"/>
      <c r="C2" s="254"/>
      <c r="D2" s="87"/>
      <c r="E2" s="254"/>
      <c r="F2" s="87"/>
      <c r="G2" s="87"/>
      <c r="H2" s="87"/>
      <c r="I2" s="87"/>
      <c r="J2" s="254"/>
      <c r="K2" s="87"/>
      <c r="L2" s="87"/>
      <c r="M2" s="87"/>
      <c r="N2" s="87"/>
      <c r="O2" s="254"/>
      <c r="P2" s="87"/>
      <c r="Q2" s="87"/>
      <c r="R2" s="87"/>
      <c r="S2" s="87"/>
      <c r="T2" s="254"/>
      <c r="U2" s="87"/>
      <c r="V2" s="87"/>
      <c r="W2" s="87"/>
      <c r="X2" s="87"/>
      <c r="Y2" s="275"/>
      <c r="Z2" s="442" t="s">
        <v>838</v>
      </c>
      <c r="AA2" s="442"/>
      <c r="AB2" s="442"/>
      <c r="AC2" s="442"/>
    </row>
    <row r="3" spans="1:57" s="5" customFormat="1" ht="97.2" customHeight="1" x14ac:dyDescent="0.25">
      <c r="A3" s="463" t="s">
        <v>967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464"/>
      <c r="X3" s="464"/>
      <c r="Y3" s="464"/>
      <c r="Z3" s="464"/>
      <c r="AA3" s="464"/>
      <c r="AB3" s="464"/>
      <c r="AC3" s="464"/>
    </row>
    <row r="4" spans="1:57" s="12" customFormat="1" ht="15.6" customHeight="1" x14ac:dyDescent="0.25">
      <c r="A4" s="453" t="s">
        <v>858</v>
      </c>
      <c r="B4" s="459" t="s">
        <v>0</v>
      </c>
      <c r="C4" s="452" t="s">
        <v>911</v>
      </c>
      <c r="D4" s="452" t="s">
        <v>859</v>
      </c>
      <c r="E4" s="448" t="s">
        <v>81</v>
      </c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49"/>
      <c r="T4" s="449"/>
      <c r="U4" s="449"/>
      <c r="V4" s="449"/>
      <c r="W4" s="449"/>
      <c r="X4" s="449"/>
      <c r="Y4" s="449"/>
      <c r="Z4" s="449"/>
      <c r="AA4" s="449"/>
      <c r="AB4" s="449"/>
      <c r="AC4" s="449"/>
    </row>
    <row r="5" spans="1:57" s="10" customFormat="1" ht="27.45" customHeight="1" x14ac:dyDescent="0.25">
      <c r="A5" s="453"/>
      <c r="B5" s="459"/>
      <c r="C5" s="452"/>
      <c r="D5" s="452"/>
      <c r="E5" s="460" t="s">
        <v>109</v>
      </c>
      <c r="F5" s="460"/>
      <c r="G5" s="460"/>
      <c r="H5" s="460"/>
      <c r="I5" s="460"/>
      <c r="J5" s="458" t="s">
        <v>110</v>
      </c>
      <c r="K5" s="458"/>
      <c r="L5" s="458"/>
      <c r="M5" s="458"/>
      <c r="N5" s="458"/>
      <c r="O5" s="458" t="s">
        <v>111</v>
      </c>
      <c r="P5" s="458"/>
      <c r="Q5" s="458"/>
      <c r="R5" s="458"/>
      <c r="S5" s="458"/>
      <c r="T5" s="458" t="s">
        <v>112</v>
      </c>
      <c r="U5" s="458"/>
      <c r="V5" s="458"/>
      <c r="W5" s="458"/>
      <c r="X5" s="458"/>
      <c r="Y5" s="458" t="s">
        <v>113</v>
      </c>
      <c r="Z5" s="461"/>
      <c r="AA5" s="461"/>
      <c r="AB5" s="461"/>
      <c r="AC5" s="462"/>
    </row>
    <row r="6" spans="1:57" s="10" customFormat="1" ht="64.2" customHeight="1" x14ac:dyDescent="0.25">
      <c r="A6" s="453"/>
      <c r="B6" s="459"/>
      <c r="C6" s="452"/>
      <c r="D6" s="452"/>
      <c r="E6" s="226" t="s">
        <v>911</v>
      </c>
      <c r="F6" s="213" t="s">
        <v>12</v>
      </c>
      <c r="G6" s="213" t="s">
        <v>860</v>
      </c>
      <c r="H6" s="23" t="s">
        <v>13</v>
      </c>
      <c r="I6" s="347" t="s">
        <v>65</v>
      </c>
      <c r="J6" s="226" t="s">
        <v>911</v>
      </c>
      <c r="K6" s="213" t="s">
        <v>12</v>
      </c>
      <c r="L6" s="213" t="s">
        <v>860</v>
      </c>
      <c r="M6" s="212" t="s">
        <v>13</v>
      </c>
      <c r="N6" s="212" t="s">
        <v>65</v>
      </c>
      <c r="O6" s="226" t="s">
        <v>911</v>
      </c>
      <c r="P6" s="213" t="s">
        <v>12</v>
      </c>
      <c r="Q6" s="213" t="s">
        <v>860</v>
      </c>
      <c r="R6" s="212" t="s">
        <v>13</v>
      </c>
      <c r="S6" s="212" t="s">
        <v>65</v>
      </c>
      <c r="T6" s="226" t="s">
        <v>911</v>
      </c>
      <c r="U6" s="213" t="s">
        <v>12</v>
      </c>
      <c r="V6" s="213" t="s">
        <v>860</v>
      </c>
      <c r="W6" s="212" t="s">
        <v>13</v>
      </c>
      <c r="X6" s="212" t="s">
        <v>65</v>
      </c>
      <c r="Y6" s="226" t="s">
        <v>911</v>
      </c>
      <c r="Z6" s="213" t="s">
        <v>12</v>
      </c>
      <c r="AA6" s="213" t="s">
        <v>860</v>
      </c>
      <c r="AB6" s="212" t="s">
        <v>861</v>
      </c>
      <c r="AC6" s="212" t="s">
        <v>152</v>
      </c>
    </row>
    <row r="7" spans="1:57" s="5" customFormat="1" ht="22.35" customHeight="1" x14ac:dyDescent="0.25">
      <c r="A7" s="211">
        <v>1</v>
      </c>
      <c r="B7" s="24">
        <v>2</v>
      </c>
      <c r="C7" s="383">
        <v>3</v>
      </c>
      <c r="D7" s="383">
        <v>4</v>
      </c>
      <c r="E7" s="383">
        <v>5</v>
      </c>
      <c r="F7" s="383">
        <v>6</v>
      </c>
      <c r="G7" s="383">
        <v>7</v>
      </c>
      <c r="H7" s="383">
        <v>8</v>
      </c>
      <c r="I7" s="383">
        <v>9</v>
      </c>
      <c r="J7" s="383">
        <v>10</v>
      </c>
      <c r="K7" s="383">
        <v>11</v>
      </c>
      <c r="L7" s="383">
        <v>12</v>
      </c>
      <c r="M7" s="25">
        <v>13</v>
      </c>
      <c r="N7" s="25">
        <v>14</v>
      </c>
      <c r="O7" s="25">
        <v>15</v>
      </c>
      <c r="P7" s="25">
        <v>16</v>
      </c>
      <c r="Q7" s="25">
        <v>17</v>
      </c>
      <c r="R7" s="25">
        <v>18</v>
      </c>
      <c r="S7" s="25">
        <v>19</v>
      </c>
      <c r="T7" s="25">
        <v>20</v>
      </c>
      <c r="U7" s="25">
        <v>21</v>
      </c>
      <c r="V7" s="25">
        <v>22</v>
      </c>
      <c r="W7" s="25">
        <v>23</v>
      </c>
      <c r="X7" s="25">
        <v>24</v>
      </c>
      <c r="Y7" s="25">
        <v>25</v>
      </c>
      <c r="Z7" s="25">
        <v>26</v>
      </c>
      <c r="AA7" s="25">
        <v>27</v>
      </c>
      <c r="AB7" s="25">
        <v>28</v>
      </c>
      <c r="AC7" s="25">
        <v>29</v>
      </c>
    </row>
    <row r="8" spans="1:57" s="27" customFormat="1" ht="21" customHeight="1" x14ac:dyDescent="0.25">
      <c r="A8" s="451" t="s">
        <v>1256</v>
      </c>
      <c r="B8" s="451"/>
      <c r="C8" s="451"/>
      <c r="D8" s="451"/>
      <c r="E8" s="451"/>
      <c r="F8" s="451"/>
      <c r="G8" s="451"/>
      <c r="H8" s="451"/>
      <c r="I8" s="451"/>
      <c r="J8" s="451"/>
      <c r="K8" s="451"/>
      <c r="L8" s="451"/>
      <c r="M8" s="451"/>
      <c r="N8" s="451"/>
      <c r="O8" s="451"/>
      <c r="P8" s="451"/>
      <c r="Q8" s="451"/>
      <c r="R8" s="451"/>
      <c r="S8" s="451"/>
      <c r="T8" s="451"/>
      <c r="U8" s="451"/>
      <c r="V8" s="451"/>
      <c r="W8" s="451"/>
      <c r="X8" s="451"/>
      <c r="Y8" s="451"/>
      <c r="Z8" s="451"/>
      <c r="AA8" s="451"/>
      <c r="AB8" s="451"/>
      <c r="AC8" s="451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</row>
    <row r="9" spans="1:57" s="215" customFormat="1" ht="91.2" customHeight="1" x14ac:dyDescent="0.25">
      <c r="A9" s="90" t="s">
        <v>1</v>
      </c>
      <c r="B9" s="120" t="s">
        <v>862</v>
      </c>
      <c r="C9" s="250">
        <f>E9+J9+O9+T9+Y9</f>
        <v>0.55000000000000004</v>
      </c>
      <c r="D9" s="88">
        <f>F9+K9+P9+U9+Z9</f>
        <v>95677</v>
      </c>
      <c r="E9" s="250">
        <f t="shared" ref="E9:AC9" si="0">E10+E11+E12</f>
        <v>0</v>
      </c>
      <c r="F9" s="88">
        <f t="shared" si="0"/>
        <v>0</v>
      </c>
      <c r="G9" s="88">
        <f t="shared" si="0"/>
        <v>0</v>
      </c>
      <c r="H9" s="88">
        <f t="shared" si="0"/>
        <v>0</v>
      </c>
      <c r="I9" s="88">
        <f t="shared" si="0"/>
        <v>0</v>
      </c>
      <c r="J9" s="250">
        <f t="shared" si="0"/>
        <v>0</v>
      </c>
      <c r="K9" s="88">
        <f t="shared" si="0"/>
        <v>0</v>
      </c>
      <c r="L9" s="88">
        <f t="shared" si="0"/>
        <v>0</v>
      </c>
      <c r="M9" s="88">
        <f t="shared" si="0"/>
        <v>0</v>
      </c>
      <c r="N9" s="88">
        <f t="shared" si="0"/>
        <v>0</v>
      </c>
      <c r="O9" s="250">
        <f t="shared" si="0"/>
        <v>0</v>
      </c>
      <c r="P9" s="88">
        <f t="shared" si="0"/>
        <v>0</v>
      </c>
      <c r="Q9" s="88">
        <f t="shared" si="0"/>
        <v>0</v>
      </c>
      <c r="R9" s="88">
        <f t="shared" si="0"/>
        <v>0</v>
      </c>
      <c r="S9" s="88">
        <f t="shared" si="0"/>
        <v>0</v>
      </c>
      <c r="T9" s="250">
        <f t="shared" si="0"/>
        <v>0.55000000000000004</v>
      </c>
      <c r="U9" s="88">
        <f t="shared" si="0"/>
        <v>95677</v>
      </c>
      <c r="V9" s="88">
        <f t="shared" si="0"/>
        <v>0</v>
      </c>
      <c r="W9" s="88">
        <f t="shared" si="0"/>
        <v>88190</v>
      </c>
      <c r="X9" s="88">
        <f t="shared" si="0"/>
        <v>7487</v>
      </c>
      <c r="Y9" s="250">
        <f t="shared" si="0"/>
        <v>0</v>
      </c>
      <c r="Z9" s="88">
        <f t="shared" si="0"/>
        <v>0</v>
      </c>
      <c r="AA9" s="88">
        <f t="shared" si="0"/>
        <v>0</v>
      </c>
      <c r="AB9" s="88">
        <f t="shared" si="0"/>
        <v>0</v>
      </c>
      <c r="AC9" s="88">
        <f t="shared" si="0"/>
        <v>0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1" customFormat="1" ht="85.2" customHeight="1" outlineLevel="1" x14ac:dyDescent="0.25">
      <c r="A10" s="15" t="s">
        <v>19</v>
      </c>
      <c r="B10" s="100" t="s">
        <v>863</v>
      </c>
      <c r="C10" s="255">
        <f t="shared" ref="C10:C20" si="1">E10+J10+O10+T10+Y10</f>
        <v>0.55000000000000004</v>
      </c>
      <c r="D10" s="227">
        <f t="shared" ref="D10:D36" si="2">F10+K10+P10+U10+Z10</f>
        <v>92637</v>
      </c>
      <c r="E10" s="255">
        <v>0</v>
      </c>
      <c r="F10" s="227">
        <v>0</v>
      </c>
      <c r="G10" s="227">
        <v>0</v>
      </c>
      <c r="H10" s="227">
        <v>0</v>
      </c>
      <c r="I10" s="227">
        <v>0</v>
      </c>
      <c r="J10" s="259">
        <v>0</v>
      </c>
      <c r="K10" s="227">
        <f>SUM(L10:N10)</f>
        <v>0</v>
      </c>
      <c r="L10" s="227">
        <v>0</v>
      </c>
      <c r="M10" s="228">
        <v>0</v>
      </c>
      <c r="N10" s="228">
        <v>0</v>
      </c>
      <c r="O10" s="259">
        <v>0</v>
      </c>
      <c r="P10" s="227">
        <v>0</v>
      </c>
      <c r="Q10" s="228">
        <v>0</v>
      </c>
      <c r="R10" s="228">
        <v>0</v>
      </c>
      <c r="S10" s="228">
        <v>0</v>
      </c>
      <c r="T10" s="259">
        <v>0.55000000000000004</v>
      </c>
      <c r="U10" s="227">
        <f>W10+X10+V10</f>
        <v>92637</v>
      </c>
      <c r="V10" s="228">
        <v>0</v>
      </c>
      <c r="W10" s="228">
        <v>88190</v>
      </c>
      <c r="X10" s="228">
        <v>4447</v>
      </c>
      <c r="Y10" s="259">
        <v>0</v>
      </c>
      <c r="Z10" s="227">
        <f>AB10+AC10+AA10</f>
        <v>0</v>
      </c>
      <c r="AA10" s="228">
        <v>0</v>
      </c>
      <c r="AB10" s="228">
        <v>0</v>
      </c>
      <c r="AC10" s="228">
        <v>0</v>
      </c>
    </row>
    <row r="11" spans="1:57" s="1" customFormat="1" ht="101.4" customHeight="1" outlineLevel="1" x14ac:dyDescent="0.25">
      <c r="A11" s="15" t="s">
        <v>86</v>
      </c>
      <c r="B11" s="100" t="s">
        <v>864</v>
      </c>
      <c r="C11" s="255">
        <f t="shared" si="1"/>
        <v>0</v>
      </c>
      <c r="D11" s="227">
        <f t="shared" si="2"/>
        <v>2082</v>
      </c>
      <c r="E11" s="255">
        <v>0</v>
      </c>
      <c r="F11" s="227">
        <f>H11+I11</f>
        <v>0</v>
      </c>
      <c r="G11" s="227">
        <v>0</v>
      </c>
      <c r="H11" s="227">
        <v>0</v>
      </c>
      <c r="I11" s="227">
        <v>0</v>
      </c>
      <c r="J11" s="259">
        <v>0</v>
      </c>
      <c r="K11" s="227">
        <f>SUM(L11:N11)</f>
        <v>0</v>
      </c>
      <c r="L11" s="227">
        <v>0</v>
      </c>
      <c r="M11" s="228">
        <v>0</v>
      </c>
      <c r="N11" s="228">
        <v>0</v>
      </c>
      <c r="O11" s="259">
        <v>0</v>
      </c>
      <c r="P11" s="227">
        <f>R11+S11</f>
        <v>0</v>
      </c>
      <c r="Q11" s="228">
        <v>0</v>
      </c>
      <c r="R11" s="228">
        <v>0</v>
      </c>
      <c r="S11" s="228">
        <v>0</v>
      </c>
      <c r="T11" s="259">
        <v>0</v>
      </c>
      <c r="U11" s="227">
        <f>W11+X11</f>
        <v>2082</v>
      </c>
      <c r="V11" s="228">
        <v>0</v>
      </c>
      <c r="W11" s="228">
        <v>0</v>
      </c>
      <c r="X11" s="228">
        <v>2082</v>
      </c>
      <c r="Y11" s="259">
        <v>0</v>
      </c>
      <c r="Z11" s="227">
        <f>AB11+AC11</f>
        <v>0</v>
      </c>
      <c r="AA11" s="228">
        <v>0</v>
      </c>
      <c r="AB11" s="228">
        <v>0</v>
      </c>
      <c r="AC11" s="228">
        <v>0</v>
      </c>
    </row>
    <row r="12" spans="1:57" s="1" customFormat="1" ht="99.6" customHeight="1" outlineLevel="1" x14ac:dyDescent="0.25">
      <c r="A12" s="15" t="s">
        <v>114</v>
      </c>
      <c r="B12" s="100" t="s">
        <v>865</v>
      </c>
      <c r="C12" s="255">
        <f t="shared" si="1"/>
        <v>0</v>
      </c>
      <c r="D12" s="227">
        <f t="shared" si="2"/>
        <v>958</v>
      </c>
      <c r="E12" s="255">
        <v>0</v>
      </c>
      <c r="F12" s="227">
        <v>0</v>
      </c>
      <c r="G12" s="227">
        <v>0</v>
      </c>
      <c r="H12" s="227">
        <v>0</v>
      </c>
      <c r="I12" s="227">
        <v>0</v>
      </c>
      <c r="J12" s="259">
        <v>0</v>
      </c>
      <c r="K12" s="227">
        <f>SUM(L12:N12)</f>
        <v>0</v>
      </c>
      <c r="L12" s="227">
        <v>0</v>
      </c>
      <c r="M12" s="228">
        <v>0</v>
      </c>
      <c r="N12" s="228">
        <v>0</v>
      </c>
      <c r="O12" s="259">
        <v>0</v>
      </c>
      <c r="P12" s="227">
        <f>R12+S12</f>
        <v>0</v>
      </c>
      <c r="Q12" s="228">
        <v>0</v>
      </c>
      <c r="R12" s="228">
        <v>0</v>
      </c>
      <c r="S12" s="228">
        <v>0</v>
      </c>
      <c r="T12" s="259">
        <v>0</v>
      </c>
      <c r="U12" s="227">
        <f>W12+X12</f>
        <v>958</v>
      </c>
      <c r="V12" s="228">
        <v>0</v>
      </c>
      <c r="W12" s="228">
        <v>0</v>
      </c>
      <c r="X12" s="228">
        <v>958</v>
      </c>
      <c r="Y12" s="259">
        <v>0</v>
      </c>
      <c r="Z12" s="227">
        <f>AB12+AC12</f>
        <v>0</v>
      </c>
      <c r="AA12" s="228">
        <v>0</v>
      </c>
      <c r="AB12" s="228">
        <v>0</v>
      </c>
      <c r="AC12" s="228">
        <v>0</v>
      </c>
    </row>
    <row r="13" spans="1:57" s="216" customFormat="1" ht="53.25" customHeight="1" x14ac:dyDescent="0.25">
      <c r="A13" s="90" t="s">
        <v>62</v>
      </c>
      <c r="B13" s="120" t="s">
        <v>1021</v>
      </c>
      <c r="C13" s="250">
        <f t="shared" si="1"/>
        <v>1</v>
      </c>
      <c r="D13" s="88">
        <f>F13+K13+P13+U13+Z13</f>
        <v>87301</v>
      </c>
      <c r="E13" s="250">
        <f>E14+E15+E16</f>
        <v>0</v>
      </c>
      <c r="F13" s="88">
        <f t="shared" ref="F13:AC13" si="3">F14+F15+F16</f>
        <v>0</v>
      </c>
      <c r="G13" s="88">
        <f t="shared" si="3"/>
        <v>0</v>
      </c>
      <c r="H13" s="88">
        <f t="shared" si="3"/>
        <v>0</v>
      </c>
      <c r="I13" s="88">
        <f t="shared" si="3"/>
        <v>0</v>
      </c>
      <c r="J13" s="250">
        <f t="shared" si="3"/>
        <v>1</v>
      </c>
      <c r="K13" s="88">
        <f t="shared" si="3"/>
        <v>87301</v>
      </c>
      <c r="L13" s="88">
        <f t="shared" si="3"/>
        <v>0</v>
      </c>
      <c r="M13" s="88">
        <f t="shared" si="3"/>
        <v>83110</v>
      </c>
      <c r="N13" s="88">
        <f t="shared" si="3"/>
        <v>4191</v>
      </c>
      <c r="O13" s="250">
        <f>O14+O15+O16</f>
        <v>0</v>
      </c>
      <c r="P13" s="88">
        <f t="shared" si="3"/>
        <v>0</v>
      </c>
      <c r="Q13" s="88">
        <f t="shared" si="3"/>
        <v>0</v>
      </c>
      <c r="R13" s="88">
        <f t="shared" si="3"/>
        <v>0</v>
      </c>
      <c r="S13" s="88">
        <f t="shared" si="3"/>
        <v>0</v>
      </c>
      <c r="T13" s="250">
        <f t="shared" si="3"/>
        <v>0</v>
      </c>
      <c r="U13" s="88">
        <f t="shared" si="3"/>
        <v>0</v>
      </c>
      <c r="V13" s="88">
        <f t="shared" si="3"/>
        <v>0</v>
      </c>
      <c r="W13" s="88">
        <f t="shared" si="3"/>
        <v>0</v>
      </c>
      <c r="X13" s="88">
        <f t="shared" si="3"/>
        <v>0</v>
      </c>
      <c r="Y13" s="250">
        <f t="shared" si="3"/>
        <v>0</v>
      </c>
      <c r="Z13" s="88">
        <f t="shared" si="3"/>
        <v>0</v>
      </c>
      <c r="AA13" s="88">
        <f t="shared" si="3"/>
        <v>0</v>
      </c>
      <c r="AB13" s="88">
        <f t="shared" si="3"/>
        <v>0</v>
      </c>
      <c r="AC13" s="88">
        <f t="shared" si="3"/>
        <v>0</v>
      </c>
    </row>
    <row r="14" spans="1:57" s="1" customFormat="1" ht="52.2" customHeight="1" outlineLevel="1" x14ac:dyDescent="0.25">
      <c r="A14" s="15" t="s">
        <v>63</v>
      </c>
      <c r="B14" s="100" t="s">
        <v>1021</v>
      </c>
      <c r="C14" s="255">
        <f t="shared" si="1"/>
        <v>1</v>
      </c>
      <c r="D14" s="227">
        <f>F14+K14+P14+U14+Z14</f>
        <v>87301</v>
      </c>
      <c r="E14" s="255">
        <v>0</v>
      </c>
      <c r="F14" s="227">
        <v>0</v>
      </c>
      <c r="G14" s="227">
        <v>0</v>
      </c>
      <c r="H14" s="227">
        <v>0</v>
      </c>
      <c r="I14" s="227">
        <v>0</v>
      </c>
      <c r="J14" s="259">
        <v>1</v>
      </c>
      <c r="K14" s="227">
        <v>87301</v>
      </c>
      <c r="L14" s="227">
        <v>0</v>
      </c>
      <c r="M14" s="228">
        <v>83110</v>
      </c>
      <c r="N14" s="228">
        <v>4191</v>
      </c>
      <c r="O14" s="259">
        <v>0</v>
      </c>
      <c r="P14" s="228">
        <f>Q14+R14+S14</f>
        <v>0</v>
      </c>
      <c r="Q14" s="228">
        <v>0</v>
      </c>
      <c r="R14" s="228">
        <v>0</v>
      </c>
      <c r="S14" s="228">
        <v>0</v>
      </c>
      <c r="T14" s="259">
        <v>0</v>
      </c>
      <c r="U14" s="228">
        <v>0</v>
      </c>
      <c r="V14" s="228">
        <v>0</v>
      </c>
      <c r="W14" s="228">
        <v>0</v>
      </c>
      <c r="X14" s="228">
        <v>0</v>
      </c>
      <c r="Y14" s="259">
        <v>0</v>
      </c>
      <c r="Z14" s="228">
        <v>0</v>
      </c>
      <c r="AA14" s="228">
        <v>0</v>
      </c>
      <c r="AB14" s="228">
        <v>0</v>
      </c>
      <c r="AC14" s="228">
        <v>0</v>
      </c>
    </row>
    <row r="15" spans="1:57" s="1" customFormat="1" ht="84.75" customHeight="1" outlineLevel="1" x14ac:dyDescent="0.25">
      <c r="A15" s="15" t="s">
        <v>64</v>
      </c>
      <c r="B15" s="100" t="s">
        <v>1022</v>
      </c>
      <c r="C15" s="255">
        <f t="shared" si="1"/>
        <v>0</v>
      </c>
      <c r="D15" s="227">
        <f>F15+K15+P15+U15+Z15</f>
        <v>0</v>
      </c>
      <c r="E15" s="255">
        <v>0</v>
      </c>
      <c r="F15" s="227">
        <v>0</v>
      </c>
      <c r="G15" s="227">
        <v>0</v>
      </c>
      <c r="H15" s="227">
        <v>0</v>
      </c>
      <c r="I15" s="227">
        <v>0</v>
      </c>
      <c r="J15" s="259">
        <v>0</v>
      </c>
      <c r="K15" s="227">
        <f>SUM(L15:N15)</f>
        <v>0</v>
      </c>
      <c r="L15" s="227">
        <v>0</v>
      </c>
      <c r="M15" s="228">
        <v>0</v>
      </c>
      <c r="N15" s="228">
        <v>0</v>
      </c>
      <c r="O15" s="259">
        <v>0</v>
      </c>
      <c r="P15" s="228">
        <v>0</v>
      </c>
      <c r="Q15" s="228">
        <v>0</v>
      </c>
      <c r="R15" s="228">
        <v>0</v>
      </c>
      <c r="S15" s="228">
        <v>0</v>
      </c>
      <c r="T15" s="259">
        <v>0</v>
      </c>
      <c r="U15" s="228">
        <v>0</v>
      </c>
      <c r="V15" s="228">
        <v>0</v>
      </c>
      <c r="W15" s="228">
        <v>0</v>
      </c>
      <c r="X15" s="228">
        <v>0</v>
      </c>
      <c r="Y15" s="259">
        <v>0</v>
      </c>
      <c r="Z15" s="228">
        <v>0</v>
      </c>
      <c r="AA15" s="228">
        <v>0</v>
      </c>
      <c r="AB15" s="228">
        <v>0</v>
      </c>
      <c r="AC15" s="228">
        <v>0</v>
      </c>
    </row>
    <row r="16" spans="1:57" s="1" customFormat="1" ht="84" customHeight="1" outlineLevel="1" x14ac:dyDescent="0.25">
      <c r="A16" s="15" t="s">
        <v>101</v>
      </c>
      <c r="B16" s="100" t="s">
        <v>1023</v>
      </c>
      <c r="C16" s="255">
        <f t="shared" si="1"/>
        <v>0</v>
      </c>
      <c r="D16" s="227">
        <f>F16+K16+P16+U16+Z16</f>
        <v>0</v>
      </c>
      <c r="E16" s="255">
        <f>H16+L16+Q16+V16</f>
        <v>0</v>
      </c>
      <c r="F16" s="227">
        <v>0</v>
      </c>
      <c r="G16" s="227">
        <v>0</v>
      </c>
      <c r="H16" s="227">
        <v>0</v>
      </c>
      <c r="I16" s="227">
        <v>0</v>
      </c>
      <c r="J16" s="259">
        <v>0</v>
      </c>
      <c r="K16" s="227">
        <f>SUM(L16:N16)</f>
        <v>0</v>
      </c>
      <c r="L16" s="227">
        <v>0</v>
      </c>
      <c r="M16" s="228">
        <v>0</v>
      </c>
      <c r="N16" s="228">
        <v>0</v>
      </c>
      <c r="O16" s="259">
        <v>0</v>
      </c>
      <c r="P16" s="228">
        <v>0</v>
      </c>
      <c r="Q16" s="228">
        <v>0</v>
      </c>
      <c r="R16" s="228">
        <v>0</v>
      </c>
      <c r="S16" s="228">
        <v>0</v>
      </c>
      <c r="T16" s="259">
        <v>0</v>
      </c>
      <c r="U16" s="228">
        <v>0</v>
      </c>
      <c r="V16" s="228">
        <v>0</v>
      </c>
      <c r="W16" s="228">
        <v>0</v>
      </c>
      <c r="X16" s="228">
        <v>0</v>
      </c>
      <c r="Y16" s="259">
        <v>0</v>
      </c>
      <c r="Z16" s="228">
        <v>0</v>
      </c>
      <c r="AA16" s="228">
        <v>0</v>
      </c>
      <c r="AB16" s="228">
        <v>0</v>
      </c>
      <c r="AC16" s="228">
        <v>0</v>
      </c>
    </row>
    <row r="17" spans="1:45" s="1" customFormat="1" ht="65.400000000000006" customHeight="1" x14ac:dyDescent="0.25">
      <c r="A17" s="88" t="s">
        <v>87</v>
      </c>
      <c r="B17" s="120" t="s">
        <v>115</v>
      </c>
      <c r="C17" s="250">
        <f t="shared" si="1"/>
        <v>4.5</v>
      </c>
      <c r="D17" s="88">
        <f>F17+K17+P17+U17+Z17</f>
        <v>451067</v>
      </c>
      <c r="E17" s="250">
        <f>E18+E19+E20</f>
        <v>0</v>
      </c>
      <c r="F17" s="88">
        <f t="shared" ref="F17:AC17" si="4">F18+F19+F20</f>
        <v>0</v>
      </c>
      <c r="G17" s="88">
        <f t="shared" si="4"/>
        <v>0</v>
      </c>
      <c r="H17" s="88">
        <f t="shared" si="4"/>
        <v>0</v>
      </c>
      <c r="I17" s="88">
        <f t="shared" si="4"/>
        <v>0</v>
      </c>
      <c r="J17" s="250">
        <v>0</v>
      </c>
      <c r="K17" s="88">
        <v>0</v>
      </c>
      <c r="L17" s="88">
        <f t="shared" si="4"/>
        <v>0</v>
      </c>
      <c r="M17" s="88">
        <f t="shared" si="4"/>
        <v>0</v>
      </c>
      <c r="N17" s="88">
        <v>0</v>
      </c>
      <c r="O17" s="250">
        <f t="shared" si="4"/>
        <v>0</v>
      </c>
      <c r="P17" s="88">
        <f t="shared" si="4"/>
        <v>0</v>
      </c>
      <c r="Q17" s="88">
        <f t="shared" si="4"/>
        <v>0</v>
      </c>
      <c r="R17" s="88">
        <f t="shared" si="4"/>
        <v>0</v>
      </c>
      <c r="S17" s="88">
        <f t="shared" si="4"/>
        <v>0</v>
      </c>
      <c r="T17" s="250">
        <f t="shared" si="4"/>
        <v>4.5</v>
      </c>
      <c r="U17" s="88">
        <f t="shared" si="4"/>
        <v>451067</v>
      </c>
      <c r="V17" s="88">
        <f t="shared" si="4"/>
        <v>0</v>
      </c>
      <c r="W17" s="88">
        <f t="shared" si="4"/>
        <v>425370</v>
      </c>
      <c r="X17" s="88">
        <f t="shared" si="4"/>
        <v>25697</v>
      </c>
      <c r="Y17" s="250">
        <f t="shared" si="4"/>
        <v>0</v>
      </c>
      <c r="Z17" s="88">
        <f t="shared" si="4"/>
        <v>0</v>
      </c>
      <c r="AA17" s="88">
        <f t="shared" si="4"/>
        <v>0</v>
      </c>
      <c r="AB17" s="88">
        <f t="shared" si="4"/>
        <v>0</v>
      </c>
      <c r="AC17" s="88">
        <f t="shared" si="4"/>
        <v>0</v>
      </c>
    </row>
    <row r="18" spans="1:45" s="5" customFormat="1" ht="69" customHeight="1" outlineLevel="1" x14ac:dyDescent="0.25">
      <c r="A18" s="15" t="s">
        <v>776</v>
      </c>
      <c r="B18" s="100" t="s">
        <v>171</v>
      </c>
      <c r="C18" s="255">
        <f t="shared" si="1"/>
        <v>4.5</v>
      </c>
      <c r="D18" s="227">
        <f t="shared" si="2"/>
        <v>446817</v>
      </c>
      <c r="E18" s="255">
        <v>0</v>
      </c>
      <c r="F18" s="227">
        <v>0</v>
      </c>
      <c r="G18" s="227">
        <v>0</v>
      </c>
      <c r="H18" s="227">
        <v>0</v>
      </c>
      <c r="I18" s="227">
        <v>0</v>
      </c>
      <c r="J18" s="255">
        <v>0</v>
      </c>
      <c r="K18" s="227">
        <f t="shared" ref="K18:K36" si="5">SUM(L18:N18)</f>
        <v>0</v>
      </c>
      <c r="L18" s="227">
        <v>0</v>
      </c>
      <c r="M18" s="228">
        <v>0</v>
      </c>
      <c r="N18" s="228">
        <v>0</v>
      </c>
      <c r="O18" s="259">
        <v>0</v>
      </c>
      <c r="P18" s="228">
        <v>0</v>
      </c>
      <c r="Q18" s="228">
        <v>0</v>
      </c>
      <c r="R18" s="228">
        <v>0</v>
      </c>
      <c r="S18" s="228">
        <v>0</v>
      </c>
      <c r="T18" s="259">
        <v>4.5</v>
      </c>
      <c r="U18" s="229">
        <v>446817</v>
      </c>
      <c r="V18" s="229">
        <v>0</v>
      </c>
      <c r="W18" s="229">
        <v>425370</v>
      </c>
      <c r="X18" s="229">
        <v>21447</v>
      </c>
      <c r="Y18" s="226">
        <f>4.5-4.5</f>
        <v>0</v>
      </c>
      <c r="Z18" s="228">
        <f>AB18+AC18</f>
        <v>0</v>
      </c>
      <c r="AA18" s="228">
        <v>0</v>
      </c>
      <c r="AB18" s="228">
        <f>ROUND(446816.91*0.959,1)-428497.4</f>
        <v>0</v>
      </c>
      <c r="AC18" s="228">
        <f>ROUND(446816.91*0.041,1)-18319.5</f>
        <v>0</v>
      </c>
    </row>
    <row r="19" spans="1:45" s="5" customFormat="1" ht="84.6" customHeight="1" outlineLevel="1" x14ac:dyDescent="0.25">
      <c r="A19" s="15" t="s">
        <v>88</v>
      </c>
      <c r="B19" s="100" t="s">
        <v>116</v>
      </c>
      <c r="C19" s="255">
        <f t="shared" si="1"/>
        <v>0</v>
      </c>
      <c r="D19" s="227">
        <f t="shared" si="2"/>
        <v>3150</v>
      </c>
      <c r="E19" s="255">
        <v>0</v>
      </c>
      <c r="F19" s="227">
        <v>0</v>
      </c>
      <c r="G19" s="227">
        <v>0</v>
      </c>
      <c r="H19" s="227">
        <v>0</v>
      </c>
      <c r="I19" s="227">
        <v>0</v>
      </c>
      <c r="J19" s="255">
        <v>0</v>
      </c>
      <c r="K19" s="227">
        <v>0</v>
      </c>
      <c r="L19" s="227">
        <v>0</v>
      </c>
      <c r="M19" s="228">
        <v>0</v>
      </c>
      <c r="N19" s="228">
        <v>0</v>
      </c>
      <c r="O19" s="259">
        <v>0</v>
      </c>
      <c r="P19" s="228">
        <v>0</v>
      </c>
      <c r="Q19" s="228">
        <v>0</v>
      </c>
      <c r="R19" s="228">
        <v>0</v>
      </c>
      <c r="S19" s="228">
        <v>0</v>
      </c>
      <c r="T19" s="259">
        <v>0</v>
      </c>
      <c r="U19" s="229">
        <f>X19</f>
        <v>3150</v>
      </c>
      <c r="V19" s="229">
        <v>0</v>
      </c>
      <c r="W19" s="229">
        <v>0</v>
      </c>
      <c r="X19" s="229">
        <v>3150</v>
      </c>
      <c r="Y19" s="226">
        <v>0</v>
      </c>
      <c r="Z19" s="228">
        <f>-AA19+AB19+AC19</f>
        <v>0</v>
      </c>
      <c r="AA19" s="228">
        <v>0</v>
      </c>
      <c r="AB19" s="228">
        <v>0</v>
      </c>
      <c r="AC19" s="228">
        <f>3150-3150</f>
        <v>0</v>
      </c>
    </row>
    <row r="20" spans="1:45" s="5" customFormat="1" ht="89.4" customHeight="1" outlineLevel="1" x14ac:dyDescent="0.25">
      <c r="A20" s="15" t="s">
        <v>89</v>
      </c>
      <c r="B20" s="100" t="s">
        <v>172</v>
      </c>
      <c r="C20" s="255">
        <f t="shared" si="1"/>
        <v>0</v>
      </c>
      <c r="D20" s="227">
        <f t="shared" si="2"/>
        <v>1100</v>
      </c>
      <c r="E20" s="255">
        <v>0</v>
      </c>
      <c r="F20" s="227">
        <v>0</v>
      </c>
      <c r="G20" s="227">
        <v>0</v>
      </c>
      <c r="H20" s="227">
        <v>0</v>
      </c>
      <c r="I20" s="227">
        <v>0</v>
      </c>
      <c r="J20" s="255">
        <v>0</v>
      </c>
      <c r="K20" s="227">
        <v>0</v>
      </c>
      <c r="L20" s="227">
        <v>0</v>
      </c>
      <c r="M20" s="228">
        <v>0</v>
      </c>
      <c r="N20" s="228">
        <v>0</v>
      </c>
      <c r="O20" s="259">
        <v>0</v>
      </c>
      <c r="P20" s="228">
        <v>0</v>
      </c>
      <c r="Q20" s="228">
        <v>0</v>
      </c>
      <c r="R20" s="228">
        <v>0</v>
      </c>
      <c r="S20" s="228">
        <v>0</v>
      </c>
      <c r="T20" s="259">
        <v>0</v>
      </c>
      <c r="U20" s="229">
        <f>X20</f>
        <v>1100</v>
      </c>
      <c r="V20" s="229">
        <v>0</v>
      </c>
      <c r="W20" s="229">
        <v>0</v>
      </c>
      <c r="X20" s="229">
        <v>1100</v>
      </c>
      <c r="Y20" s="226">
        <v>0</v>
      </c>
      <c r="Z20" s="228">
        <f>AA20+AB20+AC20</f>
        <v>0</v>
      </c>
      <c r="AA20" s="228">
        <v>0</v>
      </c>
      <c r="AB20" s="228">
        <v>0</v>
      </c>
      <c r="AC20" s="228">
        <f>1100-1100</f>
        <v>0</v>
      </c>
    </row>
    <row r="21" spans="1:45" s="215" customFormat="1" ht="96.75" customHeight="1" x14ac:dyDescent="0.25">
      <c r="A21" s="88" t="s">
        <v>90</v>
      </c>
      <c r="B21" s="121" t="s">
        <v>117</v>
      </c>
      <c r="C21" s="250">
        <f>E21+J21+O21++T21+Y21</f>
        <v>0.1</v>
      </c>
      <c r="D21" s="88">
        <f t="shared" si="2"/>
        <v>7884</v>
      </c>
      <c r="E21" s="250">
        <f t="shared" ref="E21:N21" si="6">E22+E23+E24</f>
        <v>0</v>
      </c>
      <c r="F21" s="88">
        <f t="shared" si="6"/>
        <v>0</v>
      </c>
      <c r="G21" s="88">
        <f t="shared" si="6"/>
        <v>0</v>
      </c>
      <c r="H21" s="88">
        <f t="shared" si="6"/>
        <v>0</v>
      </c>
      <c r="I21" s="88">
        <f t="shared" si="6"/>
        <v>0</v>
      </c>
      <c r="J21" s="250">
        <f t="shared" si="6"/>
        <v>0</v>
      </c>
      <c r="K21" s="88">
        <f t="shared" si="6"/>
        <v>0</v>
      </c>
      <c r="L21" s="88">
        <f t="shared" si="6"/>
        <v>0</v>
      </c>
      <c r="M21" s="88">
        <f t="shared" si="6"/>
        <v>0</v>
      </c>
      <c r="N21" s="88">
        <f t="shared" si="6"/>
        <v>0</v>
      </c>
      <c r="O21" s="250">
        <v>0</v>
      </c>
      <c r="P21" s="88">
        <f t="shared" ref="P21:AC21" si="7">P22+P23+P24</f>
        <v>0</v>
      </c>
      <c r="Q21" s="88">
        <f t="shared" si="7"/>
        <v>0</v>
      </c>
      <c r="R21" s="88">
        <f t="shared" si="7"/>
        <v>0</v>
      </c>
      <c r="S21" s="88">
        <f t="shared" si="7"/>
        <v>0</v>
      </c>
      <c r="T21" s="250">
        <f t="shared" si="7"/>
        <v>0.1</v>
      </c>
      <c r="U21" s="88">
        <f t="shared" si="7"/>
        <v>7884</v>
      </c>
      <c r="V21" s="88">
        <f t="shared" si="7"/>
        <v>0</v>
      </c>
      <c r="W21" s="88">
        <f t="shared" si="7"/>
        <v>7034</v>
      </c>
      <c r="X21" s="88">
        <f t="shared" si="7"/>
        <v>850</v>
      </c>
      <c r="Y21" s="250">
        <f t="shared" si="7"/>
        <v>0</v>
      </c>
      <c r="Z21" s="88">
        <f t="shared" si="7"/>
        <v>0</v>
      </c>
      <c r="AA21" s="88">
        <f t="shared" si="7"/>
        <v>0</v>
      </c>
      <c r="AB21" s="88">
        <f t="shared" si="7"/>
        <v>0</v>
      </c>
      <c r="AC21" s="88">
        <f t="shared" si="7"/>
        <v>0</v>
      </c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s="5" customFormat="1" ht="65.400000000000006" customHeight="1" outlineLevel="1" x14ac:dyDescent="0.25">
      <c r="A22" s="15" t="s">
        <v>163</v>
      </c>
      <c r="B22" s="122" t="s">
        <v>117</v>
      </c>
      <c r="C22" s="255">
        <f>E22+J22+O22+T22+Y22</f>
        <v>0.1</v>
      </c>
      <c r="D22" s="227">
        <f t="shared" si="2"/>
        <v>7389</v>
      </c>
      <c r="E22" s="255">
        <v>0</v>
      </c>
      <c r="F22" s="227">
        <v>0</v>
      </c>
      <c r="G22" s="227">
        <v>0</v>
      </c>
      <c r="H22" s="227">
        <v>0</v>
      </c>
      <c r="I22" s="227">
        <v>0</v>
      </c>
      <c r="J22" s="255">
        <v>0</v>
      </c>
      <c r="K22" s="227">
        <v>0</v>
      </c>
      <c r="L22" s="227">
        <v>0</v>
      </c>
      <c r="M22" s="228">
        <f>ROUND(7389.22*0.959,1)-7086.3</f>
        <v>0</v>
      </c>
      <c r="N22" s="228">
        <v>0</v>
      </c>
      <c r="O22" s="259">
        <v>0</v>
      </c>
      <c r="P22" s="228">
        <v>0</v>
      </c>
      <c r="Q22" s="228">
        <v>0</v>
      </c>
      <c r="R22" s="228">
        <v>0</v>
      </c>
      <c r="S22" s="228">
        <v>0</v>
      </c>
      <c r="T22" s="259">
        <v>0.1</v>
      </c>
      <c r="U22" s="229">
        <f>V22+W22+X22</f>
        <v>7389</v>
      </c>
      <c r="V22" s="229">
        <v>0</v>
      </c>
      <c r="W22" s="229">
        <v>7034</v>
      </c>
      <c r="X22" s="229">
        <v>355</v>
      </c>
      <c r="Y22" s="226">
        <v>0</v>
      </c>
      <c r="Z22" s="228">
        <v>0</v>
      </c>
      <c r="AA22" s="228">
        <v>0</v>
      </c>
      <c r="AB22" s="228">
        <v>0</v>
      </c>
      <c r="AC22" s="228">
        <v>0</v>
      </c>
    </row>
    <row r="23" spans="1:45" s="5" customFormat="1" ht="89.4" customHeight="1" outlineLevel="1" x14ac:dyDescent="0.25">
      <c r="A23" s="15" t="s">
        <v>91</v>
      </c>
      <c r="B23" s="122" t="s">
        <v>118</v>
      </c>
      <c r="C23" s="255">
        <f>E23+J23+O23+T23+Y23</f>
        <v>0</v>
      </c>
      <c r="D23" s="227">
        <f t="shared" si="2"/>
        <v>298</v>
      </c>
      <c r="E23" s="255">
        <v>0</v>
      </c>
      <c r="F23" s="227">
        <v>0</v>
      </c>
      <c r="G23" s="227">
        <v>0</v>
      </c>
      <c r="H23" s="227">
        <v>0</v>
      </c>
      <c r="I23" s="227">
        <v>0</v>
      </c>
      <c r="J23" s="255">
        <v>0</v>
      </c>
      <c r="K23" s="227">
        <v>0</v>
      </c>
      <c r="L23" s="227">
        <v>0</v>
      </c>
      <c r="M23" s="228">
        <v>0</v>
      </c>
      <c r="N23" s="228">
        <v>0</v>
      </c>
      <c r="O23" s="259">
        <v>0</v>
      </c>
      <c r="P23" s="228">
        <f>S23</f>
        <v>0</v>
      </c>
      <c r="Q23" s="228">
        <v>0</v>
      </c>
      <c r="R23" s="228">
        <v>0</v>
      </c>
      <c r="S23" s="228">
        <v>0</v>
      </c>
      <c r="T23" s="259">
        <v>0</v>
      </c>
      <c r="U23" s="229">
        <f t="shared" ref="U23:U24" si="8">V23+W23+X23</f>
        <v>298</v>
      </c>
      <c r="V23" s="229">
        <v>0</v>
      </c>
      <c r="W23" s="229">
        <v>0</v>
      </c>
      <c r="X23" s="229">
        <v>298</v>
      </c>
      <c r="Y23" s="226">
        <v>0</v>
      </c>
      <c r="Z23" s="228">
        <v>0</v>
      </c>
      <c r="AA23" s="228">
        <v>0</v>
      </c>
      <c r="AB23" s="228">
        <v>0</v>
      </c>
      <c r="AC23" s="228">
        <v>0</v>
      </c>
    </row>
    <row r="24" spans="1:45" s="5" customFormat="1" ht="90.75" customHeight="1" outlineLevel="1" x14ac:dyDescent="0.25">
      <c r="A24" s="15" t="s">
        <v>92</v>
      </c>
      <c r="B24" s="123" t="s">
        <v>173</v>
      </c>
      <c r="C24" s="255">
        <f>E24+J24+O24+T24+Y24</f>
        <v>0</v>
      </c>
      <c r="D24" s="227">
        <f t="shared" si="2"/>
        <v>197</v>
      </c>
      <c r="E24" s="255">
        <v>0</v>
      </c>
      <c r="F24" s="227">
        <v>0</v>
      </c>
      <c r="G24" s="227">
        <v>0</v>
      </c>
      <c r="H24" s="227">
        <v>0</v>
      </c>
      <c r="I24" s="227">
        <v>0</v>
      </c>
      <c r="J24" s="255">
        <v>0</v>
      </c>
      <c r="K24" s="227">
        <v>0</v>
      </c>
      <c r="L24" s="227">
        <v>0</v>
      </c>
      <c r="M24" s="228">
        <v>0</v>
      </c>
      <c r="N24" s="228">
        <v>0</v>
      </c>
      <c r="O24" s="259">
        <v>0</v>
      </c>
      <c r="P24" s="228">
        <f>S24</f>
        <v>0</v>
      </c>
      <c r="Q24" s="228">
        <v>0</v>
      </c>
      <c r="R24" s="228">
        <v>0</v>
      </c>
      <c r="S24" s="228">
        <v>0</v>
      </c>
      <c r="T24" s="259">
        <v>0</v>
      </c>
      <c r="U24" s="229">
        <f t="shared" si="8"/>
        <v>197</v>
      </c>
      <c r="V24" s="229">
        <v>0</v>
      </c>
      <c r="W24" s="229">
        <v>0</v>
      </c>
      <c r="X24" s="229">
        <v>197</v>
      </c>
      <c r="Y24" s="226">
        <v>0</v>
      </c>
      <c r="Z24" s="228">
        <v>0</v>
      </c>
      <c r="AA24" s="228">
        <v>0</v>
      </c>
      <c r="AB24" s="228">
        <v>0</v>
      </c>
      <c r="AC24" s="228">
        <v>0</v>
      </c>
    </row>
    <row r="25" spans="1:45" s="5" customFormat="1" ht="81.75" customHeight="1" x14ac:dyDescent="0.25">
      <c r="A25" s="90" t="s">
        <v>93</v>
      </c>
      <c r="B25" s="121" t="s">
        <v>174</v>
      </c>
      <c r="C25" s="250">
        <f>C26+C27+C28</f>
        <v>0.31</v>
      </c>
      <c r="D25" s="88">
        <f t="shared" ref="D25:K25" si="9">D26+D27+D28</f>
        <v>28967</v>
      </c>
      <c r="E25" s="250">
        <f t="shared" si="9"/>
        <v>0</v>
      </c>
      <c r="F25" s="88">
        <f t="shared" si="9"/>
        <v>0</v>
      </c>
      <c r="G25" s="88">
        <f t="shared" si="9"/>
        <v>0</v>
      </c>
      <c r="H25" s="88">
        <f t="shared" si="9"/>
        <v>0</v>
      </c>
      <c r="I25" s="88">
        <f t="shared" si="9"/>
        <v>0</v>
      </c>
      <c r="J25" s="250">
        <f t="shared" si="9"/>
        <v>0</v>
      </c>
      <c r="K25" s="88">
        <f t="shared" si="9"/>
        <v>0</v>
      </c>
      <c r="L25" s="88">
        <f>L26+L27+L28</f>
        <v>0</v>
      </c>
      <c r="M25" s="88">
        <f>M26+M27+M28</f>
        <v>0</v>
      </c>
      <c r="N25" s="88">
        <v>0</v>
      </c>
      <c r="O25" s="250">
        <f t="shared" ref="O25:AC25" si="10">O26+O27+O28</f>
        <v>0</v>
      </c>
      <c r="P25" s="88">
        <f t="shared" si="10"/>
        <v>0</v>
      </c>
      <c r="Q25" s="88">
        <f t="shared" si="10"/>
        <v>0</v>
      </c>
      <c r="R25" s="88">
        <f t="shared" si="10"/>
        <v>0</v>
      </c>
      <c r="S25" s="88">
        <f t="shared" si="10"/>
        <v>0</v>
      </c>
      <c r="T25" s="250">
        <f t="shared" si="10"/>
        <v>0.31</v>
      </c>
      <c r="U25" s="88">
        <f t="shared" si="10"/>
        <v>28967</v>
      </c>
      <c r="V25" s="88">
        <f t="shared" si="10"/>
        <v>0</v>
      </c>
      <c r="W25" s="88">
        <f t="shared" si="10"/>
        <v>26122</v>
      </c>
      <c r="X25" s="88">
        <f t="shared" si="10"/>
        <v>2845</v>
      </c>
      <c r="Y25" s="250">
        <f t="shared" si="10"/>
        <v>0</v>
      </c>
      <c r="Z25" s="88">
        <f t="shared" si="10"/>
        <v>0</v>
      </c>
      <c r="AA25" s="88">
        <f t="shared" si="10"/>
        <v>0</v>
      </c>
      <c r="AB25" s="88">
        <f t="shared" si="10"/>
        <v>0</v>
      </c>
      <c r="AC25" s="88">
        <f t="shared" si="10"/>
        <v>0</v>
      </c>
    </row>
    <row r="26" spans="1:45" s="5" customFormat="1" ht="81" customHeight="1" outlineLevel="1" x14ac:dyDescent="0.25">
      <c r="A26" s="15" t="s">
        <v>164</v>
      </c>
      <c r="B26" s="122" t="s">
        <v>174</v>
      </c>
      <c r="C26" s="255">
        <f t="shared" ref="C26:C32" si="11">E26+J26+O26+T26+Y26</f>
        <v>0.31</v>
      </c>
      <c r="D26" s="227">
        <f t="shared" si="2"/>
        <v>27439</v>
      </c>
      <c r="E26" s="255">
        <v>0</v>
      </c>
      <c r="F26" s="227">
        <v>0</v>
      </c>
      <c r="G26" s="227">
        <v>0</v>
      </c>
      <c r="H26" s="227">
        <v>0</v>
      </c>
      <c r="I26" s="227">
        <v>0</v>
      </c>
      <c r="J26" s="255">
        <v>0</v>
      </c>
      <c r="K26" s="227">
        <f t="shared" si="5"/>
        <v>0</v>
      </c>
      <c r="L26" s="227">
        <v>0</v>
      </c>
      <c r="M26" s="227">
        <f>ROUND(27438.82*0.959,1)-26313.8</f>
        <v>0</v>
      </c>
      <c r="N26" s="227">
        <v>0</v>
      </c>
      <c r="O26" s="255">
        <v>0</v>
      </c>
      <c r="P26" s="227">
        <v>0</v>
      </c>
      <c r="Q26" s="227">
        <v>0</v>
      </c>
      <c r="R26" s="228">
        <v>0</v>
      </c>
      <c r="S26" s="228">
        <v>0</v>
      </c>
      <c r="T26" s="259">
        <v>0.31</v>
      </c>
      <c r="U26" s="227">
        <f>V26+W26+X26</f>
        <v>27439</v>
      </c>
      <c r="V26" s="227">
        <v>0</v>
      </c>
      <c r="W26" s="228">
        <v>26122</v>
      </c>
      <c r="X26" s="228">
        <v>1317</v>
      </c>
      <c r="Y26" s="259">
        <v>0</v>
      </c>
      <c r="Z26" s="227">
        <v>0</v>
      </c>
      <c r="AA26" s="228">
        <v>0</v>
      </c>
      <c r="AB26" s="228">
        <v>0</v>
      </c>
      <c r="AC26" s="228">
        <v>0</v>
      </c>
    </row>
    <row r="27" spans="1:45" s="5" customFormat="1" ht="105.6" customHeight="1" outlineLevel="1" x14ac:dyDescent="0.25">
      <c r="A27" s="15" t="s">
        <v>94</v>
      </c>
      <c r="B27" s="122" t="s">
        <v>175</v>
      </c>
      <c r="C27" s="255">
        <f t="shared" si="11"/>
        <v>0</v>
      </c>
      <c r="D27" s="227">
        <f t="shared" si="2"/>
        <v>965</v>
      </c>
      <c r="E27" s="255">
        <v>0</v>
      </c>
      <c r="F27" s="227">
        <v>0</v>
      </c>
      <c r="G27" s="227">
        <v>0</v>
      </c>
      <c r="H27" s="227">
        <v>0</v>
      </c>
      <c r="I27" s="227">
        <v>0</v>
      </c>
      <c r="J27" s="255">
        <v>0</v>
      </c>
      <c r="K27" s="227">
        <f t="shared" si="5"/>
        <v>0</v>
      </c>
      <c r="L27" s="227">
        <v>0</v>
      </c>
      <c r="M27" s="227">
        <v>0</v>
      </c>
      <c r="N27" s="227">
        <v>0</v>
      </c>
      <c r="O27" s="255">
        <v>0</v>
      </c>
      <c r="P27" s="227">
        <f>S27</f>
        <v>0</v>
      </c>
      <c r="Q27" s="227">
        <v>0</v>
      </c>
      <c r="R27" s="228">
        <v>0</v>
      </c>
      <c r="S27" s="228">
        <v>0</v>
      </c>
      <c r="T27" s="259">
        <v>0</v>
      </c>
      <c r="U27" s="227">
        <f t="shared" ref="U27:U28" si="12">V27+W27+X27</f>
        <v>965</v>
      </c>
      <c r="V27" s="227">
        <v>0</v>
      </c>
      <c r="W27" s="228">
        <v>0</v>
      </c>
      <c r="X27" s="228">
        <v>965</v>
      </c>
      <c r="Y27" s="259">
        <v>0</v>
      </c>
      <c r="Z27" s="227">
        <v>0</v>
      </c>
      <c r="AA27" s="228">
        <v>0</v>
      </c>
      <c r="AB27" s="228">
        <v>0</v>
      </c>
      <c r="AC27" s="228">
        <v>0</v>
      </c>
    </row>
    <row r="28" spans="1:45" s="5" customFormat="1" ht="105.6" customHeight="1" outlineLevel="1" x14ac:dyDescent="0.25">
      <c r="A28" s="15" t="s">
        <v>95</v>
      </c>
      <c r="B28" s="122" t="s">
        <v>770</v>
      </c>
      <c r="C28" s="255">
        <v>0</v>
      </c>
      <c r="D28" s="227">
        <f t="shared" si="2"/>
        <v>563</v>
      </c>
      <c r="E28" s="255">
        <v>0</v>
      </c>
      <c r="F28" s="227">
        <v>0</v>
      </c>
      <c r="G28" s="227">
        <v>0</v>
      </c>
      <c r="H28" s="227">
        <v>0</v>
      </c>
      <c r="I28" s="227">
        <v>0</v>
      </c>
      <c r="J28" s="255">
        <v>0</v>
      </c>
      <c r="K28" s="227">
        <v>0</v>
      </c>
      <c r="L28" s="227">
        <v>0</v>
      </c>
      <c r="M28" s="227">
        <v>0</v>
      </c>
      <c r="N28" s="227">
        <v>0</v>
      </c>
      <c r="O28" s="255">
        <v>0</v>
      </c>
      <c r="P28" s="227">
        <f>S28</f>
        <v>0</v>
      </c>
      <c r="Q28" s="227">
        <v>0</v>
      </c>
      <c r="R28" s="228">
        <v>0</v>
      </c>
      <c r="S28" s="228">
        <v>0</v>
      </c>
      <c r="T28" s="259">
        <v>0</v>
      </c>
      <c r="U28" s="227">
        <f t="shared" si="12"/>
        <v>563</v>
      </c>
      <c r="V28" s="227">
        <v>0</v>
      </c>
      <c r="W28" s="228">
        <v>0</v>
      </c>
      <c r="X28" s="228">
        <v>563</v>
      </c>
      <c r="Y28" s="259">
        <v>0</v>
      </c>
      <c r="Z28" s="227">
        <v>0</v>
      </c>
      <c r="AA28" s="228">
        <v>0</v>
      </c>
      <c r="AB28" s="228">
        <v>0</v>
      </c>
      <c r="AC28" s="228">
        <v>0</v>
      </c>
    </row>
    <row r="29" spans="1:45" s="5" customFormat="1" ht="64.2" customHeight="1" x14ac:dyDescent="0.25">
      <c r="A29" s="90" t="s">
        <v>96</v>
      </c>
      <c r="B29" s="121" t="s">
        <v>121</v>
      </c>
      <c r="C29" s="250">
        <f t="shared" si="11"/>
        <v>0.82</v>
      </c>
      <c r="D29" s="88">
        <f t="shared" si="2"/>
        <v>74008</v>
      </c>
      <c r="E29" s="250">
        <f>E30+E31+E32</f>
        <v>0</v>
      </c>
      <c r="F29" s="88">
        <f>F30+F31+F32</f>
        <v>0</v>
      </c>
      <c r="G29" s="88">
        <f t="shared" ref="G29:N29" si="13">G30+G31+G32</f>
        <v>0</v>
      </c>
      <c r="H29" s="88">
        <f t="shared" si="13"/>
        <v>0</v>
      </c>
      <c r="I29" s="88">
        <f t="shared" si="13"/>
        <v>0</v>
      </c>
      <c r="J29" s="250">
        <f t="shared" si="13"/>
        <v>0</v>
      </c>
      <c r="K29" s="88">
        <f t="shared" si="5"/>
        <v>0</v>
      </c>
      <c r="L29" s="88">
        <f>L30+L31+L32</f>
        <v>0</v>
      </c>
      <c r="M29" s="88">
        <f t="shared" si="13"/>
        <v>0</v>
      </c>
      <c r="N29" s="88">
        <f t="shared" si="13"/>
        <v>0</v>
      </c>
      <c r="O29" s="250">
        <v>0</v>
      </c>
      <c r="P29" s="88">
        <f t="shared" ref="P29:AC29" si="14">P30+P31+P32</f>
        <v>0</v>
      </c>
      <c r="Q29" s="88">
        <f t="shared" si="14"/>
        <v>0</v>
      </c>
      <c r="R29" s="88">
        <f t="shared" si="14"/>
        <v>0</v>
      </c>
      <c r="S29" s="88">
        <f t="shared" si="14"/>
        <v>0</v>
      </c>
      <c r="T29" s="250">
        <f t="shared" si="14"/>
        <v>0.82</v>
      </c>
      <c r="U29" s="88">
        <f t="shared" si="14"/>
        <v>74008</v>
      </c>
      <c r="V29" s="88">
        <f t="shared" si="14"/>
        <v>0</v>
      </c>
      <c r="W29" s="88">
        <f t="shared" si="14"/>
        <v>69028</v>
      </c>
      <c r="X29" s="88">
        <f t="shared" si="14"/>
        <v>4980</v>
      </c>
      <c r="Y29" s="250">
        <f t="shared" si="14"/>
        <v>0</v>
      </c>
      <c r="Z29" s="88">
        <f t="shared" si="14"/>
        <v>0</v>
      </c>
      <c r="AA29" s="88">
        <f t="shared" si="14"/>
        <v>0</v>
      </c>
      <c r="AB29" s="88">
        <f t="shared" si="14"/>
        <v>0</v>
      </c>
      <c r="AC29" s="88">
        <f t="shared" si="14"/>
        <v>0</v>
      </c>
    </row>
    <row r="30" spans="1:45" s="5" customFormat="1" ht="63.75" customHeight="1" outlineLevel="1" x14ac:dyDescent="0.25">
      <c r="A30" s="15" t="s">
        <v>97</v>
      </c>
      <c r="B30" s="122" t="s">
        <v>121</v>
      </c>
      <c r="C30" s="255">
        <f t="shared" si="11"/>
        <v>0.82</v>
      </c>
      <c r="D30" s="227">
        <f t="shared" si="2"/>
        <v>72508</v>
      </c>
      <c r="E30" s="255">
        <v>0</v>
      </c>
      <c r="F30" s="227">
        <v>0</v>
      </c>
      <c r="G30" s="227">
        <v>0</v>
      </c>
      <c r="H30" s="227">
        <v>0</v>
      </c>
      <c r="I30" s="227">
        <v>0</v>
      </c>
      <c r="J30" s="255">
        <v>0</v>
      </c>
      <c r="K30" s="227">
        <f t="shared" si="5"/>
        <v>0</v>
      </c>
      <c r="L30" s="227">
        <v>0</v>
      </c>
      <c r="M30" s="227">
        <v>0</v>
      </c>
      <c r="N30" s="228">
        <v>0</v>
      </c>
      <c r="O30" s="255">
        <v>0</v>
      </c>
      <c r="P30" s="227">
        <v>0</v>
      </c>
      <c r="Q30" s="227">
        <v>0</v>
      </c>
      <c r="R30" s="228">
        <v>0</v>
      </c>
      <c r="S30" s="228">
        <v>0</v>
      </c>
      <c r="T30" s="259">
        <v>0.82</v>
      </c>
      <c r="U30" s="227">
        <f>V30+W30+X30</f>
        <v>72508</v>
      </c>
      <c r="V30" s="227">
        <v>0</v>
      </c>
      <c r="W30" s="228">
        <v>69028</v>
      </c>
      <c r="X30" s="228">
        <v>3480</v>
      </c>
      <c r="Y30" s="259">
        <v>0</v>
      </c>
      <c r="Z30" s="227">
        <v>0</v>
      </c>
      <c r="AA30" s="228">
        <v>0</v>
      </c>
      <c r="AB30" s="228">
        <v>0</v>
      </c>
      <c r="AC30" s="228">
        <v>0</v>
      </c>
    </row>
    <row r="31" spans="1:45" s="5" customFormat="1" ht="87.75" customHeight="1" outlineLevel="1" x14ac:dyDescent="0.25">
      <c r="A31" s="15" t="s">
        <v>98</v>
      </c>
      <c r="B31" s="122" t="s">
        <v>122</v>
      </c>
      <c r="C31" s="255">
        <f t="shared" si="11"/>
        <v>0</v>
      </c>
      <c r="D31" s="227">
        <f t="shared" si="2"/>
        <v>1050</v>
      </c>
      <c r="E31" s="255">
        <v>0</v>
      </c>
      <c r="F31" s="227">
        <v>0</v>
      </c>
      <c r="G31" s="227">
        <v>0</v>
      </c>
      <c r="H31" s="227">
        <v>0</v>
      </c>
      <c r="I31" s="227">
        <v>0</v>
      </c>
      <c r="J31" s="255">
        <v>0</v>
      </c>
      <c r="K31" s="227">
        <f t="shared" si="5"/>
        <v>0</v>
      </c>
      <c r="L31" s="227">
        <v>0</v>
      </c>
      <c r="M31" s="227">
        <v>0</v>
      </c>
      <c r="N31" s="228">
        <v>0</v>
      </c>
      <c r="O31" s="255">
        <v>0</v>
      </c>
      <c r="P31" s="227">
        <f>Q31+R31+S31</f>
        <v>0</v>
      </c>
      <c r="Q31" s="227">
        <v>0</v>
      </c>
      <c r="R31" s="228">
        <v>0</v>
      </c>
      <c r="S31" s="228">
        <v>0</v>
      </c>
      <c r="T31" s="259">
        <v>0</v>
      </c>
      <c r="U31" s="227">
        <f t="shared" ref="U31:U32" si="15">V31+W31+X31</f>
        <v>1050</v>
      </c>
      <c r="V31" s="227">
        <v>0</v>
      </c>
      <c r="W31" s="228">
        <v>0</v>
      </c>
      <c r="X31" s="228">
        <v>1050</v>
      </c>
      <c r="Y31" s="259">
        <v>0</v>
      </c>
      <c r="Z31" s="227">
        <v>0</v>
      </c>
      <c r="AA31" s="228">
        <v>0</v>
      </c>
      <c r="AB31" s="228">
        <v>0</v>
      </c>
      <c r="AC31" s="228">
        <v>0</v>
      </c>
    </row>
    <row r="32" spans="1:45" s="5" customFormat="1" ht="86.25" customHeight="1" outlineLevel="1" x14ac:dyDescent="0.25">
      <c r="A32" s="15" t="s">
        <v>99</v>
      </c>
      <c r="B32" s="122" t="s">
        <v>123</v>
      </c>
      <c r="C32" s="255">
        <f t="shared" si="11"/>
        <v>0</v>
      </c>
      <c r="D32" s="227">
        <f t="shared" si="2"/>
        <v>450</v>
      </c>
      <c r="E32" s="255">
        <v>0</v>
      </c>
      <c r="F32" s="227">
        <v>0</v>
      </c>
      <c r="G32" s="227">
        <v>0</v>
      </c>
      <c r="H32" s="227">
        <v>0</v>
      </c>
      <c r="I32" s="227">
        <v>0</v>
      </c>
      <c r="J32" s="255">
        <v>0</v>
      </c>
      <c r="K32" s="227">
        <f t="shared" si="5"/>
        <v>0</v>
      </c>
      <c r="L32" s="227">
        <v>0</v>
      </c>
      <c r="M32" s="227">
        <v>0</v>
      </c>
      <c r="N32" s="228">
        <v>0</v>
      </c>
      <c r="O32" s="255">
        <v>0</v>
      </c>
      <c r="P32" s="227">
        <f>Q32+R32+S32</f>
        <v>0</v>
      </c>
      <c r="Q32" s="227">
        <v>0</v>
      </c>
      <c r="R32" s="228">
        <v>0</v>
      </c>
      <c r="S32" s="228">
        <v>0</v>
      </c>
      <c r="T32" s="259">
        <v>0</v>
      </c>
      <c r="U32" s="227">
        <f t="shared" si="15"/>
        <v>450</v>
      </c>
      <c r="V32" s="227">
        <v>0</v>
      </c>
      <c r="W32" s="228">
        <v>0</v>
      </c>
      <c r="X32" s="228">
        <v>450</v>
      </c>
      <c r="Y32" s="259">
        <v>0</v>
      </c>
      <c r="Z32" s="227">
        <v>0</v>
      </c>
      <c r="AA32" s="228">
        <v>0</v>
      </c>
      <c r="AB32" s="228">
        <v>0</v>
      </c>
      <c r="AC32" s="228">
        <v>0</v>
      </c>
    </row>
    <row r="33" spans="1:43" s="5" customFormat="1" ht="51" customHeight="1" x14ac:dyDescent="0.25">
      <c r="A33" s="90" t="s">
        <v>100</v>
      </c>
      <c r="B33" s="121" t="s">
        <v>166</v>
      </c>
      <c r="C33" s="250">
        <f>E33+J33+O33+T33+Y33</f>
        <v>2.4</v>
      </c>
      <c r="D33" s="88">
        <f t="shared" si="2"/>
        <v>479395</v>
      </c>
      <c r="E33" s="250">
        <f>E34+E35+E36</f>
        <v>0</v>
      </c>
      <c r="F33" s="88">
        <f t="shared" ref="F33:AC33" si="16">F34+F35+F36</f>
        <v>0</v>
      </c>
      <c r="G33" s="88">
        <f t="shared" si="16"/>
        <v>0</v>
      </c>
      <c r="H33" s="88">
        <f t="shared" si="16"/>
        <v>0</v>
      </c>
      <c r="I33" s="88">
        <f t="shared" si="16"/>
        <v>0</v>
      </c>
      <c r="J33" s="250">
        <f t="shared" si="16"/>
        <v>0</v>
      </c>
      <c r="K33" s="88">
        <f t="shared" si="5"/>
        <v>0</v>
      </c>
      <c r="L33" s="88">
        <f t="shared" si="16"/>
        <v>0</v>
      </c>
      <c r="M33" s="88">
        <f t="shared" si="16"/>
        <v>0</v>
      </c>
      <c r="N33" s="88">
        <f t="shared" si="16"/>
        <v>0</v>
      </c>
      <c r="O33" s="250">
        <f t="shared" si="16"/>
        <v>0</v>
      </c>
      <c r="P33" s="88">
        <f t="shared" si="16"/>
        <v>0</v>
      </c>
      <c r="Q33" s="88">
        <f t="shared" si="16"/>
        <v>0</v>
      </c>
      <c r="R33" s="88">
        <f t="shared" si="16"/>
        <v>0</v>
      </c>
      <c r="S33" s="88">
        <f t="shared" si="16"/>
        <v>0</v>
      </c>
      <c r="T33" s="250">
        <f t="shared" si="16"/>
        <v>0</v>
      </c>
      <c r="U33" s="88">
        <f t="shared" si="16"/>
        <v>0</v>
      </c>
      <c r="V33" s="88">
        <f t="shared" si="16"/>
        <v>0</v>
      </c>
      <c r="W33" s="88">
        <f t="shared" si="16"/>
        <v>0</v>
      </c>
      <c r="X33" s="88">
        <f t="shared" si="16"/>
        <v>0</v>
      </c>
      <c r="Y33" s="250">
        <f t="shared" si="16"/>
        <v>2.4</v>
      </c>
      <c r="Z33" s="88">
        <f t="shared" si="16"/>
        <v>479395</v>
      </c>
      <c r="AA33" s="88">
        <f t="shared" si="16"/>
        <v>0</v>
      </c>
      <c r="AB33" s="88">
        <f t="shared" si="16"/>
        <v>453986</v>
      </c>
      <c r="AC33" s="88">
        <f t="shared" si="16"/>
        <v>25409</v>
      </c>
    </row>
    <row r="34" spans="1:43" s="5" customFormat="1" ht="45.6" customHeight="1" outlineLevel="1" x14ac:dyDescent="0.25">
      <c r="A34" s="15" t="s">
        <v>165</v>
      </c>
      <c r="B34" s="122" t="s">
        <v>166</v>
      </c>
      <c r="C34" s="255">
        <f>E34+J34+O34+T34+Y34</f>
        <v>2.4</v>
      </c>
      <c r="D34" s="227">
        <f t="shared" si="2"/>
        <v>473395</v>
      </c>
      <c r="E34" s="255">
        <v>0</v>
      </c>
      <c r="F34" s="227">
        <v>0</v>
      </c>
      <c r="G34" s="227">
        <v>0</v>
      </c>
      <c r="H34" s="227">
        <v>0</v>
      </c>
      <c r="I34" s="227">
        <v>0</v>
      </c>
      <c r="J34" s="255">
        <v>0</v>
      </c>
      <c r="K34" s="227">
        <f t="shared" si="5"/>
        <v>0</v>
      </c>
      <c r="L34" s="227">
        <v>0</v>
      </c>
      <c r="M34" s="227">
        <v>0</v>
      </c>
      <c r="N34" s="227">
        <v>0</v>
      </c>
      <c r="O34" s="255">
        <v>0</v>
      </c>
      <c r="P34" s="227">
        <v>0</v>
      </c>
      <c r="Q34" s="227">
        <v>0</v>
      </c>
      <c r="R34" s="228">
        <v>0</v>
      </c>
      <c r="S34" s="228">
        <v>0</v>
      </c>
      <c r="T34" s="259">
        <v>0</v>
      </c>
      <c r="U34" s="227">
        <v>0</v>
      </c>
      <c r="V34" s="227">
        <v>0</v>
      </c>
      <c r="W34" s="228">
        <v>0</v>
      </c>
      <c r="X34" s="228">
        <v>0</v>
      </c>
      <c r="Y34" s="259">
        <v>2.4</v>
      </c>
      <c r="Z34" s="227">
        <f>AA34+AB34+AC34</f>
        <v>473395</v>
      </c>
      <c r="AA34" s="228">
        <v>0</v>
      </c>
      <c r="AB34" s="228">
        <v>453986</v>
      </c>
      <c r="AC34" s="228">
        <v>19409</v>
      </c>
    </row>
    <row r="35" spans="1:43" s="5" customFormat="1" ht="69" customHeight="1" outlineLevel="1" x14ac:dyDescent="0.25">
      <c r="A35" s="15" t="s">
        <v>1024</v>
      </c>
      <c r="B35" s="122" t="s">
        <v>167</v>
      </c>
      <c r="C35" s="255">
        <f>E35+J35+O35+T35+Y35</f>
        <v>0</v>
      </c>
      <c r="D35" s="227">
        <f t="shared" si="2"/>
        <v>4500</v>
      </c>
      <c r="E35" s="255">
        <v>0</v>
      </c>
      <c r="F35" s="227">
        <v>0</v>
      </c>
      <c r="G35" s="227">
        <v>0</v>
      </c>
      <c r="H35" s="227">
        <v>0</v>
      </c>
      <c r="I35" s="227">
        <v>0</v>
      </c>
      <c r="J35" s="255">
        <v>0</v>
      </c>
      <c r="K35" s="227">
        <f t="shared" si="5"/>
        <v>0</v>
      </c>
      <c r="L35" s="227">
        <v>0</v>
      </c>
      <c r="M35" s="227">
        <v>0</v>
      </c>
      <c r="N35" s="227">
        <v>0</v>
      </c>
      <c r="O35" s="255">
        <v>0</v>
      </c>
      <c r="P35" s="227">
        <v>0</v>
      </c>
      <c r="Q35" s="227">
        <v>0</v>
      </c>
      <c r="R35" s="228">
        <v>0</v>
      </c>
      <c r="S35" s="228">
        <v>0</v>
      </c>
      <c r="T35" s="259">
        <v>0</v>
      </c>
      <c r="U35" s="227">
        <v>0</v>
      </c>
      <c r="V35" s="227">
        <v>0</v>
      </c>
      <c r="W35" s="228">
        <v>0</v>
      </c>
      <c r="X35" s="228">
        <v>0</v>
      </c>
      <c r="Y35" s="259"/>
      <c r="Z35" s="227">
        <f>AA35+AB35+AC35</f>
        <v>4500</v>
      </c>
      <c r="AA35" s="228">
        <v>0</v>
      </c>
      <c r="AB35" s="228">
        <v>0</v>
      </c>
      <c r="AC35" s="228">
        <v>4500</v>
      </c>
    </row>
    <row r="36" spans="1:43" s="5" customFormat="1" ht="66.599999999999994" customHeight="1" outlineLevel="1" x14ac:dyDescent="0.25">
      <c r="A36" s="15" t="s">
        <v>1025</v>
      </c>
      <c r="B36" s="122" t="s">
        <v>168</v>
      </c>
      <c r="C36" s="255">
        <f>E36+J36+O36+T36+Y36</f>
        <v>0</v>
      </c>
      <c r="D36" s="227">
        <f t="shared" si="2"/>
        <v>1500</v>
      </c>
      <c r="E36" s="255">
        <v>0</v>
      </c>
      <c r="F36" s="227">
        <v>0</v>
      </c>
      <c r="G36" s="227">
        <v>0</v>
      </c>
      <c r="H36" s="227">
        <v>0</v>
      </c>
      <c r="I36" s="227">
        <v>0</v>
      </c>
      <c r="J36" s="255">
        <v>0</v>
      </c>
      <c r="K36" s="227">
        <f t="shared" si="5"/>
        <v>0</v>
      </c>
      <c r="L36" s="227">
        <v>0</v>
      </c>
      <c r="M36" s="227">
        <v>0</v>
      </c>
      <c r="N36" s="227">
        <v>0</v>
      </c>
      <c r="O36" s="255">
        <v>0</v>
      </c>
      <c r="P36" s="227">
        <v>0</v>
      </c>
      <c r="Q36" s="227">
        <v>0</v>
      </c>
      <c r="R36" s="228">
        <v>0</v>
      </c>
      <c r="S36" s="228">
        <v>0</v>
      </c>
      <c r="T36" s="259">
        <v>0</v>
      </c>
      <c r="U36" s="227">
        <v>0</v>
      </c>
      <c r="V36" s="227">
        <v>0</v>
      </c>
      <c r="W36" s="228">
        <v>0</v>
      </c>
      <c r="X36" s="228">
        <v>0</v>
      </c>
      <c r="Y36" s="259"/>
      <c r="Z36" s="227">
        <f>AA36+AB36+AC36</f>
        <v>1500</v>
      </c>
      <c r="AA36" s="228">
        <v>0</v>
      </c>
      <c r="AB36" s="228">
        <v>0</v>
      </c>
      <c r="AC36" s="228">
        <v>1500</v>
      </c>
    </row>
    <row r="37" spans="1:43" s="336" customFormat="1" ht="39" customHeight="1" outlineLevel="1" x14ac:dyDescent="0.25">
      <c r="A37" s="330" t="s">
        <v>997</v>
      </c>
      <c r="B37" s="331" t="s">
        <v>998</v>
      </c>
      <c r="C37" s="337">
        <f>C38</f>
        <v>0.96</v>
      </c>
      <c r="D37" s="338">
        <f>D38</f>
        <v>56050</v>
      </c>
      <c r="E37" s="337">
        <f>E38</f>
        <v>0.96</v>
      </c>
      <c r="F37" s="338">
        <f t="shared" ref="F37:AC37" si="17">F38</f>
        <v>56050</v>
      </c>
      <c r="G37" s="338">
        <f>G38</f>
        <v>0</v>
      </c>
      <c r="H37" s="338">
        <f>H38</f>
        <v>53058</v>
      </c>
      <c r="I37" s="338">
        <f t="shared" si="17"/>
        <v>2992</v>
      </c>
      <c r="J37" s="337">
        <f t="shared" si="17"/>
        <v>0</v>
      </c>
      <c r="K37" s="338">
        <f t="shared" si="17"/>
        <v>0</v>
      </c>
      <c r="L37" s="338">
        <f t="shared" si="17"/>
        <v>0</v>
      </c>
      <c r="M37" s="338">
        <f t="shared" si="17"/>
        <v>0</v>
      </c>
      <c r="N37" s="338">
        <f t="shared" si="17"/>
        <v>0</v>
      </c>
      <c r="O37" s="337">
        <f t="shared" si="17"/>
        <v>0</v>
      </c>
      <c r="P37" s="338">
        <f t="shared" si="17"/>
        <v>0</v>
      </c>
      <c r="Q37" s="338">
        <f t="shared" si="17"/>
        <v>0</v>
      </c>
      <c r="R37" s="338">
        <f t="shared" si="17"/>
        <v>0</v>
      </c>
      <c r="S37" s="338">
        <f t="shared" si="17"/>
        <v>0</v>
      </c>
      <c r="T37" s="337">
        <f t="shared" si="17"/>
        <v>0</v>
      </c>
      <c r="U37" s="338">
        <f t="shared" si="17"/>
        <v>0</v>
      </c>
      <c r="V37" s="338">
        <f t="shared" si="17"/>
        <v>0</v>
      </c>
      <c r="W37" s="338">
        <f t="shared" si="17"/>
        <v>0</v>
      </c>
      <c r="X37" s="338">
        <f t="shared" si="17"/>
        <v>0</v>
      </c>
      <c r="Y37" s="337">
        <f t="shared" si="17"/>
        <v>0</v>
      </c>
      <c r="Z37" s="338">
        <f t="shared" si="17"/>
        <v>0</v>
      </c>
      <c r="AA37" s="338">
        <f t="shared" si="17"/>
        <v>0</v>
      </c>
      <c r="AB37" s="338">
        <f t="shared" si="17"/>
        <v>0</v>
      </c>
      <c r="AC37" s="338">
        <f t="shared" si="17"/>
        <v>0</v>
      </c>
    </row>
    <row r="38" spans="1:43" s="167" customFormat="1" ht="36.6" customHeight="1" outlineLevel="1" x14ac:dyDescent="0.25">
      <c r="A38" s="339" t="s">
        <v>999</v>
      </c>
      <c r="B38" s="340" t="s">
        <v>998</v>
      </c>
      <c r="C38" s="332">
        <f>E38</f>
        <v>0.96</v>
      </c>
      <c r="D38" s="333">
        <f>F38+K38+P38+U38+Z38</f>
        <v>56050</v>
      </c>
      <c r="E38" s="332">
        <v>0.96</v>
      </c>
      <c r="F38" s="333">
        <f>G38+H38+I38</f>
        <v>56050</v>
      </c>
      <c r="G38" s="333">
        <v>0</v>
      </c>
      <c r="H38" s="333">
        <v>53058</v>
      </c>
      <c r="I38" s="333">
        <v>2992</v>
      </c>
      <c r="J38" s="332">
        <v>0</v>
      </c>
      <c r="K38" s="333">
        <v>0</v>
      </c>
      <c r="L38" s="333">
        <v>0</v>
      </c>
      <c r="M38" s="333">
        <v>0</v>
      </c>
      <c r="N38" s="333">
        <v>0</v>
      </c>
      <c r="O38" s="332">
        <v>0</v>
      </c>
      <c r="P38" s="333">
        <v>0</v>
      </c>
      <c r="Q38" s="333">
        <v>0</v>
      </c>
      <c r="R38" s="334">
        <v>0</v>
      </c>
      <c r="S38" s="334">
        <v>0</v>
      </c>
      <c r="T38" s="335">
        <v>0</v>
      </c>
      <c r="U38" s="333">
        <v>0</v>
      </c>
      <c r="V38" s="333">
        <v>0</v>
      </c>
      <c r="W38" s="334">
        <v>0</v>
      </c>
      <c r="X38" s="334">
        <v>0</v>
      </c>
      <c r="Y38" s="335">
        <v>0</v>
      </c>
      <c r="Z38" s="333">
        <v>0</v>
      </c>
      <c r="AA38" s="334">
        <v>0</v>
      </c>
      <c r="AB38" s="334">
        <v>0</v>
      </c>
      <c r="AC38" s="334">
        <v>0</v>
      </c>
    </row>
    <row r="39" spans="1:43" s="1" customFormat="1" ht="61.2" customHeight="1" outlineLevel="1" x14ac:dyDescent="0.25">
      <c r="A39" s="90" t="s">
        <v>1026</v>
      </c>
      <c r="B39" s="121" t="s">
        <v>1000</v>
      </c>
      <c r="C39" s="250">
        <f>C40</f>
        <v>1.5</v>
      </c>
      <c r="D39" s="88">
        <f>D40</f>
        <v>156523.69999999998</v>
      </c>
      <c r="E39" s="250">
        <f t="shared" ref="E39:J39" si="18">E40</f>
        <v>1.5</v>
      </c>
      <c r="F39" s="88">
        <f>F40</f>
        <v>156523.69999999998</v>
      </c>
      <c r="G39" s="88">
        <f t="shared" si="18"/>
        <v>126793</v>
      </c>
      <c r="H39" s="88">
        <f t="shared" si="18"/>
        <v>27588.799999999999</v>
      </c>
      <c r="I39" s="88">
        <f t="shared" si="18"/>
        <v>2141.9</v>
      </c>
      <c r="J39" s="250">
        <f t="shared" si="18"/>
        <v>0</v>
      </c>
      <c r="K39" s="88">
        <f t="shared" ref="K39:AC39" si="19">K40</f>
        <v>0</v>
      </c>
      <c r="L39" s="88">
        <f t="shared" si="19"/>
        <v>0</v>
      </c>
      <c r="M39" s="88">
        <f t="shared" si="19"/>
        <v>0</v>
      </c>
      <c r="N39" s="88">
        <f t="shared" si="19"/>
        <v>0</v>
      </c>
      <c r="O39" s="250">
        <f t="shared" si="19"/>
        <v>0</v>
      </c>
      <c r="P39" s="88">
        <f t="shared" si="19"/>
        <v>0</v>
      </c>
      <c r="Q39" s="88">
        <f t="shared" si="19"/>
        <v>0</v>
      </c>
      <c r="R39" s="88">
        <f t="shared" si="19"/>
        <v>0</v>
      </c>
      <c r="S39" s="88">
        <f t="shared" si="19"/>
        <v>0</v>
      </c>
      <c r="T39" s="250">
        <f t="shared" si="19"/>
        <v>0</v>
      </c>
      <c r="U39" s="88">
        <f t="shared" si="19"/>
        <v>0</v>
      </c>
      <c r="V39" s="88">
        <f t="shared" si="19"/>
        <v>0</v>
      </c>
      <c r="W39" s="88">
        <f t="shared" si="19"/>
        <v>0</v>
      </c>
      <c r="X39" s="88">
        <f t="shared" si="19"/>
        <v>0</v>
      </c>
      <c r="Y39" s="250">
        <f t="shared" si="19"/>
        <v>0</v>
      </c>
      <c r="Z39" s="88">
        <f t="shared" si="19"/>
        <v>0</v>
      </c>
      <c r="AA39" s="88">
        <f t="shared" si="19"/>
        <v>0</v>
      </c>
      <c r="AB39" s="88">
        <f t="shared" si="19"/>
        <v>0</v>
      </c>
      <c r="AC39" s="88">
        <f t="shared" si="19"/>
        <v>0</v>
      </c>
    </row>
    <row r="40" spans="1:43" s="5" customFormat="1" ht="63" customHeight="1" outlineLevel="1" x14ac:dyDescent="0.25">
      <c r="A40" s="15" t="s">
        <v>1027</v>
      </c>
      <c r="B40" s="122" t="s">
        <v>1000</v>
      </c>
      <c r="C40" s="255">
        <f>E40</f>
        <v>1.5</v>
      </c>
      <c r="D40" s="227">
        <f>F40+K40+P40+U40+Z40</f>
        <v>156523.69999999998</v>
      </c>
      <c r="E40" s="255">
        <v>1.5</v>
      </c>
      <c r="F40" s="227">
        <f>G40+H40+I40</f>
        <v>156523.69999999998</v>
      </c>
      <c r="G40" s="227">
        <v>126793</v>
      </c>
      <c r="H40" s="227">
        <v>27588.799999999999</v>
      </c>
      <c r="I40" s="227">
        <v>2141.9</v>
      </c>
      <c r="J40" s="255">
        <v>0</v>
      </c>
      <c r="K40" s="227">
        <v>0</v>
      </c>
      <c r="L40" s="227">
        <f>L47+L48+L49</f>
        <v>0</v>
      </c>
      <c r="M40" s="227">
        <v>0</v>
      </c>
      <c r="N40" s="227">
        <v>0</v>
      </c>
      <c r="O40" s="255">
        <v>0</v>
      </c>
      <c r="P40" s="227">
        <v>0</v>
      </c>
      <c r="Q40" s="227">
        <f>Q47+Q48+Q49</f>
        <v>0</v>
      </c>
      <c r="R40" s="228">
        <v>0</v>
      </c>
      <c r="S40" s="228">
        <v>0</v>
      </c>
      <c r="T40" s="259">
        <v>0</v>
      </c>
      <c r="U40" s="227">
        <v>0</v>
      </c>
      <c r="V40" s="227">
        <f>V47+V48+V49</f>
        <v>0</v>
      </c>
      <c r="W40" s="228">
        <v>0</v>
      </c>
      <c r="X40" s="228">
        <v>0</v>
      </c>
      <c r="Y40" s="259">
        <v>0</v>
      </c>
      <c r="Z40" s="227">
        <v>0</v>
      </c>
      <c r="AA40" s="228">
        <f>AA47+AA48+AA49</f>
        <v>0</v>
      </c>
      <c r="AB40" s="228">
        <v>0</v>
      </c>
      <c r="AC40" s="228">
        <v>0</v>
      </c>
    </row>
    <row r="41" spans="1:43" s="1" customFormat="1" ht="66.75" customHeight="1" outlineLevel="1" x14ac:dyDescent="0.25">
      <c r="A41" s="90" t="s">
        <v>1053</v>
      </c>
      <c r="B41" s="121" t="s">
        <v>1052</v>
      </c>
      <c r="C41" s="255">
        <f>E41</f>
        <v>0</v>
      </c>
      <c r="D41" s="227">
        <f>F41+K41+P41+U41+Z41</f>
        <v>10000</v>
      </c>
      <c r="E41" s="255">
        <v>0</v>
      </c>
      <c r="F41" s="227">
        <f>G41+H41+I41</f>
        <v>0</v>
      </c>
      <c r="G41" s="227">
        <v>0</v>
      </c>
      <c r="H41" s="227">
        <v>0</v>
      </c>
      <c r="I41" s="227">
        <v>0</v>
      </c>
      <c r="J41" s="255">
        <v>0</v>
      </c>
      <c r="K41" s="227">
        <f>L41+M41+N41</f>
        <v>5000</v>
      </c>
      <c r="L41" s="227">
        <f>L48+L49+L50</f>
        <v>0</v>
      </c>
      <c r="M41" s="227">
        <v>0</v>
      </c>
      <c r="N41" s="227">
        <v>5000</v>
      </c>
      <c r="O41" s="255">
        <v>0</v>
      </c>
      <c r="P41" s="227">
        <f>Q41+R41+S41</f>
        <v>5000</v>
      </c>
      <c r="Q41" s="227">
        <f>Q48+Q49+Q50</f>
        <v>0</v>
      </c>
      <c r="R41" s="228">
        <v>0</v>
      </c>
      <c r="S41" s="228">
        <v>5000</v>
      </c>
      <c r="T41" s="259">
        <v>0</v>
      </c>
      <c r="U41" s="227">
        <v>0</v>
      </c>
      <c r="V41" s="227">
        <f>V48+V49+V50</f>
        <v>0</v>
      </c>
      <c r="W41" s="228">
        <v>0</v>
      </c>
      <c r="X41" s="228">
        <v>0</v>
      </c>
      <c r="Y41" s="259">
        <v>0</v>
      </c>
      <c r="Z41" s="227">
        <v>0</v>
      </c>
      <c r="AA41" s="228">
        <f>AA48+AA49+AA50</f>
        <v>0</v>
      </c>
      <c r="AB41" s="228">
        <v>0</v>
      </c>
      <c r="AC41" s="228">
        <v>0</v>
      </c>
    </row>
    <row r="42" spans="1:43" s="1" customFormat="1" ht="126.75" customHeight="1" outlineLevel="1" x14ac:dyDescent="0.25">
      <c r="A42" s="90" t="s">
        <v>1074</v>
      </c>
      <c r="B42" s="121" t="s">
        <v>1075</v>
      </c>
      <c r="C42" s="255">
        <f>E42+J42</f>
        <v>0.17</v>
      </c>
      <c r="D42" s="227">
        <f>F42+K42+P42+U42+Z42</f>
        <v>8480</v>
      </c>
      <c r="E42" s="255">
        <v>0</v>
      </c>
      <c r="F42" s="227">
        <f>G42+H42+I42</f>
        <v>0</v>
      </c>
      <c r="G42" s="227">
        <v>0</v>
      </c>
      <c r="H42" s="227">
        <v>0</v>
      </c>
      <c r="I42" s="227">
        <v>0</v>
      </c>
      <c r="J42" s="255">
        <v>0.17</v>
      </c>
      <c r="K42" s="227">
        <f>L42+M42+N42</f>
        <v>8480</v>
      </c>
      <c r="L42" s="299">
        <v>6057</v>
      </c>
      <c r="M42" s="227">
        <v>2283</v>
      </c>
      <c r="N42" s="299">
        <f>139+1</f>
        <v>140</v>
      </c>
      <c r="O42" s="255">
        <v>0</v>
      </c>
      <c r="P42" s="227">
        <f>Q42+R42+S42</f>
        <v>0</v>
      </c>
      <c r="Q42" s="227">
        <v>0</v>
      </c>
      <c r="R42" s="228">
        <v>0</v>
      </c>
      <c r="S42" s="228">
        <v>0</v>
      </c>
      <c r="T42" s="259">
        <v>0</v>
      </c>
      <c r="U42" s="227">
        <v>0</v>
      </c>
      <c r="V42" s="227">
        <v>0</v>
      </c>
      <c r="W42" s="228">
        <v>0</v>
      </c>
      <c r="X42" s="228">
        <v>0</v>
      </c>
      <c r="Y42" s="259">
        <v>0</v>
      </c>
      <c r="Z42" s="227">
        <v>0</v>
      </c>
      <c r="AA42" s="228">
        <v>0</v>
      </c>
      <c r="AB42" s="228">
        <v>0</v>
      </c>
      <c r="AC42" s="228">
        <v>0</v>
      </c>
    </row>
    <row r="43" spans="1:43" s="1" customFormat="1" ht="126.75" customHeight="1" outlineLevel="1" x14ac:dyDescent="0.25">
      <c r="A43" s="90" t="s">
        <v>1076</v>
      </c>
      <c r="B43" s="121" t="s">
        <v>1077</v>
      </c>
      <c r="C43" s="255">
        <f>E43+J43</f>
        <v>1.57</v>
      </c>
      <c r="D43" s="227">
        <f>F43+K43+P43+U43+Z43</f>
        <v>45062</v>
      </c>
      <c r="E43" s="255">
        <v>0</v>
      </c>
      <c r="F43" s="227">
        <f>G43+H43+I43</f>
        <v>0</v>
      </c>
      <c r="G43" s="227">
        <v>0</v>
      </c>
      <c r="H43" s="227">
        <v>0</v>
      </c>
      <c r="I43" s="227">
        <v>0</v>
      </c>
      <c r="J43" s="255">
        <v>1.57</v>
      </c>
      <c r="K43" s="227">
        <f>L43+M43+N43</f>
        <v>45062</v>
      </c>
      <c r="L43" s="299">
        <v>32186</v>
      </c>
      <c r="M43" s="227">
        <v>12135</v>
      </c>
      <c r="N43" s="227">
        <v>741</v>
      </c>
      <c r="O43" s="255">
        <v>0</v>
      </c>
      <c r="P43" s="227">
        <f>Q43+R43+S43</f>
        <v>0</v>
      </c>
      <c r="Q43" s="227">
        <v>0</v>
      </c>
      <c r="R43" s="228">
        <v>0</v>
      </c>
      <c r="S43" s="228">
        <v>0</v>
      </c>
      <c r="T43" s="259">
        <v>0</v>
      </c>
      <c r="U43" s="227">
        <v>0</v>
      </c>
      <c r="V43" s="227">
        <v>0</v>
      </c>
      <c r="W43" s="228">
        <v>0</v>
      </c>
      <c r="X43" s="228">
        <v>0</v>
      </c>
      <c r="Y43" s="259">
        <v>0</v>
      </c>
      <c r="Z43" s="227">
        <v>0</v>
      </c>
      <c r="AA43" s="228">
        <v>0</v>
      </c>
      <c r="AB43" s="228">
        <v>0</v>
      </c>
      <c r="AC43" s="228">
        <v>0</v>
      </c>
    </row>
    <row r="44" spans="1:43" s="336" customFormat="1" ht="68.400000000000006" customHeight="1" outlineLevel="1" x14ac:dyDescent="0.25">
      <c r="A44" s="330" t="s">
        <v>1079</v>
      </c>
      <c r="B44" s="331" t="s">
        <v>1238</v>
      </c>
      <c r="C44" s="332">
        <f>E44+J44</f>
        <v>0.6</v>
      </c>
      <c r="D44" s="333">
        <f>F44+K44+P44+U44+Z44</f>
        <v>58666</v>
      </c>
      <c r="E44" s="332">
        <v>0.6</v>
      </c>
      <c r="F44" s="333">
        <f>G44+H44+I44</f>
        <v>58666</v>
      </c>
      <c r="G44" s="333">
        <v>0</v>
      </c>
      <c r="H44" s="333">
        <v>55222</v>
      </c>
      <c r="I44" s="333">
        <v>3444</v>
      </c>
      <c r="J44" s="332">
        <v>0</v>
      </c>
      <c r="K44" s="333">
        <f>L44+M44+N44</f>
        <v>0</v>
      </c>
      <c r="L44" s="333">
        <v>0</v>
      </c>
      <c r="M44" s="333">
        <v>0</v>
      </c>
      <c r="N44" s="333">
        <v>0</v>
      </c>
      <c r="O44" s="332">
        <v>0</v>
      </c>
      <c r="P44" s="333">
        <f>Q44+R44+S44</f>
        <v>0</v>
      </c>
      <c r="Q44" s="333">
        <v>0</v>
      </c>
      <c r="R44" s="334">
        <v>0</v>
      </c>
      <c r="S44" s="334">
        <v>0</v>
      </c>
      <c r="T44" s="335">
        <v>0</v>
      </c>
      <c r="U44" s="333">
        <v>0</v>
      </c>
      <c r="V44" s="333">
        <v>0</v>
      </c>
      <c r="W44" s="334">
        <v>0</v>
      </c>
      <c r="X44" s="334">
        <v>0</v>
      </c>
      <c r="Y44" s="335">
        <v>0</v>
      </c>
      <c r="Z44" s="333">
        <v>0</v>
      </c>
      <c r="AA44" s="334">
        <v>0</v>
      </c>
      <c r="AB44" s="334">
        <v>0</v>
      </c>
      <c r="AC44" s="334">
        <v>0</v>
      </c>
    </row>
    <row r="45" spans="1:43" s="274" customFormat="1" ht="29.4" customHeight="1" x14ac:dyDescent="0.25">
      <c r="A45" s="269"/>
      <c r="B45" s="270" t="s">
        <v>15</v>
      </c>
      <c r="C45" s="271">
        <f>C9+C17+C21+C25+C29+C33+C37+C39+C13+C41+C42+C43+C44</f>
        <v>14.48</v>
      </c>
      <c r="D45" s="272">
        <f t="shared" ref="D45:AC45" si="20">D9+D17+D21+D25+D29+D33+D37+D39+D13+D41+D42+D43+D44</f>
        <v>1559080.7</v>
      </c>
      <c r="E45" s="271">
        <f t="shared" si="20"/>
        <v>3.06</v>
      </c>
      <c r="F45" s="272">
        <f>F9+F17+F21+F25+F29+F33+F37+F39+F13+F41+F42+F43+F44</f>
        <v>271239.69999999995</v>
      </c>
      <c r="G45" s="272">
        <f t="shared" si="20"/>
        <v>126793</v>
      </c>
      <c r="H45" s="272">
        <f t="shared" si="20"/>
        <v>135868.79999999999</v>
      </c>
      <c r="I45" s="272">
        <f>I9+I17+I21+I25+I29+I33+I37+I39+I13+I41+I42+I43+I44+0.1</f>
        <v>8578</v>
      </c>
      <c r="J45" s="271">
        <f t="shared" si="20"/>
        <v>2.74</v>
      </c>
      <c r="K45" s="272">
        <f t="shared" si="20"/>
        <v>145843</v>
      </c>
      <c r="L45" s="272">
        <f t="shared" si="20"/>
        <v>38243</v>
      </c>
      <c r="M45" s="272">
        <f t="shared" si="20"/>
        <v>97528</v>
      </c>
      <c r="N45" s="272">
        <f t="shared" si="20"/>
        <v>10072</v>
      </c>
      <c r="O45" s="271">
        <f t="shared" si="20"/>
        <v>0</v>
      </c>
      <c r="P45" s="272">
        <f t="shared" si="20"/>
        <v>5000</v>
      </c>
      <c r="Q45" s="272">
        <f t="shared" si="20"/>
        <v>0</v>
      </c>
      <c r="R45" s="272">
        <f t="shared" si="20"/>
        <v>0</v>
      </c>
      <c r="S45" s="272">
        <f t="shared" si="20"/>
        <v>5000</v>
      </c>
      <c r="T45" s="271">
        <f t="shared" si="20"/>
        <v>6.2799999999999994</v>
      </c>
      <c r="U45" s="272">
        <f t="shared" si="20"/>
        <v>657603</v>
      </c>
      <c r="V45" s="272">
        <f t="shared" si="20"/>
        <v>0</v>
      </c>
      <c r="W45" s="272">
        <f t="shared" si="20"/>
        <v>615744</v>
      </c>
      <c r="X45" s="272">
        <f t="shared" si="20"/>
        <v>41859</v>
      </c>
      <c r="Y45" s="271">
        <f t="shared" si="20"/>
        <v>2.4</v>
      </c>
      <c r="Z45" s="272">
        <f t="shared" si="20"/>
        <v>479395</v>
      </c>
      <c r="AA45" s="272">
        <f t="shared" si="20"/>
        <v>0</v>
      </c>
      <c r="AB45" s="272">
        <f t="shared" si="20"/>
        <v>453986</v>
      </c>
      <c r="AC45" s="272">
        <f t="shared" si="20"/>
        <v>25409</v>
      </c>
      <c r="AD45" s="269"/>
      <c r="AE45" s="273"/>
      <c r="AF45" s="273"/>
      <c r="AG45" s="273"/>
      <c r="AH45" s="273"/>
      <c r="AI45" s="273"/>
      <c r="AJ45" s="273"/>
      <c r="AK45" s="273"/>
      <c r="AL45" s="273"/>
      <c r="AM45" s="273"/>
      <c r="AN45" s="273"/>
      <c r="AO45" s="273"/>
      <c r="AP45" s="273"/>
      <c r="AQ45" s="273"/>
    </row>
    <row r="46" spans="1:43" s="27" customFormat="1" ht="28.2" customHeight="1" x14ac:dyDescent="0.25">
      <c r="A46" s="450" t="s">
        <v>77</v>
      </c>
      <c r="B46" s="450"/>
      <c r="C46" s="450"/>
      <c r="D46" s="450"/>
      <c r="E46" s="450"/>
      <c r="F46" s="450"/>
      <c r="G46" s="450"/>
      <c r="H46" s="450"/>
      <c r="I46" s="450"/>
      <c r="J46" s="450"/>
      <c r="K46" s="450"/>
      <c r="L46" s="450"/>
      <c r="M46" s="450"/>
      <c r="N46" s="450"/>
      <c r="O46" s="450"/>
      <c r="P46" s="450"/>
      <c r="Q46" s="450"/>
      <c r="R46" s="450"/>
      <c r="S46" s="450"/>
      <c r="T46" s="450"/>
      <c r="U46" s="450"/>
      <c r="V46" s="450"/>
      <c r="W46" s="450"/>
      <c r="X46" s="450"/>
      <c r="Y46" s="450"/>
      <c r="Z46" s="450"/>
      <c r="AA46" s="450"/>
      <c r="AB46" s="450"/>
      <c r="AC46" s="450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</row>
    <row r="47" spans="1:43" s="215" customFormat="1" ht="120.75" customHeight="1" outlineLevel="1" x14ac:dyDescent="0.25">
      <c r="A47" s="90" t="s">
        <v>2</v>
      </c>
      <c r="B47" s="89" t="s">
        <v>176</v>
      </c>
      <c r="C47" s="250">
        <f>C48+C49+C50</f>
        <v>0.1</v>
      </c>
      <c r="D47" s="88">
        <f t="shared" ref="D47:R47" si="21">D48+D49+D50</f>
        <v>54455</v>
      </c>
      <c r="E47" s="250">
        <f t="shared" si="21"/>
        <v>0</v>
      </c>
      <c r="F47" s="88">
        <f t="shared" si="21"/>
        <v>0</v>
      </c>
      <c r="G47" s="88">
        <f t="shared" si="21"/>
        <v>0</v>
      </c>
      <c r="H47" s="88">
        <f t="shared" si="21"/>
        <v>0</v>
      </c>
      <c r="I47" s="88">
        <f t="shared" si="21"/>
        <v>0</v>
      </c>
      <c r="J47" s="250">
        <f t="shared" si="21"/>
        <v>0</v>
      </c>
      <c r="K47" s="88">
        <f t="shared" si="21"/>
        <v>0</v>
      </c>
      <c r="L47" s="88">
        <f t="shared" si="21"/>
        <v>0</v>
      </c>
      <c r="M47" s="88">
        <f t="shared" si="21"/>
        <v>0</v>
      </c>
      <c r="N47" s="88">
        <f t="shared" si="21"/>
        <v>0</v>
      </c>
      <c r="O47" s="250">
        <f t="shared" si="21"/>
        <v>0</v>
      </c>
      <c r="P47" s="88">
        <f t="shared" si="21"/>
        <v>0</v>
      </c>
      <c r="Q47" s="88">
        <f t="shared" si="21"/>
        <v>0</v>
      </c>
      <c r="R47" s="88">
        <f t="shared" si="21"/>
        <v>0</v>
      </c>
      <c r="S47" s="88">
        <f t="shared" ref="S47:AC47" si="22">S48+S49+S50</f>
        <v>0</v>
      </c>
      <c r="T47" s="250">
        <f t="shared" si="22"/>
        <v>0.1</v>
      </c>
      <c r="U47" s="88">
        <f>U48+U49+U50</f>
        <v>54455</v>
      </c>
      <c r="V47" s="88">
        <f t="shared" si="22"/>
        <v>0</v>
      </c>
      <c r="W47" s="88">
        <f>W48+W49+W50</f>
        <v>49966</v>
      </c>
      <c r="X47" s="88">
        <f>X48+X49+X50</f>
        <v>4489</v>
      </c>
      <c r="Y47" s="250">
        <f t="shared" si="22"/>
        <v>0</v>
      </c>
      <c r="Z47" s="88">
        <f t="shared" si="22"/>
        <v>0</v>
      </c>
      <c r="AA47" s="88">
        <f t="shared" si="22"/>
        <v>0</v>
      </c>
      <c r="AB47" s="88">
        <f t="shared" si="22"/>
        <v>0</v>
      </c>
      <c r="AC47" s="88">
        <f t="shared" si="22"/>
        <v>0</v>
      </c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</row>
    <row r="48" spans="1:43" s="217" customFormat="1" ht="112.5" customHeight="1" outlineLevel="1" x14ac:dyDescent="0.25">
      <c r="A48" s="15" t="s">
        <v>20</v>
      </c>
      <c r="B48" s="31" t="s">
        <v>176</v>
      </c>
      <c r="C48" s="255">
        <f>E48+J48+O48+T48+Y48</f>
        <v>0.1</v>
      </c>
      <c r="D48" s="227">
        <f t="shared" ref="D48:D54" si="23">F48+K48+P48+U48+Z48</f>
        <v>52485</v>
      </c>
      <c r="E48" s="255">
        <v>0</v>
      </c>
      <c r="F48" s="227">
        <v>0</v>
      </c>
      <c r="G48" s="227">
        <v>0</v>
      </c>
      <c r="H48" s="227">
        <v>0</v>
      </c>
      <c r="I48" s="227">
        <v>0</v>
      </c>
      <c r="J48" s="255">
        <v>0</v>
      </c>
      <c r="K48" s="227">
        <f t="shared" ref="K48:K53" si="24">SUM(L48:N48)</f>
        <v>0</v>
      </c>
      <c r="L48" s="227">
        <v>0</v>
      </c>
      <c r="M48" s="227">
        <f>ROUND(51350*0.959,1)-49244.7</f>
        <v>0</v>
      </c>
      <c r="N48" s="227">
        <v>0</v>
      </c>
      <c r="O48" s="255">
        <v>0</v>
      </c>
      <c r="P48" s="227">
        <v>0</v>
      </c>
      <c r="Q48" s="227">
        <v>0</v>
      </c>
      <c r="R48" s="227">
        <f>P48*0.959</f>
        <v>0</v>
      </c>
      <c r="S48" s="227">
        <f>P48*0.041</f>
        <v>0</v>
      </c>
      <c r="T48" s="255">
        <v>0.1</v>
      </c>
      <c r="U48" s="227">
        <v>52485</v>
      </c>
      <c r="V48" s="227">
        <v>0</v>
      </c>
      <c r="W48" s="227">
        <v>49966</v>
      </c>
      <c r="X48" s="227">
        <v>2519</v>
      </c>
      <c r="Y48" s="255">
        <v>0</v>
      </c>
      <c r="Z48" s="227">
        <v>0</v>
      </c>
      <c r="AA48" s="227">
        <v>0</v>
      </c>
      <c r="AB48" s="227">
        <v>0</v>
      </c>
      <c r="AC48" s="227">
        <v>0</v>
      </c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</row>
    <row r="49" spans="1:43" s="5" customFormat="1" ht="137.25" customHeight="1" outlineLevel="1" x14ac:dyDescent="0.25">
      <c r="A49" s="15" t="s">
        <v>162</v>
      </c>
      <c r="B49" s="31" t="s">
        <v>119</v>
      </c>
      <c r="C49" s="255">
        <v>0</v>
      </c>
      <c r="D49" s="227">
        <f t="shared" si="23"/>
        <v>1135</v>
      </c>
      <c r="E49" s="255">
        <v>0</v>
      </c>
      <c r="F49" s="227">
        <v>0</v>
      </c>
      <c r="G49" s="227">
        <v>0</v>
      </c>
      <c r="H49" s="227">
        <v>0</v>
      </c>
      <c r="I49" s="227">
        <v>0</v>
      </c>
      <c r="J49" s="255">
        <v>0</v>
      </c>
      <c r="K49" s="227">
        <f t="shared" si="24"/>
        <v>0</v>
      </c>
      <c r="L49" s="227">
        <v>0</v>
      </c>
      <c r="M49" s="227">
        <v>0</v>
      </c>
      <c r="N49" s="227">
        <v>0</v>
      </c>
      <c r="O49" s="255">
        <v>0</v>
      </c>
      <c r="P49" s="227">
        <v>0</v>
      </c>
      <c r="Q49" s="227">
        <v>0</v>
      </c>
      <c r="R49" s="227">
        <v>0</v>
      </c>
      <c r="S49" s="227">
        <v>0</v>
      </c>
      <c r="T49" s="255">
        <v>0</v>
      </c>
      <c r="U49" s="227">
        <f>X49</f>
        <v>1135</v>
      </c>
      <c r="V49" s="227">
        <v>0</v>
      </c>
      <c r="W49" s="227">
        <v>0</v>
      </c>
      <c r="X49" s="227">
        <v>1135</v>
      </c>
      <c r="Y49" s="255">
        <v>0</v>
      </c>
      <c r="Z49" s="227">
        <v>0</v>
      </c>
      <c r="AA49" s="227">
        <v>0</v>
      </c>
      <c r="AB49" s="227">
        <v>0</v>
      </c>
      <c r="AC49" s="227">
        <v>0</v>
      </c>
    </row>
    <row r="50" spans="1:43" s="5" customFormat="1" ht="144" customHeight="1" outlineLevel="1" x14ac:dyDescent="0.25">
      <c r="A50" s="15" t="s">
        <v>775</v>
      </c>
      <c r="B50" s="31" t="s">
        <v>774</v>
      </c>
      <c r="C50" s="255">
        <v>0</v>
      </c>
      <c r="D50" s="227">
        <f t="shared" si="23"/>
        <v>835</v>
      </c>
      <c r="E50" s="255">
        <v>0</v>
      </c>
      <c r="F50" s="227">
        <v>0</v>
      </c>
      <c r="G50" s="227">
        <v>0</v>
      </c>
      <c r="H50" s="227">
        <v>0</v>
      </c>
      <c r="I50" s="227">
        <v>0</v>
      </c>
      <c r="J50" s="255">
        <v>0</v>
      </c>
      <c r="K50" s="227">
        <f>N50</f>
        <v>0</v>
      </c>
      <c r="L50" s="227">
        <v>0</v>
      </c>
      <c r="M50" s="227">
        <v>0</v>
      </c>
      <c r="N50" s="227">
        <v>0</v>
      </c>
      <c r="O50" s="255">
        <v>0</v>
      </c>
      <c r="P50" s="227">
        <v>0</v>
      </c>
      <c r="Q50" s="227">
        <v>0</v>
      </c>
      <c r="R50" s="227">
        <v>0</v>
      </c>
      <c r="S50" s="227">
        <v>0</v>
      </c>
      <c r="T50" s="255">
        <v>0</v>
      </c>
      <c r="U50" s="227">
        <f>X50</f>
        <v>835</v>
      </c>
      <c r="V50" s="227">
        <v>0</v>
      </c>
      <c r="W50" s="227">
        <v>0</v>
      </c>
      <c r="X50" s="227">
        <v>835</v>
      </c>
      <c r="Y50" s="255">
        <v>0</v>
      </c>
      <c r="Z50" s="227">
        <v>0</v>
      </c>
      <c r="AA50" s="227">
        <v>0</v>
      </c>
      <c r="AB50" s="227">
        <v>0</v>
      </c>
      <c r="AC50" s="227">
        <v>0</v>
      </c>
    </row>
    <row r="51" spans="1:43" s="215" customFormat="1" ht="73.95" customHeight="1" outlineLevel="1" x14ac:dyDescent="0.25">
      <c r="A51" s="90" t="s">
        <v>3</v>
      </c>
      <c r="B51" s="89" t="s">
        <v>764</v>
      </c>
      <c r="C51" s="250">
        <f>C52+C53+C54</f>
        <v>0.92</v>
      </c>
      <c r="D51" s="88">
        <f t="shared" ref="D51:AC51" si="25">D52+D53+D54</f>
        <v>56064</v>
      </c>
      <c r="E51" s="250">
        <f t="shared" si="25"/>
        <v>0</v>
      </c>
      <c r="F51" s="88">
        <f t="shared" si="25"/>
        <v>0</v>
      </c>
      <c r="G51" s="88">
        <f t="shared" si="25"/>
        <v>0</v>
      </c>
      <c r="H51" s="88">
        <f t="shared" si="25"/>
        <v>0</v>
      </c>
      <c r="I51" s="88">
        <f t="shared" si="25"/>
        <v>0</v>
      </c>
      <c r="J51" s="250">
        <f t="shared" si="25"/>
        <v>0</v>
      </c>
      <c r="K51" s="88">
        <f t="shared" si="25"/>
        <v>0</v>
      </c>
      <c r="L51" s="88">
        <f t="shared" si="25"/>
        <v>0</v>
      </c>
      <c r="M51" s="88">
        <f t="shared" si="25"/>
        <v>0</v>
      </c>
      <c r="N51" s="88">
        <f t="shared" si="25"/>
        <v>0</v>
      </c>
      <c r="O51" s="250">
        <f t="shared" si="25"/>
        <v>0</v>
      </c>
      <c r="P51" s="88">
        <f t="shared" si="25"/>
        <v>0</v>
      </c>
      <c r="Q51" s="88">
        <f t="shared" si="25"/>
        <v>0</v>
      </c>
      <c r="R51" s="88">
        <f t="shared" si="25"/>
        <v>0</v>
      </c>
      <c r="S51" s="88">
        <f>S52+S53+S54</f>
        <v>0</v>
      </c>
      <c r="T51" s="250">
        <f t="shared" si="25"/>
        <v>0.92</v>
      </c>
      <c r="U51" s="88">
        <f>U52+U53+U54</f>
        <v>56064</v>
      </c>
      <c r="V51" s="88">
        <f t="shared" si="25"/>
        <v>0</v>
      </c>
      <c r="W51" s="88">
        <f>W52+W53+W54</f>
        <v>49980</v>
      </c>
      <c r="X51" s="88">
        <f>X52+X53+X54</f>
        <v>6084</v>
      </c>
      <c r="Y51" s="250">
        <f t="shared" si="25"/>
        <v>0</v>
      </c>
      <c r="Z51" s="88">
        <f t="shared" si="25"/>
        <v>0</v>
      </c>
      <c r="AA51" s="88">
        <f t="shared" si="25"/>
        <v>0</v>
      </c>
      <c r="AB51" s="88">
        <f t="shared" si="25"/>
        <v>0</v>
      </c>
      <c r="AC51" s="88">
        <f t="shared" si="25"/>
        <v>0</v>
      </c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</row>
    <row r="52" spans="1:43" s="5" customFormat="1" ht="77.25" customHeight="1" outlineLevel="1" x14ac:dyDescent="0.25">
      <c r="A52" s="15" t="s">
        <v>21</v>
      </c>
      <c r="B52" s="31" t="s">
        <v>764</v>
      </c>
      <c r="C52" s="255">
        <f>E52+J52+O52++T52+Y52</f>
        <v>0.92</v>
      </c>
      <c r="D52" s="228">
        <f t="shared" si="23"/>
        <v>52500</v>
      </c>
      <c r="E52" s="259">
        <v>0</v>
      </c>
      <c r="F52" s="228">
        <v>0</v>
      </c>
      <c r="G52" s="228">
        <v>0</v>
      </c>
      <c r="H52" s="228">
        <v>0</v>
      </c>
      <c r="I52" s="228">
        <v>0</v>
      </c>
      <c r="J52" s="255">
        <v>0</v>
      </c>
      <c r="K52" s="227">
        <f t="shared" si="24"/>
        <v>0</v>
      </c>
      <c r="L52" s="227">
        <v>0</v>
      </c>
      <c r="M52" s="228">
        <f>ROUND(52500*0.959,1)-50347.5</f>
        <v>0</v>
      </c>
      <c r="N52" s="228">
        <v>0</v>
      </c>
      <c r="O52" s="259">
        <v>0</v>
      </c>
      <c r="P52" s="228">
        <f>R52+S52</f>
        <v>0</v>
      </c>
      <c r="Q52" s="228">
        <v>0</v>
      </c>
      <c r="R52" s="228">
        <v>0</v>
      </c>
      <c r="S52" s="228">
        <v>0</v>
      </c>
      <c r="T52" s="259">
        <v>0.92</v>
      </c>
      <c r="U52" s="228">
        <f>V52+W52+X52</f>
        <v>52500</v>
      </c>
      <c r="V52" s="228">
        <v>0</v>
      </c>
      <c r="W52" s="228">
        <v>49980</v>
      </c>
      <c r="X52" s="228">
        <v>2520</v>
      </c>
      <c r="Y52" s="259">
        <v>0</v>
      </c>
      <c r="Z52" s="228">
        <v>0</v>
      </c>
      <c r="AA52" s="228">
        <v>0</v>
      </c>
      <c r="AB52" s="228">
        <v>0</v>
      </c>
      <c r="AC52" s="228">
        <v>0</v>
      </c>
    </row>
    <row r="53" spans="1:43" s="5" customFormat="1" ht="103.95" customHeight="1" outlineLevel="1" x14ac:dyDescent="0.25">
      <c r="A53" s="15" t="s">
        <v>22</v>
      </c>
      <c r="B53" s="31" t="s">
        <v>768</v>
      </c>
      <c r="C53" s="255">
        <f>E1063</f>
        <v>0</v>
      </c>
      <c r="D53" s="228">
        <f t="shared" si="23"/>
        <v>2600</v>
      </c>
      <c r="E53" s="259">
        <v>0</v>
      </c>
      <c r="F53" s="228">
        <v>0</v>
      </c>
      <c r="G53" s="228">
        <v>0</v>
      </c>
      <c r="H53" s="228">
        <v>0</v>
      </c>
      <c r="I53" s="228">
        <v>0</v>
      </c>
      <c r="J53" s="255">
        <v>0</v>
      </c>
      <c r="K53" s="227">
        <f t="shared" si="24"/>
        <v>0</v>
      </c>
      <c r="L53" s="227">
        <v>0</v>
      </c>
      <c r="M53" s="228">
        <v>0</v>
      </c>
      <c r="N53" s="228">
        <v>0</v>
      </c>
      <c r="O53" s="259">
        <v>0</v>
      </c>
      <c r="P53" s="228">
        <f>S53</f>
        <v>0</v>
      </c>
      <c r="Q53" s="228">
        <v>0</v>
      </c>
      <c r="R53" s="228">
        <v>0</v>
      </c>
      <c r="S53" s="228">
        <v>0</v>
      </c>
      <c r="T53" s="259">
        <v>0</v>
      </c>
      <c r="U53" s="228">
        <f t="shared" ref="U53:U54" si="26">V53+W53+X53</f>
        <v>2600</v>
      </c>
      <c r="V53" s="228">
        <v>0</v>
      </c>
      <c r="W53" s="228">
        <v>0</v>
      </c>
      <c r="X53" s="228">
        <v>2600</v>
      </c>
      <c r="Y53" s="259">
        <v>0</v>
      </c>
      <c r="Z53" s="228">
        <v>0</v>
      </c>
      <c r="AA53" s="228">
        <v>0</v>
      </c>
      <c r="AB53" s="228">
        <v>0</v>
      </c>
      <c r="AC53" s="228">
        <v>0</v>
      </c>
    </row>
    <row r="54" spans="1:43" s="5" customFormat="1" ht="109.5" customHeight="1" outlineLevel="1" x14ac:dyDescent="0.25">
      <c r="A54" s="15" t="s">
        <v>120</v>
      </c>
      <c r="B54" s="31" t="s">
        <v>769</v>
      </c>
      <c r="C54" s="255">
        <v>0</v>
      </c>
      <c r="D54" s="228">
        <f t="shared" si="23"/>
        <v>964</v>
      </c>
      <c r="E54" s="259">
        <v>0</v>
      </c>
      <c r="F54" s="228">
        <v>0</v>
      </c>
      <c r="G54" s="228">
        <v>0</v>
      </c>
      <c r="H54" s="228">
        <v>0</v>
      </c>
      <c r="I54" s="228">
        <v>0</v>
      </c>
      <c r="J54" s="255">
        <v>0</v>
      </c>
      <c r="K54" s="227">
        <f>N54</f>
        <v>0</v>
      </c>
      <c r="L54" s="227">
        <v>0</v>
      </c>
      <c r="M54" s="228">
        <v>0</v>
      </c>
      <c r="N54" s="228">
        <v>0</v>
      </c>
      <c r="O54" s="259">
        <v>0</v>
      </c>
      <c r="P54" s="228">
        <f>S54</f>
        <v>0</v>
      </c>
      <c r="Q54" s="228">
        <v>0</v>
      </c>
      <c r="R54" s="228">
        <v>0</v>
      </c>
      <c r="S54" s="228">
        <v>0</v>
      </c>
      <c r="T54" s="259">
        <v>0</v>
      </c>
      <c r="U54" s="228">
        <f t="shared" si="26"/>
        <v>964</v>
      </c>
      <c r="V54" s="228">
        <v>0</v>
      </c>
      <c r="W54" s="228">
        <v>0</v>
      </c>
      <c r="X54" s="228">
        <v>964</v>
      </c>
      <c r="Y54" s="259">
        <v>0</v>
      </c>
      <c r="Z54" s="228">
        <v>0</v>
      </c>
      <c r="AA54" s="228">
        <v>0</v>
      </c>
      <c r="AB54" s="228">
        <v>0</v>
      </c>
      <c r="AC54" s="228">
        <v>0</v>
      </c>
    </row>
    <row r="55" spans="1:43" s="1" customFormat="1" ht="128.25" customHeight="1" outlineLevel="1" x14ac:dyDescent="0.25">
      <c r="A55" s="90" t="s">
        <v>749</v>
      </c>
      <c r="B55" s="89" t="s">
        <v>765</v>
      </c>
      <c r="C55" s="250">
        <f t="shared" ref="C55:D58" si="27">E55+J55+O55+T55+Y55</f>
        <v>1</v>
      </c>
      <c r="D55" s="88">
        <f t="shared" si="27"/>
        <v>48605</v>
      </c>
      <c r="E55" s="250">
        <f t="shared" ref="E55:AC55" si="28">E56+E57+E58</f>
        <v>0</v>
      </c>
      <c r="F55" s="88">
        <f t="shared" si="28"/>
        <v>0</v>
      </c>
      <c r="G55" s="88">
        <f t="shared" si="28"/>
        <v>0</v>
      </c>
      <c r="H55" s="88">
        <f t="shared" si="28"/>
        <v>0</v>
      </c>
      <c r="I55" s="88">
        <f t="shared" si="28"/>
        <v>0</v>
      </c>
      <c r="J55" s="250">
        <f t="shared" si="28"/>
        <v>0</v>
      </c>
      <c r="K55" s="88">
        <f t="shared" si="28"/>
        <v>0</v>
      </c>
      <c r="L55" s="88">
        <f t="shared" si="28"/>
        <v>0</v>
      </c>
      <c r="M55" s="88">
        <f t="shared" si="28"/>
        <v>0</v>
      </c>
      <c r="N55" s="88">
        <f t="shared" si="28"/>
        <v>0</v>
      </c>
      <c r="O55" s="250">
        <f t="shared" si="28"/>
        <v>0</v>
      </c>
      <c r="P55" s="88">
        <f t="shared" si="28"/>
        <v>0</v>
      </c>
      <c r="Q55" s="88">
        <f t="shared" si="28"/>
        <v>0</v>
      </c>
      <c r="R55" s="88">
        <f t="shared" si="28"/>
        <v>0</v>
      </c>
      <c r="S55" s="88">
        <f t="shared" si="28"/>
        <v>0</v>
      </c>
      <c r="T55" s="250">
        <f t="shared" si="28"/>
        <v>1</v>
      </c>
      <c r="U55" s="88">
        <f>U56+U57+U58</f>
        <v>48605</v>
      </c>
      <c r="V55" s="88">
        <f t="shared" si="28"/>
        <v>0</v>
      </c>
      <c r="W55" s="88">
        <f t="shared" si="28"/>
        <v>43654</v>
      </c>
      <c r="X55" s="88">
        <f t="shared" si="28"/>
        <v>4951</v>
      </c>
      <c r="Y55" s="250">
        <f t="shared" si="28"/>
        <v>0</v>
      </c>
      <c r="Z55" s="88">
        <f t="shared" si="28"/>
        <v>0</v>
      </c>
      <c r="AA55" s="88">
        <f t="shared" si="28"/>
        <v>0</v>
      </c>
      <c r="AB55" s="88">
        <f t="shared" si="28"/>
        <v>0</v>
      </c>
      <c r="AC55" s="88">
        <f t="shared" si="28"/>
        <v>0</v>
      </c>
    </row>
    <row r="56" spans="1:43" s="5" customFormat="1" ht="108" customHeight="1" outlineLevel="1" x14ac:dyDescent="0.25">
      <c r="A56" s="15" t="s">
        <v>771</v>
      </c>
      <c r="B56" s="31" t="s">
        <v>765</v>
      </c>
      <c r="C56" s="250">
        <f t="shared" si="27"/>
        <v>1</v>
      </c>
      <c r="D56" s="88">
        <f t="shared" si="27"/>
        <v>45855</v>
      </c>
      <c r="E56" s="259">
        <v>0</v>
      </c>
      <c r="F56" s="228">
        <v>0</v>
      </c>
      <c r="G56" s="228">
        <v>0</v>
      </c>
      <c r="H56" s="228">
        <v>0</v>
      </c>
      <c r="I56" s="228">
        <v>0</v>
      </c>
      <c r="J56" s="255">
        <v>0</v>
      </c>
      <c r="K56" s="227">
        <v>0</v>
      </c>
      <c r="L56" s="227">
        <v>0</v>
      </c>
      <c r="M56" s="228">
        <v>0</v>
      </c>
      <c r="N56" s="228">
        <v>0</v>
      </c>
      <c r="O56" s="259">
        <v>0</v>
      </c>
      <c r="P56" s="228">
        <v>0</v>
      </c>
      <c r="Q56" s="228">
        <v>0</v>
      </c>
      <c r="R56" s="228">
        <v>0</v>
      </c>
      <c r="S56" s="228">
        <v>0</v>
      </c>
      <c r="T56" s="259">
        <v>1</v>
      </c>
      <c r="U56" s="228">
        <f>V56+W56+X56</f>
        <v>45855</v>
      </c>
      <c r="V56" s="228">
        <v>0</v>
      </c>
      <c r="W56" s="228">
        <v>43654</v>
      </c>
      <c r="X56" s="228">
        <v>2201</v>
      </c>
      <c r="Y56" s="259">
        <v>0</v>
      </c>
      <c r="Z56" s="228">
        <v>0</v>
      </c>
      <c r="AA56" s="228">
        <v>0</v>
      </c>
      <c r="AB56" s="228">
        <v>0</v>
      </c>
      <c r="AC56" s="228">
        <v>0</v>
      </c>
    </row>
    <row r="57" spans="1:43" s="5" customFormat="1" ht="129.75" customHeight="1" outlineLevel="1" x14ac:dyDescent="0.25">
      <c r="A57" s="15" t="s">
        <v>772</v>
      </c>
      <c r="B57" s="31" t="s">
        <v>866</v>
      </c>
      <c r="C57" s="250">
        <f t="shared" si="27"/>
        <v>0</v>
      </c>
      <c r="D57" s="88">
        <f t="shared" si="27"/>
        <v>1765</v>
      </c>
      <c r="E57" s="259">
        <v>0</v>
      </c>
      <c r="F57" s="228">
        <v>0</v>
      </c>
      <c r="G57" s="228">
        <v>0</v>
      </c>
      <c r="H57" s="228">
        <v>0</v>
      </c>
      <c r="I57" s="228">
        <v>0</v>
      </c>
      <c r="J57" s="255">
        <v>0</v>
      </c>
      <c r="K57" s="227">
        <v>0</v>
      </c>
      <c r="L57" s="227">
        <v>0</v>
      </c>
      <c r="M57" s="228">
        <v>0</v>
      </c>
      <c r="N57" s="228">
        <v>0</v>
      </c>
      <c r="O57" s="259">
        <v>0</v>
      </c>
      <c r="P57" s="228">
        <f>S57</f>
        <v>0</v>
      </c>
      <c r="Q57" s="228">
        <v>0</v>
      </c>
      <c r="R57" s="228">
        <v>0</v>
      </c>
      <c r="S57" s="228">
        <v>0</v>
      </c>
      <c r="T57" s="259">
        <v>0</v>
      </c>
      <c r="U57" s="228">
        <f t="shared" ref="U57:U58" si="29">V57+W57+X57</f>
        <v>1765</v>
      </c>
      <c r="V57" s="228">
        <v>0</v>
      </c>
      <c r="W57" s="228">
        <v>0</v>
      </c>
      <c r="X57" s="228">
        <v>1765</v>
      </c>
      <c r="Y57" s="259">
        <v>0</v>
      </c>
      <c r="Z57" s="228">
        <v>0</v>
      </c>
      <c r="AA57" s="228">
        <v>0</v>
      </c>
      <c r="AB57" s="228">
        <v>0</v>
      </c>
      <c r="AC57" s="228">
        <v>0</v>
      </c>
    </row>
    <row r="58" spans="1:43" s="5" customFormat="1" ht="128.25" customHeight="1" outlineLevel="1" x14ac:dyDescent="0.25">
      <c r="A58" s="15" t="s">
        <v>773</v>
      </c>
      <c r="B58" s="31" t="s">
        <v>867</v>
      </c>
      <c r="C58" s="250">
        <f t="shared" si="27"/>
        <v>0</v>
      </c>
      <c r="D58" s="88">
        <f t="shared" si="27"/>
        <v>985</v>
      </c>
      <c r="E58" s="259">
        <v>0</v>
      </c>
      <c r="F58" s="228">
        <v>0</v>
      </c>
      <c r="G58" s="228">
        <v>0</v>
      </c>
      <c r="H58" s="228">
        <v>0</v>
      </c>
      <c r="I58" s="228">
        <v>0</v>
      </c>
      <c r="J58" s="255">
        <v>0</v>
      </c>
      <c r="K58" s="227">
        <v>0</v>
      </c>
      <c r="L58" s="227">
        <v>0</v>
      </c>
      <c r="M58" s="228">
        <v>0</v>
      </c>
      <c r="N58" s="228">
        <v>0</v>
      </c>
      <c r="O58" s="259">
        <v>0</v>
      </c>
      <c r="P58" s="228">
        <f>S58</f>
        <v>0</v>
      </c>
      <c r="Q58" s="228">
        <v>0</v>
      </c>
      <c r="R58" s="228">
        <v>0</v>
      </c>
      <c r="S58" s="228">
        <v>0</v>
      </c>
      <c r="T58" s="259">
        <v>0</v>
      </c>
      <c r="U58" s="228">
        <f t="shared" si="29"/>
        <v>985</v>
      </c>
      <c r="V58" s="228">
        <v>0</v>
      </c>
      <c r="W58" s="228">
        <v>0</v>
      </c>
      <c r="X58" s="228">
        <v>985</v>
      </c>
      <c r="Y58" s="259">
        <v>0</v>
      </c>
      <c r="Z58" s="228">
        <v>0</v>
      </c>
      <c r="AA58" s="228">
        <v>0</v>
      </c>
      <c r="AB58" s="228">
        <v>0</v>
      </c>
      <c r="AC58" s="228">
        <v>0</v>
      </c>
    </row>
    <row r="59" spans="1:43" s="220" customFormat="1" ht="31.2" customHeight="1" x14ac:dyDescent="0.25">
      <c r="A59" s="102"/>
      <c r="B59" s="101" t="s">
        <v>16</v>
      </c>
      <c r="C59" s="256">
        <f>C47+C51+C55</f>
        <v>2.02</v>
      </c>
      <c r="D59" s="230">
        <f t="shared" ref="D59:AC59" si="30">D47+D51+D55</f>
        <v>159124</v>
      </c>
      <c r="E59" s="256">
        <f t="shared" si="30"/>
        <v>0</v>
      </c>
      <c r="F59" s="230">
        <f t="shared" si="30"/>
        <v>0</v>
      </c>
      <c r="G59" s="230">
        <f t="shared" si="30"/>
        <v>0</v>
      </c>
      <c r="H59" s="230">
        <f t="shared" si="30"/>
        <v>0</v>
      </c>
      <c r="I59" s="230">
        <f t="shared" si="30"/>
        <v>0</v>
      </c>
      <c r="J59" s="256">
        <f t="shared" si="30"/>
        <v>0</v>
      </c>
      <c r="K59" s="230">
        <f t="shared" si="30"/>
        <v>0</v>
      </c>
      <c r="L59" s="230">
        <f t="shared" si="30"/>
        <v>0</v>
      </c>
      <c r="M59" s="230">
        <f t="shared" si="30"/>
        <v>0</v>
      </c>
      <c r="N59" s="230">
        <f t="shared" si="30"/>
        <v>0</v>
      </c>
      <c r="O59" s="256">
        <f t="shared" si="30"/>
        <v>0</v>
      </c>
      <c r="P59" s="230">
        <f t="shared" si="30"/>
        <v>0</v>
      </c>
      <c r="Q59" s="230">
        <f t="shared" si="30"/>
        <v>0</v>
      </c>
      <c r="R59" s="230">
        <f t="shared" si="30"/>
        <v>0</v>
      </c>
      <c r="S59" s="230">
        <f t="shared" si="30"/>
        <v>0</v>
      </c>
      <c r="T59" s="256">
        <f t="shared" si="30"/>
        <v>2.02</v>
      </c>
      <c r="U59" s="230">
        <f t="shared" si="30"/>
        <v>159124</v>
      </c>
      <c r="V59" s="230">
        <f t="shared" si="30"/>
        <v>0</v>
      </c>
      <c r="W59" s="230">
        <f t="shared" si="30"/>
        <v>143600</v>
      </c>
      <c r="X59" s="230">
        <f>X47+X51+X55</f>
        <v>15524</v>
      </c>
      <c r="Y59" s="256">
        <f t="shared" si="30"/>
        <v>0</v>
      </c>
      <c r="Z59" s="230">
        <f t="shared" si="30"/>
        <v>0</v>
      </c>
      <c r="AA59" s="230">
        <f t="shared" si="30"/>
        <v>0</v>
      </c>
      <c r="AB59" s="230">
        <f t="shared" si="30"/>
        <v>0</v>
      </c>
      <c r="AC59" s="230">
        <f t="shared" si="30"/>
        <v>0</v>
      </c>
      <c r="AD59" s="218"/>
      <c r="AE59" s="219"/>
      <c r="AF59" s="219"/>
      <c r="AG59" s="219"/>
      <c r="AH59" s="219"/>
      <c r="AI59" s="219"/>
      <c r="AJ59" s="219"/>
      <c r="AK59" s="219"/>
      <c r="AL59" s="219"/>
      <c r="AM59" s="219"/>
      <c r="AN59" s="219"/>
      <c r="AO59" s="219"/>
      <c r="AP59" s="219"/>
      <c r="AQ59" s="219"/>
    </row>
    <row r="60" spans="1:43" s="11" customFormat="1" ht="29.4" customHeight="1" x14ac:dyDescent="0.25">
      <c r="A60" s="447" t="s">
        <v>104</v>
      </c>
      <c r="B60" s="447"/>
      <c r="C60" s="447"/>
      <c r="D60" s="447"/>
      <c r="E60" s="447"/>
      <c r="F60" s="447"/>
      <c r="G60" s="447"/>
      <c r="H60" s="447"/>
      <c r="I60" s="447"/>
      <c r="J60" s="447"/>
      <c r="K60" s="447"/>
      <c r="L60" s="447"/>
      <c r="M60" s="447"/>
      <c r="N60" s="447"/>
      <c r="O60" s="447"/>
      <c r="P60" s="447"/>
      <c r="Q60" s="447"/>
      <c r="R60" s="447"/>
      <c r="S60" s="447"/>
      <c r="T60" s="447"/>
      <c r="U60" s="447"/>
      <c r="V60" s="447"/>
      <c r="W60" s="447"/>
      <c r="X60" s="447"/>
      <c r="Y60" s="447"/>
      <c r="Z60" s="447"/>
      <c r="AA60" s="447"/>
      <c r="AB60" s="447"/>
      <c r="AC60" s="447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s="4" customFormat="1" ht="116.25" customHeight="1" outlineLevel="1" x14ac:dyDescent="0.25">
      <c r="A61" s="13" t="s">
        <v>169</v>
      </c>
      <c r="B61" s="103" t="s">
        <v>107</v>
      </c>
      <c r="C61" s="208">
        <f>E61+J61+O61+T61+Y61</f>
        <v>0</v>
      </c>
      <c r="D61" s="231">
        <f t="shared" ref="D61:D68" si="31">F61+K61+P61+U61+Z61</f>
        <v>5977</v>
      </c>
      <c r="E61" s="255">
        <v>0</v>
      </c>
      <c r="F61" s="227">
        <f>G61+H61+I61</f>
        <v>0</v>
      </c>
      <c r="G61" s="227">
        <v>0</v>
      </c>
      <c r="H61" s="227">
        <v>0</v>
      </c>
      <c r="I61" s="227">
        <v>0</v>
      </c>
      <c r="J61" s="208">
        <v>0</v>
      </c>
      <c r="K61" s="231">
        <f t="shared" ref="K61" si="32">SUM(L61:N61)</f>
        <v>0</v>
      </c>
      <c r="L61" s="231">
        <v>0</v>
      </c>
      <c r="M61" s="232">
        <v>0</v>
      </c>
      <c r="N61" s="231">
        <f>1723-1723</f>
        <v>0</v>
      </c>
      <c r="O61" s="208">
        <v>0</v>
      </c>
      <c r="P61" s="231">
        <f>Q61+R61+S61</f>
        <v>0</v>
      </c>
      <c r="Q61" s="231">
        <v>0</v>
      </c>
      <c r="R61" s="232">
        <v>0</v>
      </c>
      <c r="S61" s="231">
        <v>0</v>
      </c>
      <c r="T61" s="266">
        <v>0</v>
      </c>
      <c r="U61" s="232">
        <f>V61+W61+X61</f>
        <v>3877</v>
      </c>
      <c r="V61" s="232">
        <v>0</v>
      </c>
      <c r="W61" s="232">
        <v>0</v>
      </c>
      <c r="X61" s="232">
        <f>1950+1927</f>
        <v>3877</v>
      </c>
      <c r="Y61" s="266">
        <v>0</v>
      </c>
      <c r="Z61" s="232">
        <f>AA61+AB61+AC61</f>
        <v>2100</v>
      </c>
      <c r="AA61" s="232">
        <v>0</v>
      </c>
      <c r="AB61" s="232">
        <v>0</v>
      </c>
      <c r="AC61" s="232">
        <v>2100</v>
      </c>
      <c r="AD61" s="6"/>
    </row>
    <row r="62" spans="1:43" s="4" customFormat="1" ht="170.25" customHeight="1" outlineLevel="1" x14ac:dyDescent="0.25">
      <c r="A62" s="13" t="s">
        <v>170</v>
      </c>
      <c r="B62" s="103" t="s">
        <v>750</v>
      </c>
      <c r="C62" s="208">
        <v>0</v>
      </c>
      <c r="D62" s="231">
        <f t="shared" si="31"/>
        <v>17880</v>
      </c>
      <c r="E62" s="255">
        <v>0</v>
      </c>
      <c r="F62" s="227">
        <f>I62</f>
        <v>5960</v>
      </c>
      <c r="G62" s="227">
        <v>0</v>
      </c>
      <c r="H62" s="227">
        <v>0</v>
      </c>
      <c r="I62" s="227">
        <v>5960</v>
      </c>
      <c r="J62" s="208">
        <v>0</v>
      </c>
      <c r="K62" s="231">
        <f>L62+M62+N62</f>
        <v>5960</v>
      </c>
      <c r="L62" s="231">
        <v>0</v>
      </c>
      <c r="M62" s="232">
        <v>0</v>
      </c>
      <c r="N62" s="231">
        <v>5960</v>
      </c>
      <c r="O62" s="208">
        <v>0</v>
      </c>
      <c r="P62" s="231">
        <f>Q62+R62+S62</f>
        <v>5960</v>
      </c>
      <c r="Q62" s="231">
        <v>0</v>
      </c>
      <c r="R62" s="232">
        <v>0</v>
      </c>
      <c r="S62" s="231">
        <v>5960</v>
      </c>
      <c r="T62" s="266">
        <v>0</v>
      </c>
      <c r="U62" s="232">
        <v>0</v>
      </c>
      <c r="V62" s="232">
        <v>0</v>
      </c>
      <c r="W62" s="232">
        <v>0</v>
      </c>
      <c r="X62" s="232">
        <v>0</v>
      </c>
      <c r="Y62" s="266">
        <v>0</v>
      </c>
      <c r="Z62" s="232">
        <v>0</v>
      </c>
      <c r="AA62" s="232">
        <v>0</v>
      </c>
      <c r="AB62" s="232">
        <v>0</v>
      </c>
      <c r="AC62" s="232">
        <v>0</v>
      </c>
      <c r="AD62" s="6"/>
    </row>
    <row r="63" spans="1:43" s="4" customFormat="1" ht="141.75" customHeight="1" outlineLevel="1" x14ac:dyDescent="0.25">
      <c r="A63" s="13" t="s">
        <v>758</v>
      </c>
      <c r="B63" s="103" t="s">
        <v>766</v>
      </c>
      <c r="C63" s="208">
        <v>0</v>
      </c>
      <c r="D63" s="231">
        <f t="shared" si="31"/>
        <v>15759</v>
      </c>
      <c r="E63" s="255">
        <v>0</v>
      </c>
      <c r="F63" s="227">
        <f>I63</f>
        <v>5253</v>
      </c>
      <c r="G63" s="227">
        <v>0</v>
      </c>
      <c r="H63" s="227">
        <v>0</v>
      </c>
      <c r="I63" s="227">
        <v>5253</v>
      </c>
      <c r="J63" s="208">
        <v>0</v>
      </c>
      <c r="K63" s="231">
        <f>L63+M63+N63</f>
        <v>5253</v>
      </c>
      <c r="L63" s="231">
        <v>0</v>
      </c>
      <c r="M63" s="232">
        <v>0</v>
      </c>
      <c r="N63" s="231">
        <v>5253</v>
      </c>
      <c r="O63" s="208">
        <v>0</v>
      </c>
      <c r="P63" s="231">
        <f>Q63+R63+S63</f>
        <v>5253</v>
      </c>
      <c r="Q63" s="231">
        <v>0</v>
      </c>
      <c r="R63" s="232">
        <v>0</v>
      </c>
      <c r="S63" s="231">
        <v>5253</v>
      </c>
      <c r="T63" s="266">
        <v>0</v>
      </c>
      <c r="U63" s="232">
        <v>0</v>
      </c>
      <c r="V63" s="232">
        <v>0</v>
      </c>
      <c r="W63" s="232">
        <v>0</v>
      </c>
      <c r="X63" s="232">
        <v>0</v>
      </c>
      <c r="Y63" s="266">
        <v>0</v>
      </c>
      <c r="Z63" s="232">
        <v>0</v>
      </c>
      <c r="AA63" s="232">
        <v>0</v>
      </c>
      <c r="AB63" s="232">
        <v>0</v>
      </c>
      <c r="AC63" s="232">
        <v>0</v>
      </c>
      <c r="AD63" s="6"/>
    </row>
    <row r="64" spans="1:43" s="4" customFormat="1" ht="85.2" customHeight="1" outlineLevel="1" x14ac:dyDescent="0.25">
      <c r="A64" s="13" t="s">
        <v>759</v>
      </c>
      <c r="B64" s="104" t="s">
        <v>868</v>
      </c>
      <c r="C64" s="208">
        <v>0</v>
      </c>
      <c r="D64" s="231">
        <f t="shared" si="31"/>
        <v>9774</v>
      </c>
      <c r="E64" s="255">
        <v>0</v>
      </c>
      <c r="F64" s="227">
        <v>0</v>
      </c>
      <c r="G64" s="227">
        <v>0</v>
      </c>
      <c r="H64" s="227">
        <v>0</v>
      </c>
      <c r="I64" s="227">
        <v>0</v>
      </c>
      <c r="J64" s="208">
        <v>0</v>
      </c>
      <c r="K64" s="231">
        <f>L64+M64+N64</f>
        <v>4887</v>
      </c>
      <c r="L64" s="231">
        <v>0</v>
      </c>
      <c r="M64" s="232">
        <v>0</v>
      </c>
      <c r="N64" s="231">
        <v>4887</v>
      </c>
      <c r="O64" s="208">
        <v>0</v>
      </c>
      <c r="P64" s="231">
        <f>S64</f>
        <v>4887</v>
      </c>
      <c r="Q64" s="231">
        <v>0</v>
      </c>
      <c r="R64" s="232">
        <v>0</v>
      </c>
      <c r="S64" s="231">
        <v>4887</v>
      </c>
      <c r="T64" s="266">
        <v>0</v>
      </c>
      <c r="U64" s="232">
        <v>0</v>
      </c>
      <c r="V64" s="232">
        <v>0</v>
      </c>
      <c r="W64" s="232">
        <v>0</v>
      </c>
      <c r="X64" s="232">
        <v>0</v>
      </c>
      <c r="Y64" s="266">
        <v>0</v>
      </c>
      <c r="Z64" s="232">
        <f>AA64+AB64+AC64</f>
        <v>0</v>
      </c>
      <c r="AA64" s="232">
        <v>0</v>
      </c>
      <c r="AB64" s="232">
        <v>0</v>
      </c>
      <c r="AC64" s="232"/>
      <c r="AD64" s="6"/>
    </row>
    <row r="65" spans="1:57" s="4" customFormat="1" ht="87" customHeight="1" outlineLevel="1" x14ac:dyDescent="0.25">
      <c r="A65" s="13" t="s">
        <v>760</v>
      </c>
      <c r="B65" s="104" t="s">
        <v>869</v>
      </c>
      <c r="C65" s="208">
        <v>0</v>
      </c>
      <c r="D65" s="231">
        <f t="shared" si="31"/>
        <v>17986</v>
      </c>
      <c r="E65" s="255">
        <v>0</v>
      </c>
      <c r="F65" s="227">
        <v>0</v>
      </c>
      <c r="G65" s="227">
        <v>0</v>
      </c>
      <c r="H65" s="227">
        <v>0</v>
      </c>
      <c r="I65" s="227">
        <v>0</v>
      </c>
      <c r="J65" s="208">
        <v>0</v>
      </c>
      <c r="K65" s="231">
        <f>L65+M65+N65</f>
        <v>0</v>
      </c>
      <c r="L65" s="231">
        <v>0</v>
      </c>
      <c r="M65" s="232">
        <v>0</v>
      </c>
      <c r="N65" s="231">
        <v>0</v>
      </c>
      <c r="O65" s="208">
        <v>0</v>
      </c>
      <c r="P65" s="231">
        <v>0</v>
      </c>
      <c r="Q65" s="231">
        <v>0</v>
      </c>
      <c r="R65" s="232">
        <v>0</v>
      </c>
      <c r="S65" s="231">
        <v>0</v>
      </c>
      <c r="T65" s="266">
        <v>0</v>
      </c>
      <c r="U65" s="232">
        <f>V65+W65+X65</f>
        <v>17986</v>
      </c>
      <c r="V65" s="232">
        <v>0</v>
      </c>
      <c r="W65" s="232">
        <v>0</v>
      </c>
      <c r="X65" s="232">
        <v>17986</v>
      </c>
      <c r="Y65" s="266">
        <v>0</v>
      </c>
      <c r="Z65" s="232">
        <v>0</v>
      </c>
      <c r="AA65" s="232">
        <v>0</v>
      </c>
      <c r="AB65" s="232">
        <v>0</v>
      </c>
      <c r="AC65" s="232">
        <v>0</v>
      </c>
      <c r="AD65" s="6"/>
    </row>
    <row r="66" spans="1:57" s="4" customFormat="1" ht="93" customHeight="1" outlineLevel="1" x14ac:dyDescent="0.25">
      <c r="A66" s="13" t="s">
        <v>761</v>
      </c>
      <c r="B66" s="104" t="s">
        <v>870</v>
      </c>
      <c r="C66" s="208">
        <v>0</v>
      </c>
      <c r="D66" s="231">
        <f t="shared" si="31"/>
        <v>12465</v>
      </c>
      <c r="E66" s="260">
        <v>0</v>
      </c>
      <c r="F66" s="233">
        <f>I66</f>
        <v>0</v>
      </c>
      <c r="G66" s="233">
        <v>0</v>
      </c>
      <c r="H66" s="233">
        <v>0</v>
      </c>
      <c r="I66" s="227">
        <v>0</v>
      </c>
      <c r="J66" s="208">
        <v>0</v>
      </c>
      <c r="K66" s="231">
        <f t="shared" ref="K66:K74" si="33">L66+M66+N66</f>
        <v>0</v>
      </c>
      <c r="L66" s="231">
        <v>0</v>
      </c>
      <c r="M66" s="232">
        <v>0</v>
      </c>
      <c r="N66" s="231">
        <v>0</v>
      </c>
      <c r="O66" s="208">
        <v>0</v>
      </c>
      <c r="P66" s="231">
        <f>S66</f>
        <v>0</v>
      </c>
      <c r="Q66" s="231">
        <v>0</v>
      </c>
      <c r="R66" s="232">
        <v>0</v>
      </c>
      <c r="S66" s="231">
        <v>0</v>
      </c>
      <c r="T66" s="266">
        <v>0</v>
      </c>
      <c r="U66" s="232">
        <f>V66+W66+X66</f>
        <v>12465</v>
      </c>
      <c r="V66" s="232">
        <v>0</v>
      </c>
      <c r="W66" s="232">
        <v>0</v>
      </c>
      <c r="X66" s="232">
        <v>12465</v>
      </c>
      <c r="Y66" s="266">
        <v>0</v>
      </c>
      <c r="Z66" s="232">
        <f t="shared" ref="Z66:Z72" si="34">AA66+AB66+AC66</f>
        <v>0</v>
      </c>
      <c r="AA66" s="232">
        <v>0</v>
      </c>
      <c r="AB66" s="232">
        <v>0</v>
      </c>
      <c r="AC66" s="232"/>
      <c r="AD66" s="6"/>
    </row>
    <row r="67" spans="1:57" s="4" customFormat="1" ht="76.95" customHeight="1" outlineLevel="1" x14ac:dyDescent="0.25">
      <c r="A67" s="13" t="s">
        <v>763</v>
      </c>
      <c r="B67" s="104" t="s">
        <v>871</v>
      </c>
      <c r="C67" s="208">
        <v>0</v>
      </c>
      <c r="D67" s="231">
        <f t="shared" si="31"/>
        <v>51172</v>
      </c>
      <c r="E67" s="255">
        <v>0</v>
      </c>
      <c r="F67" s="227">
        <v>0</v>
      </c>
      <c r="G67" s="227">
        <v>0</v>
      </c>
      <c r="H67" s="227">
        <v>0</v>
      </c>
      <c r="I67" s="227">
        <v>0</v>
      </c>
      <c r="J67" s="208">
        <v>0</v>
      </c>
      <c r="K67" s="231">
        <f t="shared" si="33"/>
        <v>0</v>
      </c>
      <c r="L67" s="231">
        <v>0</v>
      </c>
      <c r="M67" s="232">
        <v>0</v>
      </c>
      <c r="N67" s="231">
        <v>0</v>
      </c>
      <c r="O67" s="208">
        <v>0</v>
      </c>
      <c r="P67" s="231">
        <f>S67</f>
        <v>0</v>
      </c>
      <c r="Q67" s="231">
        <v>0</v>
      </c>
      <c r="R67" s="232">
        <v>0</v>
      </c>
      <c r="S67" s="231">
        <v>0</v>
      </c>
      <c r="T67" s="266">
        <v>0</v>
      </c>
      <c r="U67" s="232">
        <f>X67</f>
        <v>32958</v>
      </c>
      <c r="V67" s="232">
        <v>0</v>
      </c>
      <c r="W67" s="232">
        <v>0</v>
      </c>
      <c r="X67" s="232">
        <f>11540+21418</f>
        <v>32958</v>
      </c>
      <c r="Y67" s="266">
        <v>0</v>
      </c>
      <c r="Z67" s="232">
        <f t="shared" si="34"/>
        <v>18214</v>
      </c>
      <c r="AA67" s="232">
        <v>0</v>
      </c>
      <c r="AB67" s="232">
        <v>0</v>
      </c>
      <c r="AC67" s="232">
        <v>18214</v>
      </c>
      <c r="AD67" s="6"/>
    </row>
    <row r="68" spans="1:57" s="4" customFormat="1" ht="97.5" customHeight="1" outlineLevel="1" x14ac:dyDescent="0.25">
      <c r="A68" s="13" t="s">
        <v>767</v>
      </c>
      <c r="B68" s="104" t="s">
        <v>108</v>
      </c>
      <c r="C68" s="208">
        <v>0</v>
      </c>
      <c r="D68" s="231">
        <f t="shared" si="31"/>
        <v>16750</v>
      </c>
      <c r="E68" s="255">
        <v>0</v>
      </c>
      <c r="F68" s="227">
        <f>G68+H68+I68</f>
        <v>0</v>
      </c>
      <c r="G68" s="227">
        <v>0</v>
      </c>
      <c r="H68" s="227">
        <v>0</v>
      </c>
      <c r="I68" s="227">
        <v>0</v>
      </c>
      <c r="J68" s="208">
        <v>0</v>
      </c>
      <c r="K68" s="231">
        <f t="shared" si="33"/>
        <v>0</v>
      </c>
      <c r="L68" s="231">
        <v>0</v>
      </c>
      <c r="M68" s="232">
        <v>0</v>
      </c>
      <c r="N68" s="231">
        <v>0</v>
      </c>
      <c r="O68" s="208">
        <v>0</v>
      </c>
      <c r="P68" s="231">
        <f>Q68+R68+S68</f>
        <v>0</v>
      </c>
      <c r="Q68" s="231">
        <v>0</v>
      </c>
      <c r="R68" s="232">
        <v>0</v>
      </c>
      <c r="S68" s="231">
        <v>0</v>
      </c>
      <c r="T68" s="266">
        <v>0</v>
      </c>
      <c r="U68" s="232">
        <f>V68+W68+X68</f>
        <v>10950</v>
      </c>
      <c r="V68" s="232">
        <v>0</v>
      </c>
      <c r="W68" s="232">
        <v>0</v>
      </c>
      <c r="X68" s="232">
        <f>5500+5450</f>
        <v>10950</v>
      </c>
      <c r="Y68" s="266">
        <v>0</v>
      </c>
      <c r="Z68" s="232">
        <f t="shared" si="34"/>
        <v>5800</v>
      </c>
      <c r="AA68" s="232">
        <v>0</v>
      </c>
      <c r="AB68" s="232">
        <v>0</v>
      </c>
      <c r="AC68" s="232">
        <v>5800</v>
      </c>
      <c r="AD68" s="6"/>
    </row>
    <row r="69" spans="1:57" s="4" customFormat="1" ht="139.5" customHeight="1" outlineLevel="1" x14ac:dyDescent="0.25">
      <c r="A69" s="13" t="s">
        <v>1028</v>
      </c>
      <c r="B69" s="104" t="s">
        <v>1029</v>
      </c>
      <c r="C69" s="208">
        <v>0</v>
      </c>
      <c r="D69" s="231">
        <f t="shared" ref="D69" si="35">F69+K69+P69+U69+Z69</f>
        <v>6945</v>
      </c>
      <c r="E69" s="255">
        <v>0</v>
      </c>
      <c r="F69" s="227">
        <f>G69+H69+I69</f>
        <v>6945</v>
      </c>
      <c r="G69" s="227">
        <v>0</v>
      </c>
      <c r="H69" s="227">
        <v>0</v>
      </c>
      <c r="I69" s="227">
        <v>6945</v>
      </c>
      <c r="J69" s="208">
        <v>0</v>
      </c>
      <c r="K69" s="231">
        <f t="shared" si="33"/>
        <v>0</v>
      </c>
      <c r="L69" s="231">
        <v>0</v>
      </c>
      <c r="M69" s="232">
        <v>0</v>
      </c>
      <c r="N69" s="231">
        <v>0</v>
      </c>
      <c r="O69" s="208">
        <v>0</v>
      </c>
      <c r="P69" s="231">
        <f>Q69+R69+S69</f>
        <v>0</v>
      </c>
      <c r="Q69" s="231">
        <v>0</v>
      </c>
      <c r="R69" s="232">
        <v>0</v>
      </c>
      <c r="S69" s="231">
        <v>0</v>
      </c>
      <c r="T69" s="266">
        <v>0</v>
      </c>
      <c r="U69" s="232">
        <f>V69+W69+X69</f>
        <v>0</v>
      </c>
      <c r="V69" s="232">
        <v>0</v>
      </c>
      <c r="W69" s="232">
        <v>0</v>
      </c>
      <c r="X69" s="232">
        <v>0</v>
      </c>
      <c r="Y69" s="266">
        <v>0</v>
      </c>
      <c r="Z69" s="232">
        <f t="shared" si="34"/>
        <v>0</v>
      </c>
      <c r="AA69" s="232">
        <v>0</v>
      </c>
      <c r="AB69" s="232">
        <v>0</v>
      </c>
      <c r="AC69" s="232">
        <v>0</v>
      </c>
      <c r="AD69" s="6"/>
    </row>
    <row r="70" spans="1:57" s="4" customFormat="1" ht="73.5" customHeight="1" outlineLevel="1" x14ac:dyDescent="0.25">
      <c r="A70" s="13" t="s">
        <v>1030</v>
      </c>
      <c r="B70" s="104" t="s">
        <v>1031</v>
      </c>
      <c r="C70" s="208">
        <v>0</v>
      </c>
      <c r="D70" s="231">
        <f t="shared" ref="D70" si="36">F70+K70+P70+U70+Z70</f>
        <v>6705</v>
      </c>
      <c r="E70" s="255">
        <v>0</v>
      </c>
      <c r="F70" s="227">
        <f>G70+H70+I70</f>
        <v>6705</v>
      </c>
      <c r="G70" s="227">
        <v>0</v>
      </c>
      <c r="H70" s="227">
        <v>0</v>
      </c>
      <c r="I70" s="227">
        <v>6705</v>
      </c>
      <c r="J70" s="208">
        <v>0</v>
      </c>
      <c r="K70" s="231">
        <f t="shared" si="33"/>
        <v>0</v>
      </c>
      <c r="L70" s="231">
        <v>0</v>
      </c>
      <c r="M70" s="232">
        <v>0</v>
      </c>
      <c r="N70" s="231">
        <v>0</v>
      </c>
      <c r="O70" s="208">
        <v>0</v>
      </c>
      <c r="P70" s="231">
        <f>Q70+R70+S70</f>
        <v>0</v>
      </c>
      <c r="Q70" s="231">
        <v>0</v>
      </c>
      <c r="R70" s="232">
        <v>0</v>
      </c>
      <c r="S70" s="231">
        <v>0</v>
      </c>
      <c r="T70" s="266">
        <v>0</v>
      </c>
      <c r="U70" s="232">
        <f>V70+W70+X70</f>
        <v>0</v>
      </c>
      <c r="V70" s="232">
        <v>0</v>
      </c>
      <c r="W70" s="232">
        <v>0</v>
      </c>
      <c r="X70" s="232">
        <v>0</v>
      </c>
      <c r="Y70" s="266">
        <v>0</v>
      </c>
      <c r="Z70" s="232">
        <f t="shared" si="34"/>
        <v>0</v>
      </c>
      <c r="AA70" s="232">
        <v>0</v>
      </c>
      <c r="AB70" s="232">
        <v>0</v>
      </c>
      <c r="AC70" s="232">
        <v>0</v>
      </c>
      <c r="AD70" s="6"/>
    </row>
    <row r="71" spans="1:57" s="4" customFormat="1" ht="162" customHeight="1" outlineLevel="1" x14ac:dyDescent="0.25">
      <c r="A71" s="13" t="s">
        <v>1033</v>
      </c>
      <c r="B71" s="104" t="s">
        <v>1032</v>
      </c>
      <c r="C71" s="208">
        <v>0</v>
      </c>
      <c r="D71" s="231">
        <f t="shared" ref="D71" si="37">F71+K71+P71+U71+Z71</f>
        <v>1512</v>
      </c>
      <c r="E71" s="255">
        <v>0</v>
      </c>
      <c r="F71" s="227">
        <f>G71+H71+I71</f>
        <v>1512</v>
      </c>
      <c r="G71" s="227">
        <v>0</v>
      </c>
      <c r="H71" s="227">
        <v>0</v>
      </c>
      <c r="I71" s="227">
        <v>1512</v>
      </c>
      <c r="J71" s="208">
        <v>0</v>
      </c>
      <c r="K71" s="231">
        <f t="shared" si="33"/>
        <v>0</v>
      </c>
      <c r="L71" s="231">
        <v>0</v>
      </c>
      <c r="M71" s="232">
        <v>0</v>
      </c>
      <c r="N71" s="231">
        <v>0</v>
      </c>
      <c r="O71" s="208">
        <v>0</v>
      </c>
      <c r="P71" s="231">
        <f>Q71+R71+S71</f>
        <v>0</v>
      </c>
      <c r="Q71" s="231">
        <v>0</v>
      </c>
      <c r="R71" s="232">
        <v>0</v>
      </c>
      <c r="S71" s="231">
        <v>0</v>
      </c>
      <c r="T71" s="266">
        <v>0</v>
      </c>
      <c r="U71" s="232">
        <f>V71+W71+X71</f>
        <v>0</v>
      </c>
      <c r="V71" s="232">
        <v>0</v>
      </c>
      <c r="W71" s="232">
        <v>0</v>
      </c>
      <c r="X71" s="232">
        <v>0</v>
      </c>
      <c r="Y71" s="266">
        <v>0</v>
      </c>
      <c r="Z71" s="232">
        <f t="shared" si="34"/>
        <v>0</v>
      </c>
      <c r="AA71" s="232">
        <v>0</v>
      </c>
      <c r="AB71" s="232">
        <v>0</v>
      </c>
      <c r="AC71" s="232">
        <v>0</v>
      </c>
      <c r="AD71" s="6"/>
    </row>
    <row r="72" spans="1:57" s="4" customFormat="1" ht="75" customHeight="1" outlineLevel="1" x14ac:dyDescent="0.25">
      <c r="A72" s="13" t="s">
        <v>1080</v>
      </c>
      <c r="B72" s="104" t="s">
        <v>1034</v>
      </c>
      <c r="C72" s="208">
        <v>0</v>
      </c>
      <c r="D72" s="231">
        <f t="shared" ref="D72" si="38">F72+K72+P72+U72+Z72</f>
        <v>1100</v>
      </c>
      <c r="E72" s="255">
        <v>0</v>
      </c>
      <c r="F72" s="227">
        <f>G72+H72+I72</f>
        <v>1100</v>
      </c>
      <c r="G72" s="227">
        <v>0</v>
      </c>
      <c r="H72" s="227">
        <v>0</v>
      </c>
      <c r="I72" s="227">
        <v>1100</v>
      </c>
      <c r="J72" s="208">
        <v>0</v>
      </c>
      <c r="K72" s="231">
        <f t="shared" si="33"/>
        <v>0</v>
      </c>
      <c r="L72" s="231">
        <v>0</v>
      </c>
      <c r="M72" s="232">
        <v>0</v>
      </c>
      <c r="N72" s="231">
        <v>0</v>
      </c>
      <c r="O72" s="208">
        <v>0</v>
      </c>
      <c r="P72" s="231">
        <f>Q72+R72+S72</f>
        <v>0</v>
      </c>
      <c r="Q72" s="231">
        <v>0</v>
      </c>
      <c r="R72" s="232">
        <v>0</v>
      </c>
      <c r="S72" s="231">
        <v>0</v>
      </c>
      <c r="T72" s="266">
        <v>0</v>
      </c>
      <c r="U72" s="232">
        <f>V72+W72+X72</f>
        <v>0</v>
      </c>
      <c r="V72" s="232">
        <v>0</v>
      </c>
      <c r="W72" s="232">
        <v>0</v>
      </c>
      <c r="X72" s="232">
        <v>0</v>
      </c>
      <c r="Y72" s="266">
        <v>0</v>
      </c>
      <c r="Z72" s="232">
        <f t="shared" si="34"/>
        <v>0</v>
      </c>
      <c r="AA72" s="232">
        <v>0</v>
      </c>
      <c r="AB72" s="232">
        <v>0</v>
      </c>
      <c r="AC72" s="232">
        <v>0</v>
      </c>
      <c r="AD72" s="6"/>
    </row>
    <row r="73" spans="1:57" s="307" customFormat="1" ht="114.75" customHeight="1" outlineLevel="1" x14ac:dyDescent="0.25">
      <c r="A73" s="300" t="s">
        <v>1081</v>
      </c>
      <c r="B73" s="301" t="s">
        <v>1082</v>
      </c>
      <c r="C73" s="302">
        <v>0</v>
      </c>
      <c r="D73" s="303">
        <f t="shared" ref="D73:D74" si="39">F73+K73+P73+U73+Z73</f>
        <v>6923</v>
      </c>
      <c r="E73" s="298">
        <v>0</v>
      </c>
      <c r="F73" s="299">
        <f t="shared" ref="F73:F74" si="40">G73+H73+I73</f>
        <v>6923</v>
      </c>
      <c r="G73" s="299">
        <v>0</v>
      </c>
      <c r="H73" s="299">
        <v>6590</v>
      </c>
      <c r="I73" s="299">
        <v>333</v>
      </c>
      <c r="J73" s="302">
        <v>0</v>
      </c>
      <c r="K73" s="303">
        <f t="shared" si="33"/>
        <v>0</v>
      </c>
      <c r="L73" s="303">
        <v>0</v>
      </c>
      <c r="M73" s="304">
        <v>0</v>
      </c>
      <c r="N73" s="303">
        <v>0</v>
      </c>
      <c r="O73" s="302">
        <v>0</v>
      </c>
      <c r="P73" s="303">
        <f t="shared" ref="P73:P74" si="41">Q73+R73+S73</f>
        <v>0</v>
      </c>
      <c r="Q73" s="303">
        <v>0</v>
      </c>
      <c r="R73" s="304">
        <v>0</v>
      </c>
      <c r="S73" s="303">
        <v>0</v>
      </c>
      <c r="T73" s="305">
        <v>0</v>
      </c>
      <c r="U73" s="304">
        <f t="shared" ref="U73:U74" si="42">V73+W73+X73</f>
        <v>0</v>
      </c>
      <c r="V73" s="304">
        <v>0</v>
      </c>
      <c r="W73" s="304">
        <v>0</v>
      </c>
      <c r="X73" s="304">
        <v>0</v>
      </c>
      <c r="Y73" s="305">
        <v>0</v>
      </c>
      <c r="Z73" s="304">
        <f t="shared" ref="Z73:Z74" si="43">AA73+AB73+AC73</f>
        <v>0</v>
      </c>
      <c r="AA73" s="304">
        <v>0</v>
      </c>
      <c r="AB73" s="304">
        <v>0</v>
      </c>
      <c r="AC73" s="304">
        <v>0</v>
      </c>
      <c r="AD73" s="306"/>
    </row>
    <row r="74" spans="1:57" s="307" customFormat="1" ht="243.75" customHeight="1" outlineLevel="1" x14ac:dyDescent="0.25">
      <c r="A74" s="300" t="s">
        <v>1226</v>
      </c>
      <c r="B74" s="301" t="s">
        <v>1083</v>
      </c>
      <c r="C74" s="302">
        <v>0</v>
      </c>
      <c r="D74" s="303">
        <f t="shared" si="39"/>
        <v>778</v>
      </c>
      <c r="E74" s="298">
        <v>0</v>
      </c>
      <c r="F74" s="299">
        <f t="shared" si="40"/>
        <v>778</v>
      </c>
      <c r="G74" s="299">
        <v>0</v>
      </c>
      <c r="H74" s="299">
        <v>0</v>
      </c>
      <c r="I74" s="299">
        <v>778</v>
      </c>
      <c r="J74" s="302">
        <v>0</v>
      </c>
      <c r="K74" s="303">
        <f t="shared" si="33"/>
        <v>0</v>
      </c>
      <c r="L74" s="303">
        <v>0</v>
      </c>
      <c r="M74" s="304">
        <v>0</v>
      </c>
      <c r="N74" s="303">
        <v>0</v>
      </c>
      <c r="O74" s="302">
        <v>0</v>
      </c>
      <c r="P74" s="303">
        <f t="shared" si="41"/>
        <v>0</v>
      </c>
      <c r="Q74" s="303">
        <v>0</v>
      </c>
      <c r="R74" s="304">
        <v>0</v>
      </c>
      <c r="S74" s="303">
        <v>0</v>
      </c>
      <c r="T74" s="305">
        <v>0</v>
      </c>
      <c r="U74" s="304">
        <f t="shared" si="42"/>
        <v>0</v>
      </c>
      <c r="V74" s="304">
        <v>0</v>
      </c>
      <c r="W74" s="304">
        <v>0</v>
      </c>
      <c r="X74" s="304">
        <v>0</v>
      </c>
      <c r="Y74" s="305">
        <v>0</v>
      </c>
      <c r="Z74" s="304">
        <f t="shared" si="43"/>
        <v>0</v>
      </c>
      <c r="AA74" s="304">
        <v>0</v>
      </c>
      <c r="AB74" s="304">
        <v>0</v>
      </c>
      <c r="AC74" s="304">
        <v>0</v>
      </c>
      <c r="AD74" s="306"/>
    </row>
    <row r="75" spans="1:57" s="307" customFormat="1" ht="108" customHeight="1" outlineLevel="1" x14ac:dyDescent="0.25">
      <c r="A75" s="300" t="s">
        <v>1227</v>
      </c>
      <c r="B75" s="301" t="s">
        <v>1229</v>
      </c>
      <c r="C75" s="302">
        <v>0</v>
      </c>
      <c r="D75" s="303">
        <f t="shared" ref="D75:D77" si="44">F75+K75+P75+U75+Z75</f>
        <v>4370</v>
      </c>
      <c r="E75" s="298">
        <v>0</v>
      </c>
      <c r="F75" s="299">
        <f t="shared" ref="F75:F77" si="45">G75+H75+I75</f>
        <v>4370</v>
      </c>
      <c r="G75" s="299">
        <v>0</v>
      </c>
      <c r="H75" s="299">
        <v>4160</v>
      </c>
      <c r="I75" s="299">
        <v>210</v>
      </c>
      <c r="J75" s="302">
        <v>0</v>
      </c>
      <c r="K75" s="303">
        <f t="shared" ref="K75:K77" si="46">L75+M75+N75</f>
        <v>0</v>
      </c>
      <c r="L75" s="303">
        <v>0</v>
      </c>
      <c r="M75" s="304">
        <v>0</v>
      </c>
      <c r="N75" s="303">
        <v>0</v>
      </c>
      <c r="O75" s="302">
        <v>0</v>
      </c>
      <c r="P75" s="303">
        <f t="shared" ref="P75:P77" si="47">Q75+R75+S75</f>
        <v>0</v>
      </c>
      <c r="Q75" s="303">
        <v>0</v>
      </c>
      <c r="R75" s="304">
        <v>0</v>
      </c>
      <c r="S75" s="303">
        <v>0</v>
      </c>
      <c r="T75" s="305">
        <v>0</v>
      </c>
      <c r="U75" s="304">
        <f t="shared" ref="U75:U77" si="48">V75+W75+X75</f>
        <v>0</v>
      </c>
      <c r="V75" s="304">
        <v>0</v>
      </c>
      <c r="W75" s="304">
        <v>0</v>
      </c>
      <c r="X75" s="304">
        <v>0</v>
      </c>
      <c r="Y75" s="305">
        <v>0</v>
      </c>
      <c r="Z75" s="304">
        <f t="shared" ref="Z75:Z77" si="49">AA75+AB75+AC75</f>
        <v>0</v>
      </c>
      <c r="AA75" s="304">
        <v>0</v>
      </c>
      <c r="AB75" s="304">
        <v>0</v>
      </c>
      <c r="AC75" s="304">
        <v>0</v>
      </c>
      <c r="AD75" s="306"/>
    </row>
    <row r="76" spans="1:57" s="307" customFormat="1" ht="109.5" customHeight="1" outlineLevel="1" x14ac:dyDescent="0.25">
      <c r="A76" s="300" t="s">
        <v>1228</v>
      </c>
      <c r="B76" s="301" t="s">
        <v>1230</v>
      </c>
      <c r="C76" s="302">
        <v>0</v>
      </c>
      <c r="D76" s="303">
        <f t="shared" si="44"/>
        <v>4081</v>
      </c>
      <c r="E76" s="298">
        <v>0</v>
      </c>
      <c r="F76" s="299">
        <f t="shared" si="45"/>
        <v>4081</v>
      </c>
      <c r="G76" s="299">
        <v>0</v>
      </c>
      <c r="H76" s="299">
        <v>3885</v>
      </c>
      <c r="I76" s="299">
        <v>196</v>
      </c>
      <c r="J76" s="302">
        <v>0</v>
      </c>
      <c r="K76" s="303">
        <f t="shared" si="46"/>
        <v>0</v>
      </c>
      <c r="L76" s="303">
        <v>0</v>
      </c>
      <c r="M76" s="304">
        <v>0</v>
      </c>
      <c r="N76" s="303">
        <v>0</v>
      </c>
      <c r="O76" s="302">
        <v>0</v>
      </c>
      <c r="P76" s="303">
        <f t="shared" si="47"/>
        <v>0</v>
      </c>
      <c r="Q76" s="303">
        <v>0</v>
      </c>
      <c r="R76" s="304">
        <v>0</v>
      </c>
      <c r="S76" s="303">
        <v>0</v>
      </c>
      <c r="T76" s="305">
        <v>0</v>
      </c>
      <c r="U76" s="304">
        <f t="shared" si="48"/>
        <v>0</v>
      </c>
      <c r="V76" s="304">
        <v>0</v>
      </c>
      <c r="W76" s="304">
        <v>0</v>
      </c>
      <c r="X76" s="304">
        <v>0</v>
      </c>
      <c r="Y76" s="305">
        <v>0</v>
      </c>
      <c r="Z76" s="304">
        <f t="shared" si="49"/>
        <v>0</v>
      </c>
      <c r="AA76" s="304">
        <v>0</v>
      </c>
      <c r="AB76" s="304">
        <v>0</v>
      </c>
      <c r="AC76" s="304">
        <v>0</v>
      </c>
      <c r="AD76" s="306"/>
    </row>
    <row r="77" spans="1:57" s="307" customFormat="1" ht="95.25" customHeight="1" outlineLevel="1" x14ac:dyDescent="0.25">
      <c r="A77" s="300" t="s">
        <v>1289</v>
      </c>
      <c r="B77" s="301" t="s">
        <v>1231</v>
      </c>
      <c r="C77" s="302">
        <v>0</v>
      </c>
      <c r="D77" s="303">
        <f t="shared" si="44"/>
        <v>1786</v>
      </c>
      <c r="E77" s="298">
        <v>0</v>
      </c>
      <c r="F77" s="299">
        <f t="shared" si="45"/>
        <v>1786</v>
      </c>
      <c r="G77" s="299">
        <v>0</v>
      </c>
      <c r="H77" s="299">
        <v>1700</v>
      </c>
      <c r="I77" s="299">
        <v>86</v>
      </c>
      <c r="J77" s="302">
        <v>0</v>
      </c>
      <c r="K77" s="303">
        <f t="shared" si="46"/>
        <v>0</v>
      </c>
      <c r="L77" s="303">
        <v>0</v>
      </c>
      <c r="M77" s="304">
        <v>0</v>
      </c>
      <c r="N77" s="303">
        <v>0</v>
      </c>
      <c r="O77" s="302">
        <v>0</v>
      </c>
      <c r="P77" s="303">
        <f t="shared" si="47"/>
        <v>0</v>
      </c>
      <c r="Q77" s="303">
        <v>0</v>
      </c>
      <c r="R77" s="304">
        <v>0</v>
      </c>
      <c r="S77" s="303">
        <v>0</v>
      </c>
      <c r="T77" s="305">
        <v>0</v>
      </c>
      <c r="U77" s="304">
        <f t="shared" si="48"/>
        <v>0</v>
      </c>
      <c r="V77" s="304">
        <v>0</v>
      </c>
      <c r="W77" s="304">
        <v>0</v>
      </c>
      <c r="X77" s="304">
        <v>0</v>
      </c>
      <c r="Y77" s="305">
        <v>0</v>
      </c>
      <c r="Z77" s="304">
        <f t="shared" si="49"/>
        <v>0</v>
      </c>
      <c r="AA77" s="304">
        <v>0</v>
      </c>
      <c r="AB77" s="304">
        <v>0</v>
      </c>
      <c r="AC77" s="304">
        <v>0</v>
      </c>
      <c r="AD77" s="306"/>
    </row>
    <row r="78" spans="1:57" s="221" customFormat="1" ht="80.25" customHeight="1" x14ac:dyDescent="0.25">
      <c r="A78" s="105"/>
      <c r="B78" s="106" t="s">
        <v>105</v>
      </c>
      <c r="C78" s="257">
        <f>C61+C62+C63+C64+C65+C66+C67+C68+C69+C70+C71+C72+C73+C74+C75+C76+C77</f>
        <v>0</v>
      </c>
      <c r="D78" s="234">
        <f t="shared" ref="D78:AC78" si="50">D61+D62+D63+D64+D65+D66+D67+D68+D69+D70+D71+D72+D73+D74+D75+D76+D77</f>
        <v>181963</v>
      </c>
      <c r="E78" s="257">
        <f t="shared" si="50"/>
        <v>0</v>
      </c>
      <c r="F78" s="234">
        <f t="shared" si="50"/>
        <v>45413</v>
      </c>
      <c r="G78" s="234">
        <f t="shared" si="50"/>
        <v>0</v>
      </c>
      <c r="H78" s="234">
        <f t="shared" si="50"/>
        <v>16335</v>
      </c>
      <c r="I78" s="234">
        <f t="shared" si="50"/>
        <v>29078</v>
      </c>
      <c r="J78" s="257">
        <f t="shared" si="50"/>
        <v>0</v>
      </c>
      <c r="K78" s="234">
        <f t="shared" si="50"/>
        <v>16100</v>
      </c>
      <c r="L78" s="234">
        <f t="shared" si="50"/>
        <v>0</v>
      </c>
      <c r="M78" s="234">
        <f t="shared" si="50"/>
        <v>0</v>
      </c>
      <c r="N78" s="234">
        <f t="shared" si="50"/>
        <v>16100</v>
      </c>
      <c r="O78" s="257">
        <f t="shared" si="50"/>
        <v>0</v>
      </c>
      <c r="P78" s="234">
        <f>P61+P62+P63+P64+P65+P66+P67+P68+P69+P70+P71+P72+P73+P74+P75+P76+P77</f>
        <v>16100</v>
      </c>
      <c r="Q78" s="234">
        <f t="shared" si="50"/>
        <v>0</v>
      </c>
      <c r="R78" s="234">
        <f t="shared" si="50"/>
        <v>0</v>
      </c>
      <c r="S78" s="234">
        <f t="shared" si="50"/>
        <v>16100</v>
      </c>
      <c r="T78" s="257">
        <f t="shared" si="50"/>
        <v>0</v>
      </c>
      <c r="U78" s="234">
        <f>U61+U62+U63+U64+U65+U66+U67+U68+U69+U70+U71+U72+U73+U74+U75+U76+U77</f>
        <v>78236</v>
      </c>
      <c r="V78" s="234">
        <f t="shared" si="50"/>
        <v>0</v>
      </c>
      <c r="W78" s="234">
        <f t="shared" si="50"/>
        <v>0</v>
      </c>
      <c r="X78" s="234">
        <f t="shared" si="50"/>
        <v>78236</v>
      </c>
      <c r="Y78" s="257">
        <f t="shared" si="50"/>
        <v>0</v>
      </c>
      <c r="Z78" s="234">
        <f t="shared" si="50"/>
        <v>26114</v>
      </c>
      <c r="AA78" s="234">
        <f t="shared" si="50"/>
        <v>0</v>
      </c>
      <c r="AB78" s="234">
        <f t="shared" si="50"/>
        <v>0</v>
      </c>
      <c r="AC78" s="234">
        <f t="shared" si="50"/>
        <v>26114</v>
      </c>
      <c r="AD78" s="6"/>
      <c r="AE78" s="6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</row>
    <row r="79" spans="1:57" s="11" customFormat="1" ht="31.95" customHeight="1" x14ac:dyDescent="0.25">
      <c r="A79" s="447" t="s">
        <v>80</v>
      </c>
      <c r="B79" s="447"/>
      <c r="C79" s="447"/>
      <c r="D79" s="447"/>
      <c r="E79" s="447"/>
      <c r="F79" s="447"/>
      <c r="G79" s="447"/>
      <c r="H79" s="447"/>
      <c r="I79" s="447"/>
      <c r="J79" s="447"/>
      <c r="K79" s="447"/>
      <c r="L79" s="447"/>
      <c r="M79" s="447"/>
      <c r="N79" s="447"/>
      <c r="O79" s="447"/>
      <c r="P79" s="447"/>
      <c r="Q79" s="447"/>
      <c r="R79" s="447"/>
      <c r="S79" s="447"/>
      <c r="T79" s="447"/>
      <c r="U79" s="447"/>
      <c r="V79" s="447"/>
      <c r="W79" s="447"/>
      <c r="X79" s="447"/>
      <c r="Y79" s="447"/>
      <c r="Z79" s="447"/>
      <c r="AA79" s="447"/>
      <c r="AB79" s="447"/>
      <c r="AC79" s="447"/>
      <c r="AD79" s="6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</row>
    <row r="80" spans="1:57" s="4" customFormat="1" ht="52.8" outlineLevel="1" x14ac:dyDescent="0.25">
      <c r="A80" s="15" t="s">
        <v>153</v>
      </c>
      <c r="B80" s="103" t="s">
        <v>11</v>
      </c>
      <c r="C80" s="208">
        <f t="shared" ref="C80:C82" si="51">E80+J80+O80+T80+Y80</f>
        <v>4.7699999999999996</v>
      </c>
      <c r="D80" s="227">
        <f t="shared" ref="D80:D88" si="52">F80+K80+P80+U80+Z80</f>
        <v>77380</v>
      </c>
      <c r="E80" s="255">
        <v>0</v>
      </c>
      <c r="F80" s="227">
        <v>0</v>
      </c>
      <c r="G80" s="227">
        <v>0</v>
      </c>
      <c r="H80" s="227">
        <v>0</v>
      </c>
      <c r="I80" s="227">
        <v>0</v>
      </c>
      <c r="J80" s="208">
        <v>0</v>
      </c>
      <c r="K80" s="235">
        <f t="shared" ref="K80:K88" si="53">SUM(L80:N80)</f>
        <v>0</v>
      </c>
      <c r="L80" s="231">
        <v>0</v>
      </c>
      <c r="M80" s="231">
        <v>0</v>
      </c>
      <c r="N80" s="231">
        <v>0</v>
      </c>
      <c r="O80" s="208">
        <v>0</v>
      </c>
      <c r="P80" s="231">
        <v>0</v>
      </c>
      <c r="Q80" s="231">
        <v>0</v>
      </c>
      <c r="R80" s="231">
        <v>0</v>
      </c>
      <c r="S80" s="231">
        <v>0</v>
      </c>
      <c r="T80" s="266">
        <v>4.7699999999999996</v>
      </c>
      <c r="U80" s="232">
        <f>V80+W80+X80</f>
        <v>77380</v>
      </c>
      <c r="V80" s="232">
        <v>0</v>
      </c>
      <c r="W80" s="232">
        <v>74207</v>
      </c>
      <c r="X80" s="232">
        <v>3173</v>
      </c>
      <c r="Y80" s="266">
        <v>0</v>
      </c>
      <c r="Z80" s="231">
        <v>0</v>
      </c>
      <c r="AA80" s="231">
        <v>0</v>
      </c>
      <c r="AB80" s="231">
        <v>0</v>
      </c>
      <c r="AC80" s="231">
        <v>0</v>
      </c>
    </row>
    <row r="81" spans="1:29" s="4" customFormat="1" ht="66" customHeight="1" outlineLevel="1" x14ac:dyDescent="0.25">
      <c r="A81" s="15" t="s">
        <v>4</v>
      </c>
      <c r="B81" s="103" t="s">
        <v>14</v>
      </c>
      <c r="C81" s="208">
        <f t="shared" si="51"/>
        <v>0</v>
      </c>
      <c r="D81" s="227">
        <f t="shared" si="52"/>
        <v>2679</v>
      </c>
      <c r="E81" s="255">
        <v>0</v>
      </c>
      <c r="F81" s="227">
        <v>0</v>
      </c>
      <c r="G81" s="227">
        <v>0</v>
      </c>
      <c r="H81" s="227">
        <v>0</v>
      </c>
      <c r="I81" s="227">
        <v>0</v>
      </c>
      <c r="J81" s="208">
        <v>0</v>
      </c>
      <c r="K81" s="235">
        <f t="shared" si="53"/>
        <v>0</v>
      </c>
      <c r="L81" s="231">
        <v>0</v>
      </c>
      <c r="M81" s="231">
        <v>0</v>
      </c>
      <c r="N81" s="231">
        <v>0</v>
      </c>
      <c r="O81" s="208">
        <v>0</v>
      </c>
      <c r="P81" s="231">
        <v>0</v>
      </c>
      <c r="Q81" s="231">
        <v>0</v>
      </c>
      <c r="R81" s="231">
        <v>0</v>
      </c>
      <c r="S81" s="231">
        <v>0</v>
      </c>
      <c r="T81" s="266">
        <v>0</v>
      </c>
      <c r="U81" s="232">
        <f>V81+W81+X81</f>
        <v>2679</v>
      </c>
      <c r="V81" s="232">
        <v>0</v>
      </c>
      <c r="W81" s="232">
        <v>0</v>
      </c>
      <c r="X81" s="232">
        <v>2679</v>
      </c>
      <c r="Y81" s="266">
        <v>0</v>
      </c>
      <c r="Z81" s="231">
        <v>0</v>
      </c>
      <c r="AA81" s="231">
        <v>0</v>
      </c>
      <c r="AB81" s="231">
        <v>0</v>
      </c>
      <c r="AC81" s="231">
        <v>0</v>
      </c>
    </row>
    <row r="82" spans="1:29" s="4" customFormat="1" ht="59.25" customHeight="1" outlineLevel="1" x14ac:dyDescent="0.25">
      <c r="A82" s="15" t="s">
        <v>154</v>
      </c>
      <c r="B82" s="103" t="s">
        <v>160</v>
      </c>
      <c r="C82" s="208">
        <f t="shared" si="51"/>
        <v>35.46</v>
      </c>
      <c r="D82" s="227">
        <f t="shared" ref="D82:D87" si="54">F82+K82+P82+U82+Z82</f>
        <v>131202</v>
      </c>
      <c r="E82" s="255">
        <v>0</v>
      </c>
      <c r="F82" s="227">
        <v>0</v>
      </c>
      <c r="G82" s="227">
        <v>0</v>
      </c>
      <c r="H82" s="227">
        <v>0</v>
      </c>
      <c r="I82" s="227">
        <v>0</v>
      </c>
      <c r="J82" s="208">
        <v>0</v>
      </c>
      <c r="K82" s="235">
        <f t="shared" si="53"/>
        <v>0</v>
      </c>
      <c r="L82" s="231">
        <v>0</v>
      </c>
      <c r="M82" s="231">
        <v>0</v>
      </c>
      <c r="N82" s="231">
        <v>0</v>
      </c>
      <c r="O82" s="208">
        <v>0</v>
      </c>
      <c r="P82" s="231">
        <v>0</v>
      </c>
      <c r="Q82" s="231">
        <v>0</v>
      </c>
      <c r="R82" s="231">
        <v>0</v>
      </c>
      <c r="S82" s="231">
        <v>0</v>
      </c>
      <c r="T82" s="266">
        <v>35.46</v>
      </c>
      <c r="U82" s="232">
        <f>V82+W82+X82</f>
        <v>131202</v>
      </c>
      <c r="V82" s="232">
        <v>0</v>
      </c>
      <c r="W82" s="232">
        <v>125823</v>
      </c>
      <c r="X82" s="232">
        <v>5379</v>
      </c>
      <c r="Y82" s="266">
        <v>0</v>
      </c>
      <c r="Z82" s="232">
        <v>0</v>
      </c>
      <c r="AA82" s="232">
        <v>0</v>
      </c>
      <c r="AB82" s="231">
        <v>0</v>
      </c>
      <c r="AC82" s="232">
        <v>0</v>
      </c>
    </row>
    <row r="83" spans="1:29" s="4" customFormat="1" ht="91.5" customHeight="1" outlineLevel="1" x14ac:dyDescent="0.25">
      <c r="A83" s="15" t="s">
        <v>155</v>
      </c>
      <c r="B83" s="103" t="s">
        <v>161</v>
      </c>
      <c r="C83" s="208">
        <v>0</v>
      </c>
      <c r="D83" s="227">
        <f t="shared" si="54"/>
        <v>5490</v>
      </c>
      <c r="E83" s="255">
        <v>0</v>
      </c>
      <c r="F83" s="227">
        <v>0</v>
      </c>
      <c r="G83" s="227">
        <v>0</v>
      </c>
      <c r="H83" s="227">
        <v>0</v>
      </c>
      <c r="I83" s="227">
        <v>0</v>
      </c>
      <c r="J83" s="208">
        <v>0</v>
      </c>
      <c r="K83" s="235">
        <v>0</v>
      </c>
      <c r="L83" s="231">
        <v>0</v>
      </c>
      <c r="M83" s="231">
        <v>0</v>
      </c>
      <c r="N83" s="231">
        <v>0</v>
      </c>
      <c r="O83" s="208">
        <v>0</v>
      </c>
      <c r="P83" s="231">
        <v>0</v>
      </c>
      <c r="Q83" s="231">
        <v>0</v>
      </c>
      <c r="R83" s="231">
        <v>0</v>
      </c>
      <c r="S83" s="231">
        <v>0</v>
      </c>
      <c r="T83" s="266">
        <v>0</v>
      </c>
      <c r="U83" s="232">
        <f>X83</f>
        <v>5490</v>
      </c>
      <c r="V83" s="232">
        <v>0</v>
      </c>
      <c r="W83" s="232">
        <v>0</v>
      </c>
      <c r="X83" s="232">
        <v>5490</v>
      </c>
      <c r="Y83" s="266">
        <v>0</v>
      </c>
      <c r="Z83" s="232">
        <v>0</v>
      </c>
      <c r="AA83" s="232">
        <v>0</v>
      </c>
      <c r="AB83" s="231">
        <v>0</v>
      </c>
      <c r="AC83" s="232">
        <v>0</v>
      </c>
    </row>
    <row r="84" spans="1:29" s="4" customFormat="1" ht="54" customHeight="1" outlineLevel="1" x14ac:dyDescent="0.25">
      <c r="A84" s="15" t="s">
        <v>156</v>
      </c>
      <c r="B84" s="103" t="s">
        <v>872</v>
      </c>
      <c r="C84" s="208">
        <f t="shared" ref="C84:C88" si="55">E84+J84+O84+T84+Y84</f>
        <v>6.5</v>
      </c>
      <c r="D84" s="227">
        <f t="shared" si="54"/>
        <v>106786</v>
      </c>
      <c r="E84" s="255">
        <v>0</v>
      </c>
      <c r="F84" s="227">
        <v>0</v>
      </c>
      <c r="G84" s="227">
        <v>0</v>
      </c>
      <c r="H84" s="227">
        <v>0</v>
      </c>
      <c r="I84" s="227">
        <v>0</v>
      </c>
      <c r="J84" s="208">
        <v>0</v>
      </c>
      <c r="K84" s="235">
        <v>0</v>
      </c>
      <c r="L84" s="231">
        <v>0</v>
      </c>
      <c r="M84" s="231">
        <v>0</v>
      </c>
      <c r="N84" s="231">
        <v>0</v>
      </c>
      <c r="O84" s="208">
        <v>0</v>
      </c>
      <c r="P84" s="231">
        <v>0</v>
      </c>
      <c r="Q84" s="231">
        <v>0</v>
      </c>
      <c r="R84" s="231">
        <v>0</v>
      </c>
      <c r="S84" s="231">
        <v>0</v>
      </c>
      <c r="T84" s="266">
        <v>0</v>
      </c>
      <c r="U84" s="232">
        <v>0</v>
      </c>
      <c r="V84" s="232">
        <v>0</v>
      </c>
      <c r="W84" s="232">
        <v>0</v>
      </c>
      <c r="X84" s="232">
        <v>0</v>
      </c>
      <c r="Y84" s="266">
        <v>6.5</v>
      </c>
      <c r="Z84" s="232">
        <v>106786</v>
      </c>
      <c r="AA84" s="232">
        <v>0</v>
      </c>
      <c r="AB84" s="231">
        <v>101660</v>
      </c>
      <c r="AC84" s="232">
        <v>5126</v>
      </c>
    </row>
    <row r="85" spans="1:29" s="4" customFormat="1" ht="95.25" customHeight="1" outlineLevel="1" x14ac:dyDescent="0.25">
      <c r="A85" s="15" t="s">
        <v>157</v>
      </c>
      <c r="B85" s="103" t="s">
        <v>873</v>
      </c>
      <c r="C85" s="208">
        <f t="shared" si="55"/>
        <v>0</v>
      </c>
      <c r="D85" s="227">
        <f t="shared" si="54"/>
        <v>3631</v>
      </c>
      <c r="E85" s="255">
        <v>0</v>
      </c>
      <c r="F85" s="227">
        <v>0</v>
      </c>
      <c r="G85" s="227">
        <v>0</v>
      </c>
      <c r="H85" s="227">
        <v>0</v>
      </c>
      <c r="I85" s="227">
        <v>0</v>
      </c>
      <c r="J85" s="208">
        <v>0</v>
      </c>
      <c r="K85" s="235">
        <f t="shared" si="53"/>
        <v>0</v>
      </c>
      <c r="L85" s="231">
        <v>0</v>
      </c>
      <c r="M85" s="231">
        <v>0</v>
      </c>
      <c r="N85" s="231">
        <v>0</v>
      </c>
      <c r="O85" s="208">
        <v>0</v>
      </c>
      <c r="P85" s="231">
        <v>0</v>
      </c>
      <c r="Q85" s="231">
        <v>0</v>
      </c>
      <c r="R85" s="231">
        <v>0</v>
      </c>
      <c r="S85" s="231">
        <v>0</v>
      </c>
      <c r="T85" s="266">
        <v>0</v>
      </c>
      <c r="U85" s="232">
        <v>0</v>
      </c>
      <c r="V85" s="232">
        <v>0</v>
      </c>
      <c r="W85" s="232">
        <v>0</v>
      </c>
      <c r="X85" s="232">
        <v>0</v>
      </c>
      <c r="Y85" s="266">
        <v>0</v>
      </c>
      <c r="Z85" s="232">
        <f>AA85+AB85+AC85</f>
        <v>3631</v>
      </c>
      <c r="AA85" s="232">
        <v>0</v>
      </c>
      <c r="AB85" s="231">
        <v>0</v>
      </c>
      <c r="AC85" s="232">
        <v>3631</v>
      </c>
    </row>
    <row r="86" spans="1:29" s="4" customFormat="1" ht="60" customHeight="1" outlineLevel="1" x14ac:dyDescent="0.25">
      <c r="A86" s="15" t="s">
        <v>158</v>
      </c>
      <c r="B86" s="103" t="s">
        <v>874</v>
      </c>
      <c r="C86" s="208">
        <f t="shared" si="55"/>
        <v>12.04</v>
      </c>
      <c r="D86" s="227">
        <f t="shared" si="54"/>
        <v>203887</v>
      </c>
      <c r="E86" s="255">
        <v>0</v>
      </c>
      <c r="F86" s="227">
        <v>0</v>
      </c>
      <c r="G86" s="227">
        <v>0</v>
      </c>
      <c r="H86" s="227">
        <v>0</v>
      </c>
      <c r="I86" s="227">
        <v>0</v>
      </c>
      <c r="J86" s="208">
        <v>0</v>
      </c>
      <c r="K86" s="235">
        <f t="shared" si="53"/>
        <v>0</v>
      </c>
      <c r="L86" s="231">
        <v>0</v>
      </c>
      <c r="M86" s="231">
        <v>0</v>
      </c>
      <c r="N86" s="231">
        <v>0</v>
      </c>
      <c r="O86" s="208">
        <v>0</v>
      </c>
      <c r="P86" s="231">
        <v>0</v>
      </c>
      <c r="Q86" s="231">
        <v>0</v>
      </c>
      <c r="R86" s="231">
        <v>0</v>
      </c>
      <c r="S86" s="231">
        <v>0</v>
      </c>
      <c r="T86" s="266">
        <v>0</v>
      </c>
      <c r="U86" s="232">
        <v>0</v>
      </c>
      <c r="V86" s="232">
        <v>0</v>
      </c>
      <c r="W86" s="232">
        <f>U86*0.952</f>
        <v>0</v>
      </c>
      <c r="X86" s="232">
        <f>U86*0.048</f>
        <v>0</v>
      </c>
      <c r="Y86" s="266">
        <v>12.04</v>
      </c>
      <c r="Z86" s="232">
        <v>203887</v>
      </c>
      <c r="AA86" s="232">
        <v>0</v>
      </c>
      <c r="AB86" s="231">
        <v>194100</v>
      </c>
      <c r="AC86" s="232">
        <v>9787</v>
      </c>
    </row>
    <row r="87" spans="1:29" s="4" customFormat="1" ht="63.6" customHeight="1" outlineLevel="1" x14ac:dyDescent="0.25">
      <c r="A87" s="15" t="s">
        <v>841</v>
      </c>
      <c r="B87" s="103" t="s">
        <v>762</v>
      </c>
      <c r="C87" s="208">
        <f t="shared" si="55"/>
        <v>0</v>
      </c>
      <c r="D87" s="227">
        <f t="shared" si="54"/>
        <v>0</v>
      </c>
      <c r="E87" s="255">
        <v>0</v>
      </c>
      <c r="F87" s="227">
        <v>0</v>
      </c>
      <c r="G87" s="227">
        <v>0</v>
      </c>
      <c r="H87" s="227">
        <v>0</v>
      </c>
      <c r="I87" s="227">
        <v>0</v>
      </c>
      <c r="J87" s="208">
        <v>0</v>
      </c>
      <c r="K87" s="235">
        <f t="shared" si="53"/>
        <v>0</v>
      </c>
      <c r="L87" s="231">
        <v>0</v>
      </c>
      <c r="M87" s="231">
        <v>0</v>
      </c>
      <c r="N87" s="231">
        <v>0</v>
      </c>
      <c r="O87" s="208">
        <v>0</v>
      </c>
      <c r="P87" s="231">
        <v>0</v>
      </c>
      <c r="Q87" s="231">
        <v>0</v>
      </c>
      <c r="R87" s="231">
        <v>0</v>
      </c>
      <c r="S87" s="231">
        <v>0</v>
      </c>
      <c r="T87" s="266">
        <v>0</v>
      </c>
      <c r="U87" s="232">
        <f>V87+W87+X87</f>
        <v>0</v>
      </c>
      <c r="V87" s="232">
        <v>0</v>
      </c>
      <c r="W87" s="232">
        <v>0</v>
      </c>
      <c r="X87" s="232">
        <v>0</v>
      </c>
      <c r="Y87" s="266">
        <v>0</v>
      </c>
      <c r="Z87" s="232">
        <v>0</v>
      </c>
      <c r="AA87" s="232">
        <v>0</v>
      </c>
      <c r="AB87" s="231">
        <v>0</v>
      </c>
      <c r="AC87" s="232">
        <v>0</v>
      </c>
    </row>
    <row r="88" spans="1:29" s="4" customFormat="1" ht="97.5" customHeight="1" outlineLevel="1" x14ac:dyDescent="0.25">
      <c r="A88" s="15" t="s">
        <v>159</v>
      </c>
      <c r="B88" s="103" t="s">
        <v>161</v>
      </c>
      <c r="C88" s="208">
        <f t="shared" si="55"/>
        <v>0</v>
      </c>
      <c r="D88" s="227">
        <f t="shared" si="52"/>
        <v>4648</v>
      </c>
      <c r="E88" s="255">
        <v>0</v>
      </c>
      <c r="F88" s="227">
        <v>0</v>
      </c>
      <c r="G88" s="227">
        <v>0</v>
      </c>
      <c r="H88" s="227">
        <v>0</v>
      </c>
      <c r="I88" s="227">
        <v>0</v>
      </c>
      <c r="J88" s="208">
        <v>0</v>
      </c>
      <c r="K88" s="231">
        <f t="shared" si="53"/>
        <v>0</v>
      </c>
      <c r="L88" s="231">
        <v>0</v>
      </c>
      <c r="M88" s="231">
        <v>0</v>
      </c>
      <c r="N88" s="231">
        <v>0</v>
      </c>
      <c r="O88" s="208">
        <v>0</v>
      </c>
      <c r="P88" s="231">
        <v>0</v>
      </c>
      <c r="Q88" s="231">
        <v>0</v>
      </c>
      <c r="R88" s="231">
        <v>0</v>
      </c>
      <c r="S88" s="231">
        <v>0</v>
      </c>
      <c r="T88" s="266">
        <v>0</v>
      </c>
      <c r="U88" s="232">
        <f>V88+W88+X88</f>
        <v>4648</v>
      </c>
      <c r="V88" s="232">
        <v>0</v>
      </c>
      <c r="W88" s="232">
        <v>0</v>
      </c>
      <c r="X88" s="232">
        <v>4648</v>
      </c>
      <c r="Y88" s="266">
        <v>0</v>
      </c>
      <c r="Z88" s="232">
        <v>0</v>
      </c>
      <c r="AA88" s="232">
        <v>0</v>
      </c>
      <c r="AB88" s="232">
        <v>0</v>
      </c>
      <c r="AC88" s="232">
        <v>0</v>
      </c>
    </row>
    <row r="89" spans="1:29" s="4" customFormat="1" ht="25.2" customHeight="1" outlineLevel="1" x14ac:dyDescent="0.25">
      <c r="A89" s="15" t="s">
        <v>756</v>
      </c>
      <c r="B89" s="103" t="s">
        <v>1040</v>
      </c>
      <c r="C89" s="208">
        <f>E89+J89+O89+T89+Y89</f>
        <v>0</v>
      </c>
      <c r="D89" s="227">
        <f t="shared" ref="D89" si="56">F89+K89+P89+U89+Z89</f>
        <v>0</v>
      </c>
      <c r="E89" s="255">
        <v>0</v>
      </c>
      <c r="F89" s="227">
        <v>0</v>
      </c>
      <c r="G89" s="227">
        <v>0</v>
      </c>
      <c r="H89" s="227">
        <v>0</v>
      </c>
      <c r="I89" s="227">
        <v>0</v>
      </c>
      <c r="J89" s="208">
        <v>0</v>
      </c>
      <c r="K89" s="231">
        <f t="shared" ref="K89" si="57">SUM(L89:N89)</f>
        <v>0</v>
      </c>
      <c r="L89" s="231">
        <v>0</v>
      </c>
      <c r="M89" s="231">
        <v>0</v>
      </c>
      <c r="N89" s="231">
        <v>0</v>
      </c>
      <c r="O89" s="208">
        <v>0</v>
      </c>
      <c r="P89" s="231">
        <f>Q89+R89+S89</f>
        <v>0</v>
      </c>
      <c r="Q89" s="231">
        <v>0</v>
      </c>
      <c r="R89" s="231">
        <v>0</v>
      </c>
      <c r="S89" s="231">
        <v>0</v>
      </c>
      <c r="T89" s="266">
        <v>0</v>
      </c>
      <c r="U89" s="232">
        <f>V89+W89+X89</f>
        <v>0</v>
      </c>
      <c r="V89" s="232">
        <v>0</v>
      </c>
      <c r="W89" s="232">
        <v>0</v>
      </c>
      <c r="X89" s="232">
        <v>0</v>
      </c>
      <c r="Y89" s="266">
        <v>0</v>
      </c>
      <c r="Z89" s="232">
        <v>0</v>
      </c>
      <c r="AA89" s="232">
        <v>0</v>
      </c>
      <c r="AB89" s="232">
        <v>0</v>
      </c>
      <c r="AC89" s="232">
        <v>0</v>
      </c>
    </row>
    <row r="90" spans="1:29" s="4" customFormat="1" ht="15.6" outlineLevel="1" x14ac:dyDescent="0.25">
      <c r="A90" s="447" t="s">
        <v>1258</v>
      </c>
      <c r="B90" s="447"/>
      <c r="C90" s="447"/>
      <c r="D90" s="447"/>
      <c r="E90" s="447"/>
      <c r="F90" s="447"/>
      <c r="G90" s="447"/>
      <c r="H90" s="447"/>
      <c r="I90" s="447"/>
      <c r="J90" s="447"/>
      <c r="K90" s="447"/>
      <c r="L90" s="447"/>
      <c r="M90" s="447"/>
      <c r="N90" s="447"/>
      <c r="O90" s="447"/>
      <c r="P90" s="447"/>
      <c r="Q90" s="447"/>
      <c r="R90" s="447"/>
      <c r="S90" s="447"/>
      <c r="T90" s="447"/>
      <c r="U90" s="447"/>
      <c r="V90" s="447"/>
      <c r="W90" s="447"/>
      <c r="X90" s="447"/>
      <c r="Y90" s="447"/>
      <c r="Z90" s="447"/>
      <c r="AA90" s="447"/>
      <c r="AB90" s="447"/>
      <c r="AC90" s="447"/>
    </row>
    <row r="91" spans="1:29" s="4" customFormat="1" ht="120" customHeight="1" outlineLevel="1" x14ac:dyDescent="0.25">
      <c r="A91" s="15" t="s">
        <v>23</v>
      </c>
      <c r="B91" s="103" t="s">
        <v>1051</v>
      </c>
      <c r="C91" s="208">
        <f t="shared" ref="C91:D97" si="58">E91+J91+O91+T91+Y91</f>
        <v>5.54</v>
      </c>
      <c r="D91" s="227">
        <f t="shared" si="58"/>
        <v>41382.1</v>
      </c>
      <c r="E91" s="255">
        <v>5.54</v>
      </c>
      <c r="F91" s="227">
        <f>H91+I91</f>
        <v>41382.1</v>
      </c>
      <c r="G91" s="227">
        <v>0</v>
      </c>
      <c r="H91" s="227">
        <v>39396.1</v>
      </c>
      <c r="I91" s="227">
        <f>1986.3-0.3</f>
        <v>1986</v>
      </c>
      <c r="J91" s="208">
        <v>0</v>
      </c>
      <c r="K91" s="235">
        <f t="shared" ref="K91:K97" si="59">SUM(L91:N91)</f>
        <v>0</v>
      </c>
      <c r="L91" s="231">
        <v>0</v>
      </c>
      <c r="M91" s="231">
        <v>0</v>
      </c>
      <c r="N91" s="231">
        <v>0</v>
      </c>
      <c r="O91" s="208">
        <v>0</v>
      </c>
      <c r="P91" s="231">
        <v>0</v>
      </c>
      <c r="Q91" s="231">
        <v>0</v>
      </c>
      <c r="R91" s="231">
        <v>0</v>
      </c>
      <c r="S91" s="231">
        <v>0</v>
      </c>
      <c r="T91" s="266">
        <v>0</v>
      </c>
      <c r="U91" s="232">
        <v>0</v>
      </c>
      <c r="V91" s="232">
        <v>0</v>
      </c>
      <c r="W91" s="232">
        <v>0</v>
      </c>
      <c r="X91" s="232">
        <v>0</v>
      </c>
      <c r="Y91" s="266">
        <v>0</v>
      </c>
      <c r="Z91" s="232">
        <v>0</v>
      </c>
      <c r="AA91" s="232">
        <v>0</v>
      </c>
      <c r="AB91" s="231">
        <v>0</v>
      </c>
      <c r="AC91" s="236">
        <v>0</v>
      </c>
    </row>
    <row r="92" spans="1:29" s="4" customFormat="1" ht="78.75" customHeight="1" outlineLevel="1" x14ac:dyDescent="0.25">
      <c r="A92" s="15" t="s">
        <v>751</v>
      </c>
      <c r="B92" s="103" t="s">
        <v>135</v>
      </c>
      <c r="C92" s="208">
        <f t="shared" si="58"/>
        <v>2.4</v>
      </c>
      <c r="D92" s="227">
        <f t="shared" si="58"/>
        <v>200006</v>
      </c>
      <c r="E92" s="255">
        <v>0</v>
      </c>
      <c r="F92" s="227">
        <v>0</v>
      </c>
      <c r="G92" s="227">
        <v>0</v>
      </c>
      <c r="H92" s="227">
        <v>0</v>
      </c>
      <c r="I92" s="227">
        <v>0</v>
      </c>
      <c r="J92" s="208">
        <v>2.4</v>
      </c>
      <c r="K92" s="235">
        <f t="shared" si="59"/>
        <v>200006</v>
      </c>
      <c r="L92" s="231">
        <v>0</v>
      </c>
      <c r="M92" s="231">
        <v>190406</v>
      </c>
      <c r="N92" s="231">
        <v>9600</v>
      </c>
      <c r="O92" s="208">
        <v>0</v>
      </c>
      <c r="P92" s="231">
        <v>0</v>
      </c>
      <c r="Q92" s="231">
        <v>0</v>
      </c>
      <c r="R92" s="231">
        <v>0</v>
      </c>
      <c r="S92" s="231">
        <v>0</v>
      </c>
      <c r="T92" s="266">
        <v>0</v>
      </c>
      <c r="U92" s="232">
        <v>0</v>
      </c>
      <c r="V92" s="232">
        <v>0</v>
      </c>
      <c r="W92" s="232">
        <v>0</v>
      </c>
      <c r="X92" s="232">
        <v>0</v>
      </c>
      <c r="Y92" s="208">
        <v>0</v>
      </c>
      <c r="Z92" s="231">
        <f>AA92+AC92</f>
        <v>0</v>
      </c>
      <c r="AA92" s="231">
        <v>0</v>
      </c>
      <c r="AB92" s="231">
        <v>0</v>
      </c>
      <c r="AC92" s="231">
        <v>0</v>
      </c>
    </row>
    <row r="93" spans="1:29" s="4" customFormat="1" ht="99.75" customHeight="1" outlineLevel="1" x14ac:dyDescent="0.25">
      <c r="A93" s="15" t="s">
        <v>752</v>
      </c>
      <c r="B93" s="103" t="s">
        <v>134</v>
      </c>
      <c r="C93" s="208">
        <f t="shared" si="58"/>
        <v>0</v>
      </c>
      <c r="D93" s="227">
        <f t="shared" si="58"/>
        <v>0</v>
      </c>
      <c r="E93" s="255">
        <v>0</v>
      </c>
      <c r="F93" s="227">
        <v>0</v>
      </c>
      <c r="G93" s="227">
        <v>0</v>
      </c>
      <c r="H93" s="227">
        <v>0</v>
      </c>
      <c r="I93" s="227">
        <v>0</v>
      </c>
      <c r="J93" s="79">
        <v>0</v>
      </c>
      <c r="K93" s="235">
        <f t="shared" si="59"/>
        <v>0</v>
      </c>
      <c r="L93" s="235">
        <v>0</v>
      </c>
      <c r="M93" s="235">
        <v>0</v>
      </c>
      <c r="N93" s="235">
        <f>4021-4021</f>
        <v>0</v>
      </c>
      <c r="O93" s="208">
        <v>0</v>
      </c>
      <c r="P93" s="231">
        <v>0</v>
      </c>
      <c r="Q93" s="231">
        <v>0</v>
      </c>
      <c r="R93" s="231">
        <v>0</v>
      </c>
      <c r="S93" s="231">
        <v>0</v>
      </c>
      <c r="T93" s="266">
        <v>0</v>
      </c>
      <c r="U93" s="232">
        <v>0</v>
      </c>
      <c r="V93" s="232">
        <v>0</v>
      </c>
      <c r="W93" s="232">
        <v>0</v>
      </c>
      <c r="X93" s="232">
        <v>0</v>
      </c>
      <c r="Y93" s="266">
        <v>0</v>
      </c>
      <c r="Z93" s="231">
        <v>0</v>
      </c>
      <c r="AA93" s="231">
        <v>0</v>
      </c>
      <c r="AB93" s="231">
        <v>0</v>
      </c>
      <c r="AC93" s="231">
        <v>0</v>
      </c>
    </row>
    <row r="94" spans="1:29" s="4" customFormat="1" ht="94.5" customHeight="1" outlineLevel="1" x14ac:dyDescent="0.25">
      <c r="A94" s="15" t="s">
        <v>757</v>
      </c>
      <c r="B94" s="103" t="s">
        <v>125</v>
      </c>
      <c r="C94" s="208">
        <f t="shared" si="58"/>
        <v>16.829999999999998</v>
      </c>
      <c r="D94" s="227">
        <f t="shared" si="58"/>
        <v>357516</v>
      </c>
      <c r="E94" s="255">
        <v>0</v>
      </c>
      <c r="F94" s="227">
        <v>0</v>
      </c>
      <c r="G94" s="227">
        <v>0</v>
      </c>
      <c r="H94" s="227">
        <f>F94*0.952</f>
        <v>0</v>
      </c>
      <c r="I94" s="227">
        <f>F94*0.048</f>
        <v>0</v>
      </c>
      <c r="J94" s="208">
        <v>2.2000000000000002</v>
      </c>
      <c r="K94" s="235">
        <f t="shared" si="59"/>
        <v>92763</v>
      </c>
      <c r="L94" s="231">
        <v>0</v>
      </c>
      <c r="M94" s="231">
        <v>88310</v>
      </c>
      <c r="N94" s="231">
        <v>4453</v>
      </c>
      <c r="O94" s="208">
        <v>2.2999999999999998</v>
      </c>
      <c r="P94" s="231">
        <f>Q94+R94+S94</f>
        <v>94334</v>
      </c>
      <c r="Q94" s="231">
        <v>0</v>
      </c>
      <c r="R94" s="231">
        <v>89806</v>
      </c>
      <c r="S94" s="231">
        <v>4528</v>
      </c>
      <c r="T94" s="266">
        <v>12.33</v>
      </c>
      <c r="U94" s="232">
        <f>V94+W94+X94</f>
        <v>170419</v>
      </c>
      <c r="V94" s="232">
        <v>0</v>
      </c>
      <c r="W94" s="232">
        <v>162239</v>
      </c>
      <c r="X94" s="232">
        <v>8180</v>
      </c>
      <c r="Y94" s="208">
        <v>0</v>
      </c>
      <c r="Z94" s="231">
        <f>AA94+AC94</f>
        <v>0</v>
      </c>
      <c r="AA94" s="231">
        <v>0</v>
      </c>
      <c r="AB94" s="231">
        <v>0</v>
      </c>
      <c r="AC94" s="231">
        <v>0</v>
      </c>
    </row>
    <row r="95" spans="1:29" s="4" customFormat="1" ht="109.5" customHeight="1" outlineLevel="1" x14ac:dyDescent="0.25">
      <c r="A95" s="15" t="s">
        <v>842</v>
      </c>
      <c r="B95" s="103" t="s">
        <v>126</v>
      </c>
      <c r="C95" s="208">
        <f t="shared" si="58"/>
        <v>13.33</v>
      </c>
      <c r="D95" s="227">
        <f t="shared" si="58"/>
        <v>0</v>
      </c>
      <c r="E95" s="255">
        <v>13.33</v>
      </c>
      <c r="F95" s="227">
        <f>H95+I95</f>
        <v>0</v>
      </c>
      <c r="G95" s="227">
        <v>0</v>
      </c>
      <c r="H95" s="227">
        <v>0</v>
      </c>
      <c r="I95" s="227">
        <v>0</v>
      </c>
      <c r="J95" s="208">
        <v>0</v>
      </c>
      <c r="K95" s="235">
        <f t="shared" si="59"/>
        <v>0</v>
      </c>
      <c r="L95" s="231">
        <v>0</v>
      </c>
      <c r="M95" s="231">
        <v>0</v>
      </c>
      <c r="N95" s="231">
        <v>0</v>
      </c>
      <c r="O95" s="208">
        <v>0</v>
      </c>
      <c r="P95" s="231">
        <v>0</v>
      </c>
      <c r="Q95" s="231">
        <v>0</v>
      </c>
      <c r="R95" s="231">
        <v>0</v>
      </c>
      <c r="S95" s="231">
        <v>0</v>
      </c>
      <c r="T95" s="266">
        <v>0</v>
      </c>
      <c r="U95" s="232">
        <f>V95+W95+X95</f>
        <v>0</v>
      </c>
      <c r="V95" s="232">
        <v>0</v>
      </c>
      <c r="W95" s="232">
        <v>0</v>
      </c>
      <c r="X95" s="232">
        <v>0</v>
      </c>
      <c r="Y95" s="266">
        <v>0</v>
      </c>
      <c r="Z95" s="231">
        <v>0</v>
      </c>
      <c r="AA95" s="231">
        <v>0</v>
      </c>
      <c r="AB95" s="231">
        <v>0</v>
      </c>
      <c r="AC95" s="231">
        <v>0</v>
      </c>
    </row>
    <row r="96" spans="1:29" s="4" customFormat="1" ht="55.5" customHeight="1" outlineLevel="1" x14ac:dyDescent="0.25">
      <c r="A96" s="15" t="s">
        <v>1278</v>
      </c>
      <c r="B96" s="103" t="s">
        <v>136</v>
      </c>
      <c r="C96" s="208">
        <f t="shared" si="58"/>
        <v>37.699999999999996</v>
      </c>
      <c r="D96" s="227">
        <f t="shared" si="58"/>
        <v>542281</v>
      </c>
      <c r="E96" s="255">
        <v>0</v>
      </c>
      <c r="F96" s="227">
        <v>0</v>
      </c>
      <c r="G96" s="227">
        <v>0</v>
      </c>
      <c r="H96" s="227">
        <v>0</v>
      </c>
      <c r="I96" s="227">
        <v>0</v>
      </c>
      <c r="J96" s="208">
        <v>0</v>
      </c>
      <c r="K96" s="235">
        <f t="shared" si="59"/>
        <v>0</v>
      </c>
      <c r="L96" s="231">
        <v>0</v>
      </c>
      <c r="M96" s="231">
        <v>0</v>
      </c>
      <c r="N96" s="231">
        <v>0</v>
      </c>
      <c r="O96" s="208">
        <v>2.2999999999999998</v>
      </c>
      <c r="P96" s="231">
        <f>Q96+R96+S96</f>
        <v>280382</v>
      </c>
      <c r="Q96" s="231">
        <v>0</v>
      </c>
      <c r="R96" s="231">
        <v>266924</v>
      </c>
      <c r="S96" s="231">
        <v>13458</v>
      </c>
      <c r="T96" s="266">
        <v>35.4</v>
      </c>
      <c r="U96" s="232">
        <f t="shared" ref="U96" si="60">V96+W96+X96</f>
        <v>261899</v>
      </c>
      <c r="V96" s="232">
        <v>0</v>
      </c>
      <c r="W96" s="232">
        <v>249328</v>
      </c>
      <c r="X96" s="232">
        <v>12571</v>
      </c>
      <c r="Y96" s="266">
        <v>0</v>
      </c>
      <c r="Z96" s="231">
        <v>0</v>
      </c>
      <c r="AA96" s="231">
        <v>0</v>
      </c>
      <c r="AB96" s="231">
        <v>0</v>
      </c>
      <c r="AC96" s="231">
        <v>0</v>
      </c>
    </row>
    <row r="97" spans="1:43" s="4" customFormat="1" ht="93.75" customHeight="1" outlineLevel="1" x14ac:dyDescent="0.25">
      <c r="A97" s="15" t="s">
        <v>1041</v>
      </c>
      <c r="B97" s="103" t="s">
        <v>137</v>
      </c>
      <c r="C97" s="208">
        <f t="shared" si="58"/>
        <v>0</v>
      </c>
      <c r="D97" s="227">
        <f t="shared" si="58"/>
        <v>5241</v>
      </c>
      <c r="E97" s="255">
        <v>0</v>
      </c>
      <c r="F97" s="227">
        <v>0</v>
      </c>
      <c r="G97" s="227">
        <v>0</v>
      </c>
      <c r="H97" s="227">
        <v>0</v>
      </c>
      <c r="I97" s="227">
        <v>0</v>
      </c>
      <c r="J97" s="208">
        <v>0</v>
      </c>
      <c r="K97" s="235">
        <f t="shared" si="59"/>
        <v>0</v>
      </c>
      <c r="L97" s="231">
        <v>0</v>
      </c>
      <c r="M97" s="231">
        <v>0</v>
      </c>
      <c r="N97" s="231">
        <v>0</v>
      </c>
      <c r="O97" s="208">
        <v>0</v>
      </c>
      <c r="P97" s="231">
        <f>Q97+R97+S97</f>
        <v>0</v>
      </c>
      <c r="Q97" s="231">
        <v>0</v>
      </c>
      <c r="R97" s="231">
        <v>0</v>
      </c>
      <c r="S97" s="231">
        <v>0</v>
      </c>
      <c r="T97" s="266">
        <v>0</v>
      </c>
      <c r="U97" s="232">
        <f>V97+W97+X97</f>
        <v>5241</v>
      </c>
      <c r="V97" s="232">
        <v>0</v>
      </c>
      <c r="W97" s="232">
        <v>0</v>
      </c>
      <c r="X97" s="232">
        <v>5241</v>
      </c>
      <c r="Y97" s="266">
        <v>0</v>
      </c>
      <c r="Z97" s="231">
        <v>0</v>
      </c>
      <c r="AA97" s="231">
        <v>0</v>
      </c>
      <c r="AB97" s="231">
        <v>0</v>
      </c>
      <c r="AC97" s="231">
        <v>0</v>
      </c>
    </row>
    <row r="98" spans="1:43" s="9" customFormat="1" ht="46.95" customHeight="1" x14ac:dyDescent="0.25">
      <c r="A98" s="92"/>
      <c r="B98" s="93" t="s">
        <v>17</v>
      </c>
      <c r="C98" s="99">
        <f>SUM(C80:C97)</f>
        <v>134.57</v>
      </c>
      <c r="D98" s="237">
        <f t="shared" ref="D98:AB98" si="61">SUM(D80:D97)</f>
        <v>1682129.1</v>
      </c>
      <c r="E98" s="99">
        <f t="shared" si="61"/>
        <v>18.87</v>
      </c>
      <c r="F98" s="237">
        <f t="shared" si="61"/>
        <v>41382.1</v>
      </c>
      <c r="G98" s="237">
        <f t="shared" si="61"/>
        <v>0</v>
      </c>
      <c r="H98" s="237">
        <f t="shared" si="61"/>
        <v>39396.1</v>
      </c>
      <c r="I98" s="237">
        <f t="shared" si="61"/>
        <v>1986</v>
      </c>
      <c r="J98" s="99">
        <f t="shared" si="61"/>
        <v>4.5999999999999996</v>
      </c>
      <c r="K98" s="237">
        <f t="shared" si="61"/>
        <v>292769</v>
      </c>
      <c r="L98" s="237">
        <f t="shared" si="61"/>
        <v>0</v>
      </c>
      <c r="M98" s="237">
        <f t="shared" si="61"/>
        <v>278716</v>
      </c>
      <c r="N98" s="237">
        <f t="shared" si="61"/>
        <v>14053</v>
      </c>
      <c r="O98" s="99">
        <f t="shared" si="61"/>
        <v>4.5999999999999996</v>
      </c>
      <c r="P98" s="237">
        <f t="shared" si="61"/>
        <v>374716</v>
      </c>
      <c r="Q98" s="237">
        <f t="shared" si="61"/>
        <v>0</v>
      </c>
      <c r="R98" s="237">
        <f t="shared" si="61"/>
        <v>356730</v>
      </c>
      <c r="S98" s="237">
        <f t="shared" si="61"/>
        <v>17986</v>
      </c>
      <c r="T98" s="99">
        <f t="shared" si="61"/>
        <v>87.960000000000008</v>
      </c>
      <c r="U98" s="237">
        <f t="shared" si="61"/>
        <v>658958</v>
      </c>
      <c r="V98" s="237">
        <f t="shared" si="61"/>
        <v>0</v>
      </c>
      <c r="W98" s="237">
        <f t="shared" si="61"/>
        <v>611597</v>
      </c>
      <c r="X98" s="237">
        <f t="shared" si="61"/>
        <v>47361</v>
      </c>
      <c r="Y98" s="99">
        <f t="shared" si="61"/>
        <v>18.54</v>
      </c>
      <c r="Z98" s="237">
        <f t="shared" si="61"/>
        <v>314304</v>
      </c>
      <c r="AA98" s="237">
        <f t="shared" si="61"/>
        <v>0</v>
      </c>
      <c r="AB98" s="237">
        <f t="shared" si="61"/>
        <v>295760</v>
      </c>
      <c r="AC98" s="237">
        <f>SUM(AC80:AC97)</f>
        <v>18544</v>
      </c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</row>
    <row r="99" spans="1:43" s="11" customFormat="1" ht="30" customHeight="1" x14ac:dyDescent="0.25">
      <c r="A99" s="447" t="s">
        <v>79</v>
      </c>
      <c r="B99" s="447"/>
      <c r="C99" s="447"/>
      <c r="D99" s="447"/>
      <c r="E99" s="447"/>
      <c r="F99" s="447"/>
      <c r="G99" s="447"/>
      <c r="H99" s="447"/>
      <c r="I99" s="447"/>
      <c r="J99" s="447"/>
      <c r="K99" s="447"/>
      <c r="L99" s="447"/>
      <c r="M99" s="447"/>
      <c r="N99" s="447"/>
      <c r="O99" s="447"/>
      <c r="P99" s="447"/>
      <c r="Q99" s="447"/>
      <c r="R99" s="447"/>
      <c r="S99" s="447"/>
      <c r="T99" s="447"/>
      <c r="U99" s="447"/>
      <c r="V99" s="447"/>
      <c r="W99" s="447"/>
      <c r="X99" s="447"/>
      <c r="Y99" s="447"/>
      <c r="Z99" s="447"/>
      <c r="AA99" s="447"/>
      <c r="AB99" s="447"/>
      <c r="AC99" s="447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</row>
    <row r="100" spans="1:43" s="7" customFormat="1" ht="41.4" customHeight="1" outlineLevel="1" x14ac:dyDescent="0.25">
      <c r="A100" s="392" t="s">
        <v>5</v>
      </c>
      <c r="B100" s="32" t="s">
        <v>127</v>
      </c>
      <c r="C100" s="226">
        <f t="shared" ref="C100:C138" si="62">E100+J100+O100+T100+Y100</f>
        <v>1.98</v>
      </c>
      <c r="D100" s="229">
        <f t="shared" ref="D100:D137" si="63">F100+K100+P100+U100+Z100</f>
        <v>0</v>
      </c>
      <c r="E100" s="261">
        <v>1.98</v>
      </c>
      <c r="F100" s="235">
        <f t="shared" ref="F100:F138" si="64">G100+H100+I100</f>
        <v>0</v>
      </c>
      <c r="G100" s="235">
        <v>0</v>
      </c>
      <c r="H100" s="227">
        <v>0</v>
      </c>
      <c r="I100" s="227">
        <v>0</v>
      </c>
      <c r="J100" s="226">
        <v>0</v>
      </c>
      <c r="K100" s="231">
        <f t="shared" ref="K100:K138" si="65">SUM(L100:N100)</f>
        <v>0</v>
      </c>
      <c r="L100" s="231">
        <v>0</v>
      </c>
      <c r="M100" s="231">
        <v>0</v>
      </c>
      <c r="N100" s="231">
        <v>0</v>
      </c>
      <c r="O100" s="208">
        <v>0</v>
      </c>
      <c r="P100" s="231">
        <f t="shared" ref="P100:P137" si="66">Q100+R100+S100</f>
        <v>0</v>
      </c>
      <c r="Q100" s="231">
        <v>0</v>
      </c>
      <c r="R100" s="231">
        <v>0</v>
      </c>
      <c r="S100" s="231">
        <v>0</v>
      </c>
      <c r="T100" s="208">
        <v>0</v>
      </c>
      <c r="U100" s="231">
        <f t="shared" ref="U100:U138" si="67">V100+W100+X100</f>
        <v>0</v>
      </c>
      <c r="V100" s="231">
        <v>0</v>
      </c>
      <c r="W100" s="231">
        <v>0</v>
      </c>
      <c r="X100" s="231">
        <v>0</v>
      </c>
      <c r="Y100" s="208">
        <v>0</v>
      </c>
      <c r="Z100" s="231">
        <f t="shared" ref="Z100:Z138" si="68">AA100+AB100+AC100</f>
        <v>0</v>
      </c>
      <c r="AA100" s="231">
        <v>0</v>
      </c>
      <c r="AB100" s="231">
        <v>0</v>
      </c>
      <c r="AC100" s="231">
        <v>0</v>
      </c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</row>
    <row r="101" spans="1:43" s="7" customFormat="1" ht="42.6" customHeight="1" outlineLevel="1" x14ac:dyDescent="0.25">
      <c r="A101" s="94" t="s">
        <v>6</v>
      </c>
      <c r="B101" s="32" t="s">
        <v>124</v>
      </c>
      <c r="C101" s="226">
        <f t="shared" ref="C101:C107" si="69">E101+J101+O101+T101+Y101</f>
        <v>15.5</v>
      </c>
      <c r="D101" s="229">
        <f t="shared" si="63"/>
        <v>0</v>
      </c>
      <c r="E101" s="261">
        <v>15.5</v>
      </c>
      <c r="F101" s="235">
        <f t="shared" si="64"/>
        <v>0</v>
      </c>
      <c r="G101" s="235">
        <v>0</v>
      </c>
      <c r="H101" s="227">
        <v>0</v>
      </c>
      <c r="I101" s="227">
        <v>0</v>
      </c>
      <c r="J101" s="226">
        <v>0</v>
      </c>
      <c r="K101" s="231">
        <f t="shared" si="65"/>
        <v>0</v>
      </c>
      <c r="L101" s="231">
        <v>0</v>
      </c>
      <c r="M101" s="231">
        <v>0</v>
      </c>
      <c r="N101" s="231">
        <v>0</v>
      </c>
      <c r="O101" s="208">
        <v>0</v>
      </c>
      <c r="P101" s="231">
        <f t="shared" si="66"/>
        <v>0</v>
      </c>
      <c r="Q101" s="231">
        <v>0</v>
      </c>
      <c r="R101" s="231">
        <v>0</v>
      </c>
      <c r="S101" s="231">
        <v>0</v>
      </c>
      <c r="T101" s="208">
        <v>0</v>
      </c>
      <c r="U101" s="231">
        <f t="shared" si="67"/>
        <v>0</v>
      </c>
      <c r="V101" s="231">
        <v>0</v>
      </c>
      <c r="W101" s="231">
        <v>0</v>
      </c>
      <c r="X101" s="231">
        <v>0</v>
      </c>
      <c r="Y101" s="208">
        <v>0</v>
      </c>
      <c r="Z101" s="231">
        <f t="shared" si="68"/>
        <v>0</v>
      </c>
      <c r="AA101" s="231">
        <v>0</v>
      </c>
      <c r="AB101" s="231">
        <v>0</v>
      </c>
      <c r="AC101" s="231">
        <v>0</v>
      </c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</row>
    <row r="102" spans="1:43" s="7" customFormat="1" ht="39.6" customHeight="1" outlineLevel="1" x14ac:dyDescent="0.25">
      <c r="A102" s="94" t="s">
        <v>7</v>
      </c>
      <c r="B102" s="32" t="s">
        <v>129</v>
      </c>
      <c r="C102" s="226">
        <f t="shared" si="69"/>
        <v>131.96</v>
      </c>
      <c r="D102" s="229">
        <f t="shared" ref="D102:D107" si="70">F102+K102+P102+U102+Z102</f>
        <v>127341</v>
      </c>
      <c r="E102" s="261">
        <v>0</v>
      </c>
      <c r="F102" s="235">
        <f t="shared" si="64"/>
        <v>0</v>
      </c>
      <c r="G102" s="235">
        <v>0</v>
      </c>
      <c r="H102" s="235">
        <v>0</v>
      </c>
      <c r="I102" s="235">
        <v>0</v>
      </c>
      <c r="J102" s="226">
        <v>0</v>
      </c>
      <c r="K102" s="231">
        <v>0</v>
      </c>
      <c r="L102" s="231">
        <v>0</v>
      </c>
      <c r="M102" s="231">
        <v>0</v>
      </c>
      <c r="N102" s="231">
        <v>0</v>
      </c>
      <c r="O102" s="208">
        <v>0</v>
      </c>
      <c r="P102" s="231">
        <f t="shared" si="66"/>
        <v>0</v>
      </c>
      <c r="Q102" s="231">
        <v>0</v>
      </c>
      <c r="R102" s="231">
        <v>0</v>
      </c>
      <c r="S102" s="231">
        <v>0</v>
      </c>
      <c r="T102" s="208">
        <v>131.96</v>
      </c>
      <c r="U102" s="231">
        <v>127341</v>
      </c>
      <c r="V102" s="231">
        <v>0</v>
      </c>
      <c r="W102" s="231">
        <f>U102*0.952</f>
        <v>121228.632</v>
      </c>
      <c r="X102" s="231">
        <f>U102*0.048</f>
        <v>6112.3680000000004</v>
      </c>
      <c r="Y102" s="208">
        <v>0</v>
      </c>
      <c r="Z102" s="231">
        <f t="shared" si="68"/>
        <v>0</v>
      </c>
      <c r="AA102" s="231">
        <v>0</v>
      </c>
      <c r="AB102" s="231">
        <v>0</v>
      </c>
      <c r="AC102" s="231">
        <v>0</v>
      </c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</row>
    <row r="103" spans="1:43" s="7" customFormat="1" ht="41.4" customHeight="1" outlineLevel="1" x14ac:dyDescent="0.25">
      <c r="A103" s="94" t="s">
        <v>10</v>
      </c>
      <c r="B103" s="32" t="s">
        <v>128</v>
      </c>
      <c r="C103" s="226">
        <f t="shared" si="69"/>
        <v>13.47</v>
      </c>
      <c r="D103" s="229">
        <f t="shared" si="70"/>
        <v>31074</v>
      </c>
      <c r="E103" s="261">
        <v>0</v>
      </c>
      <c r="F103" s="235">
        <f t="shared" si="64"/>
        <v>0</v>
      </c>
      <c r="G103" s="235">
        <v>0</v>
      </c>
      <c r="H103" s="238">
        <v>0</v>
      </c>
      <c r="I103" s="235">
        <v>0</v>
      </c>
      <c r="J103" s="226">
        <v>0</v>
      </c>
      <c r="K103" s="231">
        <v>0</v>
      </c>
      <c r="L103" s="231">
        <v>0</v>
      </c>
      <c r="M103" s="231">
        <v>0</v>
      </c>
      <c r="N103" s="231">
        <v>0</v>
      </c>
      <c r="O103" s="208">
        <v>0</v>
      </c>
      <c r="P103" s="231">
        <f t="shared" si="66"/>
        <v>0</v>
      </c>
      <c r="Q103" s="231">
        <v>0</v>
      </c>
      <c r="R103" s="231">
        <v>0</v>
      </c>
      <c r="S103" s="231">
        <v>0</v>
      </c>
      <c r="T103" s="208">
        <v>13.47</v>
      </c>
      <c r="U103" s="231">
        <v>31074</v>
      </c>
      <c r="V103" s="231">
        <v>0</v>
      </c>
      <c r="W103" s="231">
        <f>U103*0.952</f>
        <v>29582.448</v>
      </c>
      <c r="X103" s="231">
        <f>U103*0.048</f>
        <v>1491.5520000000001</v>
      </c>
      <c r="Y103" s="208">
        <v>0</v>
      </c>
      <c r="Z103" s="231">
        <f t="shared" si="68"/>
        <v>0</v>
      </c>
      <c r="AA103" s="231">
        <v>0</v>
      </c>
      <c r="AB103" s="231">
        <v>0</v>
      </c>
      <c r="AC103" s="231">
        <v>0</v>
      </c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</row>
    <row r="104" spans="1:43" s="7" customFormat="1" ht="40.200000000000003" customHeight="1" outlineLevel="1" x14ac:dyDescent="0.25">
      <c r="A104" s="94" t="s">
        <v>24</v>
      </c>
      <c r="B104" s="32" t="s">
        <v>130</v>
      </c>
      <c r="C104" s="226">
        <f t="shared" si="69"/>
        <v>92.14</v>
      </c>
      <c r="D104" s="229">
        <f t="shared" si="70"/>
        <v>221701</v>
      </c>
      <c r="E104" s="261">
        <v>0</v>
      </c>
      <c r="F104" s="235">
        <f t="shared" si="64"/>
        <v>0</v>
      </c>
      <c r="G104" s="235">
        <v>0</v>
      </c>
      <c r="H104" s="235">
        <v>0</v>
      </c>
      <c r="I104" s="235">
        <v>0</v>
      </c>
      <c r="J104" s="226">
        <v>0</v>
      </c>
      <c r="K104" s="231">
        <v>0</v>
      </c>
      <c r="L104" s="231">
        <v>0</v>
      </c>
      <c r="M104" s="231">
        <v>0</v>
      </c>
      <c r="N104" s="231">
        <v>0</v>
      </c>
      <c r="O104" s="208">
        <v>0</v>
      </c>
      <c r="P104" s="231">
        <f t="shared" si="66"/>
        <v>0</v>
      </c>
      <c r="Q104" s="231">
        <v>0</v>
      </c>
      <c r="R104" s="231">
        <v>0</v>
      </c>
      <c r="S104" s="231">
        <v>0</v>
      </c>
      <c r="T104" s="208">
        <v>92.14</v>
      </c>
      <c r="U104" s="231">
        <v>221701</v>
      </c>
      <c r="V104" s="231">
        <v>0</v>
      </c>
      <c r="W104" s="231">
        <f>U104*0.952</f>
        <v>211059.35199999998</v>
      </c>
      <c r="X104" s="231">
        <f>U104*0.048</f>
        <v>10641.648000000001</v>
      </c>
      <c r="Y104" s="208">
        <v>0</v>
      </c>
      <c r="Z104" s="231">
        <f t="shared" si="68"/>
        <v>0</v>
      </c>
      <c r="AA104" s="231">
        <v>0</v>
      </c>
      <c r="AB104" s="231">
        <v>0</v>
      </c>
      <c r="AC104" s="231">
        <v>0</v>
      </c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</row>
    <row r="105" spans="1:43" s="7" customFormat="1" ht="40.5" customHeight="1" outlineLevel="1" x14ac:dyDescent="0.25">
      <c r="A105" s="94" t="s">
        <v>25</v>
      </c>
      <c r="B105" s="32" t="s">
        <v>131</v>
      </c>
      <c r="C105" s="226">
        <f t="shared" si="69"/>
        <v>2.42</v>
      </c>
      <c r="D105" s="229">
        <f t="shared" si="70"/>
        <v>5866</v>
      </c>
      <c r="E105" s="261">
        <v>0</v>
      </c>
      <c r="F105" s="235">
        <f t="shared" si="64"/>
        <v>0</v>
      </c>
      <c r="G105" s="235">
        <v>0</v>
      </c>
      <c r="H105" s="235">
        <v>0</v>
      </c>
      <c r="I105" s="235">
        <v>0</v>
      </c>
      <c r="J105" s="226">
        <v>0</v>
      </c>
      <c r="K105" s="231">
        <v>0</v>
      </c>
      <c r="L105" s="231">
        <v>0</v>
      </c>
      <c r="M105" s="231">
        <v>0</v>
      </c>
      <c r="N105" s="231">
        <v>0</v>
      </c>
      <c r="O105" s="208">
        <v>0</v>
      </c>
      <c r="P105" s="231">
        <f t="shared" si="66"/>
        <v>0</v>
      </c>
      <c r="Q105" s="231">
        <v>0</v>
      </c>
      <c r="R105" s="231">
        <v>0</v>
      </c>
      <c r="S105" s="231">
        <v>0</v>
      </c>
      <c r="T105" s="208">
        <v>1.21</v>
      </c>
      <c r="U105" s="231">
        <f>SUM(V105:X105)</f>
        <v>2933</v>
      </c>
      <c r="V105" s="231">
        <v>0</v>
      </c>
      <c r="W105" s="231">
        <v>2792.2</v>
      </c>
      <c r="X105" s="231">
        <v>140.80000000000001</v>
      </c>
      <c r="Y105" s="208">
        <v>1.21</v>
      </c>
      <c r="Z105" s="231">
        <f t="shared" si="68"/>
        <v>2933</v>
      </c>
      <c r="AA105" s="231">
        <v>0</v>
      </c>
      <c r="AB105" s="231">
        <v>2792.2</v>
      </c>
      <c r="AC105" s="231">
        <v>140.80000000000001</v>
      </c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</row>
    <row r="106" spans="1:43" s="7" customFormat="1" ht="52.95" customHeight="1" outlineLevel="1" x14ac:dyDescent="0.25">
      <c r="A106" s="94" t="s">
        <v>26</v>
      </c>
      <c r="B106" s="32" t="s">
        <v>132</v>
      </c>
      <c r="C106" s="226">
        <f t="shared" si="69"/>
        <v>1.2</v>
      </c>
      <c r="D106" s="229">
        <f t="shared" si="70"/>
        <v>2909</v>
      </c>
      <c r="E106" s="261">
        <v>0</v>
      </c>
      <c r="F106" s="235">
        <f t="shared" si="64"/>
        <v>0</v>
      </c>
      <c r="G106" s="235">
        <v>0</v>
      </c>
      <c r="H106" s="235">
        <v>0</v>
      </c>
      <c r="I106" s="235">
        <v>0</v>
      </c>
      <c r="J106" s="226">
        <v>0</v>
      </c>
      <c r="K106" s="231">
        <v>0</v>
      </c>
      <c r="L106" s="231">
        <v>0</v>
      </c>
      <c r="M106" s="231">
        <v>0</v>
      </c>
      <c r="N106" s="231">
        <v>0</v>
      </c>
      <c r="O106" s="208">
        <v>0</v>
      </c>
      <c r="P106" s="231">
        <f t="shared" si="66"/>
        <v>0</v>
      </c>
      <c r="Q106" s="231">
        <v>0</v>
      </c>
      <c r="R106" s="231">
        <v>0</v>
      </c>
      <c r="S106" s="231">
        <v>0</v>
      </c>
      <c r="T106" s="208">
        <v>1.2</v>
      </c>
      <c r="U106" s="231">
        <v>2909</v>
      </c>
      <c r="V106" s="231">
        <v>0</v>
      </c>
      <c r="W106" s="231">
        <f>U106*0.952</f>
        <v>2769.3679999999999</v>
      </c>
      <c r="X106" s="231">
        <f>U106*0.048</f>
        <v>139.63200000000001</v>
      </c>
      <c r="Y106" s="208">
        <v>0</v>
      </c>
      <c r="Z106" s="231">
        <f t="shared" si="68"/>
        <v>0</v>
      </c>
      <c r="AA106" s="231">
        <v>0</v>
      </c>
      <c r="AB106" s="231">
        <v>0</v>
      </c>
      <c r="AC106" s="231">
        <v>0</v>
      </c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</row>
    <row r="107" spans="1:43" s="7" customFormat="1" ht="52.2" customHeight="1" outlineLevel="1" x14ac:dyDescent="0.25">
      <c r="A107" s="94" t="s">
        <v>27</v>
      </c>
      <c r="B107" s="32" t="s">
        <v>133</v>
      </c>
      <c r="C107" s="226">
        <f t="shared" si="69"/>
        <v>2.8</v>
      </c>
      <c r="D107" s="229">
        <f t="shared" si="70"/>
        <v>6787</v>
      </c>
      <c r="E107" s="261">
        <v>0</v>
      </c>
      <c r="F107" s="235">
        <f t="shared" si="64"/>
        <v>0</v>
      </c>
      <c r="G107" s="235">
        <v>0</v>
      </c>
      <c r="H107" s="229">
        <v>0</v>
      </c>
      <c r="I107" s="235">
        <v>0</v>
      </c>
      <c r="J107" s="226">
        <v>0</v>
      </c>
      <c r="K107" s="231">
        <v>0</v>
      </c>
      <c r="L107" s="231">
        <v>0</v>
      </c>
      <c r="M107" s="231">
        <v>0</v>
      </c>
      <c r="N107" s="231">
        <v>0</v>
      </c>
      <c r="O107" s="208">
        <v>0</v>
      </c>
      <c r="P107" s="231">
        <v>0</v>
      </c>
      <c r="Q107" s="231">
        <v>0</v>
      </c>
      <c r="R107" s="231">
        <f>P107*0.952</f>
        <v>0</v>
      </c>
      <c r="S107" s="231">
        <f>P107*0.048</f>
        <v>0</v>
      </c>
      <c r="T107" s="208">
        <v>2.8</v>
      </c>
      <c r="U107" s="231">
        <v>6787</v>
      </c>
      <c r="V107" s="231">
        <v>0</v>
      </c>
      <c r="W107" s="231">
        <v>6461</v>
      </c>
      <c r="X107" s="231">
        <v>326</v>
      </c>
      <c r="Y107" s="208">
        <v>0</v>
      </c>
      <c r="Z107" s="231">
        <f t="shared" si="68"/>
        <v>0</v>
      </c>
      <c r="AA107" s="231">
        <v>0</v>
      </c>
      <c r="AB107" s="231">
        <v>0</v>
      </c>
      <c r="AC107" s="231">
        <v>0</v>
      </c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</row>
    <row r="108" spans="1:43" s="7" customFormat="1" ht="39" customHeight="1" outlineLevel="1" x14ac:dyDescent="0.25">
      <c r="A108" s="94" t="s">
        <v>28</v>
      </c>
      <c r="B108" s="32" t="s">
        <v>785</v>
      </c>
      <c r="C108" s="226">
        <f t="shared" si="62"/>
        <v>35.82</v>
      </c>
      <c r="D108" s="229">
        <f t="shared" si="63"/>
        <v>100801</v>
      </c>
      <c r="E108" s="261">
        <v>0</v>
      </c>
      <c r="F108" s="235">
        <f t="shared" si="64"/>
        <v>0</v>
      </c>
      <c r="G108" s="235">
        <v>0</v>
      </c>
      <c r="H108" s="229">
        <v>0</v>
      </c>
      <c r="I108" s="235">
        <v>0</v>
      </c>
      <c r="J108" s="226">
        <v>0</v>
      </c>
      <c r="K108" s="231">
        <f t="shared" si="65"/>
        <v>0</v>
      </c>
      <c r="L108" s="231">
        <v>0</v>
      </c>
      <c r="M108" s="231">
        <v>0</v>
      </c>
      <c r="N108" s="231">
        <v>0</v>
      </c>
      <c r="O108" s="208">
        <v>0</v>
      </c>
      <c r="P108" s="231">
        <f t="shared" si="66"/>
        <v>0</v>
      </c>
      <c r="Q108" s="231">
        <v>0</v>
      </c>
      <c r="R108" s="231">
        <v>0</v>
      </c>
      <c r="S108" s="231">
        <v>0</v>
      </c>
      <c r="T108" s="208">
        <v>0</v>
      </c>
      <c r="U108" s="231">
        <f t="shared" si="67"/>
        <v>0</v>
      </c>
      <c r="V108" s="231">
        <v>0</v>
      </c>
      <c r="W108" s="231">
        <v>0</v>
      </c>
      <c r="X108" s="231">
        <v>0</v>
      </c>
      <c r="Y108" s="208">
        <v>35.82</v>
      </c>
      <c r="Z108" s="231">
        <f t="shared" si="68"/>
        <v>100801</v>
      </c>
      <c r="AA108" s="231">
        <v>0</v>
      </c>
      <c r="AB108" s="231">
        <f>ROUND(100801.06*0.959,1)</f>
        <v>96668.2</v>
      </c>
      <c r="AC108" s="231">
        <f>ROUND(100801.06*0.041,1)</f>
        <v>4132.8</v>
      </c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</row>
    <row r="109" spans="1:43" s="7" customFormat="1" ht="40.200000000000003" customHeight="1" outlineLevel="1" x14ac:dyDescent="0.25">
      <c r="A109" s="94" t="s">
        <v>29</v>
      </c>
      <c r="B109" s="32" t="s">
        <v>875</v>
      </c>
      <c r="C109" s="226">
        <f t="shared" si="62"/>
        <v>6.37</v>
      </c>
      <c r="D109" s="229">
        <f t="shared" si="63"/>
        <v>17925.900000000001</v>
      </c>
      <c r="E109" s="261">
        <v>0</v>
      </c>
      <c r="F109" s="235">
        <f t="shared" si="64"/>
        <v>0</v>
      </c>
      <c r="G109" s="235">
        <v>0</v>
      </c>
      <c r="H109" s="229">
        <v>0</v>
      </c>
      <c r="I109" s="235">
        <v>0</v>
      </c>
      <c r="J109" s="226">
        <v>0</v>
      </c>
      <c r="K109" s="231">
        <f t="shared" si="65"/>
        <v>0</v>
      </c>
      <c r="L109" s="231">
        <v>0</v>
      </c>
      <c r="M109" s="231">
        <v>0</v>
      </c>
      <c r="N109" s="231">
        <v>0</v>
      </c>
      <c r="O109" s="208">
        <v>0</v>
      </c>
      <c r="P109" s="231">
        <f t="shared" si="66"/>
        <v>0</v>
      </c>
      <c r="Q109" s="231">
        <v>0</v>
      </c>
      <c r="R109" s="231">
        <v>0</v>
      </c>
      <c r="S109" s="231">
        <v>0</v>
      </c>
      <c r="T109" s="208">
        <v>0</v>
      </c>
      <c r="U109" s="231">
        <f t="shared" si="67"/>
        <v>0</v>
      </c>
      <c r="V109" s="231">
        <v>0</v>
      </c>
      <c r="W109" s="231">
        <v>0</v>
      </c>
      <c r="X109" s="231">
        <v>0</v>
      </c>
      <c r="Y109" s="208">
        <v>6.37</v>
      </c>
      <c r="Z109" s="231">
        <f t="shared" si="68"/>
        <v>17925.900000000001</v>
      </c>
      <c r="AA109" s="231">
        <v>0</v>
      </c>
      <c r="AB109" s="231">
        <f>ROUND(17925.82*0.959,1)</f>
        <v>17190.900000000001</v>
      </c>
      <c r="AC109" s="231">
        <f>ROUND(17925.82*0.041,1)</f>
        <v>735</v>
      </c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</row>
    <row r="110" spans="1:43" s="7" customFormat="1" ht="50.4" customHeight="1" outlineLevel="1" x14ac:dyDescent="0.25">
      <c r="A110" s="94" t="s">
        <v>30</v>
      </c>
      <c r="B110" s="32" t="s">
        <v>138</v>
      </c>
      <c r="C110" s="226">
        <f t="shared" si="62"/>
        <v>80.625</v>
      </c>
      <c r="D110" s="229">
        <f t="shared" si="63"/>
        <v>225942</v>
      </c>
      <c r="E110" s="261">
        <v>0</v>
      </c>
      <c r="F110" s="235">
        <f t="shared" si="64"/>
        <v>0</v>
      </c>
      <c r="G110" s="235">
        <v>0</v>
      </c>
      <c r="H110" s="229">
        <v>0</v>
      </c>
      <c r="I110" s="235">
        <v>0</v>
      </c>
      <c r="J110" s="226">
        <v>0</v>
      </c>
      <c r="K110" s="231">
        <f t="shared" si="65"/>
        <v>0</v>
      </c>
      <c r="L110" s="231">
        <v>0</v>
      </c>
      <c r="M110" s="231">
        <v>0</v>
      </c>
      <c r="N110" s="231">
        <v>0</v>
      </c>
      <c r="O110" s="208">
        <v>0</v>
      </c>
      <c r="P110" s="231">
        <f t="shared" si="66"/>
        <v>0</v>
      </c>
      <c r="Q110" s="231">
        <v>0</v>
      </c>
      <c r="R110" s="231">
        <v>0</v>
      </c>
      <c r="S110" s="231">
        <v>0</v>
      </c>
      <c r="T110" s="208">
        <v>0</v>
      </c>
      <c r="U110" s="231">
        <f t="shared" si="67"/>
        <v>0</v>
      </c>
      <c r="V110" s="231">
        <v>0</v>
      </c>
      <c r="W110" s="231">
        <v>0</v>
      </c>
      <c r="X110" s="231">
        <v>0</v>
      </c>
      <c r="Y110" s="208">
        <v>80.625</v>
      </c>
      <c r="Z110" s="231">
        <f t="shared" si="68"/>
        <v>225942</v>
      </c>
      <c r="AA110" s="231">
        <v>0</v>
      </c>
      <c r="AB110" s="231">
        <f>ROUND(225941.99*0.959,1)</f>
        <v>216678.39999999999</v>
      </c>
      <c r="AC110" s="231">
        <f>ROUND(225941.99*0.041,1)</f>
        <v>9263.6</v>
      </c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</row>
    <row r="111" spans="1:43" s="7" customFormat="1" ht="51.75" customHeight="1" outlineLevel="1" x14ac:dyDescent="0.25">
      <c r="A111" s="94" t="s">
        <v>31</v>
      </c>
      <c r="B111" s="32" t="s">
        <v>139</v>
      </c>
      <c r="C111" s="226">
        <f t="shared" si="62"/>
        <v>6.22</v>
      </c>
      <c r="D111" s="229">
        <f t="shared" si="63"/>
        <v>17853.3</v>
      </c>
      <c r="E111" s="261">
        <v>0</v>
      </c>
      <c r="F111" s="235">
        <f t="shared" si="64"/>
        <v>0</v>
      </c>
      <c r="G111" s="235">
        <v>0</v>
      </c>
      <c r="H111" s="229">
        <v>0</v>
      </c>
      <c r="I111" s="235">
        <v>0</v>
      </c>
      <c r="J111" s="226">
        <v>0</v>
      </c>
      <c r="K111" s="231">
        <f t="shared" si="65"/>
        <v>0</v>
      </c>
      <c r="L111" s="231">
        <v>0</v>
      </c>
      <c r="M111" s="231">
        <v>0</v>
      </c>
      <c r="N111" s="231">
        <v>0</v>
      </c>
      <c r="O111" s="208">
        <v>0</v>
      </c>
      <c r="P111" s="231">
        <f t="shared" si="66"/>
        <v>0</v>
      </c>
      <c r="Q111" s="231">
        <v>0</v>
      </c>
      <c r="R111" s="231">
        <v>0</v>
      </c>
      <c r="S111" s="231">
        <v>0</v>
      </c>
      <c r="T111" s="208">
        <v>0</v>
      </c>
      <c r="U111" s="231">
        <f t="shared" si="67"/>
        <v>0</v>
      </c>
      <c r="V111" s="231">
        <v>0</v>
      </c>
      <c r="W111" s="231">
        <v>0</v>
      </c>
      <c r="X111" s="231">
        <v>0</v>
      </c>
      <c r="Y111" s="208">
        <v>6.22</v>
      </c>
      <c r="Z111" s="231">
        <f t="shared" si="68"/>
        <v>17853.3</v>
      </c>
      <c r="AA111" s="231">
        <v>0</v>
      </c>
      <c r="AB111" s="231">
        <f>ROUND(17853.29*0.959,1)</f>
        <v>17121.3</v>
      </c>
      <c r="AC111" s="231">
        <f>ROUND(17853.29*0.041,1)</f>
        <v>732</v>
      </c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</row>
    <row r="112" spans="1:43" s="7" customFormat="1" ht="37.950000000000003" customHeight="1" outlineLevel="1" x14ac:dyDescent="0.25">
      <c r="A112" s="94" t="s">
        <v>32</v>
      </c>
      <c r="B112" s="32" t="s">
        <v>140</v>
      </c>
      <c r="C112" s="226">
        <f t="shared" si="62"/>
        <v>4.5</v>
      </c>
      <c r="D112" s="229">
        <f t="shared" si="63"/>
        <v>12663.400000000001</v>
      </c>
      <c r="E112" s="261">
        <v>0</v>
      </c>
      <c r="F112" s="235">
        <f t="shared" si="64"/>
        <v>0</v>
      </c>
      <c r="G112" s="235">
        <v>0</v>
      </c>
      <c r="H112" s="229">
        <v>0</v>
      </c>
      <c r="I112" s="235">
        <v>0</v>
      </c>
      <c r="J112" s="226">
        <v>0</v>
      </c>
      <c r="K112" s="231">
        <f t="shared" si="65"/>
        <v>0</v>
      </c>
      <c r="L112" s="231">
        <v>0</v>
      </c>
      <c r="M112" s="231">
        <v>0</v>
      </c>
      <c r="N112" s="231">
        <v>0</v>
      </c>
      <c r="O112" s="208">
        <v>0</v>
      </c>
      <c r="P112" s="231">
        <f t="shared" si="66"/>
        <v>0</v>
      </c>
      <c r="Q112" s="231">
        <v>0</v>
      </c>
      <c r="R112" s="231">
        <v>0</v>
      </c>
      <c r="S112" s="231">
        <v>0</v>
      </c>
      <c r="T112" s="208">
        <v>0</v>
      </c>
      <c r="U112" s="231">
        <f t="shared" si="67"/>
        <v>0</v>
      </c>
      <c r="V112" s="231">
        <v>0</v>
      </c>
      <c r="W112" s="231">
        <v>0</v>
      </c>
      <c r="X112" s="231">
        <v>0</v>
      </c>
      <c r="Y112" s="208">
        <v>4.5</v>
      </c>
      <c r="Z112" s="231">
        <f t="shared" si="68"/>
        <v>12663.400000000001</v>
      </c>
      <c r="AA112" s="231">
        <v>0</v>
      </c>
      <c r="AB112" s="231">
        <f>ROUND(12663.45*0.959,1)</f>
        <v>12144.2</v>
      </c>
      <c r="AC112" s="231">
        <f>ROUND(12663.45*0.041,1)</f>
        <v>519.20000000000005</v>
      </c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</row>
    <row r="113" spans="1:43" s="7" customFormat="1" ht="51.6" customHeight="1" outlineLevel="1" x14ac:dyDescent="0.25">
      <c r="A113" s="94" t="s">
        <v>33</v>
      </c>
      <c r="B113" s="32" t="s">
        <v>141</v>
      </c>
      <c r="C113" s="226">
        <f t="shared" si="62"/>
        <v>2.4</v>
      </c>
      <c r="D113" s="229">
        <f t="shared" si="63"/>
        <v>6753.7999999999993</v>
      </c>
      <c r="E113" s="261">
        <v>0</v>
      </c>
      <c r="F113" s="235">
        <f t="shared" si="64"/>
        <v>0</v>
      </c>
      <c r="G113" s="235">
        <v>0</v>
      </c>
      <c r="H113" s="229">
        <v>0</v>
      </c>
      <c r="I113" s="235">
        <v>0</v>
      </c>
      <c r="J113" s="226">
        <v>0</v>
      </c>
      <c r="K113" s="231">
        <f t="shared" si="65"/>
        <v>0</v>
      </c>
      <c r="L113" s="231">
        <v>0</v>
      </c>
      <c r="M113" s="231">
        <v>0</v>
      </c>
      <c r="N113" s="231">
        <v>0</v>
      </c>
      <c r="O113" s="208">
        <v>0</v>
      </c>
      <c r="P113" s="231">
        <f t="shared" si="66"/>
        <v>0</v>
      </c>
      <c r="Q113" s="231">
        <v>0</v>
      </c>
      <c r="R113" s="231">
        <v>0</v>
      </c>
      <c r="S113" s="231">
        <v>0</v>
      </c>
      <c r="T113" s="208">
        <v>0</v>
      </c>
      <c r="U113" s="231">
        <f t="shared" si="67"/>
        <v>0</v>
      </c>
      <c r="V113" s="231">
        <v>0</v>
      </c>
      <c r="W113" s="231">
        <v>0</v>
      </c>
      <c r="X113" s="231">
        <v>0</v>
      </c>
      <c r="Y113" s="208">
        <v>2.4</v>
      </c>
      <c r="Z113" s="231">
        <f t="shared" si="68"/>
        <v>6753.7999999999993</v>
      </c>
      <c r="AA113" s="231">
        <v>0</v>
      </c>
      <c r="AB113" s="231">
        <f>ROUND(6753.84*0.959,1)</f>
        <v>6476.9</v>
      </c>
      <c r="AC113" s="231">
        <f>ROUND(6753.84*0.041,1)</f>
        <v>276.89999999999998</v>
      </c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</row>
    <row r="114" spans="1:43" s="7" customFormat="1" ht="52.2" customHeight="1" outlineLevel="1" x14ac:dyDescent="0.25">
      <c r="A114" s="94" t="s">
        <v>34</v>
      </c>
      <c r="B114" s="32" t="s">
        <v>876</v>
      </c>
      <c r="C114" s="226">
        <f t="shared" si="62"/>
        <v>1.8</v>
      </c>
      <c r="D114" s="229">
        <f t="shared" si="63"/>
        <v>5065.3999999999996</v>
      </c>
      <c r="E114" s="261">
        <v>0</v>
      </c>
      <c r="F114" s="235">
        <f t="shared" si="64"/>
        <v>0</v>
      </c>
      <c r="G114" s="235">
        <v>0</v>
      </c>
      <c r="H114" s="229">
        <v>0</v>
      </c>
      <c r="I114" s="235">
        <v>0</v>
      </c>
      <c r="J114" s="226">
        <v>0</v>
      </c>
      <c r="K114" s="231">
        <f t="shared" si="65"/>
        <v>0</v>
      </c>
      <c r="L114" s="231">
        <v>0</v>
      </c>
      <c r="M114" s="231">
        <v>0</v>
      </c>
      <c r="N114" s="231">
        <v>0</v>
      </c>
      <c r="O114" s="208">
        <v>0</v>
      </c>
      <c r="P114" s="231">
        <f t="shared" si="66"/>
        <v>0</v>
      </c>
      <c r="Q114" s="231">
        <v>0</v>
      </c>
      <c r="R114" s="231">
        <v>0</v>
      </c>
      <c r="S114" s="231">
        <v>0</v>
      </c>
      <c r="T114" s="208">
        <v>0</v>
      </c>
      <c r="U114" s="231">
        <f t="shared" si="67"/>
        <v>0</v>
      </c>
      <c r="V114" s="231">
        <v>0</v>
      </c>
      <c r="W114" s="231">
        <v>0</v>
      </c>
      <c r="X114" s="231">
        <v>0</v>
      </c>
      <c r="Y114" s="208">
        <v>1.8</v>
      </c>
      <c r="Z114" s="231">
        <f t="shared" si="68"/>
        <v>5065.3999999999996</v>
      </c>
      <c r="AA114" s="231">
        <v>0</v>
      </c>
      <c r="AB114" s="231">
        <f>ROUND(5065.38*0.959,1)</f>
        <v>4857.7</v>
      </c>
      <c r="AC114" s="231">
        <f>ROUND(5065.38*0.041,1)</f>
        <v>207.7</v>
      </c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</row>
    <row r="115" spans="1:43" s="7" customFormat="1" ht="38.4" customHeight="1" outlineLevel="1" x14ac:dyDescent="0.25">
      <c r="A115" s="94" t="s">
        <v>39</v>
      </c>
      <c r="B115" s="32" t="s">
        <v>142</v>
      </c>
      <c r="C115" s="226">
        <f t="shared" si="62"/>
        <v>1.8</v>
      </c>
      <c r="D115" s="229">
        <f t="shared" si="63"/>
        <v>5065</v>
      </c>
      <c r="E115" s="261">
        <v>0</v>
      </c>
      <c r="F115" s="235">
        <f t="shared" si="64"/>
        <v>0</v>
      </c>
      <c r="G115" s="235">
        <v>0</v>
      </c>
      <c r="H115" s="229">
        <v>0</v>
      </c>
      <c r="I115" s="235">
        <v>0</v>
      </c>
      <c r="J115" s="226">
        <v>0</v>
      </c>
      <c r="K115" s="231">
        <f t="shared" si="65"/>
        <v>0</v>
      </c>
      <c r="L115" s="231">
        <v>0</v>
      </c>
      <c r="M115" s="231">
        <v>0</v>
      </c>
      <c r="N115" s="231">
        <v>0</v>
      </c>
      <c r="O115" s="208">
        <v>0</v>
      </c>
      <c r="P115" s="231">
        <f t="shared" si="66"/>
        <v>0</v>
      </c>
      <c r="Q115" s="231">
        <v>0</v>
      </c>
      <c r="R115" s="231">
        <v>0</v>
      </c>
      <c r="S115" s="231">
        <v>0</v>
      </c>
      <c r="T115" s="208">
        <v>0</v>
      </c>
      <c r="U115" s="231">
        <f t="shared" si="67"/>
        <v>0</v>
      </c>
      <c r="V115" s="231">
        <v>0</v>
      </c>
      <c r="W115" s="231">
        <v>0</v>
      </c>
      <c r="X115" s="231">
        <v>0</v>
      </c>
      <c r="Y115" s="208">
        <v>1.8</v>
      </c>
      <c r="Z115" s="231">
        <f t="shared" si="68"/>
        <v>5065</v>
      </c>
      <c r="AA115" s="231">
        <v>0</v>
      </c>
      <c r="AB115" s="231">
        <f>ROUND(5065*0.959,1)</f>
        <v>4857.3</v>
      </c>
      <c r="AC115" s="231">
        <f>ROUND(5065*0.041,1)</f>
        <v>207.7</v>
      </c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</row>
    <row r="116" spans="1:43" s="7" customFormat="1" ht="43.2" customHeight="1" outlineLevel="1" x14ac:dyDescent="0.25">
      <c r="A116" s="95" t="s">
        <v>35</v>
      </c>
      <c r="B116" s="96" t="s">
        <v>143</v>
      </c>
      <c r="C116" s="226">
        <f t="shared" si="62"/>
        <v>1</v>
      </c>
      <c r="D116" s="229">
        <f t="shared" si="63"/>
        <v>2814.1</v>
      </c>
      <c r="E116" s="261">
        <v>0</v>
      </c>
      <c r="F116" s="235">
        <f t="shared" si="64"/>
        <v>0</v>
      </c>
      <c r="G116" s="235">
        <v>0</v>
      </c>
      <c r="H116" s="229">
        <v>0</v>
      </c>
      <c r="I116" s="235">
        <v>0</v>
      </c>
      <c r="J116" s="226">
        <v>0</v>
      </c>
      <c r="K116" s="231">
        <f t="shared" si="65"/>
        <v>0</v>
      </c>
      <c r="L116" s="231">
        <v>0</v>
      </c>
      <c r="M116" s="231">
        <v>0</v>
      </c>
      <c r="N116" s="231">
        <v>0</v>
      </c>
      <c r="O116" s="208">
        <v>0</v>
      </c>
      <c r="P116" s="231">
        <f t="shared" si="66"/>
        <v>0</v>
      </c>
      <c r="Q116" s="231">
        <v>0</v>
      </c>
      <c r="R116" s="231">
        <v>0</v>
      </c>
      <c r="S116" s="231">
        <v>0</v>
      </c>
      <c r="T116" s="208">
        <v>0</v>
      </c>
      <c r="U116" s="231">
        <f t="shared" si="67"/>
        <v>0</v>
      </c>
      <c r="V116" s="231">
        <v>0</v>
      </c>
      <c r="W116" s="231">
        <v>0</v>
      </c>
      <c r="X116" s="231">
        <v>0</v>
      </c>
      <c r="Y116" s="208">
        <v>1</v>
      </c>
      <c r="Z116" s="231">
        <f t="shared" si="68"/>
        <v>2814.1</v>
      </c>
      <c r="AA116" s="231">
        <v>0</v>
      </c>
      <c r="AB116" s="231">
        <f>ROUND(2814.1*0.959,1)</f>
        <v>2698.7</v>
      </c>
      <c r="AC116" s="231">
        <f>ROUND(2814.1*0.041,1)</f>
        <v>115.4</v>
      </c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</row>
    <row r="117" spans="1:43" s="7" customFormat="1" ht="41.4" customHeight="1" outlineLevel="1" x14ac:dyDescent="0.25">
      <c r="A117" s="94" t="s">
        <v>36</v>
      </c>
      <c r="B117" s="32" t="s">
        <v>877</v>
      </c>
      <c r="C117" s="226">
        <f t="shared" si="62"/>
        <v>1.2</v>
      </c>
      <c r="D117" s="229">
        <f t="shared" si="63"/>
        <v>3377</v>
      </c>
      <c r="E117" s="261">
        <v>0</v>
      </c>
      <c r="F117" s="235">
        <f t="shared" si="64"/>
        <v>0</v>
      </c>
      <c r="G117" s="235">
        <v>0</v>
      </c>
      <c r="H117" s="229">
        <v>0</v>
      </c>
      <c r="I117" s="235">
        <v>0</v>
      </c>
      <c r="J117" s="226">
        <v>0</v>
      </c>
      <c r="K117" s="231">
        <f t="shared" si="65"/>
        <v>0</v>
      </c>
      <c r="L117" s="231">
        <v>0</v>
      </c>
      <c r="M117" s="231">
        <v>0</v>
      </c>
      <c r="N117" s="231">
        <v>0</v>
      </c>
      <c r="O117" s="208">
        <v>0</v>
      </c>
      <c r="P117" s="231">
        <f t="shared" si="66"/>
        <v>0</v>
      </c>
      <c r="Q117" s="231">
        <v>0</v>
      </c>
      <c r="R117" s="231">
        <v>0</v>
      </c>
      <c r="S117" s="231">
        <v>0</v>
      </c>
      <c r="T117" s="208">
        <v>0</v>
      </c>
      <c r="U117" s="231">
        <f t="shared" si="67"/>
        <v>0</v>
      </c>
      <c r="V117" s="231">
        <v>0</v>
      </c>
      <c r="W117" s="231">
        <v>0</v>
      </c>
      <c r="X117" s="231">
        <v>0</v>
      </c>
      <c r="Y117" s="208">
        <v>1.2</v>
      </c>
      <c r="Z117" s="231">
        <f t="shared" si="68"/>
        <v>3377</v>
      </c>
      <c r="AA117" s="231">
        <v>0</v>
      </c>
      <c r="AB117" s="231">
        <f>ROUND(3376.92*0.959,1)</f>
        <v>3238.5</v>
      </c>
      <c r="AC117" s="231">
        <f>ROUND(3376.92*0.041,1)</f>
        <v>138.5</v>
      </c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</row>
    <row r="118" spans="1:43" s="7" customFormat="1" ht="40.200000000000003" customHeight="1" outlineLevel="1" x14ac:dyDescent="0.25">
      <c r="A118" s="94" t="s">
        <v>37</v>
      </c>
      <c r="B118" s="32" t="s">
        <v>144</v>
      </c>
      <c r="C118" s="226">
        <f t="shared" si="62"/>
        <v>24.79</v>
      </c>
      <c r="D118" s="229">
        <f t="shared" si="63"/>
        <v>69767.199999999997</v>
      </c>
      <c r="E118" s="261">
        <v>0</v>
      </c>
      <c r="F118" s="235">
        <f t="shared" si="64"/>
        <v>0</v>
      </c>
      <c r="G118" s="235">
        <v>0</v>
      </c>
      <c r="H118" s="229">
        <v>0</v>
      </c>
      <c r="I118" s="235">
        <v>0</v>
      </c>
      <c r="J118" s="226">
        <v>0</v>
      </c>
      <c r="K118" s="231">
        <f t="shared" si="65"/>
        <v>0</v>
      </c>
      <c r="L118" s="231">
        <v>0</v>
      </c>
      <c r="M118" s="231">
        <v>0</v>
      </c>
      <c r="N118" s="231">
        <v>0</v>
      </c>
      <c r="O118" s="208">
        <v>0</v>
      </c>
      <c r="P118" s="231">
        <f t="shared" si="66"/>
        <v>0</v>
      </c>
      <c r="Q118" s="231">
        <v>0</v>
      </c>
      <c r="R118" s="231">
        <v>0</v>
      </c>
      <c r="S118" s="231">
        <v>0</v>
      </c>
      <c r="T118" s="208">
        <v>0</v>
      </c>
      <c r="U118" s="231">
        <f t="shared" si="67"/>
        <v>0</v>
      </c>
      <c r="V118" s="231">
        <v>0</v>
      </c>
      <c r="W118" s="231">
        <v>0</v>
      </c>
      <c r="X118" s="231">
        <v>0</v>
      </c>
      <c r="Y118" s="208">
        <v>24.79</v>
      </c>
      <c r="Z118" s="231">
        <f t="shared" si="68"/>
        <v>69767.199999999997</v>
      </c>
      <c r="AA118" s="231">
        <v>0</v>
      </c>
      <c r="AB118" s="231">
        <f>ROUND(69767.17*0.959,1)</f>
        <v>66906.7</v>
      </c>
      <c r="AC118" s="231">
        <f>ROUND(69767.17*0.041,1)</f>
        <v>2860.5</v>
      </c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</row>
    <row r="119" spans="1:43" s="7" customFormat="1" ht="39" customHeight="1" outlineLevel="1" x14ac:dyDescent="0.25">
      <c r="A119" s="94" t="s">
        <v>38</v>
      </c>
      <c r="B119" s="32" t="s">
        <v>145</v>
      </c>
      <c r="C119" s="226">
        <f t="shared" si="62"/>
        <v>87.6</v>
      </c>
      <c r="D119" s="229">
        <f t="shared" si="63"/>
        <v>378119</v>
      </c>
      <c r="E119" s="261">
        <v>0</v>
      </c>
      <c r="F119" s="235">
        <f t="shared" si="64"/>
        <v>0</v>
      </c>
      <c r="G119" s="235">
        <v>0</v>
      </c>
      <c r="H119" s="229">
        <v>0</v>
      </c>
      <c r="I119" s="235">
        <v>0</v>
      </c>
      <c r="J119" s="226">
        <v>0</v>
      </c>
      <c r="K119" s="231">
        <f t="shared" si="65"/>
        <v>0</v>
      </c>
      <c r="L119" s="231">
        <v>0</v>
      </c>
      <c r="M119" s="231">
        <v>0</v>
      </c>
      <c r="N119" s="231">
        <v>0</v>
      </c>
      <c r="O119" s="208">
        <v>0</v>
      </c>
      <c r="P119" s="231">
        <f t="shared" si="66"/>
        <v>0</v>
      </c>
      <c r="Q119" s="231">
        <v>0</v>
      </c>
      <c r="R119" s="231">
        <v>0</v>
      </c>
      <c r="S119" s="231">
        <v>0</v>
      </c>
      <c r="T119" s="208">
        <v>87.6</v>
      </c>
      <c r="U119" s="231">
        <f t="shared" si="67"/>
        <v>378119</v>
      </c>
      <c r="V119" s="231">
        <v>0</v>
      </c>
      <c r="W119" s="231">
        <v>362616</v>
      </c>
      <c r="X119" s="231">
        <v>15503</v>
      </c>
      <c r="Y119" s="208">
        <v>0</v>
      </c>
      <c r="Z119" s="231">
        <f t="shared" si="68"/>
        <v>0</v>
      </c>
      <c r="AA119" s="231">
        <v>0</v>
      </c>
      <c r="AB119" s="231">
        <v>0</v>
      </c>
      <c r="AC119" s="231">
        <v>0</v>
      </c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</row>
    <row r="120" spans="1:43" s="7" customFormat="1" ht="33" customHeight="1" outlineLevel="1" x14ac:dyDescent="0.25">
      <c r="A120" s="16" t="s">
        <v>40</v>
      </c>
      <c r="B120" s="32" t="s">
        <v>146</v>
      </c>
      <c r="C120" s="226">
        <f t="shared" si="62"/>
        <v>0.93</v>
      </c>
      <c r="D120" s="229">
        <f t="shared" si="63"/>
        <v>4036</v>
      </c>
      <c r="E120" s="261">
        <v>0</v>
      </c>
      <c r="F120" s="235">
        <f t="shared" si="64"/>
        <v>0</v>
      </c>
      <c r="G120" s="235">
        <v>0</v>
      </c>
      <c r="H120" s="229">
        <v>0</v>
      </c>
      <c r="I120" s="235">
        <v>0</v>
      </c>
      <c r="J120" s="226">
        <v>0</v>
      </c>
      <c r="K120" s="231">
        <f t="shared" si="65"/>
        <v>0</v>
      </c>
      <c r="L120" s="231">
        <v>0</v>
      </c>
      <c r="M120" s="231">
        <v>0</v>
      </c>
      <c r="N120" s="231">
        <v>0</v>
      </c>
      <c r="O120" s="208">
        <v>0</v>
      </c>
      <c r="P120" s="231">
        <f t="shared" si="66"/>
        <v>0</v>
      </c>
      <c r="Q120" s="231">
        <v>0</v>
      </c>
      <c r="R120" s="231">
        <v>0</v>
      </c>
      <c r="S120" s="231">
        <v>0</v>
      </c>
      <c r="T120" s="208">
        <v>0.93</v>
      </c>
      <c r="U120" s="231">
        <f t="shared" si="67"/>
        <v>4036</v>
      </c>
      <c r="V120" s="231">
        <v>0</v>
      </c>
      <c r="W120" s="231">
        <v>3870</v>
      </c>
      <c r="X120" s="231">
        <v>166</v>
      </c>
      <c r="Y120" s="208">
        <v>0</v>
      </c>
      <c r="Z120" s="231">
        <f t="shared" si="68"/>
        <v>0</v>
      </c>
      <c r="AA120" s="231">
        <v>0</v>
      </c>
      <c r="AB120" s="231">
        <v>0</v>
      </c>
      <c r="AC120" s="231">
        <v>0</v>
      </c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</row>
    <row r="121" spans="1:43" s="7" customFormat="1" ht="47.4" customHeight="1" outlineLevel="1" x14ac:dyDescent="0.25">
      <c r="A121" s="16" t="s">
        <v>41</v>
      </c>
      <c r="B121" s="32" t="s">
        <v>147</v>
      </c>
      <c r="C121" s="226">
        <f t="shared" si="62"/>
        <v>0.75</v>
      </c>
      <c r="D121" s="229">
        <f t="shared" si="63"/>
        <v>3254</v>
      </c>
      <c r="E121" s="261">
        <v>0</v>
      </c>
      <c r="F121" s="235">
        <f t="shared" si="64"/>
        <v>0</v>
      </c>
      <c r="G121" s="235">
        <v>0</v>
      </c>
      <c r="H121" s="229">
        <v>0</v>
      </c>
      <c r="I121" s="235">
        <v>0</v>
      </c>
      <c r="J121" s="226">
        <v>0</v>
      </c>
      <c r="K121" s="231">
        <f t="shared" si="65"/>
        <v>0</v>
      </c>
      <c r="L121" s="231">
        <v>0</v>
      </c>
      <c r="M121" s="231">
        <v>0</v>
      </c>
      <c r="N121" s="231">
        <v>0</v>
      </c>
      <c r="O121" s="208">
        <v>0</v>
      </c>
      <c r="P121" s="231">
        <f t="shared" si="66"/>
        <v>0</v>
      </c>
      <c r="Q121" s="231">
        <v>0</v>
      </c>
      <c r="R121" s="231">
        <v>0</v>
      </c>
      <c r="S121" s="231">
        <v>0</v>
      </c>
      <c r="T121" s="208">
        <v>0.75</v>
      </c>
      <c r="U121" s="231">
        <f t="shared" si="67"/>
        <v>3254</v>
      </c>
      <c r="V121" s="231">
        <v>0</v>
      </c>
      <c r="W121" s="231">
        <v>3121</v>
      </c>
      <c r="X121" s="231">
        <v>133</v>
      </c>
      <c r="Y121" s="208">
        <v>0</v>
      </c>
      <c r="Z121" s="231">
        <f t="shared" si="68"/>
        <v>0</v>
      </c>
      <c r="AA121" s="231">
        <v>0</v>
      </c>
      <c r="AB121" s="231">
        <v>0</v>
      </c>
      <c r="AC121" s="231">
        <v>0</v>
      </c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</row>
    <row r="122" spans="1:43" s="4" customFormat="1" ht="32.4" customHeight="1" outlineLevel="1" x14ac:dyDescent="0.25">
      <c r="A122" s="16" t="s">
        <v>42</v>
      </c>
      <c r="B122" s="32" t="s">
        <v>148</v>
      </c>
      <c r="C122" s="226">
        <f t="shared" si="62"/>
        <v>3.04</v>
      </c>
      <c r="D122" s="229">
        <f t="shared" si="63"/>
        <v>13192</v>
      </c>
      <c r="E122" s="261">
        <v>0</v>
      </c>
      <c r="F122" s="235">
        <f t="shared" si="64"/>
        <v>0</v>
      </c>
      <c r="G122" s="235">
        <v>0</v>
      </c>
      <c r="H122" s="229">
        <v>0</v>
      </c>
      <c r="I122" s="235">
        <v>0</v>
      </c>
      <c r="J122" s="226">
        <v>0</v>
      </c>
      <c r="K122" s="231">
        <f t="shared" si="65"/>
        <v>0</v>
      </c>
      <c r="L122" s="231">
        <v>0</v>
      </c>
      <c r="M122" s="231">
        <v>0</v>
      </c>
      <c r="N122" s="231">
        <v>0</v>
      </c>
      <c r="O122" s="208">
        <v>0</v>
      </c>
      <c r="P122" s="231">
        <f t="shared" si="66"/>
        <v>0</v>
      </c>
      <c r="Q122" s="231">
        <v>0</v>
      </c>
      <c r="R122" s="231">
        <v>0</v>
      </c>
      <c r="S122" s="231">
        <v>0</v>
      </c>
      <c r="T122" s="208">
        <v>3.04</v>
      </c>
      <c r="U122" s="231">
        <f t="shared" si="67"/>
        <v>13192</v>
      </c>
      <c r="V122" s="231">
        <v>0</v>
      </c>
      <c r="W122" s="231">
        <v>12651</v>
      </c>
      <c r="X122" s="231">
        <v>541</v>
      </c>
      <c r="Y122" s="208">
        <v>0</v>
      </c>
      <c r="Z122" s="231">
        <f t="shared" si="68"/>
        <v>0</v>
      </c>
      <c r="AA122" s="231">
        <v>0</v>
      </c>
      <c r="AB122" s="231">
        <v>0</v>
      </c>
      <c r="AC122" s="231">
        <v>0</v>
      </c>
      <c r="AD122" s="6"/>
    </row>
    <row r="123" spans="1:43" s="4" customFormat="1" ht="27" customHeight="1" outlineLevel="1" x14ac:dyDescent="0.25">
      <c r="A123" s="16" t="s">
        <v>43</v>
      </c>
      <c r="B123" s="32" t="s">
        <v>149</v>
      </c>
      <c r="C123" s="226">
        <f t="shared" si="62"/>
        <v>11</v>
      </c>
      <c r="D123" s="229">
        <f t="shared" si="63"/>
        <v>48092</v>
      </c>
      <c r="E123" s="261">
        <v>0</v>
      </c>
      <c r="F123" s="235">
        <f t="shared" si="64"/>
        <v>0</v>
      </c>
      <c r="G123" s="235">
        <v>0</v>
      </c>
      <c r="H123" s="229">
        <v>0</v>
      </c>
      <c r="I123" s="235">
        <v>0</v>
      </c>
      <c r="J123" s="226">
        <v>0</v>
      </c>
      <c r="K123" s="231">
        <f t="shared" si="65"/>
        <v>0</v>
      </c>
      <c r="L123" s="231">
        <v>0</v>
      </c>
      <c r="M123" s="231">
        <v>0</v>
      </c>
      <c r="N123" s="231">
        <v>0</v>
      </c>
      <c r="O123" s="208">
        <v>0</v>
      </c>
      <c r="P123" s="231">
        <f t="shared" si="66"/>
        <v>0</v>
      </c>
      <c r="Q123" s="231">
        <v>0</v>
      </c>
      <c r="R123" s="231">
        <v>0</v>
      </c>
      <c r="S123" s="231">
        <v>0</v>
      </c>
      <c r="T123" s="208">
        <v>11</v>
      </c>
      <c r="U123" s="231">
        <f t="shared" si="67"/>
        <v>48092</v>
      </c>
      <c r="V123" s="231">
        <v>0</v>
      </c>
      <c r="W123" s="231">
        <v>46120</v>
      </c>
      <c r="X123" s="231">
        <v>1972</v>
      </c>
      <c r="Y123" s="208">
        <v>0</v>
      </c>
      <c r="Z123" s="231">
        <f t="shared" si="68"/>
        <v>0</v>
      </c>
      <c r="AA123" s="231">
        <v>0</v>
      </c>
      <c r="AB123" s="231">
        <v>0</v>
      </c>
      <c r="AC123" s="231">
        <v>0</v>
      </c>
      <c r="AD123" s="6"/>
    </row>
    <row r="124" spans="1:43" s="6" customFormat="1" ht="34.200000000000003" customHeight="1" outlineLevel="1" x14ac:dyDescent="0.25">
      <c r="A124" s="16" t="s">
        <v>44</v>
      </c>
      <c r="B124" s="32" t="s">
        <v>150</v>
      </c>
      <c r="C124" s="226">
        <f t="shared" si="62"/>
        <v>2.75</v>
      </c>
      <c r="D124" s="229">
        <f t="shared" si="63"/>
        <v>11933</v>
      </c>
      <c r="E124" s="261">
        <v>0</v>
      </c>
      <c r="F124" s="235">
        <f t="shared" si="64"/>
        <v>0</v>
      </c>
      <c r="G124" s="235">
        <v>0</v>
      </c>
      <c r="H124" s="229">
        <v>0</v>
      </c>
      <c r="I124" s="235">
        <v>0</v>
      </c>
      <c r="J124" s="226">
        <v>0</v>
      </c>
      <c r="K124" s="231">
        <f t="shared" si="65"/>
        <v>0</v>
      </c>
      <c r="L124" s="231">
        <v>0</v>
      </c>
      <c r="M124" s="231">
        <v>0</v>
      </c>
      <c r="N124" s="231">
        <v>0</v>
      </c>
      <c r="O124" s="208">
        <v>0</v>
      </c>
      <c r="P124" s="231">
        <f t="shared" si="66"/>
        <v>0</v>
      </c>
      <c r="Q124" s="231">
        <v>0</v>
      </c>
      <c r="R124" s="231">
        <v>0</v>
      </c>
      <c r="S124" s="231">
        <v>0</v>
      </c>
      <c r="T124" s="266">
        <v>2.75</v>
      </c>
      <c r="U124" s="231">
        <f t="shared" si="67"/>
        <v>11933</v>
      </c>
      <c r="V124" s="232">
        <v>0</v>
      </c>
      <c r="W124" s="231">
        <v>11444</v>
      </c>
      <c r="X124" s="231">
        <v>489</v>
      </c>
      <c r="Y124" s="208">
        <v>0</v>
      </c>
      <c r="Z124" s="231">
        <f t="shared" si="68"/>
        <v>0</v>
      </c>
      <c r="AA124" s="231">
        <v>0</v>
      </c>
      <c r="AB124" s="231">
        <v>0</v>
      </c>
      <c r="AC124" s="231">
        <v>0</v>
      </c>
    </row>
    <row r="125" spans="1:43" s="6" customFormat="1" ht="30.6" customHeight="1" outlineLevel="1" x14ac:dyDescent="0.25">
      <c r="A125" s="13" t="s">
        <v>45</v>
      </c>
      <c r="B125" s="32" t="s">
        <v>151</v>
      </c>
      <c r="C125" s="226">
        <f t="shared" si="62"/>
        <v>3.26</v>
      </c>
      <c r="D125" s="229">
        <f t="shared" si="63"/>
        <v>14147</v>
      </c>
      <c r="E125" s="261">
        <v>0</v>
      </c>
      <c r="F125" s="235">
        <f t="shared" si="64"/>
        <v>0</v>
      </c>
      <c r="G125" s="235">
        <v>0</v>
      </c>
      <c r="H125" s="229">
        <v>0</v>
      </c>
      <c r="I125" s="235">
        <v>0</v>
      </c>
      <c r="J125" s="226">
        <v>0</v>
      </c>
      <c r="K125" s="231">
        <f t="shared" si="65"/>
        <v>0</v>
      </c>
      <c r="L125" s="231">
        <v>0</v>
      </c>
      <c r="M125" s="231">
        <v>0</v>
      </c>
      <c r="N125" s="231">
        <v>0</v>
      </c>
      <c r="O125" s="208">
        <v>0</v>
      </c>
      <c r="P125" s="231">
        <f t="shared" si="66"/>
        <v>0</v>
      </c>
      <c r="Q125" s="231">
        <v>0</v>
      </c>
      <c r="R125" s="231">
        <v>0</v>
      </c>
      <c r="S125" s="231">
        <v>0</v>
      </c>
      <c r="T125" s="266">
        <v>3.26</v>
      </c>
      <c r="U125" s="231">
        <f t="shared" si="67"/>
        <v>14147</v>
      </c>
      <c r="V125" s="232">
        <v>0</v>
      </c>
      <c r="W125" s="231">
        <v>13567</v>
      </c>
      <c r="X125" s="231">
        <v>580</v>
      </c>
      <c r="Y125" s="208">
        <v>0</v>
      </c>
      <c r="Z125" s="231">
        <f t="shared" si="68"/>
        <v>0</v>
      </c>
      <c r="AA125" s="231">
        <v>0</v>
      </c>
      <c r="AB125" s="231">
        <v>0</v>
      </c>
      <c r="AC125" s="231">
        <v>0</v>
      </c>
    </row>
    <row r="126" spans="1:43" s="30" customFormat="1" ht="30" customHeight="1" outlineLevel="1" x14ac:dyDescent="0.25">
      <c r="A126" s="13" t="s">
        <v>46</v>
      </c>
      <c r="B126" s="33" t="s">
        <v>70</v>
      </c>
      <c r="C126" s="226">
        <f t="shared" si="62"/>
        <v>46.18</v>
      </c>
      <c r="D126" s="229">
        <f t="shared" si="63"/>
        <v>74802</v>
      </c>
      <c r="E126" s="255">
        <v>0</v>
      </c>
      <c r="F126" s="235">
        <f t="shared" si="64"/>
        <v>0</v>
      </c>
      <c r="G126" s="235">
        <v>0</v>
      </c>
      <c r="H126" s="227">
        <v>0</v>
      </c>
      <c r="I126" s="235">
        <v>0</v>
      </c>
      <c r="J126" s="226">
        <v>0</v>
      </c>
      <c r="K126" s="231">
        <f t="shared" si="65"/>
        <v>0</v>
      </c>
      <c r="L126" s="231">
        <v>0</v>
      </c>
      <c r="M126" s="231">
        <v>0</v>
      </c>
      <c r="N126" s="231">
        <v>0</v>
      </c>
      <c r="O126" s="208">
        <v>0</v>
      </c>
      <c r="P126" s="231">
        <f t="shared" si="66"/>
        <v>0</v>
      </c>
      <c r="Q126" s="231">
        <v>0</v>
      </c>
      <c r="R126" s="231">
        <v>0</v>
      </c>
      <c r="S126" s="231">
        <v>0</v>
      </c>
      <c r="T126" s="208">
        <v>0</v>
      </c>
      <c r="U126" s="231">
        <f t="shared" si="67"/>
        <v>0</v>
      </c>
      <c r="V126" s="231">
        <v>0</v>
      </c>
      <c r="W126" s="231">
        <v>0</v>
      </c>
      <c r="X126" s="231">
        <v>0</v>
      </c>
      <c r="Y126" s="208">
        <v>46.18</v>
      </c>
      <c r="Z126" s="231">
        <f t="shared" si="68"/>
        <v>74802</v>
      </c>
      <c r="AA126" s="231">
        <v>0</v>
      </c>
      <c r="AB126" s="231">
        <v>71735</v>
      </c>
      <c r="AC126" s="231">
        <v>3067</v>
      </c>
    </row>
    <row r="127" spans="1:43" s="6" customFormat="1" ht="30.6" customHeight="1" outlineLevel="1" x14ac:dyDescent="0.25">
      <c r="A127" s="29" t="s">
        <v>47</v>
      </c>
      <c r="B127" s="34" t="s">
        <v>71</v>
      </c>
      <c r="C127" s="226">
        <f t="shared" si="62"/>
        <v>58.08</v>
      </c>
      <c r="D127" s="229">
        <f t="shared" si="63"/>
        <v>96300</v>
      </c>
      <c r="E127" s="262">
        <v>0</v>
      </c>
      <c r="F127" s="235">
        <f t="shared" si="64"/>
        <v>0</v>
      </c>
      <c r="G127" s="235">
        <v>0</v>
      </c>
      <c r="H127" s="239">
        <v>0</v>
      </c>
      <c r="I127" s="235">
        <v>0</v>
      </c>
      <c r="J127" s="263">
        <v>0</v>
      </c>
      <c r="K127" s="231">
        <f t="shared" si="65"/>
        <v>0</v>
      </c>
      <c r="L127" s="240">
        <v>0</v>
      </c>
      <c r="M127" s="240">
        <v>0</v>
      </c>
      <c r="N127" s="240">
        <v>0</v>
      </c>
      <c r="O127" s="208">
        <v>0</v>
      </c>
      <c r="P127" s="231">
        <f t="shared" si="66"/>
        <v>0</v>
      </c>
      <c r="Q127" s="231">
        <v>0</v>
      </c>
      <c r="R127" s="231">
        <v>0</v>
      </c>
      <c r="S127" s="231">
        <v>0</v>
      </c>
      <c r="T127" s="267">
        <v>0</v>
      </c>
      <c r="U127" s="231">
        <f t="shared" si="67"/>
        <v>0</v>
      </c>
      <c r="V127" s="240">
        <v>0</v>
      </c>
      <c r="W127" s="240">
        <v>0</v>
      </c>
      <c r="X127" s="240">
        <v>0</v>
      </c>
      <c r="Y127" s="267">
        <v>58.08</v>
      </c>
      <c r="Z127" s="231">
        <f t="shared" si="68"/>
        <v>96300</v>
      </c>
      <c r="AA127" s="240">
        <v>0</v>
      </c>
      <c r="AB127" s="231">
        <v>92352</v>
      </c>
      <c r="AC127" s="231">
        <v>3948</v>
      </c>
    </row>
    <row r="128" spans="1:43" s="6" customFormat="1" ht="43.2" customHeight="1" outlineLevel="1" x14ac:dyDescent="0.25">
      <c r="A128" s="13" t="s">
        <v>48</v>
      </c>
      <c r="B128" s="33" t="s">
        <v>878</v>
      </c>
      <c r="C128" s="226">
        <f t="shared" si="62"/>
        <v>66.3</v>
      </c>
      <c r="D128" s="229">
        <f t="shared" si="63"/>
        <v>135316</v>
      </c>
      <c r="E128" s="255">
        <v>0</v>
      </c>
      <c r="F128" s="235">
        <f t="shared" si="64"/>
        <v>0</v>
      </c>
      <c r="G128" s="235">
        <v>0</v>
      </c>
      <c r="H128" s="227">
        <v>0</v>
      </c>
      <c r="I128" s="235">
        <v>0</v>
      </c>
      <c r="J128" s="226">
        <v>0</v>
      </c>
      <c r="K128" s="231">
        <f t="shared" si="65"/>
        <v>0</v>
      </c>
      <c r="L128" s="231">
        <v>0</v>
      </c>
      <c r="M128" s="231">
        <v>0</v>
      </c>
      <c r="N128" s="231">
        <v>0</v>
      </c>
      <c r="O128" s="208">
        <v>0</v>
      </c>
      <c r="P128" s="231">
        <f t="shared" si="66"/>
        <v>0</v>
      </c>
      <c r="Q128" s="231">
        <v>0</v>
      </c>
      <c r="R128" s="231">
        <v>0</v>
      </c>
      <c r="S128" s="231">
        <v>0</v>
      </c>
      <c r="T128" s="208">
        <v>0</v>
      </c>
      <c r="U128" s="231">
        <f t="shared" si="67"/>
        <v>0</v>
      </c>
      <c r="V128" s="231">
        <v>0</v>
      </c>
      <c r="W128" s="231">
        <v>0</v>
      </c>
      <c r="X128" s="231">
        <v>0</v>
      </c>
      <c r="Y128" s="208">
        <v>66.3</v>
      </c>
      <c r="Z128" s="231">
        <f t="shared" si="68"/>
        <v>135316</v>
      </c>
      <c r="AA128" s="231">
        <v>0</v>
      </c>
      <c r="AB128" s="231">
        <v>129768</v>
      </c>
      <c r="AC128" s="231">
        <v>5548</v>
      </c>
    </row>
    <row r="129" spans="1:29" s="6" customFormat="1" ht="66" customHeight="1" outlineLevel="1" x14ac:dyDescent="0.25">
      <c r="A129" s="13" t="s">
        <v>49</v>
      </c>
      <c r="B129" s="33" t="s">
        <v>72</v>
      </c>
      <c r="C129" s="226">
        <f t="shared" si="62"/>
        <v>57.76</v>
      </c>
      <c r="D129" s="229">
        <f t="shared" si="63"/>
        <v>113175</v>
      </c>
      <c r="E129" s="255">
        <v>0</v>
      </c>
      <c r="F129" s="235">
        <f t="shared" si="64"/>
        <v>0</v>
      </c>
      <c r="G129" s="235">
        <v>0</v>
      </c>
      <c r="H129" s="227">
        <v>0</v>
      </c>
      <c r="I129" s="235">
        <v>0</v>
      </c>
      <c r="J129" s="226">
        <v>0</v>
      </c>
      <c r="K129" s="231">
        <f t="shared" si="65"/>
        <v>0</v>
      </c>
      <c r="L129" s="231">
        <v>0</v>
      </c>
      <c r="M129" s="231">
        <v>0</v>
      </c>
      <c r="N129" s="231">
        <v>0</v>
      </c>
      <c r="O129" s="208">
        <v>0</v>
      </c>
      <c r="P129" s="231">
        <f t="shared" si="66"/>
        <v>0</v>
      </c>
      <c r="Q129" s="231">
        <v>0</v>
      </c>
      <c r="R129" s="231">
        <v>0</v>
      </c>
      <c r="S129" s="231">
        <v>0</v>
      </c>
      <c r="T129" s="208">
        <v>0</v>
      </c>
      <c r="U129" s="231">
        <f t="shared" si="67"/>
        <v>0</v>
      </c>
      <c r="V129" s="231">
        <v>0</v>
      </c>
      <c r="W129" s="231">
        <v>0</v>
      </c>
      <c r="X129" s="231">
        <v>0</v>
      </c>
      <c r="Y129" s="208">
        <v>57.76</v>
      </c>
      <c r="Z129" s="231">
        <f t="shared" si="68"/>
        <v>113175</v>
      </c>
      <c r="AA129" s="231">
        <v>0</v>
      </c>
      <c r="AB129" s="231">
        <v>108535</v>
      </c>
      <c r="AC129" s="231">
        <v>4640</v>
      </c>
    </row>
    <row r="130" spans="1:29" s="6" customFormat="1" ht="30.6" customHeight="1" outlineLevel="1" x14ac:dyDescent="0.25">
      <c r="A130" s="13" t="s">
        <v>50</v>
      </c>
      <c r="B130" s="33" t="s">
        <v>73</v>
      </c>
      <c r="C130" s="226">
        <f t="shared" si="62"/>
        <v>31.08</v>
      </c>
      <c r="D130" s="229">
        <f t="shared" si="63"/>
        <v>64515</v>
      </c>
      <c r="E130" s="255">
        <v>0</v>
      </c>
      <c r="F130" s="235">
        <f t="shared" si="64"/>
        <v>0</v>
      </c>
      <c r="G130" s="235">
        <v>0</v>
      </c>
      <c r="H130" s="227">
        <v>0</v>
      </c>
      <c r="I130" s="235">
        <v>0</v>
      </c>
      <c r="J130" s="226">
        <v>0</v>
      </c>
      <c r="K130" s="231">
        <f t="shared" si="65"/>
        <v>0</v>
      </c>
      <c r="L130" s="231">
        <v>0</v>
      </c>
      <c r="M130" s="231">
        <v>0</v>
      </c>
      <c r="N130" s="231">
        <v>0</v>
      </c>
      <c r="O130" s="208">
        <v>0</v>
      </c>
      <c r="P130" s="231">
        <f t="shared" si="66"/>
        <v>0</v>
      </c>
      <c r="Q130" s="231">
        <v>0</v>
      </c>
      <c r="R130" s="231">
        <v>0</v>
      </c>
      <c r="S130" s="231">
        <v>0</v>
      </c>
      <c r="T130" s="208">
        <v>0</v>
      </c>
      <c r="U130" s="231">
        <f t="shared" si="67"/>
        <v>0</v>
      </c>
      <c r="V130" s="231">
        <v>0</v>
      </c>
      <c r="W130" s="231">
        <v>0</v>
      </c>
      <c r="X130" s="231">
        <v>0</v>
      </c>
      <c r="Y130" s="208">
        <v>31.08</v>
      </c>
      <c r="Z130" s="231">
        <f t="shared" si="68"/>
        <v>64515</v>
      </c>
      <c r="AA130" s="231">
        <v>0</v>
      </c>
      <c r="AB130" s="231">
        <v>61870</v>
      </c>
      <c r="AC130" s="231">
        <v>2645</v>
      </c>
    </row>
    <row r="131" spans="1:29" s="6" customFormat="1" ht="42" customHeight="1" outlineLevel="1" x14ac:dyDescent="0.25">
      <c r="A131" s="13" t="s">
        <v>106</v>
      </c>
      <c r="B131" s="33" t="s">
        <v>74</v>
      </c>
      <c r="C131" s="226">
        <f t="shared" si="62"/>
        <v>52.71</v>
      </c>
      <c r="D131" s="229">
        <f t="shared" si="63"/>
        <v>121435</v>
      </c>
      <c r="E131" s="255">
        <v>0</v>
      </c>
      <c r="F131" s="235">
        <f t="shared" si="64"/>
        <v>0</v>
      </c>
      <c r="G131" s="235">
        <v>0</v>
      </c>
      <c r="H131" s="227">
        <v>0</v>
      </c>
      <c r="I131" s="235">
        <v>0</v>
      </c>
      <c r="J131" s="226">
        <v>0</v>
      </c>
      <c r="K131" s="231">
        <f t="shared" si="65"/>
        <v>0</v>
      </c>
      <c r="L131" s="231">
        <v>0</v>
      </c>
      <c r="M131" s="231">
        <v>0</v>
      </c>
      <c r="N131" s="231">
        <v>0</v>
      </c>
      <c r="O131" s="208">
        <v>0</v>
      </c>
      <c r="P131" s="231">
        <f t="shared" si="66"/>
        <v>0</v>
      </c>
      <c r="Q131" s="231">
        <v>0</v>
      </c>
      <c r="R131" s="231">
        <v>0</v>
      </c>
      <c r="S131" s="231">
        <v>0</v>
      </c>
      <c r="T131" s="208">
        <v>0</v>
      </c>
      <c r="U131" s="231">
        <f t="shared" si="67"/>
        <v>0</v>
      </c>
      <c r="V131" s="231">
        <v>0</v>
      </c>
      <c r="W131" s="231">
        <v>0</v>
      </c>
      <c r="X131" s="231">
        <v>0</v>
      </c>
      <c r="Y131" s="208">
        <v>52.71</v>
      </c>
      <c r="Z131" s="231">
        <f t="shared" si="68"/>
        <v>121435</v>
      </c>
      <c r="AA131" s="231">
        <v>0</v>
      </c>
      <c r="AB131" s="231">
        <v>116456</v>
      </c>
      <c r="AC131" s="231">
        <v>4979</v>
      </c>
    </row>
    <row r="132" spans="1:29" s="6" customFormat="1" ht="43.2" customHeight="1" outlineLevel="1" x14ac:dyDescent="0.25">
      <c r="A132" s="13" t="s">
        <v>51</v>
      </c>
      <c r="B132" s="33" t="s">
        <v>75</v>
      </c>
      <c r="C132" s="226">
        <f t="shared" si="62"/>
        <v>19.04</v>
      </c>
      <c r="D132" s="229">
        <f t="shared" si="63"/>
        <v>31839</v>
      </c>
      <c r="E132" s="255">
        <v>0</v>
      </c>
      <c r="F132" s="235">
        <f t="shared" si="64"/>
        <v>0</v>
      </c>
      <c r="G132" s="235">
        <v>0</v>
      </c>
      <c r="H132" s="227">
        <v>0</v>
      </c>
      <c r="I132" s="235">
        <v>0</v>
      </c>
      <c r="J132" s="226">
        <v>0</v>
      </c>
      <c r="K132" s="231">
        <f t="shared" si="65"/>
        <v>0</v>
      </c>
      <c r="L132" s="231">
        <v>0</v>
      </c>
      <c r="M132" s="231">
        <v>0</v>
      </c>
      <c r="N132" s="231">
        <v>0</v>
      </c>
      <c r="O132" s="208">
        <v>0</v>
      </c>
      <c r="P132" s="231">
        <f t="shared" si="66"/>
        <v>0</v>
      </c>
      <c r="Q132" s="231">
        <v>0</v>
      </c>
      <c r="R132" s="231">
        <v>0</v>
      </c>
      <c r="S132" s="231">
        <v>0</v>
      </c>
      <c r="T132" s="208">
        <v>0</v>
      </c>
      <c r="U132" s="231">
        <f t="shared" si="67"/>
        <v>0</v>
      </c>
      <c r="V132" s="231">
        <v>0</v>
      </c>
      <c r="W132" s="231">
        <v>0</v>
      </c>
      <c r="X132" s="231">
        <v>0</v>
      </c>
      <c r="Y132" s="208">
        <v>19.04</v>
      </c>
      <c r="Z132" s="231">
        <f t="shared" si="68"/>
        <v>31839</v>
      </c>
      <c r="AA132" s="231">
        <v>0</v>
      </c>
      <c r="AB132" s="231">
        <v>30534</v>
      </c>
      <c r="AC132" s="231">
        <v>1305</v>
      </c>
    </row>
    <row r="133" spans="1:29" s="6" customFormat="1" ht="30.6" customHeight="1" outlineLevel="1" x14ac:dyDescent="0.25">
      <c r="A133" s="13" t="s">
        <v>52</v>
      </c>
      <c r="B133" s="33" t="s">
        <v>76</v>
      </c>
      <c r="C133" s="226">
        <f t="shared" si="62"/>
        <v>17.489999999999998</v>
      </c>
      <c r="D133" s="229">
        <f t="shared" si="63"/>
        <v>29944</v>
      </c>
      <c r="E133" s="255">
        <v>0</v>
      </c>
      <c r="F133" s="235">
        <f t="shared" si="64"/>
        <v>0</v>
      </c>
      <c r="G133" s="235">
        <v>0</v>
      </c>
      <c r="H133" s="227">
        <v>0</v>
      </c>
      <c r="I133" s="235">
        <v>0</v>
      </c>
      <c r="J133" s="226">
        <v>0</v>
      </c>
      <c r="K133" s="231">
        <f t="shared" si="65"/>
        <v>0</v>
      </c>
      <c r="L133" s="231">
        <v>0</v>
      </c>
      <c r="M133" s="231">
        <v>0</v>
      </c>
      <c r="N133" s="231">
        <v>0</v>
      </c>
      <c r="O133" s="208">
        <v>0</v>
      </c>
      <c r="P133" s="231">
        <f t="shared" si="66"/>
        <v>0</v>
      </c>
      <c r="Q133" s="231">
        <v>0</v>
      </c>
      <c r="R133" s="231">
        <v>0</v>
      </c>
      <c r="S133" s="231">
        <v>0</v>
      </c>
      <c r="T133" s="208">
        <v>0</v>
      </c>
      <c r="U133" s="231">
        <f t="shared" si="67"/>
        <v>0</v>
      </c>
      <c r="V133" s="231">
        <v>0</v>
      </c>
      <c r="W133" s="231">
        <v>0</v>
      </c>
      <c r="X133" s="231">
        <v>0</v>
      </c>
      <c r="Y133" s="208">
        <v>17.489999999999998</v>
      </c>
      <c r="Z133" s="231">
        <f t="shared" si="68"/>
        <v>29944</v>
      </c>
      <c r="AA133" s="231">
        <v>0</v>
      </c>
      <c r="AB133" s="231">
        <v>28716</v>
      </c>
      <c r="AC133" s="231">
        <v>1228</v>
      </c>
    </row>
    <row r="134" spans="1:29" s="6" customFormat="1" ht="30" customHeight="1" outlineLevel="1" x14ac:dyDescent="0.25">
      <c r="A134" s="13" t="s">
        <v>53</v>
      </c>
      <c r="B134" s="33" t="s">
        <v>82</v>
      </c>
      <c r="C134" s="226">
        <f t="shared" si="62"/>
        <v>7.45</v>
      </c>
      <c r="D134" s="229">
        <f t="shared" si="63"/>
        <v>14597</v>
      </c>
      <c r="E134" s="255">
        <v>0</v>
      </c>
      <c r="F134" s="235">
        <f t="shared" si="64"/>
        <v>0</v>
      </c>
      <c r="G134" s="235">
        <v>0</v>
      </c>
      <c r="H134" s="227">
        <v>0</v>
      </c>
      <c r="I134" s="235">
        <v>0</v>
      </c>
      <c r="J134" s="226">
        <v>0</v>
      </c>
      <c r="K134" s="231">
        <f t="shared" si="65"/>
        <v>0</v>
      </c>
      <c r="L134" s="231">
        <v>0</v>
      </c>
      <c r="M134" s="231">
        <v>0</v>
      </c>
      <c r="N134" s="231">
        <v>0</v>
      </c>
      <c r="O134" s="208">
        <v>0</v>
      </c>
      <c r="P134" s="231">
        <f t="shared" si="66"/>
        <v>0</v>
      </c>
      <c r="Q134" s="231">
        <v>0</v>
      </c>
      <c r="R134" s="231">
        <v>0</v>
      </c>
      <c r="S134" s="231">
        <v>0</v>
      </c>
      <c r="T134" s="208">
        <v>7.45</v>
      </c>
      <c r="U134" s="231">
        <f t="shared" si="67"/>
        <v>9303</v>
      </c>
      <c r="V134" s="235">
        <v>0</v>
      </c>
      <c r="W134" s="231">
        <v>8652</v>
      </c>
      <c r="X134" s="231">
        <v>651</v>
      </c>
      <c r="Y134" s="208">
        <v>0</v>
      </c>
      <c r="Z134" s="231">
        <f t="shared" si="68"/>
        <v>5294</v>
      </c>
      <c r="AA134" s="231">
        <v>0</v>
      </c>
      <c r="AB134" s="231">
        <v>5077</v>
      </c>
      <c r="AC134" s="231">
        <v>217</v>
      </c>
    </row>
    <row r="135" spans="1:29" s="6" customFormat="1" ht="22.2" customHeight="1" outlineLevel="1" x14ac:dyDescent="0.25">
      <c r="A135" s="13" t="s">
        <v>54</v>
      </c>
      <c r="B135" s="33" t="s">
        <v>83</v>
      </c>
      <c r="C135" s="226">
        <f t="shared" si="62"/>
        <v>45.43</v>
      </c>
      <c r="D135" s="229">
        <f t="shared" si="63"/>
        <v>79983</v>
      </c>
      <c r="E135" s="255">
        <v>0</v>
      </c>
      <c r="F135" s="235">
        <f t="shared" si="64"/>
        <v>0</v>
      </c>
      <c r="G135" s="235">
        <v>0</v>
      </c>
      <c r="H135" s="227">
        <v>0</v>
      </c>
      <c r="I135" s="235">
        <v>0</v>
      </c>
      <c r="J135" s="226">
        <v>0</v>
      </c>
      <c r="K135" s="231">
        <f t="shared" si="65"/>
        <v>0</v>
      </c>
      <c r="L135" s="231">
        <v>0</v>
      </c>
      <c r="M135" s="231">
        <v>0</v>
      </c>
      <c r="N135" s="231">
        <v>0</v>
      </c>
      <c r="O135" s="208">
        <v>0</v>
      </c>
      <c r="P135" s="231">
        <f t="shared" si="66"/>
        <v>0</v>
      </c>
      <c r="Q135" s="231">
        <v>0</v>
      </c>
      <c r="R135" s="231">
        <v>0</v>
      </c>
      <c r="S135" s="231">
        <v>0</v>
      </c>
      <c r="T135" s="208">
        <v>45.43</v>
      </c>
      <c r="U135" s="231">
        <f t="shared" si="67"/>
        <v>46857</v>
      </c>
      <c r="V135" s="231">
        <v>0</v>
      </c>
      <c r="W135" s="231">
        <v>43577</v>
      </c>
      <c r="X135" s="231">
        <v>3280</v>
      </c>
      <c r="Y135" s="208">
        <v>0</v>
      </c>
      <c r="Z135" s="231">
        <f t="shared" si="68"/>
        <v>33126</v>
      </c>
      <c r="AA135" s="231">
        <v>0</v>
      </c>
      <c r="AB135" s="231">
        <v>31768</v>
      </c>
      <c r="AC135" s="231">
        <v>1358</v>
      </c>
    </row>
    <row r="136" spans="1:29" s="6" customFormat="1" ht="25.2" customHeight="1" outlineLevel="1" x14ac:dyDescent="0.25">
      <c r="A136" s="13" t="s">
        <v>55</v>
      </c>
      <c r="B136" s="33" t="s">
        <v>879</v>
      </c>
      <c r="C136" s="226">
        <f t="shared" si="62"/>
        <v>16.760000000000002</v>
      </c>
      <c r="D136" s="229">
        <f t="shared" si="63"/>
        <v>33793</v>
      </c>
      <c r="E136" s="255">
        <v>0</v>
      </c>
      <c r="F136" s="235">
        <f t="shared" si="64"/>
        <v>0</v>
      </c>
      <c r="G136" s="235">
        <v>0</v>
      </c>
      <c r="H136" s="227">
        <v>0</v>
      </c>
      <c r="I136" s="235">
        <v>0</v>
      </c>
      <c r="J136" s="226">
        <v>0</v>
      </c>
      <c r="K136" s="231">
        <f t="shared" si="65"/>
        <v>0</v>
      </c>
      <c r="L136" s="231">
        <v>0</v>
      </c>
      <c r="M136" s="231">
        <v>0</v>
      </c>
      <c r="N136" s="231">
        <v>0</v>
      </c>
      <c r="O136" s="208">
        <v>0</v>
      </c>
      <c r="P136" s="231">
        <f t="shared" si="66"/>
        <v>0</v>
      </c>
      <c r="Q136" s="231">
        <v>0</v>
      </c>
      <c r="R136" s="231">
        <v>0</v>
      </c>
      <c r="S136" s="231">
        <v>0</v>
      </c>
      <c r="T136" s="208">
        <v>16.760000000000002</v>
      </c>
      <c r="U136" s="231">
        <f t="shared" si="67"/>
        <v>21682</v>
      </c>
      <c r="V136" s="231">
        <v>0</v>
      </c>
      <c r="W136" s="231">
        <v>20164</v>
      </c>
      <c r="X136" s="231">
        <v>1518</v>
      </c>
      <c r="Y136" s="208">
        <v>0</v>
      </c>
      <c r="Z136" s="231">
        <f t="shared" si="68"/>
        <v>12111</v>
      </c>
      <c r="AA136" s="231">
        <v>0</v>
      </c>
      <c r="AB136" s="231">
        <v>11614</v>
      </c>
      <c r="AC136" s="231">
        <v>497</v>
      </c>
    </row>
    <row r="137" spans="1:29" s="6" customFormat="1" ht="30" customHeight="1" outlineLevel="1" x14ac:dyDescent="0.25">
      <c r="A137" s="13" t="s">
        <v>56</v>
      </c>
      <c r="B137" s="33" t="s">
        <v>84</v>
      </c>
      <c r="C137" s="226">
        <f t="shared" si="62"/>
        <v>126.12</v>
      </c>
      <c r="D137" s="229">
        <f t="shared" si="63"/>
        <v>227222</v>
      </c>
      <c r="E137" s="255">
        <v>0</v>
      </c>
      <c r="F137" s="235">
        <f t="shared" si="64"/>
        <v>0</v>
      </c>
      <c r="G137" s="235">
        <v>0</v>
      </c>
      <c r="H137" s="227">
        <v>0</v>
      </c>
      <c r="I137" s="235">
        <v>0</v>
      </c>
      <c r="J137" s="226">
        <v>0</v>
      </c>
      <c r="K137" s="231">
        <f t="shared" si="65"/>
        <v>0</v>
      </c>
      <c r="L137" s="231">
        <v>0</v>
      </c>
      <c r="M137" s="231">
        <v>0</v>
      </c>
      <c r="N137" s="231">
        <v>0</v>
      </c>
      <c r="O137" s="208">
        <v>0</v>
      </c>
      <c r="P137" s="231">
        <f t="shared" si="66"/>
        <v>0</v>
      </c>
      <c r="Q137" s="231">
        <v>0</v>
      </c>
      <c r="R137" s="231">
        <v>0</v>
      </c>
      <c r="S137" s="231">
        <v>0</v>
      </c>
      <c r="T137" s="208">
        <v>126.12</v>
      </c>
      <c r="U137" s="231">
        <f t="shared" si="67"/>
        <v>137898</v>
      </c>
      <c r="V137" s="231">
        <v>0</v>
      </c>
      <c r="W137" s="231">
        <v>128245</v>
      </c>
      <c r="X137" s="231">
        <v>9653</v>
      </c>
      <c r="Y137" s="208">
        <v>0</v>
      </c>
      <c r="Z137" s="231">
        <f t="shared" si="68"/>
        <v>89324</v>
      </c>
      <c r="AA137" s="231">
        <v>0</v>
      </c>
      <c r="AB137" s="231">
        <v>85662</v>
      </c>
      <c r="AC137" s="231">
        <v>3662</v>
      </c>
    </row>
    <row r="138" spans="1:29" s="6" customFormat="1" ht="104.4" customHeight="1" outlineLevel="1" x14ac:dyDescent="0.25">
      <c r="A138" s="13" t="s">
        <v>57</v>
      </c>
      <c r="B138" s="33" t="s">
        <v>78</v>
      </c>
      <c r="C138" s="226">
        <f t="shared" si="62"/>
        <v>0</v>
      </c>
      <c r="D138" s="229">
        <f>F138+K138+P138+U138+Z138</f>
        <v>11861</v>
      </c>
      <c r="E138" s="255">
        <v>0</v>
      </c>
      <c r="F138" s="235">
        <f t="shared" si="64"/>
        <v>3000</v>
      </c>
      <c r="G138" s="235">
        <v>0</v>
      </c>
      <c r="H138" s="227">
        <v>0</v>
      </c>
      <c r="I138" s="227">
        <v>3000</v>
      </c>
      <c r="J138" s="226">
        <v>0</v>
      </c>
      <c r="K138" s="231">
        <f t="shared" si="65"/>
        <v>0</v>
      </c>
      <c r="L138" s="231">
        <v>0</v>
      </c>
      <c r="M138" s="231">
        <v>0</v>
      </c>
      <c r="N138" s="231">
        <v>0</v>
      </c>
      <c r="O138" s="208">
        <v>0</v>
      </c>
      <c r="P138" s="231">
        <f t="shared" ref="P138" si="71">Q138+R138+S138</f>
        <v>0</v>
      </c>
      <c r="Q138" s="231">
        <v>0</v>
      </c>
      <c r="R138" s="231">
        <v>0</v>
      </c>
      <c r="S138" s="231">
        <v>0</v>
      </c>
      <c r="T138" s="208">
        <v>0</v>
      </c>
      <c r="U138" s="231">
        <f t="shared" si="67"/>
        <v>3965</v>
      </c>
      <c r="V138" s="231">
        <v>0</v>
      </c>
      <c r="W138" s="231">
        <v>0</v>
      </c>
      <c r="X138" s="231">
        <v>3965</v>
      </c>
      <c r="Y138" s="208">
        <v>0</v>
      </c>
      <c r="Z138" s="231">
        <f t="shared" si="68"/>
        <v>4896</v>
      </c>
      <c r="AA138" s="231">
        <v>0</v>
      </c>
      <c r="AB138" s="231">
        <v>0</v>
      </c>
      <c r="AC138" s="231">
        <v>4896</v>
      </c>
    </row>
    <row r="139" spans="1:29" s="6" customFormat="1" ht="37.5" customHeight="1" outlineLevel="1" x14ac:dyDescent="0.25">
      <c r="A139" s="13" t="s">
        <v>58</v>
      </c>
      <c r="B139" s="33" t="s">
        <v>1036</v>
      </c>
      <c r="C139" s="226">
        <f t="shared" ref="C139" si="72">E139+J139+O139+T139+Y139</f>
        <v>0</v>
      </c>
      <c r="D139" s="229">
        <f>F139+K139+P139+U139+Z139</f>
        <v>8130</v>
      </c>
      <c r="E139" s="255">
        <v>0</v>
      </c>
      <c r="F139" s="235">
        <f t="shared" ref="F139" si="73">G139+H139+I139</f>
        <v>3790</v>
      </c>
      <c r="G139" s="235">
        <v>0</v>
      </c>
      <c r="H139" s="227">
        <v>0</v>
      </c>
      <c r="I139" s="227">
        <v>3790</v>
      </c>
      <c r="J139" s="226">
        <v>0</v>
      </c>
      <c r="K139" s="231">
        <f t="shared" ref="K139" si="74">SUM(L139:N139)</f>
        <v>2170</v>
      </c>
      <c r="L139" s="231">
        <v>0</v>
      </c>
      <c r="M139" s="231">
        <v>0</v>
      </c>
      <c r="N139" s="231">
        <v>2170</v>
      </c>
      <c r="O139" s="208">
        <v>0</v>
      </c>
      <c r="P139" s="231">
        <f t="shared" ref="P139" si="75">Q139+R139+S139</f>
        <v>2170</v>
      </c>
      <c r="Q139" s="231">
        <v>0</v>
      </c>
      <c r="R139" s="231">
        <v>0</v>
      </c>
      <c r="S139" s="231">
        <v>2170</v>
      </c>
      <c r="T139" s="208">
        <v>0</v>
      </c>
      <c r="U139" s="231">
        <f t="shared" ref="U139" si="76">V139+W139+X139</f>
        <v>0</v>
      </c>
      <c r="V139" s="231">
        <v>0</v>
      </c>
      <c r="W139" s="231">
        <v>0</v>
      </c>
      <c r="X139" s="231">
        <v>0</v>
      </c>
      <c r="Y139" s="208">
        <v>0</v>
      </c>
      <c r="Z139" s="231">
        <f t="shared" ref="Z139" si="77">AA139+AB139+AC139</f>
        <v>0</v>
      </c>
      <c r="AA139" s="231">
        <v>0</v>
      </c>
      <c r="AB139" s="231">
        <v>0</v>
      </c>
      <c r="AC139" s="231">
        <v>0</v>
      </c>
    </row>
    <row r="140" spans="1:29" s="6" customFormat="1" ht="48" outlineLevel="1" x14ac:dyDescent="0.25">
      <c r="A140" s="13" t="s">
        <v>59</v>
      </c>
      <c r="B140" s="33" t="s">
        <v>1038</v>
      </c>
      <c r="C140" s="226">
        <f t="shared" ref="C140:C203" si="78">E140+J140+O140+T140+Y140</f>
        <v>0</v>
      </c>
      <c r="D140" s="229">
        <f>F140+K140+P140+U140+Z140</f>
        <v>2505</v>
      </c>
      <c r="E140" s="255">
        <v>0</v>
      </c>
      <c r="F140" s="235">
        <f t="shared" ref="F140:F203" si="79">G140+H140+I140</f>
        <v>835</v>
      </c>
      <c r="G140" s="235">
        <v>0</v>
      </c>
      <c r="H140" s="227">
        <v>0</v>
      </c>
      <c r="I140" s="227">
        <v>835</v>
      </c>
      <c r="J140" s="226">
        <v>0</v>
      </c>
      <c r="K140" s="231">
        <f t="shared" ref="K140" si="80">SUM(L140:N140)</f>
        <v>835</v>
      </c>
      <c r="L140" s="231">
        <v>0</v>
      </c>
      <c r="M140" s="231">
        <v>0</v>
      </c>
      <c r="N140" s="231">
        <v>835</v>
      </c>
      <c r="O140" s="208">
        <v>0</v>
      </c>
      <c r="P140" s="231">
        <f t="shared" ref="P140" si="81">Q140+R140+S140</f>
        <v>835</v>
      </c>
      <c r="Q140" s="231">
        <v>0</v>
      </c>
      <c r="R140" s="231">
        <v>0</v>
      </c>
      <c r="S140" s="231">
        <v>835</v>
      </c>
      <c r="T140" s="208">
        <v>0</v>
      </c>
      <c r="U140" s="231">
        <f t="shared" ref="U140" si="82">V140+W140+X140</f>
        <v>0</v>
      </c>
      <c r="V140" s="231">
        <v>0</v>
      </c>
      <c r="W140" s="231">
        <v>0</v>
      </c>
      <c r="X140" s="231">
        <v>0</v>
      </c>
      <c r="Y140" s="208">
        <v>0</v>
      </c>
      <c r="Z140" s="231">
        <f t="shared" ref="Z140" si="83">AA140+AB140+AC140</f>
        <v>0</v>
      </c>
      <c r="AA140" s="231">
        <v>0</v>
      </c>
      <c r="AB140" s="231">
        <v>0</v>
      </c>
      <c r="AC140" s="231">
        <v>0</v>
      </c>
    </row>
    <row r="141" spans="1:29" s="6" customFormat="1" ht="36" outlineLevel="1" x14ac:dyDescent="0.25">
      <c r="A141" s="13" t="s">
        <v>60</v>
      </c>
      <c r="B141" s="33" t="s">
        <v>1084</v>
      </c>
      <c r="C141" s="308">
        <f t="shared" si="78"/>
        <v>0</v>
      </c>
      <c r="D141" s="229">
        <f t="shared" ref="D141:D204" si="84">F141+K141+P141+U141+Z141</f>
        <v>203</v>
      </c>
      <c r="E141" s="255">
        <v>0</v>
      </c>
      <c r="F141" s="235">
        <f t="shared" si="79"/>
        <v>203</v>
      </c>
      <c r="G141" s="235">
        <v>0</v>
      </c>
      <c r="H141" s="227">
        <v>193</v>
      </c>
      <c r="I141" s="227">
        <v>10</v>
      </c>
      <c r="J141" s="308">
        <v>0</v>
      </c>
      <c r="K141" s="231">
        <v>0</v>
      </c>
      <c r="L141" s="231">
        <v>0</v>
      </c>
      <c r="M141" s="231">
        <v>0</v>
      </c>
      <c r="N141" s="231">
        <v>0</v>
      </c>
      <c r="O141" s="208">
        <v>0</v>
      </c>
      <c r="P141" s="231">
        <f>S141</f>
        <v>0</v>
      </c>
      <c r="Q141" s="231">
        <v>0</v>
      </c>
      <c r="R141" s="231">
        <v>0</v>
      </c>
      <c r="S141" s="231">
        <v>0</v>
      </c>
      <c r="T141" s="208">
        <v>0</v>
      </c>
      <c r="U141" s="231">
        <v>0</v>
      </c>
      <c r="V141" s="231">
        <v>0</v>
      </c>
      <c r="W141" s="231">
        <v>0</v>
      </c>
      <c r="X141" s="231">
        <v>0</v>
      </c>
      <c r="Y141" s="208">
        <v>0</v>
      </c>
      <c r="Z141" s="231">
        <v>0</v>
      </c>
      <c r="AA141" s="231">
        <v>0</v>
      </c>
      <c r="AB141" s="231">
        <v>0</v>
      </c>
      <c r="AC141" s="231">
        <v>0</v>
      </c>
    </row>
    <row r="142" spans="1:29" s="6" customFormat="1" ht="60" outlineLevel="1" x14ac:dyDescent="0.25">
      <c r="A142" s="13" t="s">
        <v>61</v>
      </c>
      <c r="B142" s="33" t="s">
        <v>1085</v>
      </c>
      <c r="C142" s="308">
        <f t="shared" si="78"/>
        <v>0</v>
      </c>
      <c r="D142" s="229">
        <f t="shared" si="84"/>
        <v>100</v>
      </c>
      <c r="E142" s="255">
        <v>0</v>
      </c>
      <c r="F142" s="235">
        <f t="shared" si="79"/>
        <v>100</v>
      </c>
      <c r="G142" s="235">
        <v>0</v>
      </c>
      <c r="H142" s="227">
        <v>95</v>
      </c>
      <c r="I142" s="227">
        <v>5</v>
      </c>
      <c r="J142" s="308">
        <v>0</v>
      </c>
      <c r="K142" s="231">
        <v>0</v>
      </c>
      <c r="L142" s="231">
        <v>0</v>
      </c>
      <c r="M142" s="231">
        <v>0</v>
      </c>
      <c r="N142" s="231">
        <v>0</v>
      </c>
      <c r="O142" s="208">
        <v>0</v>
      </c>
      <c r="P142" s="231">
        <f t="shared" ref="P142:P205" si="85">S142</f>
        <v>0</v>
      </c>
      <c r="Q142" s="231">
        <v>0</v>
      </c>
      <c r="R142" s="231">
        <v>0</v>
      </c>
      <c r="S142" s="231">
        <v>0</v>
      </c>
      <c r="T142" s="208">
        <v>0</v>
      </c>
      <c r="U142" s="231">
        <v>0</v>
      </c>
      <c r="V142" s="231">
        <v>0</v>
      </c>
      <c r="W142" s="231">
        <v>0</v>
      </c>
      <c r="X142" s="231">
        <v>0</v>
      </c>
      <c r="Y142" s="208">
        <v>0</v>
      </c>
      <c r="Z142" s="231">
        <v>0</v>
      </c>
      <c r="AA142" s="231">
        <v>0</v>
      </c>
      <c r="AB142" s="231">
        <v>0</v>
      </c>
      <c r="AC142" s="231">
        <v>0</v>
      </c>
    </row>
    <row r="143" spans="1:29" s="6" customFormat="1" ht="48" outlineLevel="1" x14ac:dyDescent="0.25">
      <c r="A143" s="13" t="s">
        <v>66</v>
      </c>
      <c r="B143" s="33" t="s">
        <v>1086</v>
      </c>
      <c r="C143" s="308">
        <f t="shared" si="78"/>
        <v>0</v>
      </c>
      <c r="D143" s="229">
        <f t="shared" si="84"/>
        <v>1274</v>
      </c>
      <c r="E143" s="255">
        <v>0</v>
      </c>
      <c r="F143" s="235">
        <f t="shared" si="79"/>
        <v>1274</v>
      </c>
      <c r="G143" s="235">
        <v>0</v>
      </c>
      <c r="H143" s="227">
        <v>1213</v>
      </c>
      <c r="I143" s="227">
        <v>61</v>
      </c>
      <c r="J143" s="308">
        <v>0</v>
      </c>
      <c r="K143" s="231">
        <v>0</v>
      </c>
      <c r="L143" s="231">
        <v>0</v>
      </c>
      <c r="M143" s="231">
        <v>0</v>
      </c>
      <c r="N143" s="231">
        <v>0</v>
      </c>
      <c r="O143" s="208">
        <v>0</v>
      </c>
      <c r="P143" s="231">
        <f t="shared" si="85"/>
        <v>0</v>
      </c>
      <c r="Q143" s="231">
        <v>0</v>
      </c>
      <c r="R143" s="231">
        <v>0</v>
      </c>
      <c r="S143" s="231">
        <v>0</v>
      </c>
      <c r="T143" s="208">
        <v>0</v>
      </c>
      <c r="U143" s="231">
        <v>0</v>
      </c>
      <c r="V143" s="231">
        <v>0</v>
      </c>
      <c r="W143" s="231">
        <v>0</v>
      </c>
      <c r="X143" s="231">
        <v>0</v>
      </c>
      <c r="Y143" s="208">
        <v>0</v>
      </c>
      <c r="Z143" s="231">
        <v>0</v>
      </c>
      <c r="AA143" s="231">
        <v>0</v>
      </c>
      <c r="AB143" s="231">
        <v>0</v>
      </c>
      <c r="AC143" s="231">
        <v>0</v>
      </c>
    </row>
    <row r="144" spans="1:29" s="6" customFormat="1" ht="108" outlineLevel="1" x14ac:dyDescent="0.25">
      <c r="A144" s="13" t="s">
        <v>67</v>
      </c>
      <c r="B144" s="33" t="s">
        <v>1087</v>
      </c>
      <c r="C144" s="308">
        <f t="shared" si="78"/>
        <v>0</v>
      </c>
      <c r="D144" s="229">
        <f t="shared" si="84"/>
        <v>630</v>
      </c>
      <c r="E144" s="255">
        <v>0</v>
      </c>
      <c r="F144" s="235">
        <f t="shared" si="79"/>
        <v>630</v>
      </c>
      <c r="G144" s="235">
        <v>0</v>
      </c>
      <c r="H144" s="227">
        <v>600</v>
      </c>
      <c r="I144" s="227">
        <v>30</v>
      </c>
      <c r="J144" s="308">
        <v>0</v>
      </c>
      <c r="K144" s="231">
        <v>0</v>
      </c>
      <c r="L144" s="231">
        <v>0</v>
      </c>
      <c r="M144" s="231">
        <v>0</v>
      </c>
      <c r="N144" s="231">
        <v>0</v>
      </c>
      <c r="O144" s="208">
        <v>0</v>
      </c>
      <c r="P144" s="231">
        <f t="shared" si="85"/>
        <v>0</v>
      </c>
      <c r="Q144" s="231">
        <v>0</v>
      </c>
      <c r="R144" s="231">
        <v>0</v>
      </c>
      <c r="S144" s="231">
        <v>0</v>
      </c>
      <c r="T144" s="208">
        <v>0</v>
      </c>
      <c r="U144" s="231">
        <v>0</v>
      </c>
      <c r="V144" s="231">
        <v>0</v>
      </c>
      <c r="W144" s="231">
        <v>0</v>
      </c>
      <c r="X144" s="231">
        <v>0</v>
      </c>
      <c r="Y144" s="208">
        <v>0</v>
      </c>
      <c r="Z144" s="231">
        <v>0</v>
      </c>
      <c r="AA144" s="231">
        <v>0</v>
      </c>
      <c r="AB144" s="231">
        <v>0</v>
      </c>
      <c r="AC144" s="231">
        <v>0</v>
      </c>
    </row>
    <row r="145" spans="1:29" s="6" customFormat="1" ht="60" outlineLevel="1" x14ac:dyDescent="0.25">
      <c r="A145" s="13" t="s">
        <v>68</v>
      </c>
      <c r="B145" s="33" t="s">
        <v>1088</v>
      </c>
      <c r="C145" s="308">
        <f t="shared" si="78"/>
        <v>0</v>
      </c>
      <c r="D145" s="229">
        <f t="shared" si="84"/>
        <v>234</v>
      </c>
      <c r="E145" s="255">
        <v>0</v>
      </c>
      <c r="F145" s="235">
        <f t="shared" si="79"/>
        <v>234</v>
      </c>
      <c r="G145" s="235">
        <v>0</v>
      </c>
      <c r="H145" s="227">
        <v>223</v>
      </c>
      <c r="I145" s="227">
        <v>11</v>
      </c>
      <c r="J145" s="308">
        <v>0</v>
      </c>
      <c r="K145" s="231">
        <v>0</v>
      </c>
      <c r="L145" s="231">
        <v>0</v>
      </c>
      <c r="M145" s="231">
        <v>0</v>
      </c>
      <c r="N145" s="231">
        <v>0</v>
      </c>
      <c r="O145" s="208">
        <v>0</v>
      </c>
      <c r="P145" s="231">
        <f t="shared" si="85"/>
        <v>0</v>
      </c>
      <c r="Q145" s="231">
        <v>0</v>
      </c>
      <c r="R145" s="231">
        <v>0</v>
      </c>
      <c r="S145" s="231">
        <v>0</v>
      </c>
      <c r="T145" s="208">
        <v>0</v>
      </c>
      <c r="U145" s="231">
        <v>0</v>
      </c>
      <c r="V145" s="231">
        <v>0</v>
      </c>
      <c r="W145" s="231">
        <v>0</v>
      </c>
      <c r="X145" s="231">
        <v>0</v>
      </c>
      <c r="Y145" s="208">
        <v>0</v>
      </c>
      <c r="Z145" s="231">
        <v>0</v>
      </c>
      <c r="AA145" s="231">
        <v>0</v>
      </c>
      <c r="AB145" s="231">
        <v>0</v>
      </c>
      <c r="AC145" s="231">
        <v>0</v>
      </c>
    </row>
    <row r="146" spans="1:29" s="6" customFormat="1" ht="60" outlineLevel="1" x14ac:dyDescent="0.25">
      <c r="A146" s="13" t="s">
        <v>69</v>
      </c>
      <c r="B146" s="33" t="s">
        <v>1089</v>
      </c>
      <c r="C146" s="308">
        <f t="shared" si="78"/>
        <v>0</v>
      </c>
      <c r="D146" s="229">
        <f t="shared" si="84"/>
        <v>427</v>
      </c>
      <c r="E146" s="255">
        <v>0</v>
      </c>
      <c r="F146" s="235">
        <f t="shared" si="79"/>
        <v>427</v>
      </c>
      <c r="G146" s="235">
        <v>0</v>
      </c>
      <c r="H146" s="227">
        <v>407</v>
      </c>
      <c r="I146" s="227">
        <v>20</v>
      </c>
      <c r="J146" s="308">
        <v>0</v>
      </c>
      <c r="K146" s="231">
        <v>0</v>
      </c>
      <c r="L146" s="231">
        <v>0</v>
      </c>
      <c r="M146" s="231">
        <v>0</v>
      </c>
      <c r="N146" s="231">
        <v>0</v>
      </c>
      <c r="O146" s="208">
        <v>0</v>
      </c>
      <c r="P146" s="231">
        <f t="shared" si="85"/>
        <v>0</v>
      </c>
      <c r="Q146" s="231">
        <v>0</v>
      </c>
      <c r="R146" s="231">
        <v>0</v>
      </c>
      <c r="S146" s="231">
        <v>0</v>
      </c>
      <c r="T146" s="208">
        <v>0</v>
      </c>
      <c r="U146" s="231">
        <v>0</v>
      </c>
      <c r="V146" s="231">
        <v>0</v>
      </c>
      <c r="W146" s="231">
        <v>0</v>
      </c>
      <c r="X146" s="231">
        <v>0</v>
      </c>
      <c r="Y146" s="208">
        <v>0</v>
      </c>
      <c r="Z146" s="231">
        <v>0</v>
      </c>
      <c r="AA146" s="231">
        <v>0</v>
      </c>
      <c r="AB146" s="231">
        <v>0</v>
      </c>
      <c r="AC146" s="231">
        <v>0</v>
      </c>
    </row>
    <row r="147" spans="1:29" s="6" customFormat="1" ht="60" outlineLevel="1" x14ac:dyDescent="0.25">
      <c r="A147" s="13" t="s">
        <v>755</v>
      </c>
      <c r="B147" s="33" t="s">
        <v>1090</v>
      </c>
      <c r="C147" s="308">
        <f t="shared" si="78"/>
        <v>0</v>
      </c>
      <c r="D147" s="229">
        <f t="shared" si="84"/>
        <v>23</v>
      </c>
      <c r="E147" s="255">
        <v>0</v>
      </c>
      <c r="F147" s="235">
        <f t="shared" si="79"/>
        <v>23</v>
      </c>
      <c r="G147" s="235">
        <v>0</v>
      </c>
      <c r="H147" s="227">
        <v>22</v>
      </c>
      <c r="I147" s="227">
        <v>1</v>
      </c>
      <c r="J147" s="308">
        <v>0</v>
      </c>
      <c r="K147" s="231">
        <v>0</v>
      </c>
      <c r="L147" s="231">
        <v>0</v>
      </c>
      <c r="M147" s="231">
        <v>0</v>
      </c>
      <c r="N147" s="231">
        <v>0</v>
      </c>
      <c r="O147" s="208">
        <v>0</v>
      </c>
      <c r="P147" s="231">
        <f t="shared" si="85"/>
        <v>0</v>
      </c>
      <c r="Q147" s="231">
        <v>0</v>
      </c>
      <c r="R147" s="231">
        <v>0</v>
      </c>
      <c r="S147" s="231">
        <v>0</v>
      </c>
      <c r="T147" s="208">
        <v>0</v>
      </c>
      <c r="U147" s="231">
        <v>0</v>
      </c>
      <c r="V147" s="231">
        <v>0</v>
      </c>
      <c r="W147" s="231">
        <v>0</v>
      </c>
      <c r="X147" s="231">
        <v>0</v>
      </c>
      <c r="Y147" s="208">
        <v>0</v>
      </c>
      <c r="Z147" s="231">
        <v>0</v>
      </c>
      <c r="AA147" s="231">
        <v>0</v>
      </c>
      <c r="AB147" s="231">
        <v>0</v>
      </c>
      <c r="AC147" s="231">
        <v>0</v>
      </c>
    </row>
    <row r="148" spans="1:29" s="6" customFormat="1" ht="84" outlineLevel="1" x14ac:dyDescent="0.25">
      <c r="A148" s="13" t="s">
        <v>989</v>
      </c>
      <c r="B148" s="33" t="s">
        <v>1091</v>
      </c>
      <c r="C148" s="308">
        <f t="shared" si="78"/>
        <v>0</v>
      </c>
      <c r="D148" s="229">
        <f t="shared" si="84"/>
        <v>57</v>
      </c>
      <c r="E148" s="255">
        <v>0</v>
      </c>
      <c r="F148" s="235">
        <f t="shared" si="79"/>
        <v>57</v>
      </c>
      <c r="G148" s="235">
        <v>0</v>
      </c>
      <c r="H148" s="227">
        <v>54</v>
      </c>
      <c r="I148" s="227">
        <v>3</v>
      </c>
      <c r="J148" s="308">
        <v>0</v>
      </c>
      <c r="K148" s="231">
        <v>0</v>
      </c>
      <c r="L148" s="231">
        <v>0</v>
      </c>
      <c r="M148" s="231">
        <v>0</v>
      </c>
      <c r="N148" s="231">
        <v>0</v>
      </c>
      <c r="O148" s="208">
        <v>0</v>
      </c>
      <c r="P148" s="231">
        <f t="shared" si="85"/>
        <v>0</v>
      </c>
      <c r="Q148" s="231">
        <v>0</v>
      </c>
      <c r="R148" s="231">
        <v>0</v>
      </c>
      <c r="S148" s="231">
        <v>0</v>
      </c>
      <c r="T148" s="208">
        <v>0</v>
      </c>
      <c r="U148" s="231">
        <v>0</v>
      </c>
      <c r="V148" s="231">
        <v>0</v>
      </c>
      <c r="W148" s="231">
        <v>0</v>
      </c>
      <c r="X148" s="231">
        <v>0</v>
      </c>
      <c r="Y148" s="208">
        <v>0</v>
      </c>
      <c r="Z148" s="231">
        <v>0</v>
      </c>
      <c r="AA148" s="231">
        <v>0</v>
      </c>
      <c r="AB148" s="231">
        <v>0</v>
      </c>
      <c r="AC148" s="231">
        <v>0</v>
      </c>
    </row>
    <row r="149" spans="1:29" s="6" customFormat="1" ht="36" outlineLevel="1" x14ac:dyDescent="0.25">
      <c r="A149" s="13" t="s">
        <v>991</v>
      </c>
      <c r="B149" s="33" t="s">
        <v>1092</v>
      </c>
      <c r="C149" s="308">
        <f t="shared" si="78"/>
        <v>0</v>
      </c>
      <c r="D149" s="229">
        <f t="shared" si="84"/>
        <v>32</v>
      </c>
      <c r="E149" s="255">
        <v>0</v>
      </c>
      <c r="F149" s="235">
        <f t="shared" si="79"/>
        <v>32</v>
      </c>
      <c r="G149" s="235">
        <v>0</v>
      </c>
      <c r="H149" s="227">
        <v>31</v>
      </c>
      <c r="I149" s="227">
        <v>1</v>
      </c>
      <c r="J149" s="308">
        <v>0</v>
      </c>
      <c r="K149" s="231">
        <v>0</v>
      </c>
      <c r="L149" s="231">
        <v>0</v>
      </c>
      <c r="M149" s="231">
        <v>0</v>
      </c>
      <c r="N149" s="231">
        <v>0</v>
      </c>
      <c r="O149" s="208">
        <v>0</v>
      </c>
      <c r="P149" s="231">
        <f t="shared" si="85"/>
        <v>0</v>
      </c>
      <c r="Q149" s="231">
        <v>0</v>
      </c>
      <c r="R149" s="231">
        <v>0</v>
      </c>
      <c r="S149" s="231">
        <v>0</v>
      </c>
      <c r="T149" s="208">
        <v>0</v>
      </c>
      <c r="U149" s="231">
        <v>0</v>
      </c>
      <c r="V149" s="231">
        <v>0</v>
      </c>
      <c r="W149" s="231">
        <v>0</v>
      </c>
      <c r="X149" s="231">
        <v>0</v>
      </c>
      <c r="Y149" s="208">
        <v>0</v>
      </c>
      <c r="Z149" s="231">
        <v>0</v>
      </c>
      <c r="AA149" s="231">
        <v>0</v>
      </c>
      <c r="AB149" s="231">
        <v>0</v>
      </c>
      <c r="AC149" s="231">
        <v>0</v>
      </c>
    </row>
    <row r="150" spans="1:29" s="6" customFormat="1" ht="60" outlineLevel="1" x14ac:dyDescent="0.25">
      <c r="A150" s="13" t="s">
        <v>993</v>
      </c>
      <c r="B150" s="33" t="s">
        <v>1093</v>
      </c>
      <c r="C150" s="308">
        <f t="shared" si="78"/>
        <v>0</v>
      </c>
      <c r="D150" s="229">
        <f t="shared" si="84"/>
        <v>632</v>
      </c>
      <c r="E150" s="255">
        <v>0</v>
      </c>
      <c r="F150" s="235">
        <f t="shared" si="79"/>
        <v>632</v>
      </c>
      <c r="G150" s="235">
        <v>0</v>
      </c>
      <c r="H150" s="227">
        <v>602</v>
      </c>
      <c r="I150" s="227">
        <v>30</v>
      </c>
      <c r="J150" s="308">
        <v>0</v>
      </c>
      <c r="K150" s="231">
        <v>0</v>
      </c>
      <c r="L150" s="231">
        <v>0</v>
      </c>
      <c r="M150" s="231">
        <v>0</v>
      </c>
      <c r="N150" s="231">
        <v>0</v>
      </c>
      <c r="O150" s="208">
        <v>0</v>
      </c>
      <c r="P150" s="231">
        <f t="shared" si="85"/>
        <v>0</v>
      </c>
      <c r="Q150" s="231">
        <v>0</v>
      </c>
      <c r="R150" s="231">
        <v>0</v>
      </c>
      <c r="S150" s="231">
        <v>0</v>
      </c>
      <c r="T150" s="208">
        <v>0</v>
      </c>
      <c r="U150" s="231">
        <v>0</v>
      </c>
      <c r="V150" s="231">
        <v>0</v>
      </c>
      <c r="W150" s="231">
        <v>0</v>
      </c>
      <c r="X150" s="231">
        <v>0</v>
      </c>
      <c r="Y150" s="208">
        <v>0</v>
      </c>
      <c r="Z150" s="231">
        <v>0</v>
      </c>
      <c r="AA150" s="231">
        <v>0</v>
      </c>
      <c r="AB150" s="231">
        <v>0</v>
      </c>
      <c r="AC150" s="231">
        <v>0</v>
      </c>
    </row>
    <row r="151" spans="1:29" s="6" customFormat="1" ht="36" outlineLevel="1" x14ac:dyDescent="0.25">
      <c r="A151" s="13" t="s">
        <v>994</v>
      </c>
      <c r="B151" s="33" t="s">
        <v>1094</v>
      </c>
      <c r="C151" s="308">
        <f t="shared" si="78"/>
        <v>0</v>
      </c>
      <c r="D151" s="229">
        <f t="shared" si="84"/>
        <v>140</v>
      </c>
      <c r="E151" s="255">
        <v>0</v>
      </c>
      <c r="F151" s="235">
        <f t="shared" si="79"/>
        <v>140</v>
      </c>
      <c r="G151" s="235">
        <v>0</v>
      </c>
      <c r="H151" s="227">
        <v>133</v>
      </c>
      <c r="I151" s="227">
        <v>7</v>
      </c>
      <c r="J151" s="308">
        <v>0</v>
      </c>
      <c r="K151" s="231">
        <v>0</v>
      </c>
      <c r="L151" s="231">
        <v>0</v>
      </c>
      <c r="M151" s="231">
        <v>0</v>
      </c>
      <c r="N151" s="231">
        <v>0</v>
      </c>
      <c r="O151" s="208">
        <v>0</v>
      </c>
      <c r="P151" s="231">
        <f t="shared" si="85"/>
        <v>0</v>
      </c>
      <c r="Q151" s="231">
        <v>0</v>
      </c>
      <c r="R151" s="231">
        <v>0</v>
      </c>
      <c r="S151" s="231">
        <v>0</v>
      </c>
      <c r="T151" s="208">
        <v>0</v>
      </c>
      <c r="U151" s="231">
        <v>0</v>
      </c>
      <c r="V151" s="231">
        <v>0</v>
      </c>
      <c r="W151" s="231">
        <v>0</v>
      </c>
      <c r="X151" s="231">
        <v>0</v>
      </c>
      <c r="Y151" s="208">
        <v>0</v>
      </c>
      <c r="Z151" s="231">
        <v>0</v>
      </c>
      <c r="AA151" s="231">
        <v>0</v>
      </c>
      <c r="AB151" s="231">
        <v>0</v>
      </c>
      <c r="AC151" s="231">
        <v>0</v>
      </c>
    </row>
    <row r="152" spans="1:29" s="6" customFormat="1" ht="48" outlineLevel="1" x14ac:dyDescent="0.25">
      <c r="A152" s="13" t="s">
        <v>1035</v>
      </c>
      <c r="B152" s="33" t="s">
        <v>1095</v>
      </c>
      <c r="C152" s="308">
        <f t="shared" si="78"/>
        <v>0</v>
      </c>
      <c r="D152" s="229">
        <f t="shared" si="84"/>
        <v>188</v>
      </c>
      <c r="E152" s="255">
        <v>0</v>
      </c>
      <c r="F152" s="235">
        <f t="shared" si="79"/>
        <v>188</v>
      </c>
      <c r="G152" s="235">
        <v>0</v>
      </c>
      <c r="H152" s="227">
        <v>179</v>
      </c>
      <c r="I152" s="227">
        <v>9</v>
      </c>
      <c r="J152" s="308">
        <v>0</v>
      </c>
      <c r="K152" s="231">
        <v>0</v>
      </c>
      <c r="L152" s="231">
        <v>0</v>
      </c>
      <c r="M152" s="231">
        <v>0</v>
      </c>
      <c r="N152" s="231">
        <v>0</v>
      </c>
      <c r="O152" s="208">
        <v>0</v>
      </c>
      <c r="P152" s="231">
        <f t="shared" si="85"/>
        <v>0</v>
      </c>
      <c r="Q152" s="231">
        <v>0</v>
      </c>
      <c r="R152" s="231">
        <v>0</v>
      </c>
      <c r="S152" s="231">
        <v>0</v>
      </c>
      <c r="T152" s="208">
        <v>0</v>
      </c>
      <c r="U152" s="231">
        <v>0</v>
      </c>
      <c r="V152" s="231">
        <v>0</v>
      </c>
      <c r="W152" s="231">
        <v>0</v>
      </c>
      <c r="X152" s="231">
        <v>0</v>
      </c>
      <c r="Y152" s="208">
        <v>0</v>
      </c>
      <c r="Z152" s="231">
        <v>0</v>
      </c>
      <c r="AA152" s="231">
        <v>0</v>
      </c>
      <c r="AB152" s="231">
        <v>0</v>
      </c>
      <c r="AC152" s="231">
        <v>0</v>
      </c>
    </row>
    <row r="153" spans="1:29" s="6" customFormat="1" ht="60" outlineLevel="1" x14ac:dyDescent="0.25">
      <c r="A153" s="13" t="s">
        <v>1037</v>
      </c>
      <c r="B153" s="33" t="s">
        <v>1096</v>
      </c>
      <c r="C153" s="308">
        <f t="shared" si="78"/>
        <v>0</v>
      </c>
      <c r="D153" s="229">
        <f t="shared" si="84"/>
        <v>414</v>
      </c>
      <c r="E153" s="255">
        <v>0</v>
      </c>
      <c r="F153" s="235">
        <f t="shared" si="79"/>
        <v>414</v>
      </c>
      <c r="G153" s="235">
        <v>0</v>
      </c>
      <c r="H153" s="227">
        <v>394</v>
      </c>
      <c r="I153" s="227">
        <v>20</v>
      </c>
      <c r="J153" s="308">
        <v>0</v>
      </c>
      <c r="K153" s="231">
        <v>0</v>
      </c>
      <c r="L153" s="231">
        <v>0</v>
      </c>
      <c r="M153" s="231">
        <v>0</v>
      </c>
      <c r="N153" s="231">
        <v>0</v>
      </c>
      <c r="O153" s="208">
        <v>0</v>
      </c>
      <c r="P153" s="231">
        <f t="shared" si="85"/>
        <v>0</v>
      </c>
      <c r="Q153" s="231">
        <v>0</v>
      </c>
      <c r="R153" s="231">
        <v>0</v>
      </c>
      <c r="S153" s="231">
        <v>0</v>
      </c>
      <c r="T153" s="208">
        <v>0</v>
      </c>
      <c r="U153" s="231">
        <v>0</v>
      </c>
      <c r="V153" s="231">
        <v>0</v>
      </c>
      <c r="W153" s="231">
        <v>0</v>
      </c>
      <c r="X153" s="231">
        <v>0</v>
      </c>
      <c r="Y153" s="208">
        <v>0</v>
      </c>
      <c r="Z153" s="231">
        <v>0</v>
      </c>
      <c r="AA153" s="231">
        <v>0</v>
      </c>
      <c r="AB153" s="231">
        <v>0</v>
      </c>
      <c r="AC153" s="231">
        <v>0</v>
      </c>
    </row>
    <row r="154" spans="1:29" s="6" customFormat="1" ht="60" outlineLevel="1" x14ac:dyDescent="0.25">
      <c r="A154" s="13" t="s">
        <v>1039</v>
      </c>
      <c r="B154" s="33" t="s">
        <v>1097</v>
      </c>
      <c r="C154" s="308">
        <f t="shared" si="78"/>
        <v>0</v>
      </c>
      <c r="D154" s="229">
        <f t="shared" si="84"/>
        <v>126</v>
      </c>
      <c r="E154" s="255">
        <v>0</v>
      </c>
      <c r="F154" s="235">
        <f t="shared" si="79"/>
        <v>126</v>
      </c>
      <c r="G154" s="235">
        <v>0</v>
      </c>
      <c r="H154" s="227">
        <v>120</v>
      </c>
      <c r="I154" s="227">
        <v>6</v>
      </c>
      <c r="J154" s="308">
        <v>0</v>
      </c>
      <c r="K154" s="231">
        <v>0</v>
      </c>
      <c r="L154" s="231">
        <v>0</v>
      </c>
      <c r="M154" s="231">
        <v>0</v>
      </c>
      <c r="N154" s="231">
        <v>0</v>
      </c>
      <c r="O154" s="208">
        <v>0</v>
      </c>
      <c r="P154" s="231">
        <f t="shared" si="85"/>
        <v>0</v>
      </c>
      <c r="Q154" s="231">
        <v>0</v>
      </c>
      <c r="R154" s="231">
        <v>0</v>
      </c>
      <c r="S154" s="231">
        <v>0</v>
      </c>
      <c r="T154" s="208">
        <v>0</v>
      </c>
      <c r="U154" s="231">
        <v>0</v>
      </c>
      <c r="V154" s="231">
        <v>0</v>
      </c>
      <c r="W154" s="231">
        <v>0</v>
      </c>
      <c r="X154" s="231">
        <v>0</v>
      </c>
      <c r="Y154" s="208">
        <v>0</v>
      </c>
      <c r="Z154" s="231">
        <v>0</v>
      </c>
      <c r="AA154" s="231">
        <v>0</v>
      </c>
      <c r="AB154" s="231">
        <v>0</v>
      </c>
      <c r="AC154" s="231">
        <v>0</v>
      </c>
    </row>
    <row r="155" spans="1:29" s="6" customFormat="1" ht="60" outlineLevel="1" x14ac:dyDescent="0.25">
      <c r="A155" s="13" t="s">
        <v>1154</v>
      </c>
      <c r="B155" s="33" t="s">
        <v>1098</v>
      </c>
      <c r="C155" s="308">
        <f t="shared" si="78"/>
        <v>0</v>
      </c>
      <c r="D155" s="229">
        <f t="shared" si="84"/>
        <v>231</v>
      </c>
      <c r="E155" s="255">
        <v>0</v>
      </c>
      <c r="F155" s="235">
        <f t="shared" si="79"/>
        <v>231</v>
      </c>
      <c r="G155" s="235">
        <v>0</v>
      </c>
      <c r="H155" s="227">
        <v>220</v>
      </c>
      <c r="I155" s="227">
        <v>11</v>
      </c>
      <c r="J155" s="308">
        <v>0</v>
      </c>
      <c r="K155" s="231">
        <v>0</v>
      </c>
      <c r="L155" s="231">
        <v>0</v>
      </c>
      <c r="M155" s="231">
        <v>0</v>
      </c>
      <c r="N155" s="231">
        <v>0</v>
      </c>
      <c r="O155" s="208">
        <v>0</v>
      </c>
      <c r="P155" s="231">
        <f t="shared" si="85"/>
        <v>0</v>
      </c>
      <c r="Q155" s="231">
        <v>0</v>
      </c>
      <c r="R155" s="231">
        <v>0</v>
      </c>
      <c r="S155" s="231">
        <v>0</v>
      </c>
      <c r="T155" s="208">
        <v>0</v>
      </c>
      <c r="U155" s="231">
        <v>0</v>
      </c>
      <c r="V155" s="231">
        <v>0</v>
      </c>
      <c r="W155" s="231">
        <v>0</v>
      </c>
      <c r="X155" s="231">
        <v>0</v>
      </c>
      <c r="Y155" s="208">
        <v>0</v>
      </c>
      <c r="Z155" s="231">
        <v>0</v>
      </c>
      <c r="AA155" s="231">
        <v>0</v>
      </c>
      <c r="AB155" s="231">
        <v>0</v>
      </c>
      <c r="AC155" s="231">
        <v>0</v>
      </c>
    </row>
    <row r="156" spans="1:29" s="6" customFormat="1" ht="60" outlineLevel="1" x14ac:dyDescent="0.25">
      <c r="A156" s="13" t="s">
        <v>1155</v>
      </c>
      <c r="B156" s="33" t="s">
        <v>1099</v>
      </c>
      <c r="C156" s="308">
        <f t="shared" si="78"/>
        <v>0</v>
      </c>
      <c r="D156" s="229">
        <f t="shared" si="84"/>
        <v>534</v>
      </c>
      <c r="E156" s="255">
        <v>0</v>
      </c>
      <c r="F156" s="235">
        <f t="shared" si="79"/>
        <v>534</v>
      </c>
      <c r="G156" s="235">
        <v>0</v>
      </c>
      <c r="H156" s="227">
        <v>508</v>
      </c>
      <c r="I156" s="227">
        <v>26</v>
      </c>
      <c r="J156" s="308">
        <v>0</v>
      </c>
      <c r="K156" s="231">
        <v>0</v>
      </c>
      <c r="L156" s="231">
        <v>0</v>
      </c>
      <c r="M156" s="231">
        <v>0</v>
      </c>
      <c r="N156" s="231">
        <v>0</v>
      </c>
      <c r="O156" s="208">
        <v>0</v>
      </c>
      <c r="P156" s="231">
        <f t="shared" si="85"/>
        <v>0</v>
      </c>
      <c r="Q156" s="231">
        <v>0</v>
      </c>
      <c r="R156" s="231">
        <v>0</v>
      </c>
      <c r="S156" s="231">
        <v>0</v>
      </c>
      <c r="T156" s="208">
        <v>0</v>
      </c>
      <c r="U156" s="231">
        <v>0</v>
      </c>
      <c r="V156" s="231">
        <v>0</v>
      </c>
      <c r="W156" s="231">
        <v>0</v>
      </c>
      <c r="X156" s="231">
        <v>0</v>
      </c>
      <c r="Y156" s="208">
        <v>0</v>
      </c>
      <c r="Z156" s="231">
        <v>0</v>
      </c>
      <c r="AA156" s="231">
        <v>0</v>
      </c>
      <c r="AB156" s="231">
        <v>0</v>
      </c>
      <c r="AC156" s="231">
        <v>0</v>
      </c>
    </row>
    <row r="157" spans="1:29" s="6" customFormat="1" ht="60" outlineLevel="1" x14ac:dyDescent="0.25">
      <c r="A157" s="13" t="s">
        <v>1156</v>
      </c>
      <c r="B157" s="33" t="s">
        <v>1100</v>
      </c>
      <c r="C157" s="308">
        <f t="shared" si="78"/>
        <v>0</v>
      </c>
      <c r="D157" s="229">
        <f t="shared" si="84"/>
        <v>1058</v>
      </c>
      <c r="E157" s="255">
        <v>0</v>
      </c>
      <c r="F157" s="235">
        <f t="shared" si="79"/>
        <v>1058</v>
      </c>
      <c r="G157" s="235">
        <v>0</v>
      </c>
      <c r="H157" s="227">
        <v>1007</v>
      </c>
      <c r="I157" s="227">
        <v>51</v>
      </c>
      <c r="J157" s="308">
        <v>0</v>
      </c>
      <c r="K157" s="231">
        <v>0</v>
      </c>
      <c r="L157" s="231">
        <v>0</v>
      </c>
      <c r="M157" s="231">
        <v>0</v>
      </c>
      <c r="N157" s="231">
        <v>0</v>
      </c>
      <c r="O157" s="208">
        <v>0</v>
      </c>
      <c r="P157" s="231">
        <f t="shared" si="85"/>
        <v>0</v>
      </c>
      <c r="Q157" s="231">
        <v>0</v>
      </c>
      <c r="R157" s="231">
        <v>0</v>
      </c>
      <c r="S157" s="231">
        <v>0</v>
      </c>
      <c r="T157" s="208">
        <v>0</v>
      </c>
      <c r="U157" s="231">
        <v>0</v>
      </c>
      <c r="V157" s="231">
        <v>0</v>
      </c>
      <c r="W157" s="231">
        <v>0</v>
      </c>
      <c r="X157" s="231">
        <v>0</v>
      </c>
      <c r="Y157" s="208">
        <v>0</v>
      </c>
      <c r="Z157" s="231">
        <v>0</v>
      </c>
      <c r="AA157" s="231">
        <v>0</v>
      </c>
      <c r="AB157" s="231">
        <v>0</v>
      </c>
      <c r="AC157" s="231">
        <v>0</v>
      </c>
    </row>
    <row r="158" spans="1:29" s="6" customFormat="1" ht="60" outlineLevel="1" x14ac:dyDescent="0.25">
      <c r="A158" s="13" t="s">
        <v>1157</v>
      </c>
      <c r="B158" s="33" t="s">
        <v>1101</v>
      </c>
      <c r="C158" s="308">
        <f t="shared" si="78"/>
        <v>0</v>
      </c>
      <c r="D158" s="229">
        <f t="shared" si="84"/>
        <v>384</v>
      </c>
      <c r="E158" s="255">
        <v>0</v>
      </c>
      <c r="F158" s="235">
        <f t="shared" si="79"/>
        <v>384</v>
      </c>
      <c r="G158" s="235">
        <v>0</v>
      </c>
      <c r="H158" s="227">
        <v>366</v>
      </c>
      <c r="I158" s="227">
        <v>18</v>
      </c>
      <c r="J158" s="308">
        <v>0</v>
      </c>
      <c r="K158" s="231">
        <v>0</v>
      </c>
      <c r="L158" s="231">
        <v>0</v>
      </c>
      <c r="M158" s="231">
        <v>0</v>
      </c>
      <c r="N158" s="231">
        <v>0</v>
      </c>
      <c r="O158" s="208">
        <v>0</v>
      </c>
      <c r="P158" s="231">
        <f t="shared" si="85"/>
        <v>0</v>
      </c>
      <c r="Q158" s="231">
        <v>0</v>
      </c>
      <c r="R158" s="231">
        <v>0</v>
      </c>
      <c r="S158" s="231">
        <v>0</v>
      </c>
      <c r="T158" s="208">
        <v>0</v>
      </c>
      <c r="U158" s="231">
        <v>0</v>
      </c>
      <c r="V158" s="231">
        <v>0</v>
      </c>
      <c r="W158" s="231">
        <v>0</v>
      </c>
      <c r="X158" s="231">
        <v>0</v>
      </c>
      <c r="Y158" s="208">
        <v>0</v>
      </c>
      <c r="Z158" s="231">
        <v>0</v>
      </c>
      <c r="AA158" s="231">
        <v>0</v>
      </c>
      <c r="AB158" s="231">
        <v>0</v>
      </c>
      <c r="AC158" s="231">
        <v>0</v>
      </c>
    </row>
    <row r="159" spans="1:29" s="6" customFormat="1" ht="60" outlineLevel="1" x14ac:dyDescent="0.25">
      <c r="A159" s="13" t="s">
        <v>1158</v>
      </c>
      <c r="B159" s="33" t="s">
        <v>1102</v>
      </c>
      <c r="C159" s="308">
        <f t="shared" si="78"/>
        <v>0</v>
      </c>
      <c r="D159" s="229">
        <f t="shared" si="84"/>
        <v>94</v>
      </c>
      <c r="E159" s="255">
        <v>0</v>
      </c>
      <c r="F159" s="235">
        <f t="shared" si="79"/>
        <v>94</v>
      </c>
      <c r="G159" s="235">
        <v>0</v>
      </c>
      <c r="H159" s="227">
        <v>90</v>
      </c>
      <c r="I159" s="227">
        <v>4</v>
      </c>
      <c r="J159" s="308">
        <v>0</v>
      </c>
      <c r="K159" s="231">
        <v>0</v>
      </c>
      <c r="L159" s="231">
        <v>0</v>
      </c>
      <c r="M159" s="231">
        <v>0</v>
      </c>
      <c r="N159" s="231">
        <v>0</v>
      </c>
      <c r="O159" s="208">
        <v>0</v>
      </c>
      <c r="P159" s="231">
        <f t="shared" si="85"/>
        <v>0</v>
      </c>
      <c r="Q159" s="231">
        <v>0</v>
      </c>
      <c r="R159" s="231">
        <v>0</v>
      </c>
      <c r="S159" s="231">
        <v>0</v>
      </c>
      <c r="T159" s="208">
        <v>0</v>
      </c>
      <c r="U159" s="231">
        <v>0</v>
      </c>
      <c r="V159" s="231">
        <v>0</v>
      </c>
      <c r="W159" s="231">
        <v>0</v>
      </c>
      <c r="X159" s="231">
        <v>0</v>
      </c>
      <c r="Y159" s="208">
        <v>0</v>
      </c>
      <c r="Z159" s="231">
        <v>0</v>
      </c>
      <c r="AA159" s="231">
        <v>0</v>
      </c>
      <c r="AB159" s="231">
        <v>0</v>
      </c>
      <c r="AC159" s="231">
        <v>0</v>
      </c>
    </row>
    <row r="160" spans="1:29" s="6" customFormat="1" ht="60" outlineLevel="1" x14ac:dyDescent="0.25">
      <c r="A160" s="13" t="s">
        <v>1159</v>
      </c>
      <c r="B160" s="33" t="s">
        <v>1103</v>
      </c>
      <c r="C160" s="308">
        <f t="shared" si="78"/>
        <v>0</v>
      </c>
      <c r="D160" s="229">
        <f t="shared" si="84"/>
        <v>41</v>
      </c>
      <c r="E160" s="255">
        <v>0</v>
      </c>
      <c r="F160" s="235">
        <f t="shared" si="79"/>
        <v>41</v>
      </c>
      <c r="G160" s="235">
        <v>0</v>
      </c>
      <c r="H160" s="227">
        <v>39</v>
      </c>
      <c r="I160" s="227">
        <v>2</v>
      </c>
      <c r="J160" s="308">
        <v>0</v>
      </c>
      <c r="K160" s="231">
        <v>0</v>
      </c>
      <c r="L160" s="231">
        <v>0</v>
      </c>
      <c r="M160" s="231">
        <v>0</v>
      </c>
      <c r="N160" s="231">
        <v>0</v>
      </c>
      <c r="O160" s="208">
        <v>0</v>
      </c>
      <c r="P160" s="231">
        <f t="shared" si="85"/>
        <v>0</v>
      </c>
      <c r="Q160" s="231">
        <v>0</v>
      </c>
      <c r="R160" s="231">
        <v>0</v>
      </c>
      <c r="S160" s="231">
        <v>0</v>
      </c>
      <c r="T160" s="208">
        <v>0</v>
      </c>
      <c r="U160" s="231">
        <v>0</v>
      </c>
      <c r="V160" s="231">
        <v>0</v>
      </c>
      <c r="W160" s="231">
        <v>0</v>
      </c>
      <c r="X160" s="231">
        <v>0</v>
      </c>
      <c r="Y160" s="208">
        <v>0</v>
      </c>
      <c r="Z160" s="231">
        <v>0</v>
      </c>
      <c r="AA160" s="231">
        <v>0</v>
      </c>
      <c r="AB160" s="231">
        <v>0</v>
      </c>
      <c r="AC160" s="231">
        <v>0</v>
      </c>
    </row>
    <row r="161" spans="1:29" s="6" customFormat="1" ht="48" outlineLevel="1" x14ac:dyDescent="0.25">
      <c r="A161" s="13" t="s">
        <v>1160</v>
      </c>
      <c r="B161" s="33" t="s">
        <v>1104</v>
      </c>
      <c r="C161" s="308">
        <f t="shared" si="78"/>
        <v>0</v>
      </c>
      <c r="D161" s="229">
        <f t="shared" si="84"/>
        <v>95</v>
      </c>
      <c r="E161" s="255">
        <v>0</v>
      </c>
      <c r="F161" s="235">
        <f t="shared" si="79"/>
        <v>95</v>
      </c>
      <c r="G161" s="235">
        <v>0</v>
      </c>
      <c r="H161" s="227">
        <v>90</v>
      </c>
      <c r="I161" s="227">
        <v>5</v>
      </c>
      <c r="J161" s="308">
        <v>0</v>
      </c>
      <c r="K161" s="231">
        <v>0</v>
      </c>
      <c r="L161" s="231">
        <v>0</v>
      </c>
      <c r="M161" s="231">
        <v>0</v>
      </c>
      <c r="N161" s="231">
        <v>0</v>
      </c>
      <c r="O161" s="208">
        <v>0</v>
      </c>
      <c r="P161" s="231">
        <f t="shared" si="85"/>
        <v>0</v>
      </c>
      <c r="Q161" s="231">
        <v>0</v>
      </c>
      <c r="R161" s="231">
        <v>0</v>
      </c>
      <c r="S161" s="231">
        <v>0</v>
      </c>
      <c r="T161" s="208">
        <v>0</v>
      </c>
      <c r="U161" s="231">
        <v>0</v>
      </c>
      <c r="V161" s="231">
        <v>0</v>
      </c>
      <c r="W161" s="231">
        <v>0</v>
      </c>
      <c r="X161" s="231">
        <v>0</v>
      </c>
      <c r="Y161" s="208">
        <v>0</v>
      </c>
      <c r="Z161" s="231">
        <v>0</v>
      </c>
      <c r="AA161" s="231">
        <v>0</v>
      </c>
      <c r="AB161" s="231">
        <v>0</v>
      </c>
      <c r="AC161" s="231">
        <v>0</v>
      </c>
    </row>
    <row r="162" spans="1:29" s="6" customFormat="1" ht="60" outlineLevel="1" x14ac:dyDescent="0.25">
      <c r="A162" s="13" t="s">
        <v>1161</v>
      </c>
      <c r="B162" s="33" t="s">
        <v>1105</v>
      </c>
      <c r="C162" s="308">
        <f t="shared" si="78"/>
        <v>0</v>
      </c>
      <c r="D162" s="229">
        <f t="shared" si="84"/>
        <v>1757</v>
      </c>
      <c r="E162" s="255">
        <v>0</v>
      </c>
      <c r="F162" s="235">
        <f t="shared" si="79"/>
        <v>1757</v>
      </c>
      <c r="G162" s="235">
        <v>0</v>
      </c>
      <c r="H162" s="227">
        <v>1673</v>
      </c>
      <c r="I162" s="227">
        <v>84</v>
      </c>
      <c r="J162" s="308">
        <v>0</v>
      </c>
      <c r="K162" s="231">
        <v>0</v>
      </c>
      <c r="L162" s="231">
        <v>0</v>
      </c>
      <c r="M162" s="231">
        <v>0</v>
      </c>
      <c r="N162" s="231">
        <v>0</v>
      </c>
      <c r="O162" s="208">
        <v>0</v>
      </c>
      <c r="P162" s="231">
        <f t="shared" si="85"/>
        <v>0</v>
      </c>
      <c r="Q162" s="231">
        <v>0</v>
      </c>
      <c r="R162" s="231">
        <v>0</v>
      </c>
      <c r="S162" s="231">
        <v>0</v>
      </c>
      <c r="T162" s="208">
        <v>0</v>
      </c>
      <c r="U162" s="231">
        <v>0</v>
      </c>
      <c r="V162" s="231">
        <v>0</v>
      </c>
      <c r="W162" s="231">
        <v>0</v>
      </c>
      <c r="X162" s="231">
        <v>0</v>
      </c>
      <c r="Y162" s="208">
        <v>0</v>
      </c>
      <c r="Z162" s="231">
        <v>0</v>
      </c>
      <c r="AA162" s="231">
        <v>0</v>
      </c>
      <c r="AB162" s="231">
        <v>0</v>
      </c>
      <c r="AC162" s="231">
        <v>0</v>
      </c>
    </row>
    <row r="163" spans="1:29" s="6" customFormat="1" ht="60" outlineLevel="1" x14ac:dyDescent="0.25">
      <c r="A163" s="13" t="s">
        <v>1162</v>
      </c>
      <c r="B163" s="33" t="s">
        <v>1106</v>
      </c>
      <c r="C163" s="308">
        <f t="shared" si="78"/>
        <v>0</v>
      </c>
      <c r="D163" s="229">
        <f t="shared" si="84"/>
        <v>328</v>
      </c>
      <c r="E163" s="255">
        <v>0</v>
      </c>
      <c r="F163" s="235">
        <f t="shared" si="79"/>
        <v>328</v>
      </c>
      <c r="G163" s="235">
        <v>0</v>
      </c>
      <c r="H163" s="227">
        <v>312</v>
      </c>
      <c r="I163" s="227">
        <v>16</v>
      </c>
      <c r="J163" s="308">
        <v>0</v>
      </c>
      <c r="K163" s="231">
        <v>0</v>
      </c>
      <c r="L163" s="231">
        <v>0</v>
      </c>
      <c r="M163" s="231">
        <v>0</v>
      </c>
      <c r="N163" s="231">
        <v>0</v>
      </c>
      <c r="O163" s="208">
        <v>0</v>
      </c>
      <c r="P163" s="231">
        <f t="shared" si="85"/>
        <v>0</v>
      </c>
      <c r="Q163" s="231">
        <v>0</v>
      </c>
      <c r="R163" s="231">
        <v>0</v>
      </c>
      <c r="S163" s="231">
        <v>0</v>
      </c>
      <c r="T163" s="208">
        <v>0</v>
      </c>
      <c r="U163" s="231">
        <v>0</v>
      </c>
      <c r="V163" s="231">
        <v>0</v>
      </c>
      <c r="W163" s="231">
        <v>0</v>
      </c>
      <c r="X163" s="231">
        <v>0</v>
      </c>
      <c r="Y163" s="208">
        <v>0</v>
      </c>
      <c r="Z163" s="231">
        <v>0</v>
      </c>
      <c r="AA163" s="231">
        <v>0</v>
      </c>
      <c r="AB163" s="231">
        <v>0</v>
      </c>
      <c r="AC163" s="231">
        <v>0</v>
      </c>
    </row>
    <row r="164" spans="1:29" s="6" customFormat="1" ht="36" outlineLevel="1" x14ac:dyDescent="0.25">
      <c r="A164" s="13" t="s">
        <v>1163</v>
      </c>
      <c r="B164" s="33" t="s">
        <v>1107</v>
      </c>
      <c r="C164" s="308">
        <f t="shared" si="78"/>
        <v>0</v>
      </c>
      <c r="D164" s="229">
        <f t="shared" si="84"/>
        <v>293</v>
      </c>
      <c r="E164" s="255">
        <v>0</v>
      </c>
      <c r="F164" s="235">
        <f t="shared" si="79"/>
        <v>293</v>
      </c>
      <c r="G164" s="235">
        <v>0</v>
      </c>
      <c r="H164" s="227">
        <v>279</v>
      </c>
      <c r="I164" s="227">
        <v>14</v>
      </c>
      <c r="J164" s="308">
        <v>0</v>
      </c>
      <c r="K164" s="231">
        <v>0</v>
      </c>
      <c r="L164" s="231">
        <v>0</v>
      </c>
      <c r="M164" s="231">
        <v>0</v>
      </c>
      <c r="N164" s="231">
        <v>0</v>
      </c>
      <c r="O164" s="208">
        <v>0</v>
      </c>
      <c r="P164" s="231">
        <f t="shared" si="85"/>
        <v>0</v>
      </c>
      <c r="Q164" s="231">
        <v>0</v>
      </c>
      <c r="R164" s="231">
        <v>0</v>
      </c>
      <c r="S164" s="231">
        <v>0</v>
      </c>
      <c r="T164" s="208">
        <v>0</v>
      </c>
      <c r="U164" s="231">
        <v>0</v>
      </c>
      <c r="V164" s="231">
        <v>0</v>
      </c>
      <c r="W164" s="231">
        <v>0</v>
      </c>
      <c r="X164" s="231">
        <v>0</v>
      </c>
      <c r="Y164" s="208">
        <v>0</v>
      </c>
      <c r="Z164" s="231">
        <v>0</v>
      </c>
      <c r="AA164" s="231">
        <v>0</v>
      </c>
      <c r="AB164" s="231">
        <v>0</v>
      </c>
      <c r="AC164" s="231">
        <v>0</v>
      </c>
    </row>
    <row r="165" spans="1:29" s="6" customFormat="1" ht="36" outlineLevel="1" x14ac:dyDescent="0.25">
      <c r="A165" s="13" t="s">
        <v>1164</v>
      </c>
      <c r="B165" s="33" t="s">
        <v>1108</v>
      </c>
      <c r="C165" s="308">
        <f t="shared" si="78"/>
        <v>0</v>
      </c>
      <c r="D165" s="229">
        <f t="shared" si="84"/>
        <v>1152</v>
      </c>
      <c r="E165" s="255">
        <v>0</v>
      </c>
      <c r="F165" s="235">
        <f t="shared" si="79"/>
        <v>1152</v>
      </c>
      <c r="G165" s="235">
        <v>0</v>
      </c>
      <c r="H165" s="227">
        <v>1097</v>
      </c>
      <c r="I165" s="227">
        <v>55</v>
      </c>
      <c r="J165" s="308">
        <v>0</v>
      </c>
      <c r="K165" s="231">
        <v>0</v>
      </c>
      <c r="L165" s="231">
        <v>0</v>
      </c>
      <c r="M165" s="231">
        <v>0</v>
      </c>
      <c r="N165" s="231">
        <v>0</v>
      </c>
      <c r="O165" s="208">
        <v>0</v>
      </c>
      <c r="P165" s="231">
        <f t="shared" si="85"/>
        <v>0</v>
      </c>
      <c r="Q165" s="231">
        <v>0</v>
      </c>
      <c r="R165" s="231">
        <v>0</v>
      </c>
      <c r="S165" s="231">
        <v>0</v>
      </c>
      <c r="T165" s="208">
        <v>0</v>
      </c>
      <c r="U165" s="231">
        <v>0</v>
      </c>
      <c r="V165" s="231">
        <v>0</v>
      </c>
      <c r="W165" s="231">
        <v>0</v>
      </c>
      <c r="X165" s="231">
        <v>0</v>
      </c>
      <c r="Y165" s="208">
        <v>0</v>
      </c>
      <c r="Z165" s="231">
        <v>0</v>
      </c>
      <c r="AA165" s="231">
        <v>0</v>
      </c>
      <c r="AB165" s="231">
        <v>0</v>
      </c>
      <c r="AC165" s="231">
        <v>0</v>
      </c>
    </row>
    <row r="166" spans="1:29" s="6" customFormat="1" ht="36" outlineLevel="1" x14ac:dyDescent="0.25">
      <c r="A166" s="13" t="s">
        <v>1165</v>
      </c>
      <c r="B166" s="33" t="s">
        <v>1109</v>
      </c>
      <c r="C166" s="308">
        <f t="shared" si="78"/>
        <v>0</v>
      </c>
      <c r="D166" s="229">
        <f t="shared" si="84"/>
        <v>288</v>
      </c>
      <c r="E166" s="255">
        <v>0</v>
      </c>
      <c r="F166" s="235">
        <f t="shared" si="79"/>
        <v>288</v>
      </c>
      <c r="G166" s="235">
        <v>0</v>
      </c>
      <c r="H166" s="227">
        <v>274</v>
      </c>
      <c r="I166" s="227">
        <v>14</v>
      </c>
      <c r="J166" s="308">
        <v>0</v>
      </c>
      <c r="K166" s="231">
        <v>0</v>
      </c>
      <c r="L166" s="231">
        <v>0</v>
      </c>
      <c r="M166" s="231">
        <v>0</v>
      </c>
      <c r="N166" s="231">
        <v>0</v>
      </c>
      <c r="O166" s="208">
        <v>0</v>
      </c>
      <c r="P166" s="231">
        <f t="shared" si="85"/>
        <v>0</v>
      </c>
      <c r="Q166" s="231">
        <v>0</v>
      </c>
      <c r="R166" s="231">
        <v>0</v>
      </c>
      <c r="S166" s="231">
        <v>0</v>
      </c>
      <c r="T166" s="208">
        <v>0</v>
      </c>
      <c r="U166" s="231">
        <v>0</v>
      </c>
      <c r="V166" s="231">
        <v>0</v>
      </c>
      <c r="W166" s="231">
        <v>0</v>
      </c>
      <c r="X166" s="231">
        <v>0</v>
      </c>
      <c r="Y166" s="208">
        <v>0</v>
      </c>
      <c r="Z166" s="231">
        <v>0</v>
      </c>
      <c r="AA166" s="231">
        <v>0</v>
      </c>
      <c r="AB166" s="231">
        <v>0</v>
      </c>
      <c r="AC166" s="231">
        <v>0</v>
      </c>
    </row>
    <row r="167" spans="1:29" s="6" customFormat="1" ht="48" outlineLevel="1" x14ac:dyDescent="0.25">
      <c r="A167" s="13" t="s">
        <v>1166</v>
      </c>
      <c r="B167" s="33" t="s">
        <v>1110</v>
      </c>
      <c r="C167" s="308">
        <f t="shared" si="78"/>
        <v>0</v>
      </c>
      <c r="D167" s="229">
        <f t="shared" si="84"/>
        <v>240</v>
      </c>
      <c r="E167" s="255">
        <v>0</v>
      </c>
      <c r="F167" s="235">
        <f t="shared" si="79"/>
        <v>240</v>
      </c>
      <c r="G167" s="235">
        <v>0</v>
      </c>
      <c r="H167" s="227">
        <v>229</v>
      </c>
      <c r="I167" s="227">
        <v>11</v>
      </c>
      <c r="J167" s="308">
        <v>0</v>
      </c>
      <c r="K167" s="231">
        <v>0</v>
      </c>
      <c r="L167" s="231">
        <v>0</v>
      </c>
      <c r="M167" s="231">
        <v>0</v>
      </c>
      <c r="N167" s="231">
        <v>0</v>
      </c>
      <c r="O167" s="208">
        <v>0</v>
      </c>
      <c r="P167" s="231">
        <f t="shared" si="85"/>
        <v>0</v>
      </c>
      <c r="Q167" s="231">
        <v>0</v>
      </c>
      <c r="R167" s="231">
        <v>0</v>
      </c>
      <c r="S167" s="231">
        <v>0</v>
      </c>
      <c r="T167" s="208">
        <v>0</v>
      </c>
      <c r="U167" s="231">
        <v>0</v>
      </c>
      <c r="V167" s="231">
        <v>0</v>
      </c>
      <c r="W167" s="231">
        <v>0</v>
      </c>
      <c r="X167" s="231">
        <v>0</v>
      </c>
      <c r="Y167" s="208">
        <v>0</v>
      </c>
      <c r="Z167" s="231">
        <v>0</v>
      </c>
      <c r="AA167" s="231">
        <v>0</v>
      </c>
      <c r="AB167" s="231">
        <v>0</v>
      </c>
      <c r="AC167" s="231">
        <v>0</v>
      </c>
    </row>
    <row r="168" spans="1:29" s="6" customFormat="1" ht="60" outlineLevel="1" x14ac:dyDescent="0.25">
      <c r="A168" s="13" t="s">
        <v>1167</v>
      </c>
      <c r="B168" s="33" t="s">
        <v>1111</v>
      </c>
      <c r="C168" s="308">
        <f t="shared" si="78"/>
        <v>0</v>
      </c>
      <c r="D168" s="229">
        <f t="shared" si="84"/>
        <v>1846</v>
      </c>
      <c r="E168" s="255">
        <v>0</v>
      </c>
      <c r="F168" s="235">
        <f t="shared" si="79"/>
        <v>1846</v>
      </c>
      <c r="G168" s="235">
        <v>0</v>
      </c>
      <c r="H168" s="227">
        <v>1757</v>
      </c>
      <c r="I168" s="227">
        <v>89</v>
      </c>
      <c r="J168" s="308">
        <v>0</v>
      </c>
      <c r="K168" s="231">
        <v>0</v>
      </c>
      <c r="L168" s="231">
        <v>0</v>
      </c>
      <c r="M168" s="231">
        <v>0</v>
      </c>
      <c r="N168" s="231">
        <v>0</v>
      </c>
      <c r="O168" s="208">
        <v>0</v>
      </c>
      <c r="P168" s="231">
        <f t="shared" si="85"/>
        <v>0</v>
      </c>
      <c r="Q168" s="231">
        <v>0</v>
      </c>
      <c r="R168" s="231">
        <v>0</v>
      </c>
      <c r="S168" s="231">
        <v>0</v>
      </c>
      <c r="T168" s="208">
        <v>0</v>
      </c>
      <c r="U168" s="231">
        <v>0</v>
      </c>
      <c r="V168" s="231">
        <v>0</v>
      </c>
      <c r="W168" s="231">
        <v>0</v>
      </c>
      <c r="X168" s="231">
        <v>0</v>
      </c>
      <c r="Y168" s="208">
        <v>0</v>
      </c>
      <c r="Z168" s="231">
        <v>0</v>
      </c>
      <c r="AA168" s="231">
        <v>0</v>
      </c>
      <c r="AB168" s="231">
        <v>0</v>
      </c>
      <c r="AC168" s="231">
        <v>0</v>
      </c>
    </row>
    <row r="169" spans="1:29" s="6" customFormat="1" ht="48" outlineLevel="1" x14ac:dyDescent="0.25">
      <c r="A169" s="13" t="s">
        <v>1168</v>
      </c>
      <c r="B169" s="33" t="s">
        <v>1112</v>
      </c>
      <c r="C169" s="308">
        <f t="shared" si="78"/>
        <v>0</v>
      </c>
      <c r="D169" s="229">
        <f t="shared" si="84"/>
        <v>1668</v>
      </c>
      <c r="E169" s="255">
        <v>0</v>
      </c>
      <c r="F169" s="235">
        <f t="shared" si="79"/>
        <v>1668</v>
      </c>
      <c r="G169" s="235">
        <v>0</v>
      </c>
      <c r="H169" s="227">
        <v>1588</v>
      </c>
      <c r="I169" s="227">
        <v>80</v>
      </c>
      <c r="J169" s="308">
        <v>0</v>
      </c>
      <c r="K169" s="231">
        <v>0</v>
      </c>
      <c r="L169" s="231">
        <v>0</v>
      </c>
      <c r="M169" s="231">
        <v>0</v>
      </c>
      <c r="N169" s="231">
        <v>0</v>
      </c>
      <c r="O169" s="208">
        <v>0</v>
      </c>
      <c r="P169" s="231">
        <f t="shared" si="85"/>
        <v>0</v>
      </c>
      <c r="Q169" s="231">
        <v>0</v>
      </c>
      <c r="R169" s="231">
        <v>0</v>
      </c>
      <c r="S169" s="231">
        <v>0</v>
      </c>
      <c r="T169" s="208">
        <v>0</v>
      </c>
      <c r="U169" s="231">
        <v>0</v>
      </c>
      <c r="V169" s="231">
        <v>0</v>
      </c>
      <c r="W169" s="231">
        <v>0</v>
      </c>
      <c r="X169" s="231">
        <v>0</v>
      </c>
      <c r="Y169" s="208">
        <v>0</v>
      </c>
      <c r="Z169" s="231">
        <v>0</v>
      </c>
      <c r="AA169" s="231">
        <v>0</v>
      </c>
      <c r="AB169" s="231">
        <v>0</v>
      </c>
      <c r="AC169" s="231">
        <v>0</v>
      </c>
    </row>
    <row r="170" spans="1:29" s="6" customFormat="1" ht="48" outlineLevel="1" x14ac:dyDescent="0.25">
      <c r="A170" s="13" t="s">
        <v>1169</v>
      </c>
      <c r="B170" s="33" t="s">
        <v>1113</v>
      </c>
      <c r="C170" s="308">
        <f t="shared" si="78"/>
        <v>0</v>
      </c>
      <c r="D170" s="229">
        <f t="shared" si="84"/>
        <v>3481</v>
      </c>
      <c r="E170" s="255">
        <v>0</v>
      </c>
      <c r="F170" s="235">
        <f t="shared" si="79"/>
        <v>3481</v>
      </c>
      <c r="G170" s="235">
        <v>0</v>
      </c>
      <c r="H170" s="227">
        <v>3314</v>
      </c>
      <c r="I170" s="227">
        <v>167</v>
      </c>
      <c r="J170" s="308">
        <v>0</v>
      </c>
      <c r="K170" s="231">
        <v>0</v>
      </c>
      <c r="L170" s="231">
        <v>0</v>
      </c>
      <c r="M170" s="231">
        <v>0</v>
      </c>
      <c r="N170" s="231">
        <v>0</v>
      </c>
      <c r="O170" s="208">
        <v>0</v>
      </c>
      <c r="P170" s="231">
        <f t="shared" si="85"/>
        <v>0</v>
      </c>
      <c r="Q170" s="231">
        <v>0</v>
      </c>
      <c r="R170" s="231">
        <v>0</v>
      </c>
      <c r="S170" s="231">
        <v>0</v>
      </c>
      <c r="T170" s="208">
        <v>0</v>
      </c>
      <c r="U170" s="231">
        <v>0</v>
      </c>
      <c r="V170" s="231">
        <v>0</v>
      </c>
      <c r="W170" s="231">
        <v>0</v>
      </c>
      <c r="X170" s="231">
        <v>0</v>
      </c>
      <c r="Y170" s="208">
        <v>0</v>
      </c>
      <c r="Z170" s="231">
        <v>0</v>
      </c>
      <c r="AA170" s="231">
        <v>0</v>
      </c>
      <c r="AB170" s="231">
        <v>0</v>
      </c>
      <c r="AC170" s="231">
        <v>0</v>
      </c>
    </row>
    <row r="171" spans="1:29" s="6" customFormat="1" ht="24" outlineLevel="1" x14ac:dyDescent="0.25">
      <c r="A171" s="13" t="s">
        <v>1170</v>
      </c>
      <c r="B171" s="33" t="s">
        <v>1225</v>
      </c>
      <c r="C171" s="308">
        <f t="shared" si="78"/>
        <v>0</v>
      </c>
      <c r="D171" s="229">
        <f t="shared" si="84"/>
        <v>136</v>
      </c>
      <c r="E171" s="255">
        <v>0</v>
      </c>
      <c r="F171" s="235">
        <f t="shared" si="79"/>
        <v>136</v>
      </c>
      <c r="G171" s="235">
        <v>0</v>
      </c>
      <c r="H171" s="227">
        <v>130</v>
      </c>
      <c r="I171" s="227">
        <v>6</v>
      </c>
      <c r="J171" s="308">
        <v>0</v>
      </c>
      <c r="K171" s="231">
        <v>0</v>
      </c>
      <c r="L171" s="231">
        <v>0</v>
      </c>
      <c r="M171" s="231">
        <v>0</v>
      </c>
      <c r="N171" s="231">
        <v>0</v>
      </c>
      <c r="O171" s="208">
        <v>0</v>
      </c>
      <c r="P171" s="231">
        <f t="shared" si="85"/>
        <v>0</v>
      </c>
      <c r="Q171" s="231">
        <v>0</v>
      </c>
      <c r="R171" s="231">
        <v>0</v>
      </c>
      <c r="S171" s="231">
        <v>0</v>
      </c>
      <c r="T171" s="208">
        <v>0</v>
      </c>
      <c r="U171" s="231">
        <v>0</v>
      </c>
      <c r="V171" s="231">
        <v>0</v>
      </c>
      <c r="W171" s="231">
        <v>0</v>
      </c>
      <c r="X171" s="231">
        <v>0</v>
      </c>
      <c r="Y171" s="208">
        <v>0</v>
      </c>
      <c r="Z171" s="231">
        <v>0</v>
      </c>
      <c r="AA171" s="231">
        <v>0</v>
      </c>
      <c r="AB171" s="231">
        <v>0</v>
      </c>
      <c r="AC171" s="231">
        <v>0</v>
      </c>
    </row>
    <row r="172" spans="1:29" s="6" customFormat="1" ht="72" outlineLevel="1" x14ac:dyDescent="0.25">
      <c r="A172" s="13" t="s">
        <v>1171</v>
      </c>
      <c r="B172" s="33" t="s">
        <v>1114</v>
      </c>
      <c r="C172" s="308">
        <f t="shared" si="78"/>
        <v>0</v>
      </c>
      <c r="D172" s="229">
        <f t="shared" si="84"/>
        <v>311</v>
      </c>
      <c r="E172" s="255">
        <v>0</v>
      </c>
      <c r="F172" s="235">
        <f t="shared" si="79"/>
        <v>311</v>
      </c>
      <c r="G172" s="235">
        <v>0</v>
      </c>
      <c r="H172" s="227">
        <v>296</v>
      </c>
      <c r="I172" s="227">
        <v>15</v>
      </c>
      <c r="J172" s="308">
        <v>0</v>
      </c>
      <c r="K172" s="231">
        <v>0</v>
      </c>
      <c r="L172" s="231">
        <v>0</v>
      </c>
      <c r="M172" s="231">
        <v>0</v>
      </c>
      <c r="N172" s="231">
        <v>0</v>
      </c>
      <c r="O172" s="208">
        <v>0</v>
      </c>
      <c r="P172" s="231">
        <f t="shared" si="85"/>
        <v>0</v>
      </c>
      <c r="Q172" s="231">
        <v>0</v>
      </c>
      <c r="R172" s="231">
        <v>0</v>
      </c>
      <c r="S172" s="231">
        <v>0</v>
      </c>
      <c r="T172" s="208">
        <v>0</v>
      </c>
      <c r="U172" s="231">
        <v>0</v>
      </c>
      <c r="V172" s="231">
        <v>0</v>
      </c>
      <c r="W172" s="231">
        <v>0</v>
      </c>
      <c r="X172" s="231">
        <v>0</v>
      </c>
      <c r="Y172" s="208">
        <v>0</v>
      </c>
      <c r="Z172" s="231">
        <v>0</v>
      </c>
      <c r="AA172" s="231">
        <v>0</v>
      </c>
      <c r="AB172" s="231">
        <v>0</v>
      </c>
      <c r="AC172" s="231">
        <v>0</v>
      </c>
    </row>
    <row r="173" spans="1:29" s="6" customFormat="1" ht="72" outlineLevel="1" x14ac:dyDescent="0.25">
      <c r="A173" s="13" t="s">
        <v>1172</v>
      </c>
      <c r="B173" s="33" t="s">
        <v>1115</v>
      </c>
      <c r="C173" s="308">
        <f t="shared" si="78"/>
        <v>0</v>
      </c>
      <c r="D173" s="229">
        <f t="shared" si="84"/>
        <v>1496</v>
      </c>
      <c r="E173" s="255">
        <v>0</v>
      </c>
      <c r="F173" s="235">
        <f t="shared" si="79"/>
        <v>1496</v>
      </c>
      <c r="G173" s="235">
        <v>0</v>
      </c>
      <c r="H173" s="227">
        <v>1424</v>
      </c>
      <c r="I173" s="227">
        <v>72</v>
      </c>
      <c r="J173" s="308">
        <v>0</v>
      </c>
      <c r="K173" s="231">
        <v>0</v>
      </c>
      <c r="L173" s="231">
        <v>0</v>
      </c>
      <c r="M173" s="231">
        <v>0</v>
      </c>
      <c r="N173" s="231">
        <v>0</v>
      </c>
      <c r="O173" s="208">
        <v>0</v>
      </c>
      <c r="P173" s="231">
        <f t="shared" si="85"/>
        <v>0</v>
      </c>
      <c r="Q173" s="231">
        <v>0</v>
      </c>
      <c r="R173" s="231">
        <v>0</v>
      </c>
      <c r="S173" s="231">
        <v>0</v>
      </c>
      <c r="T173" s="208">
        <v>0</v>
      </c>
      <c r="U173" s="231">
        <v>0</v>
      </c>
      <c r="V173" s="231">
        <v>0</v>
      </c>
      <c r="W173" s="231">
        <v>0</v>
      </c>
      <c r="X173" s="231">
        <v>0</v>
      </c>
      <c r="Y173" s="208">
        <v>0</v>
      </c>
      <c r="Z173" s="231">
        <v>0</v>
      </c>
      <c r="AA173" s="231">
        <v>0</v>
      </c>
      <c r="AB173" s="231">
        <v>0</v>
      </c>
      <c r="AC173" s="231">
        <v>0</v>
      </c>
    </row>
    <row r="174" spans="1:29" s="6" customFormat="1" ht="48" outlineLevel="1" x14ac:dyDescent="0.25">
      <c r="A174" s="13" t="s">
        <v>1173</v>
      </c>
      <c r="B174" s="33" t="s">
        <v>1116</v>
      </c>
      <c r="C174" s="308">
        <f t="shared" si="78"/>
        <v>0</v>
      </c>
      <c r="D174" s="229">
        <f t="shared" si="84"/>
        <v>143</v>
      </c>
      <c r="E174" s="255">
        <v>0</v>
      </c>
      <c r="F174" s="235">
        <f t="shared" si="79"/>
        <v>143</v>
      </c>
      <c r="G174" s="235">
        <v>0</v>
      </c>
      <c r="H174" s="227">
        <v>136</v>
      </c>
      <c r="I174" s="227">
        <v>7</v>
      </c>
      <c r="J174" s="308">
        <v>0</v>
      </c>
      <c r="K174" s="231">
        <v>0</v>
      </c>
      <c r="L174" s="231">
        <v>0</v>
      </c>
      <c r="M174" s="231">
        <v>0</v>
      </c>
      <c r="N174" s="231">
        <v>0</v>
      </c>
      <c r="O174" s="208">
        <v>0</v>
      </c>
      <c r="P174" s="231">
        <f t="shared" si="85"/>
        <v>0</v>
      </c>
      <c r="Q174" s="231">
        <v>0</v>
      </c>
      <c r="R174" s="231">
        <v>0</v>
      </c>
      <c r="S174" s="231">
        <v>0</v>
      </c>
      <c r="T174" s="208">
        <v>0</v>
      </c>
      <c r="U174" s="231">
        <v>0</v>
      </c>
      <c r="V174" s="231">
        <v>0</v>
      </c>
      <c r="W174" s="231">
        <v>0</v>
      </c>
      <c r="X174" s="231">
        <v>0</v>
      </c>
      <c r="Y174" s="208">
        <v>0</v>
      </c>
      <c r="Z174" s="231">
        <v>0</v>
      </c>
      <c r="AA174" s="231">
        <v>0</v>
      </c>
      <c r="AB174" s="231">
        <v>0</v>
      </c>
      <c r="AC174" s="231">
        <v>0</v>
      </c>
    </row>
    <row r="175" spans="1:29" s="6" customFormat="1" ht="48" outlineLevel="1" x14ac:dyDescent="0.25">
      <c r="A175" s="13" t="s">
        <v>1174</v>
      </c>
      <c r="B175" s="33" t="s">
        <v>1117</v>
      </c>
      <c r="C175" s="308">
        <f t="shared" si="78"/>
        <v>0</v>
      </c>
      <c r="D175" s="229">
        <f t="shared" si="84"/>
        <v>441</v>
      </c>
      <c r="E175" s="255">
        <v>0</v>
      </c>
      <c r="F175" s="235">
        <f t="shared" si="79"/>
        <v>441</v>
      </c>
      <c r="G175" s="235">
        <v>0</v>
      </c>
      <c r="H175" s="227">
        <v>420</v>
      </c>
      <c r="I175" s="227">
        <v>21</v>
      </c>
      <c r="J175" s="308">
        <v>0</v>
      </c>
      <c r="K175" s="231">
        <v>0</v>
      </c>
      <c r="L175" s="231">
        <v>0</v>
      </c>
      <c r="M175" s="231">
        <v>0</v>
      </c>
      <c r="N175" s="231">
        <v>0</v>
      </c>
      <c r="O175" s="208">
        <v>0</v>
      </c>
      <c r="P175" s="231">
        <f t="shared" si="85"/>
        <v>0</v>
      </c>
      <c r="Q175" s="231">
        <v>0</v>
      </c>
      <c r="R175" s="231">
        <v>0</v>
      </c>
      <c r="S175" s="231">
        <v>0</v>
      </c>
      <c r="T175" s="208">
        <v>0</v>
      </c>
      <c r="U175" s="231">
        <v>0</v>
      </c>
      <c r="V175" s="231">
        <v>0</v>
      </c>
      <c r="W175" s="231">
        <v>0</v>
      </c>
      <c r="X175" s="231">
        <v>0</v>
      </c>
      <c r="Y175" s="208">
        <v>0</v>
      </c>
      <c r="Z175" s="231">
        <v>0</v>
      </c>
      <c r="AA175" s="231">
        <v>0</v>
      </c>
      <c r="AB175" s="231">
        <v>0</v>
      </c>
      <c r="AC175" s="231">
        <v>0</v>
      </c>
    </row>
    <row r="176" spans="1:29" s="6" customFormat="1" ht="72" outlineLevel="1" x14ac:dyDescent="0.25">
      <c r="A176" s="13" t="s">
        <v>1175</v>
      </c>
      <c r="B176" s="33" t="s">
        <v>1118</v>
      </c>
      <c r="C176" s="308">
        <f t="shared" si="78"/>
        <v>0</v>
      </c>
      <c r="D176" s="229">
        <f t="shared" si="84"/>
        <v>436</v>
      </c>
      <c r="E176" s="255">
        <v>0</v>
      </c>
      <c r="F176" s="235">
        <f t="shared" si="79"/>
        <v>436</v>
      </c>
      <c r="G176" s="235">
        <v>0</v>
      </c>
      <c r="H176" s="227">
        <v>415</v>
      </c>
      <c r="I176" s="227">
        <v>21</v>
      </c>
      <c r="J176" s="308">
        <v>0</v>
      </c>
      <c r="K176" s="231">
        <v>0</v>
      </c>
      <c r="L176" s="231">
        <v>0</v>
      </c>
      <c r="M176" s="231">
        <v>0</v>
      </c>
      <c r="N176" s="231">
        <v>0</v>
      </c>
      <c r="O176" s="208">
        <v>0</v>
      </c>
      <c r="P176" s="231">
        <f t="shared" si="85"/>
        <v>0</v>
      </c>
      <c r="Q176" s="231">
        <v>0</v>
      </c>
      <c r="R176" s="231">
        <v>0</v>
      </c>
      <c r="S176" s="231">
        <v>0</v>
      </c>
      <c r="T176" s="208">
        <v>0</v>
      </c>
      <c r="U176" s="231">
        <v>0</v>
      </c>
      <c r="V176" s="231">
        <v>0</v>
      </c>
      <c r="W176" s="231">
        <v>0</v>
      </c>
      <c r="X176" s="231">
        <v>0</v>
      </c>
      <c r="Y176" s="208">
        <v>0</v>
      </c>
      <c r="Z176" s="231">
        <v>0</v>
      </c>
      <c r="AA176" s="231">
        <v>0</v>
      </c>
      <c r="AB176" s="231">
        <v>0</v>
      </c>
      <c r="AC176" s="231">
        <v>0</v>
      </c>
    </row>
    <row r="177" spans="1:29" s="6" customFormat="1" ht="84" outlineLevel="1" x14ac:dyDescent="0.25">
      <c r="A177" s="13" t="s">
        <v>1176</v>
      </c>
      <c r="B177" s="33" t="s">
        <v>1119</v>
      </c>
      <c r="C177" s="308">
        <f t="shared" si="78"/>
        <v>0</v>
      </c>
      <c r="D177" s="229">
        <f t="shared" si="84"/>
        <v>268</v>
      </c>
      <c r="E177" s="255">
        <v>0</v>
      </c>
      <c r="F177" s="235">
        <f t="shared" si="79"/>
        <v>268</v>
      </c>
      <c r="G177" s="235">
        <v>0</v>
      </c>
      <c r="H177" s="227">
        <v>255</v>
      </c>
      <c r="I177" s="227">
        <v>13</v>
      </c>
      <c r="J177" s="308">
        <v>0</v>
      </c>
      <c r="K177" s="231">
        <v>0</v>
      </c>
      <c r="L177" s="231">
        <v>0</v>
      </c>
      <c r="M177" s="231">
        <v>0</v>
      </c>
      <c r="N177" s="231">
        <v>0</v>
      </c>
      <c r="O177" s="208">
        <v>0</v>
      </c>
      <c r="P177" s="231">
        <f t="shared" si="85"/>
        <v>0</v>
      </c>
      <c r="Q177" s="231">
        <v>0</v>
      </c>
      <c r="R177" s="231">
        <v>0</v>
      </c>
      <c r="S177" s="231">
        <v>0</v>
      </c>
      <c r="T177" s="208">
        <v>0</v>
      </c>
      <c r="U177" s="231">
        <v>0</v>
      </c>
      <c r="V177" s="231">
        <v>0</v>
      </c>
      <c r="W177" s="231">
        <v>0</v>
      </c>
      <c r="X177" s="231">
        <v>0</v>
      </c>
      <c r="Y177" s="208">
        <v>0</v>
      </c>
      <c r="Z177" s="231">
        <v>0</v>
      </c>
      <c r="AA177" s="231">
        <v>0</v>
      </c>
      <c r="AB177" s="231">
        <v>0</v>
      </c>
      <c r="AC177" s="231">
        <v>0</v>
      </c>
    </row>
    <row r="178" spans="1:29" s="6" customFormat="1" ht="36" outlineLevel="1" x14ac:dyDescent="0.25">
      <c r="A178" s="13" t="s">
        <v>1177</v>
      </c>
      <c r="B178" s="33" t="s">
        <v>1120</v>
      </c>
      <c r="C178" s="308">
        <f t="shared" si="78"/>
        <v>0</v>
      </c>
      <c r="D178" s="229">
        <f t="shared" si="84"/>
        <v>208</v>
      </c>
      <c r="E178" s="255">
        <v>0</v>
      </c>
      <c r="F178" s="235">
        <f t="shared" si="79"/>
        <v>208</v>
      </c>
      <c r="G178" s="235">
        <v>0</v>
      </c>
      <c r="H178" s="227">
        <v>198</v>
      </c>
      <c r="I178" s="227">
        <v>10</v>
      </c>
      <c r="J178" s="308">
        <v>0</v>
      </c>
      <c r="K178" s="231">
        <v>0</v>
      </c>
      <c r="L178" s="231">
        <v>0</v>
      </c>
      <c r="M178" s="231">
        <v>0</v>
      </c>
      <c r="N178" s="231">
        <v>0</v>
      </c>
      <c r="O178" s="208">
        <v>0</v>
      </c>
      <c r="P178" s="231">
        <f t="shared" si="85"/>
        <v>0</v>
      </c>
      <c r="Q178" s="231">
        <v>0</v>
      </c>
      <c r="R178" s="231">
        <v>0</v>
      </c>
      <c r="S178" s="231">
        <v>0</v>
      </c>
      <c r="T178" s="208">
        <v>0</v>
      </c>
      <c r="U178" s="231">
        <v>0</v>
      </c>
      <c r="V178" s="231">
        <v>0</v>
      </c>
      <c r="W178" s="231">
        <v>0</v>
      </c>
      <c r="X178" s="231">
        <v>0</v>
      </c>
      <c r="Y178" s="208">
        <v>0</v>
      </c>
      <c r="Z178" s="231">
        <v>0</v>
      </c>
      <c r="AA178" s="231">
        <v>0</v>
      </c>
      <c r="AB178" s="231">
        <v>0</v>
      </c>
      <c r="AC178" s="231">
        <v>0</v>
      </c>
    </row>
    <row r="179" spans="1:29" s="6" customFormat="1" ht="48" outlineLevel="1" x14ac:dyDescent="0.25">
      <c r="A179" s="13" t="s">
        <v>1178</v>
      </c>
      <c r="B179" s="33" t="s">
        <v>1121</v>
      </c>
      <c r="C179" s="308">
        <f t="shared" si="78"/>
        <v>0</v>
      </c>
      <c r="D179" s="229">
        <f t="shared" si="84"/>
        <v>277</v>
      </c>
      <c r="E179" s="255">
        <v>0</v>
      </c>
      <c r="F179" s="235">
        <f t="shared" si="79"/>
        <v>277</v>
      </c>
      <c r="G179" s="235">
        <v>0</v>
      </c>
      <c r="H179" s="227">
        <v>264</v>
      </c>
      <c r="I179" s="227">
        <v>13</v>
      </c>
      <c r="J179" s="308">
        <v>0</v>
      </c>
      <c r="K179" s="231">
        <v>0</v>
      </c>
      <c r="L179" s="231">
        <v>0</v>
      </c>
      <c r="M179" s="231">
        <v>0</v>
      </c>
      <c r="N179" s="231">
        <v>0</v>
      </c>
      <c r="O179" s="208">
        <v>0</v>
      </c>
      <c r="P179" s="231">
        <f t="shared" si="85"/>
        <v>0</v>
      </c>
      <c r="Q179" s="231">
        <v>0</v>
      </c>
      <c r="R179" s="231">
        <v>0</v>
      </c>
      <c r="S179" s="231">
        <v>0</v>
      </c>
      <c r="T179" s="208">
        <v>0</v>
      </c>
      <c r="U179" s="231">
        <v>0</v>
      </c>
      <c r="V179" s="231">
        <v>0</v>
      </c>
      <c r="W179" s="231">
        <v>0</v>
      </c>
      <c r="X179" s="231">
        <v>0</v>
      </c>
      <c r="Y179" s="208">
        <v>0</v>
      </c>
      <c r="Z179" s="231">
        <v>0</v>
      </c>
      <c r="AA179" s="231">
        <v>0</v>
      </c>
      <c r="AB179" s="231">
        <v>0</v>
      </c>
      <c r="AC179" s="231">
        <v>0</v>
      </c>
    </row>
    <row r="180" spans="1:29" s="6" customFormat="1" ht="36" outlineLevel="1" x14ac:dyDescent="0.25">
      <c r="A180" s="13" t="s">
        <v>1179</v>
      </c>
      <c r="B180" s="33" t="s">
        <v>1122</v>
      </c>
      <c r="C180" s="308">
        <f t="shared" si="78"/>
        <v>0</v>
      </c>
      <c r="D180" s="229">
        <f t="shared" si="84"/>
        <v>1601</v>
      </c>
      <c r="E180" s="255">
        <v>0</v>
      </c>
      <c r="F180" s="235">
        <f t="shared" si="79"/>
        <v>1601</v>
      </c>
      <c r="G180" s="235">
        <v>0</v>
      </c>
      <c r="H180" s="227">
        <v>1524</v>
      </c>
      <c r="I180" s="227">
        <v>77</v>
      </c>
      <c r="J180" s="308">
        <v>0</v>
      </c>
      <c r="K180" s="231">
        <v>0</v>
      </c>
      <c r="L180" s="231">
        <v>0</v>
      </c>
      <c r="M180" s="231">
        <v>0</v>
      </c>
      <c r="N180" s="231">
        <v>0</v>
      </c>
      <c r="O180" s="208">
        <v>0</v>
      </c>
      <c r="P180" s="231">
        <f t="shared" si="85"/>
        <v>0</v>
      </c>
      <c r="Q180" s="231">
        <v>0</v>
      </c>
      <c r="R180" s="231">
        <v>0</v>
      </c>
      <c r="S180" s="231">
        <v>0</v>
      </c>
      <c r="T180" s="208">
        <v>0</v>
      </c>
      <c r="U180" s="231">
        <v>0</v>
      </c>
      <c r="V180" s="231">
        <v>0</v>
      </c>
      <c r="W180" s="231">
        <v>0</v>
      </c>
      <c r="X180" s="231">
        <v>0</v>
      </c>
      <c r="Y180" s="208">
        <v>0</v>
      </c>
      <c r="Z180" s="231">
        <v>0</v>
      </c>
      <c r="AA180" s="231">
        <v>0</v>
      </c>
      <c r="AB180" s="231">
        <v>0</v>
      </c>
      <c r="AC180" s="231">
        <v>0</v>
      </c>
    </row>
    <row r="181" spans="1:29" s="6" customFormat="1" ht="36" outlineLevel="1" x14ac:dyDescent="0.25">
      <c r="A181" s="13" t="s">
        <v>1180</v>
      </c>
      <c r="B181" s="33" t="s">
        <v>1123</v>
      </c>
      <c r="C181" s="308">
        <f t="shared" si="78"/>
        <v>0</v>
      </c>
      <c r="D181" s="229">
        <f t="shared" si="84"/>
        <v>3541</v>
      </c>
      <c r="E181" s="255">
        <v>0</v>
      </c>
      <c r="F181" s="235">
        <f t="shared" si="79"/>
        <v>3541</v>
      </c>
      <c r="G181" s="235">
        <v>0</v>
      </c>
      <c r="H181" s="227">
        <v>3371</v>
      </c>
      <c r="I181" s="227">
        <v>170</v>
      </c>
      <c r="J181" s="308">
        <v>0</v>
      </c>
      <c r="K181" s="231">
        <v>0</v>
      </c>
      <c r="L181" s="231">
        <v>0</v>
      </c>
      <c r="M181" s="231">
        <v>0</v>
      </c>
      <c r="N181" s="231">
        <v>0</v>
      </c>
      <c r="O181" s="208">
        <v>0</v>
      </c>
      <c r="P181" s="231">
        <f t="shared" si="85"/>
        <v>0</v>
      </c>
      <c r="Q181" s="231">
        <v>0</v>
      </c>
      <c r="R181" s="231">
        <v>0</v>
      </c>
      <c r="S181" s="231">
        <v>0</v>
      </c>
      <c r="T181" s="208">
        <v>0</v>
      </c>
      <c r="U181" s="231">
        <v>0</v>
      </c>
      <c r="V181" s="231">
        <v>0</v>
      </c>
      <c r="W181" s="231">
        <v>0</v>
      </c>
      <c r="X181" s="231">
        <v>0</v>
      </c>
      <c r="Y181" s="208">
        <v>0</v>
      </c>
      <c r="Z181" s="231">
        <v>0</v>
      </c>
      <c r="AA181" s="231">
        <v>0</v>
      </c>
      <c r="AB181" s="231">
        <v>0</v>
      </c>
      <c r="AC181" s="231">
        <v>0</v>
      </c>
    </row>
    <row r="182" spans="1:29" s="6" customFormat="1" ht="60" outlineLevel="1" x14ac:dyDescent="0.25">
      <c r="A182" s="13" t="s">
        <v>1181</v>
      </c>
      <c r="B182" s="33" t="s">
        <v>1124</v>
      </c>
      <c r="C182" s="308">
        <f t="shared" si="78"/>
        <v>0</v>
      </c>
      <c r="D182" s="229">
        <f t="shared" si="84"/>
        <v>342</v>
      </c>
      <c r="E182" s="255">
        <v>0</v>
      </c>
      <c r="F182" s="235">
        <f t="shared" si="79"/>
        <v>342</v>
      </c>
      <c r="G182" s="235">
        <v>0</v>
      </c>
      <c r="H182" s="227">
        <v>326</v>
      </c>
      <c r="I182" s="227">
        <v>16</v>
      </c>
      <c r="J182" s="308">
        <v>0</v>
      </c>
      <c r="K182" s="231">
        <v>0</v>
      </c>
      <c r="L182" s="231">
        <v>0</v>
      </c>
      <c r="M182" s="231">
        <v>0</v>
      </c>
      <c r="N182" s="231">
        <v>0</v>
      </c>
      <c r="O182" s="208">
        <v>0</v>
      </c>
      <c r="P182" s="231">
        <f t="shared" si="85"/>
        <v>0</v>
      </c>
      <c r="Q182" s="231">
        <v>0</v>
      </c>
      <c r="R182" s="231">
        <v>0</v>
      </c>
      <c r="S182" s="231">
        <v>0</v>
      </c>
      <c r="T182" s="208">
        <v>0</v>
      </c>
      <c r="U182" s="231">
        <v>0</v>
      </c>
      <c r="V182" s="231">
        <v>0</v>
      </c>
      <c r="W182" s="231">
        <v>0</v>
      </c>
      <c r="X182" s="231">
        <v>0</v>
      </c>
      <c r="Y182" s="208">
        <v>0</v>
      </c>
      <c r="Z182" s="231">
        <v>0</v>
      </c>
      <c r="AA182" s="231">
        <v>0</v>
      </c>
      <c r="AB182" s="231">
        <v>0</v>
      </c>
      <c r="AC182" s="231">
        <v>0</v>
      </c>
    </row>
    <row r="183" spans="1:29" s="6" customFormat="1" ht="60" outlineLevel="1" x14ac:dyDescent="0.25">
      <c r="A183" s="13" t="s">
        <v>1182</v>
      </c>
      <c r="B183" s="33" t="s">
        <v>1125</v>
      </c>
      <c r="C183" s="308">
        <f t="shared" si="78"/>
        <v>0</v>
      </c>
      <c r="D183" s="229">
        <f t="shared" si="84"/>
        <v>1099</v>
      </c>
      <c r="E183" s="255">
        <v>0</v>
      </c>
      <c r="F183" s="235">
        <f t="shared" si="79"/>
        <v>1099</v>
      </c>
      <c r="G183" s="235">
        <v>0</v>
      </c>
      <c r="H183" s="227">
        <v>1046</v>
      </c>
      <c r="I183" s="227">
        <v>53</v>
      </c>
      <c r="J183" s="308">
        <v>0</v>
      </c>
      <c r="K183" s="231">
        <v>0</v>
      </c>
      <c r="L183" s="231">
        <v>0</v>
      </c>
      <c r="M183" s="231">
        <v>0</v>
      </c>
      <c r="N183" s="231">
        <v>0</v>
      </c>
      <c r="O183" s="208">
        <v>0</v>
      </c>
      <c r="P183" s="231">
        <f t="shared" si="85"/>
        <v>0</v>
      </c>
      <c r="Q183" s="231">
        <v>0</v>
      </c>
      <c r="R183" s="231">
        <v>0</v>
      </c>
      <c r="S183" s="231">
        <v>0</v>
      </c>
      <c r="T183" s="208">
        <v>0</v>
      </c>
      <c r="U183" s="231">
        <v>0</v>
      </c>
      <c r="V183" s="231">
        <v>0</v>
      </c>
      <c r="W183" s="231">
        <v>0</v>
      </c>
      <c r="X183" s="231">
        <v>0</v>
      </c>
      <c r="Y183" s="208">
        <v>0</v>
      </c>
      <c r="Z183" s="231">
        <v>0</v>
      </c>
      <c r="AA183" s="231">
        <v>0</v>
      </c>
      <c r="AB183" s="231">
        <v>0</v>
      </c>
      <c r="AC183" s="231">
        <v>0</v>
      </c>
    </row>
    <row r="184" spans="1:29" s="6" customFormat="1" ht="48" outlineLevel="1" x14ac:dyDescent="0.25">
      <c r="A184" s="13" t="s">
        <v>1183</v>
      </c>
      <c r="B184" s="33" t="s">
        <v>1126</v>
      </c>
      <c r="C184" s="308">
        <f t="shared" si="78"/>
        <v>0</v>
      </c>
      <c r="D184" s="229">
        <f t="shared" si="84"/>
        <v>314</v>
      </c>
      <c r="E184" s="255">
        <v>0</v>
      </c>
      <c r="F184" s="235">
        <f t="shared" si="79"/>
        <v>314</v>
      </c>
      <c r="G184" s="235">
        <v>0</v>
      </c>
      <c r="H184" s="227">
        <v>299</v>
      </c>
      <c r="I184" s="227">
        <v>15</v>
      </c>
      <c r="J184" s="308">
        <v>0</v>
      </c>
      <c r="K184" s="231">
        <v>0</v>
      </c>
      <c r="L184" s="231">
        <v>0</v>
      </c>
      <c r="M184" s="231">
        <v>0</v>
      </c>
      <c r="N184" s="231">
        <v>0</v>
      </c>
      <c r="O184" s="208">
        <v>0</v>
      </c>
      <c r="P184" s="231">
        <f t="shared" si="85"/>
        <v>0</v>
      </c>
      <c r="Q184" s="231">
        <v>0</v>
      </c>
      <c r="R184" s="231">
        <v>0</v>
      </c>
      <c r="S184" s="231">
        <v>0</v>
      </c>
      <c r="T184" s="208">
        <v>0</v>
      </c>
      <c r="U184" s="231">
        <v>0</v>
      </c>
      <c r="V184" s="231">
        <v>0</v>
      </c>
      <c r="W184" s="231">
        <v>0</v>
      </c>
      <c r="X184" s="231">
        <v>0</v>
      </c>
      <c r="Y184" s="208">
        <v>0</v>
      </c>
      <c r="Z184" s="231">
        <v>0</v>
      </c>
      <c r="AA184" s="231">
        <v>0</v>
      </c>
      <c r="AB184" s="231">
        <v>0</v>
      </c>
      <c r="AC184" s="231">
        <v>0</v>
      </c>
    </row>
    <row r="185" spans="1:29" s="6" customFormat="1" ht="60" outlineLevel="1" x14ac:dyDescent="0.25">
      <c r="A185" s="13" t="s">
        <v>1184</v>
      </c>
      <c r="B185" s="33" t="s">
        <v>1127</v>
      </c>
      <c r="C185" s="308">
        <f t="shared" si="78"/>
        <v>0</v>
      </c>
      <c r="D185" s="229">
        <f t="shared" si="84"/>
        <v>788</v>
      </c>
      <c r="E185" s="255">
        <v>0</v>
      </c>
      <c r="F185" s="235">
        <f t="shared" si="79"/>
        <v>788</v>
      </c>
      <c r="G185" s="235">
        <v>0</v>
      </c>
      <c r="H185" s="227">
        <v>750</v>
      </c>
      <c r="I185" s="227">
        <v>38</v>
      </c>
      <c r="J185" s="308">
        <v>0</v>
      </c>
      <c r="K185" s="231">
        <v>0</v>
      </c>
      <c r="L185" s="231">
        <v>0</v>
      </c>
      <c r="M185" s="231">
        <v>0</v>
      </c>
      <c r="N185" s="231">
        <v>0</v>
      </c>
      <c r="O185" s="208">
        <v>0</v>
      </c>
      <c r="P185" s="231">
        <f t="shared" si="85"/>
        <v>0</v>
      </c>
      <c r="Q185" s="231">
        <v>0</v>
      </c>
      <c r="R185" s="231">
        <v>0</v>
      </c>
      <c r="S185" s="231">
        <v>0</v>
      </c>
      <c r="T185" s="208">
        <v>0</v>
      </c>
      <c r="U185" s="231">
        <v>0</v>
      </c>
      <c r="V185" s="231">
        <v>0</v>
      </c>
      <c r="W185" s="231">
        <v>0</v>
      </c>
      <c r="X185" s="231">
        <v>0</v>
      </c>
      <c r="Y185" s="208">
        <v>0</v>
      </c>
      <c r="Z185" s="231">
        <v>0</v>
      </c>
      <c r="AA185" s="231">
        <v>0</v>
      </c>
      <c r="AB185" s="231">
        <v>0</v>
      </c>
      <c r="AC185" s="231">
        <v>0</v>
      </c>
    </row>
    <row r="186" spans="1:29" s="6" customFormat="1" ht="48" outlineLevel="1" x14ac:dyDescent="0.25">
      <c r="A186" s="13" t="s">
        <v>1185</v>
      </c>
      <c r="B186" s="33" t="s">
        <v>1128</v>
      </c>
      <c r="C186" s="308">
        <f t="shared" si="78"/>
        <v>0</v>
      </c>
      <c r="D186" s="229">
        <f t="shared" si="84"/>
        <v>540</v>
      </c>
      <c r="E186" s="255">
        <v>0</v>
      </c>
      <c r="F186" s="235">
        <f t="shared" si="79"/>
        <v>540</v>
      </c>
      <c r="G186" s="235">
        <v>0</v>
      </c>
      <c r="H186" s="227">
        <v>514</v>
      </c>
      <c r="I186" s="227">
        <v>26</v>
      </c>
      <c r="J186" s="308">
        <v>0</v>
      </c>
      <c r="K186" s="231">
        <v>0</v>
      </c>
      <c r="L186" s="231">
        <v>0</v>
      </c>
      <c r="M186" s="231">
        <v>0</v>
      </c>
      <c r="N186" s="231">
        <v>0</v>
      </c>
      <c r="O186" s="208">
        <v>0</v>
      </c>
      <c r="P186" s="231">
        <f t="shared" si="85"/>
        <v>0</v>
      </c>
      <c r="Q186" s="231">
        <v>0</v>
      </c>
      <c r="R186" s="231">
        <v>0</v>
      </c>
      <c r="S186" s="231">
        <v>0</v>
      </c>
      <c r="T186" s="208">
        <v>0</v>
      </c>
      <c r="U186" s="231">
        <v>0</v>
      </c>
      <c r="V186" s="231">
        <v>0</v>
      </c>
      <c r="W186" s="231">
        <v>0</v>
      </c>
      <c r="X186" s="231">
        <v>0</v>
      </c>
      <c r="Y186" s="208">
        <v>0</v>
      </c>
      <c r="Z186" s="231">
        <v>0</v>
      </c>
      <c r="AA186" s="231">
        <v>0</v>
      </c>
      <c r="AB186" s="231">
        <v>0</v>
      </c>
      <c r="AC186" s="231">
        <v>0</v>
      </c>
    </row>
    <row r="187" spans="1:29" s="6" customFormat="1" ht="48" outlineLevel="1" x14ac:dyDescent="0.25">
      <c r="A187" s="13" t="s">
        <v>1186</v>
      </c>
      <c r="B187" s="33" t="s">
        <v>1129</v>
      </c>
      <c r="C187" s="308">
        <f t="shared" si="78"/>
        <v>0</v>
      </c>
      <c r="D187" s="229">
        <f t="shared" si="84"/>
        <v>540</v>
      </c>
      <c r="E187" s="255">
        <v>0</v>
      </c>
      <c r="F187" s="235">
        <f t="shared" si="79"/>
        <v>540</v>
      </c>
      <c r="G187" s="235">
        <v>0</v>
      </c>
      <c r="H187" s="227">
        <v>514</v>
      </c>
      <c r="I187" s="227">
        <v>26</v>
      </c>
      <c r="J187" s="308">
        <v>0</v>
      </c>
      <c r="K187" s="231">
        <v>0</v>
      </c>
      <c r="L187" s="231">
        <v>0</v>
      </c>
      <c r="M187" s="231">
        <v>0</v>
      </c>
      <c r="N187" s="231">
        <v>0</v>
      </c>
      <c r="O187" s="208">
        <v>0</v>
      </c>
      <c r="P187" s="231">
        <f t="shared" si="85"/>
        <v>0</v>
      </c>
      <c r="Q187" s="231">
        <v>0</v>
      </c>
      <c r="R187" s="231">
        <v>0</v>
      </c>
      <c r="S187" s="231">
        <v>0</v>
      </c>
      <c r="T187" s="208">
        <v>0</v>
      </c>
      <c r="U187" s="231">
        <v>0</v>
      </c>
      <c r="V187" s="231">
        <v>0</v>
      </c>
      <c r="W187" s="231">
        <v>0</v>
      </c>
      <c r="X187" s="231">
        <v>0</v>
      </c>
      <c r="Y187" s="208">
        <v>0</v>
      </c>
      <c r="Z187" s="231">
        <v>0</v>
      </c>
      <c r="AA187" s="231">
        <v>0</v>
      </c>
      <c r="AB187" s="231">
        <v>0</v>
      </c>
      <c r="AC187" s="231">
        <v>0</v>
      </c>
    </row>
    <row r="188" spans="1:29" s="6" customFormat="1" ht="72" outlineLevel="1" x14ac:dyDescent="0.25">
      <c r="A188" s="13" t="s">
        <v>1187</v>
      </c>
      <c r="B188" s="33" t="s">
        <v>1130</v>
      </c>
      <c r="C188" s="308">
        <f t="shared" si="78"/>
        <v>0</v>
      </c>
      <c r="D188" s="229">
        <f t="shared" si="84"/>
        <v>335</v>
      </c>
      <c r="E188" s="255">
        <v>0</v>
      </c>
      <c r="F188" s="235">
        <f t="shared" si="79"/>
        <v>335</v>
      </c>
      <c r="G188" s="235">
        <v>0</v>
      </c>
      <c r="H188" s="227">
        <v>319</v>
      </c>
      <c r="I188" s="227">
        <v>16</v>
      </c>
      <c r="J188" s="308">
        <v>0</v>
      </c>
      <c r="K188" s="231">
        <v>0</v>
      </c>
      <c r="L188" s="231">
        <v>0</v>
      </c>
      <c r="M188" s="231">
        <v>0</v>
      </c>
      <c r="N188" s="231">
        <v>0</v>
      </c>
      <c r="O188" s="208">
        <v>0</v>
      </c>
      <c r="P188" s="231">
        <f t="shared" si="85"/>
        <v>0</v>
      </c>
      <c r="Q188" s="231">
        <v>0</v>
      </c>
      <c r="R188" s="231">
        <v>0</v>
      </c>
      <c r="S188" s="231">
        <v>0</v>
      </c>
      <c r="T188" s="208">
        <v>0</v>
      </c>
      <c r="U188" s="231">
        <v>0</v>
      </c>
      <c r="V188" s="231">
        <v>0</v>
      </c>
      <c r="W188" s="231">
        <v>0</v>
      </c>
      <c r="X188" s="231">
        <v>0</v>
      </c>
      <c r="Y188" s="208">
        <v>0</v>
      </c>
      <c r="Z188" s="231">
        <v>0</v>
      </c>
      <c r="AA188" s="231">
        <v>0</v>
      </c>
      <c r="AB188" s="231">
        <v>0</v>
      </c>
      <c r="AC188" s="231">
        <v>0</v>
      </c>
    </row>
    <row r="189" spans="1:29" s="6" customFormat="1" ht="24" outlineLevel="1" x14ac:dyDescent="0.25">
      <c r="A189" s="13" t="s">
        <v>1188</v>
      </c>
      <c r="B189" s="33" t="s">
        <v>1131</v>
      </c>
      <c r="C189" s="308">
        <f t="shared" si="78"/>
        <v>0</v>
      </c>
      <c r="D189" s="229">
        <f t="shared" si="84"/>
        <v>223</v>
      </c>
      <c r="E189" s="255">
        <v>0</v>
      </c>
      <c r="F189" s="235">
        <f t="shared" si="79"/>
        <v>223</v>
      </c>
      <c r="G189" s="235">
        <v>0</v>
      </c>
      <c r="H189" s="227">
        <v>212</v>
      </c>
      <c r="I189" s="227">
        <v>11</v>
      </c>
      <c r="J189" s="308">
        <v>0</v>
      </c>
      <c r="K189" s="231">
        <v>0</v>
      </c>
      <c r="L189" s="231">
        <v>0</v>
      </c>
      <c r="M189" s="231">
        <v>0</v>
      </c>
      <c r="N189" s="231">
        <v>0</v>
      </c>
      <c r="O189" s="208">
        <v>0</v>
      </c>
      <c r="P189" s="231">
        <f t="shared" si="85"/>
        <v>0</v>
      </c>
      <c r="Q189" s="231">
        <v>0</v>
      </c>
      <c r="R189" s="231">
        <v>0</v>
      </c>
      <c r="S189" s="231">
        <v>0</v>
      </c>
      <c r="T189" s="208">
        <v>0</v>
      </c>
      <c r="U189" s="231">
        <v>0</v>
      </c>
      <c r="V189" s="231">
        <v>0</v>
      </c>
      <c r="W189" s="231">
        <v>0</v>
      </c>
      <c r="X189" s="231">
        <v>0</v>
      </c>
      <c r="Y189" s="208">
        <v>0</v>
      </c>
      <c r="Z189" s="231">
        <v>0</v>
      </c>
      <c r="AA189" s="231">
        <v>0</v>
      </c>
      <c r="AB189" s="231">
        <v>0</v>
      </c>
      <c r="AC189" s="231">
        <v>0</v>
      </c>
    </row>
    <row r="190" spans="1:29" s="6" customFormat="1" ht="72" outlineLevel="1" x14ac:dyDescent="0.25">
      <c r="A190" s="13" t="s">
        <v>1189</v>
      </c>
      <c r="B190" s="33" t="s">
        <v>1132</v>
      </c>
      <c r="C190" s="308">
        <f t="shared" si="78"/>
        <v>0</v>
      </c>
      <c r="D190" s="229">
        <f t="shared" si="84"/>
        <v>1170</v>
      </c>
      <c r="E190" s="255">
        <v>0</v>
      </c>
      <c r="F190" s="235">
        <f t="shared" si="79"/>
        <v>1170</v>
      </c>
      <c r="G190" s="235">
        <v>0</v>
      </c>
      <c r="H190" s="227">
        <v>1114</v>
      </c>
      <c r="I190" s="227">
        <v>56</v>
      </c>
      <c r="J190" s="308">
        <v>0</v>
      </c>
      <c r="K190" s="231">
        <v>0</v>
      </c>
      <c r="L190" s="231">
        <v>0</v>
      </c>
      <c r="M190" s="231">
        <v>0</v>
      </c>
      <c r="N190" s="231">
        <v>0</v>
      </c>
      <c r="O190" s="208">
        <v>0</v>
      </c>
      <c r="P190" s="231">
        <f t="shared" si="85"/>
        <v>0</v>
      </c>
      <c r="Q190" s="231">
        <v>0</v>
      </c>
      <c r="R190" s="231">
        <v>0</v>
      </c>
      <c r="S190" s="231">
        <v>0</v>
      </c>
      <c r="T190" s="208">
        <v>0</v>
      </c>
      <c r="U190" s="231">
        <v>0</v>
      </c>
      <c r="V190" s="231">
        <v>0</v>
      </c>
      <c r="W190" s="231">
        <v>0</v>
      </c>
      <c r="X190" s="231">
        <v>0</v>
      </c>
      <c r="Y190" s="208">
        <v>0</v>
      </c>
      <c r="Z190" s="231">
        <v>0</v>
      </c>
      <c r="AA190" s="231">
        <v>0</v>
      </c>
      <c r="AB190" s="231">
        <v>0</v>
      </c>
      <c r="AC190" s="231">
        <v>0</v>
      </c>
    </row>
    <row r="191" spans="1:29" s="6" customFormat="1" ht="60" outlineLevel="1" x14ac:dyDescent="0.25">
      <c r="A191" s="13" t="s">
        <v>1190</v>
      </c>
      <c r="B191" s="33" t="s">
        <v>1133</v>
      </c>
      <c r="C191" s="308">
        <f t="shared" si="78"/>
        <v>0</v>
      </c>
      <c r="D191" s="229">
        <f t="shared" si="84"/>
        <v>141</v>
      </c>
      <c r="E191" s="255">
        <v>0</v>
      </c>
      <c r="F191" s="235">
        <f t="shared" si="79"/>
        <v>141</v>
      </c>
      <c r="G191" s="235">
        <v>0</v>
      </c>
      <c r="H191" s="227">
        <v>134</v>
      </c>
      <c r="I191" s="227">
        <v>7</v>
      </c>
      <c r="J191" s="308">
        <v>0</v>
      </c>
      <c r="K191" s="231">
        <v>0</v>
      </c>
      <c r="L191" s="231">
        <v>0</v>
      </c>
      <c r="M191" s="231">
        <v>0</v>
      </c>
      <c r="N191" s="231">
        <v>0</v>
      </c>
      <c r="O191" s="208">
        <v>0</v>
      </c>
      <c r="P191" s="231">
        <f t="shared" si="85"/>
        <v>0</v>
      </c>
      <c r="Q191" s="231">
        <v>0</v>
      </c>
      <c r="R191" s="231">
        <v>0</v>
      </c>
      <c r="S191" s="231">
        <v>0</v>
      </c>
      <c r="T191" s="208">
        <v>0</v>
      </c>
      <c r="U191" s="231">
        <v>0</v>
      </c>
      <c r="V191" s="231">
        <v>0</v>
      </c>
      <c r="W191" s="231">
        <v>0</v>
      </c>
      <c r="X191" s="231">
        <v>0</v>
      </c>
      <c r="Y191" s="208">
        <v>0</v>
      </c>
      <c r="Z191" s="231">
        <v>0</v>
      </c>
      <c r="AA191" s="231">
        <v>0</v>
      </c>
      <c r="AB191" s="231">
        <v>0</v>
      </c>
      <c r="AC191" s="231">
        <v>0</v>
      </c>
    </row>
    <row r="192" spans="1:29" s="6" customFormat="1" ht="60" outlineLevel="1" x14ac:dyDescent="0.25">
      <c r="A192" s="13" t="s">
        <v>1191</v>
      </c>
      <c r="B192" s="33" t="s">
        <v>1134</v>
      </c>
      <c r="C192" s="308">
        <f t="shared" si="78"/>
        <v>0</v>
      </c>
      <c r="D192" s="229">
        <f t="shared" si="84"/>
        <v>3535</v>
      </c>
      <c r="E192" s="255">
        <v>0</v>
      </c>
      <c r="F192" s="235">
        <f t="shared" si="79"/>
        <v>3535</v>
      </c>
      <c r="G192" s="235">
        <v>0</v>
      </c>
      <c r="H192" s="227">
        <v>3365</v>
      </c>
      <c r="I192" s="227">
        <v>170</v>
      </c>
      <c r="J192" s="308">
        <v>0</v>
      </c>
      <c r="K192" s="231">
        <v>0</v>
      </c>
      <c r="L192" s="231">
        <v>0</v>
      </c>
      <c r="M192" s="231">
        <v>0</v>
      </c>
      <c r="N192" s="231">
        <v>0</v>
      </c>
      <c r="O192" s="208">
        <v>0</v>
      </c>
      <c r="P192" s="231">
        <f t="shared" si="85"/>
        <v>0</v>
      </c>
      <c r="Q192" s="231">
        <v>0</v>
      </c>
      <c r="R192" s="231">
        <v>0</v>
      </c>
      <c r="S192" s="231">
        <v>0</v>
      </c>
      <c r="T192" s="208">
        <v>0</v>
      </c>
      <c r="U192" s="231">
        <v>0</v>
      </c>
      <c r="V192" s="231">
        <v>0</v>
      </c>
      <c r="W192" s="231">
        <v>0</v>
      </c>
      <c r="X192" s="231">
        <v>0</v>
      </c>
      <c r="Y192" s="208">
        <v>0</v>
      </c>
      <c r="Z192" s="231">
        <v>0</v>
      </c>
      <c r="AA192" s="231">
        <v>0</v>
      </c>
      <c r="AB192" s="231">
        <v>0</v>
      </c>
      <c r="AC192" s="231">
        <v>0</v>
      </c>
    </row>
    <row r="193" spans="1:29" s="6" customFormat="1" ht="60" outlineLevel="1" x14ac:dyDescent="0.25">
      <c r="A193" s="13" t="s">
        <v>1192</v>
      </c>
      <c r="B193" s="33" t="s">
        <v>1135</v>
      </c>
      <c r="C193" s="308">
        <f t="shared" si="78"/>
        <v>0</v>
      </c>
      <c r="D193" s="229">
        <f t="shared" si="84"/>
        <v>2677</v>
      </c>
      <c r="E193" s="255">
        <v>0</v>
      </c>
      <c r="F193" s="235">
        <f t="shared" si="79"/>
        <v>2677</v>
      </c>
      <c r="G193" s="235">
        <v>0</v>
      </c>
      <c r="H193" s="227">
        <v>2548</v>
      </c>
      <c r="I193" s="227">
        <v>129</v>
      </c>
      <c r="J193" s="308">
        <v>0</v>
      </c>
      <c r="K193" s="231">
        <v>0</v>
      </c>
      <c r="L193" s="231">
        <v>0</v>
      </c>
      <c r="M193" s="231">
        <v>0</v>
      </c>
      <c r="N193" s="231">
        <v>0</v>
      </c>
      <c r="O193" s="208">
        <v>0</v>
      </c>
      <c r="P193" s="231">
        <f t="shared" si="85"/>
        <v>0</v>
      </c>
      <c r="Q193" s="231">
        <v>0</v>
      </c>
      <c r="R193" s="231">
        <v>0</v>
      </c>
      <c r="S193" s="231">
        <v>0</v>
      </c>
      <c r="T193" s="208">
        <v>0</v>
      </c>
      <c r="U193" s="231">
        <v>0</v>
      </c>
      <c r="V193" s="231">
        <v>0</v>
      </c>
      <c r="W193" s="231">
        <v>0</v>
      </c>
      <c r="X193" s="231">
        <v>0</v>
      </c>
      <c r="Y193" s="208">
        <v>0</v>
      </c>
      <c r="Z193" s="231">
        <v>0</v>
      </c>
      <c r="AA193" s="231">
        <v>0</v>
      </c>
      <c r="AB193" s="231">
        <v>0</v>
      </c>
      <c r="AC193" s="231">
        <v>0</v>
      </c>
    </row>
    <row r="194" spans="1:29" s="6" customFormat="1" ht="60" outlineLevel="1" x14ac:dyDescent="0.25">
      <c r="A194" s="13" t="s">
        <v>1193</v>
      </c>
      <c r="B194" s="33" t="s">
        <v>1136</v>
      </c>
      <c r="C194" s="308">
        <f t="shared" si="78"/>
        <v>0</v>
      </c>
      <c r="D194" s="229">
        <f t="shared" si="84"/>
        <v>2670</v>
      </c>
      <c r="E194" s="255">
        <v>0</v>
      </c>
      <c r="F194" s="235">
        <f t="shared" si="79"/>
        <v>2670</v>
      </c>
      <c r="G194" s="235">
        <v>0</v>
      </c>
      <c r="H194" s="227">
        <v>2542</v>
      </c>
      <c r="I194" s="227">
        <v>128</v>
      </c>
      <c r="J194" s="308">
        <v>0</v>
      </c>
      <c r="K194" s="231">
        <v>0</v>
      </c>
      <c r="L194" s="231">
        <v>0</v>
      </c>
      <c r="M194" s="231">
        <v>0</v>
      </c>
      <c r="N194" s="231">
        <v>0</v>
      </c>
      <c r="O194" s="208">
        <v>0</v>
      </c>
      <c r="P194" s="231">
        <f t="shared" si="85"/>
        <v>0</v>
      </c>
      <c r="Q194" s="231">
        <v>0</v>
      </c>
      <c r="R194" s="231">
        <v>0</v>
      </c>
      <c r="S194" s="231">
        <v>0</v>
      </c>
      <c r="T194" s="208">
        <v>0</v>
      </c>
      <c r="U194" s="231">
        <v>0</v>
      </c>
      <c r="V194" s="231">
        <v>0</v>
      </c>
      <c r="W194" s="231">
        <v>0</v>
      </c>
      <c r="X194" s="231">
        <v>0</v>
      </c>
      <c r="Y194" s="208">
        <v>0</v>
      </c>
      <c r="Z194" s="231">
        <v>0</v>
      </c>
      <c r="AA194" s="231">
        <v>0</v>
      </c>
      <c r="AB194" s="231">
        <v>0</v>
      </c>
      <c r="AC194" s="231">
        <v>0</v>
      </c>
    </row>
    <row r="195" spans="1:29" s="6" customFormat="1" ht="60" outlineLevel="1" x14ac:dyDescent="0.25">
      <c r="A195" s="13" t="s">
        <v>1194</v>
      </c>
      <c r="B195" s="33" t="s">
        <v>1137</v>
      </c>
      <c r="C195" s="308">
        <f t="shared" si="78"/>
        <v>0</v>
      </c>
      <c r="D195" s="229">
        <f t="shared" si="84"/>
        <v>2678</v>
      </c>
      <c r="E195" s="255">
        <v>0</v>
      </c>
      <c r="F195" s="235">
        <f t="shared" si="79"/>
        <v>2678</v>
      </c>
      <c r="G195" s="235">
        <v>0</v>
      </c>
      <c r="H195" s="227">
        <v>2549</v>
      </c>
      <c r="I195" s="227">
        <v>129</v>
      </c>
      <c r="J195" s="308">
        <v>0</v>
      </c>
      <c r="K195" s="231">
        <v>0</v>
      </c>
      <c r="L195" s="231">
        <v>0</v>
      </c>
      <c r="M195" s="231">
        <v>0</v>
      </c>
      <c r="N195" s="231">
        <v>0</v>
      </c>
      <c r="O195" s="208">
        <v>0</v>
      </c>
      <c r="P195" s="231">
        <f t="shared" si="85"/>
        <v>0</v>
      </c>
      <c r="Q195" s="231">
        <v>0</v>
      </c>
      <c r="R195" s="231">
        <v>0</v>
      </c>
      <c r="S195" s="231">
        <v>0</v>
      </c>
      <c r="T195" s="208">
        <v>0</v>
      </c>
      <c r="U195" s="231">
        <v>0</v>
      </c>
      <c r="V195" s="231">
        <v>0</v>
      </c>
      <c r="W195" s="231">
        <v>0</v>
      </c>
      <c r="X195" s="231">
        <v>0</v>
      </c>
      <c r="Y195" s="208">
        <v>0</v>
      </c>
      <c r="Z195" s="231">
        <v>0</v>
      </c>
      <c r="AA195" s="231">
        <v>0</v>
      </c>
      <c r="AB195" s="231">
        <v>0</v>
      </c>
      <c r="AC195" s="231">
        <v>0</v>
      </c>
    </row>
    <row r="196" spans="1:29" s="6" customFormat="1" ht="48" outlineLevel="1" x14ac:dyDescent="0.25">
      <c r="A196" s="13" t="s">
        <v>1195</v>
      </c>
      <c r="B196" s="33" t="s">
        <v>1138</v>
      </c>
      <c r="C196" s="308">
        <f t="shared" si="78"/>
        <v>0</v>
      </c>
      <c r="D196" s="229">
        <f t="shared" si="84"/>
        <v>1171</v>
      </c>
      <c r="E196" s="255">
        <v>0</v>
      </c>
      <c r="F196" s="235">
        <f t="shared" si="79"/>
        <v>1171</v>
      </c>
      <c r="G196" s="235">
        <v>0</v>
      </c>
      <c r="H196" s="227">
        <v>1115</v>
      </c>
      <c r="I196" s="227">
        <v>56</v>
      </c>
      <c r="J196" s="308">
        <v>0</v>
      </c>
      <c r="K196" s="231">
        <v>0</v>
      </c>
      <c r="L196" s="231">
        <v>0</v>
      </c>
      <c r="M196" s="231">
        <v>0</v>
      </c>
      <c r="N196" s="231">
        <v>0</v>
      </c>
      <c r="O196" s="208">
        <v>0</v>
      </c>
      <c r="P196" s="231">
        <f t="shared" si="85"/>
        <v>0</v>
      </c>
      <c r="Q196" s="231">
        <v>0</v>
      </c>
      <c r="R196" s="231">
        <v>0</v>
      </c>
      <c r="S196" s="231">
        <v>0</v>
      </c>
      <c r="T196" s="208">
        <v>0</v>
      </c>
      <c r="U196" s="231">
        <v>0</v>
      </c>
      <c r="V196" s="231">
        <v>0</v>
      </c>
      <c r="W196" s="231">
        <v>0</v>
      </c>
      <c r="X196" s="231">
        <v>0</v>
      </c>
      <c r="Y196" s="208">
        <v>0</v>
      </c>
      <c r="Z196" s="231">
        <v>0</v>
      </c>
      <c r="AA196" s="231">
        <v>0</v>
      </c>
      <c r="AB196" s="231">
        <v>0</v>
      </c>
      <c r="AC196" s="231">
        <v>0</v>
      </c>
    </row>
    <row r="197" spans="1:29" s="6" customFormat="1" ht="48" outlineLevel="1" x14ac:dyDescent="0.25">
      <c r="A197" s="13" t="s">
        <v>1196</v>
      </c>
      <c r="B197" s="33" t="s">
        <v>1139</v>
      </c>
      <c r="C197" s="308">
        <f t="shared" si="78"/>
        <v>0</v>
      </c>
      <c r="D197" s="229">
        <f t="shared" si="84"/>
        <v>1156</v>
      </c>
      <c r="E197" s="255">
        <v>0</v>
      </c>
      <c r="F197" s="235">
        <f t="shared" si="79"/>
        <v>1156</v>
      </c>
      <c r="G197" s="235">
        <v>0</v>
      </c>
      <c r="H197" s="227">
        <v>1100</v>
      </c>
      <c r="I197" s="227">
        <v>56</v>
      </c>
      <c r="J197" s="308">
        <v>0</v>
      </c>
      <c r="K197" s="231">
        <v>0</v>
      </c>
      <c r="L197" s="231">
        <v>0</v>
      </c>
      <c r="M197" s="231">
        <v>0</v>
      </c>
      <c r="N197" s="231">
        <v>0</v>
      </c>
      <c r="O197" s="208">
        <v>0</v>
      </c>
      <c r="P197" s="231">
        <f t="shared" si="85"/>
        <v>0</v>
      </c>
      <c r="Q197" s="231">
        <v>0</v>
      </c>
      <c r="R197" s="231">
        <v>0</v>
      </c>
      <c r="S197" s="231">
        <v>0</v>
      </c>
      <c r="T197" s="208">
        <v>0</v>
      </c>
      <c r="U197" s="231">
        <v>0</v>
      </c>
      <c r="V197" s="231">
        <v>0</v>
      </c>
      <c r="W197" s="231">
        <v>0</v>
      </c>
      <c r="X197" s="231">
        <v>0</v>
      </c>
      <c r="Y197" s="208">
        <v>0</v>
      </c>
      <c r="Z197" s="231">
        <v>0</v>
      </c>
      <c r="AA197" s="231">
        <v>0</v>
      </c>
      <c r="AB197" s="231">
        <v>0</v>
      </c>
      <c r="AC197" s="231">
        <v>0</v>
      </c>
    </row>
    <row r="198" spans="1:29" s="6" customFormat="1" ht="48" outlineLevel="1" x14ac:dyDescent="0.25">
      <c r="A198" s="13" t="s">
        <v>1197</v>
      </c>
      <c r="B198" s="33" t="s">
        <v>1140</v>
      </c>
      <c r="C198" s="308">
        <f t="shared" si="78"/>
        <v>0</v>
      </c>
      <c r="D198" s="229">
        <f t="shared" si="84"/>
        <v>451</v>
      </c>
      <c r="E198" s="255">
        <v>0</v>
      </c>
      <c r="F198" s="235">
        <f t="shared" si="79"/>
        <v>451</v>
      </c>
      <c r="G198" s="235">
        <v>0</v>
      </c>
      <c r="H198" s="227">
        <v>429</v>
      </c>
      <c r="I198" s="227">
        <v>22</v>
      </c>
      <c r="J198" s="308">
        <v>0</v>
      </c>
      <c r="K198" s="231">
        <v>0</v>
      </c>
      <c r="L198" s="231">
        <v>0</v>
      </c>
      <c r="M198" s="231">
        <v>0</v>
      </c>
      <c r="N198" s="231">
        <v>0</v>
      </c>
      <c r="O198" s="208">
        <v>0</v>
      </c>
      <c r="P198" s="231">
        <f t="shared" si="85"/>
        <v>0</v>
      </c>
      <c r="Q198" s="231">
        <v>0</v>
      </c>
      <c r="R198" s="231">
        <v>0</v>
      </c>
      <c r="S198" s="231">
        <v>0</v>
      </c>
      <c r="T198" s="208">
        <v>0</v>
      </c>
      <c r="U198" s="231">
        <v>0</v>
      </c>
      <c r="V198" s="231">
        <v>0</v>
      </c>
      <c r="W198" s="231">
        <v>0</v>
      </c>
      <c r="X198" s="231">
        <v>0</v>
      </c>
      <c r="Y198" s="208">
        <v>0</v>
      </c>
      <c r="Z198" s="231">
        <v>0</v>
      </c>
      <c r="AA198" s="231">
        <v>0</v>
      </c>
      <c r="AB198" s="231">
        <v>0</v>
      </c>
      <c r="AC198" s="231">
        <v>0</v>
      </c>
    </row>
    <row r="199" spans="1:29" s="6" customFormat="1" ht="108" outlineLevel="1" x14ac:dyDescent="0.25">
      <c r="A199" s="13" t="s">
        <v>1198</v>
      </c>
      <c r="B199" s="33" t="s">
        <v>1141</v>
      </c>
      <c r="C199" s="308">
        <f t="shared" si="78"/>
        <v>0</v>
      </c>
      <c r="D199" s="229">
        <f t="shared" si="84"/>
        <v>3293</v>
      </c>
      <c r="E199" s="255">
        <v>0</v>
      </c>
      <c r="F199" s="235">
        <f t="shared" si="79"/>
        <v>3293</v>
      </c>
      <c r="G199" s="235">
        <v>0</v>
      </c>
      <c r="H199" s="227">
        <v>3135</v>
      </c>
      <c r="I199" s="227">
        <v>158</v>
      </c>
      <c r="J199" s="308">
        <v>0</v>
      </c>
      <c r="K199" s="231">
        <v>0</v>
      </c>
      <c r="L199" s="231">
        <v>0</v>
      </c>
      <c r="M199" s="231">
        <v>0</v>
      </c>
      <c r="N199" s="231">
        <v>0</v>
      </c>
      <c r="O199" s="208">
        <v>0</v>
      </c>
      <c r="P199" s="231">
        <f t="shared" si="85"/>
        <v>0</v>
      </c>
      <c r="Q199" s="231">
        <v>0</v>
      </c>
      <c r="R199" s="231">
        <v>0</v>
      </c>
      <c r="S199" s="231">
        <v>0</v>
      </c>
      <c r="T199" s="208">
        <v>0</v>
      </c>
      <c r="U199" s="231">
        <v>0</v>
      </c>
      <c r="V199" s="231">
        <v>0</v>
      </c>
      <c r="W199" s="231">
        <v>0</v>
      </c>
      <c r="X199" s="231">
        <v>0</v>
      </c>
      <c r="Y199" s="208">
        <v>0</v>
      </c>
      <c r="Z199" s="231">
        <v>0</v>
      </c>
      <c r="AA199" s="231">
        <v>0</v>
      </c>
      <c r="AB199" s="231">
        <v>0</v>
      </c>
      <c r="AC199" s="231">
        <v>0</v>
      </c>
    </row>
    <row r="200" spans="1:29" s="6" customFormat="1" ht="48" outlineLevel="1" x14ac:dyDescent="0.25">
      <c r="A200" s="13" t="s">
        <v>1199</v>
      </c>
      <c r="B200" s="33" t="s">
        <v>1142</v>
      </c>
      <c r="C200" s="308">
        <f t="shared" si="78"/>
        <v>0</v>
      </c>
      <c r="D200" s="229">
        <f t="shared" si="84"/>
        <v>598.4</v>
      </c>
      <c r="E200" s="255">
        <v>0</v>
      </c>
      <c r="F200" s="235">
        <f t="shared" si="79"/>
        <v>598.4</v>
      </c>
      <c r="G200" s="235">
        <v>0</v>
      </c>
      <c r="H200" s="227">
        <f>569+0.4</f>
        <v>569.4</v>
      </c>
      <c r="I200" s="227">
        <v>29</v>
      </c>
      <c r="J200" s="308">
        <v>0</v>
      </c>
      <c r="K200" s="231">
        <v>0</v>
      </c>
      <c r="L200" s="231">
        <v>0</v>
      </c>
      <c r="M200" s="231">
        <v>0</v>
      </c>
      <c r="N200" s="231">
        <v>0</v>
      </c>
      <c r="O200" s="208">
        <v>0</v>
      </c>
      <c r="P200" s="231">
        <f t="shared" si="85"/>
        <v>0</v>
      </c>
      <c r="Q200" s="231">
        <v>0</v>
      </c>
      <c r="R200" s="231">
        <v>0</v>
      </c>
      <c r="S200" s="231">
        <v>0</v>
      </c>
      <c r="T200" s="208">
        <v>0</v>
      </c>
      <c r="U200" s="231">
        <v>0</v>
      </c>
      <c r="V200" s="231">
        <v>0</v>
      </c>
      <c r="W200" s="231">
        <v>0</v>
      </c>
      <c r="X200" s="231">
        <v>0</v>
      </c>
      <c r="Y200" s="208">
        <v>0</v>
      </c>
      <c r="Z200" s="231">
        <v>0</v>
      </c>
      <c r="AA200" s="231">
        <v>0</v>
      </c>
      <c r="AB200" s="231">
        <v>0</v>
      </c>
      <c r="AC200" s="231">
        <v>0</v>
      </c>
    </row>
    <row r="201" spans="1:29" s="6" customFormat="1" ht="60" outlineLevel="1" x14ac:dyDescent="0.25">
      <c r="A201" s="13" t="s">
        <v>1200</v>
      </c>
      <c r="B201" s="33" t="s">
        <v>1143</v>
      </c>
      <c r="C201" s="308">
        <f t="shared" si="78"/>
        <v>0</v>
      </c>
      <c r="D201" s="229">
        <f t="shared" si="84"/>
        <v>1291</v>
      </c>
      <c r="E201" s="255">
        <v>0</v>
      </c>
      <c r="F201" s="235">
        <f t="shared" si="79"/>
        <v>1291</v>
      </c>
      <c r="G201" s="235">
        <v>0</v>
      </c>
      <c r="H201" s="227">
        <v>1229</v>
      </c>
      <c r="I201" s="227">
        <v>62</v>
      </c>
      <c r="J201" s="308">
        <v>0</v>
      </c>
      <c r="K201" s="231">
        <v>0</v>
      </c>
      <c r="L201" s="231">
        <v>0</v>
      </c>
      <c r="M201" s="231">
        <v>0</v>
      </c>
      <c r="N201" s="231">
        <v>0</v>
      </c>
      <c r="O201" s="208">
        <v>0</v>
      </c>
      <c r="P201" s="231">
        <f t="shared" si="85"/>
        <v>0</v>
      </c>
      <c r="Q201" s="231">
        <v>0</v>
      </c>
      <c r="R201" s="231">
        <v>0</v>
      </c>
      <c r="S201" s="231">
        <v>0</v>
      </c>
      <c r="T201" s="208">
        <v>0</v>
      </c>
      <c r="U201" s="231">
        <v>0</v>
      </c>
      <c r="V201" s="231">
        <v>0</v>
      </c>
      <c r="W201" s="231">
        <v>0</v>
      </c>
      <c r="X201" s="231">
        <v>0</v>
      </c>
      <c r="Y201" s="208">
        <v>0</v>
      </c>
      <c r="Z201" s="231">
        <v>0</v>
      </c>
      <c r="AA201" s="231">
        <v>0</v>
      </c>
      <c r="AB201" s="231">
        <v>0</v>
      </c>
      <c r="AC201" s="231">
        <v>0</v>
      </c>
    </row>
    <row r="202" spans="1:29" s="6" customFormat="1" ht="60" outlineLevel="1" x14ac:dyDescent="0.25">
      <c r="A202" s="13" t="s">
        <v>1201</v>
      </c>
      <c r="B202" s="33" t="s">
        <v>1144</v>
      </c>
      <c r="C202" s="308">
        <f t="shared" si="78"/>
        <v>0</v>
      </c>
      <c r="D202" s="229">
        <f t="shared" si="84"/>
        <v>936</v>
      </c>
      <c r="E202" s="255">
        <v>0</v>
      </c>
      <c r="F202" s="235">
        <f t="shared" si="79"/>
        <v>936</v>
      </c>
      <c r="G202" s="235">
        <v>0</v>
      </c>
      <c r="H202" s="227">
        <v>891</v>
      </c>
      <c r="I202" s="227">
        <v>45</v>
      </c>
      <c r="J202" s="308">
        <v>0</v>
      </c>
      <c r="K202" s="231">
        <v>0</v>
      </c>
      <c r="L202" s="231">
        <v>0</v>
      </c>
      <c r="M202" s="231">
        <v>0</v>
      </c>
      <c r="N202" s="231">
        <v>0</v>
      </c>
      <c r="O202" s="208">
        <v>0</v>
      </c>
      <c r="P202" s="231">
        <f t="shared" si="85"/>
        <v>0</v>
      </c>
      <c r="Q202" s="231">
        <v>0</v>
      </c>
      <c r="R202" s="231">
        <v>0</v>
      </c>
      <c r="S202" s="231">
        <v>0</v>
      </c>
      <c r="T202" s="208">
        <v>0</v>
      </c>
      <c r="U202" s="231">
        <v>0</v>
      </c>
      <c r="V202" s="231">
        <v>0</v>
      </c>
      <c r="W202" s="231">
        <v>0</v>
      </c>
      <c r="X202" s="231">
        <v>0</v>
      </c>
      <c r="Y202" s="208">
        <v>0</v>
      </c>
      <c r="Z202" s="231">
        <v>0</v>
      </c>
      <c r="AA202" s="231">
        <v>0</v>
      </c>
      <c r="AB202" s="231">
        <v>0</v>
      </c>
      <c r="AC202" s="231">
        <v>0</v>
      </c>
    </row>
    <row r="203" spans="1:29" s="6" customFormat="1" ht="96" outlineLevel="1" x14ac:dyDescent="0.25">
      <c r="A203" s="13" t="s">
        <v>1202</v>
      </c>
      <c r="B203" s="33" t="s">
        <v>1145</v>
      </c>
      <c r="C203" s="308">
        <f t="shared" si="78"/>
        <v>0</v>
      </c>
      <c r="D203" s="229">
        <f t="shared" si="84"/>
        <v>555</v>
      </c>
      <c r="E203" s="255">
        <v>0</v>
      </c>
      <c r="F203" s="235">
        <f t="shared" si="79"/>
        <v>555</v>
      </c>
      <c r="G203" s="235">
        <v>0</v>
      </c>
      <c r="H203" s="227">
        <v>528</v>
      </c>
      <c r="I203" s="227">
        <v>27</v>
      </c>
      <c r="J203" s="308">
        <v>0</v>
      </c>
      <c r="K203" s="231">
        <v>0</v>
      </c>
      <c r="L203" s="231">
        <v>0</v>
      </c>
      <c r="M203" s="231">
        <v>0</v>
      </c>
      <c r="N203" s="231">
        <v>0</v>
      </c>
      <c r="O203" s="208">
        <v>0</v>
      </c>
      <c r="P203" s="231">
        <f t="shared" si="85"/>
        <v>0</v>
      </c>
      <c r="Q203" s="231">
        <v>0</v>
      </c>
      <c r="R203" s="231">
        <v>0</v>
      </c>
      <c r="S203" s="231">
        <v>0</v>
      </c>
      <c r="T203" s="208">
        <v>0</v>
      </c>
      <c r="U203" s="231">
        <v>0</v>
      </c>
      <c r="V203" s="231">
        <v>0</v>
      </c>
      <c r="W203" s="231">
        <v>0</v>
      </c>
      <c r="X203" s="231">
        <v>0</v>
      </c>
      <c r="Y203" s="208">
        <v>0</v>
      </c>
      <c r="Z203" s="231">
        <v>0</v>
      </c>
      <c r="AA203" s="231">
        <v>0</v>
      </c>
      <c r="AB203" s="231">
        <v>0</v>
      </c>
      <c r="AC203" s="231">
        <v>0</v>
      </c>
    </row>
    <row r="204" spans="1:29" s="6" customFormat="1" ht="48" outlineLevel="1" x14ac:dyDescent="0.25">
      <c r="A204" s="13" t="s">
        <v>1203</v>
      </c>
      <c r="B204" s="33" t="s">
        <v>1146</v>
      </c>
      <c r="C204" s="308">
        <f t="shared" ref="C204:C211" si="86">E204+J204+O204+T204+Y204</f>
        <v>0</v>
      </c>
      <c r="D204" s="229">
        <f t="shared" si="84"/>
        <v>164</v>
      </c>
      <c r="E204" s="255">
        <v>0</v>
      </c>
      <c r="F204" s="235">
        <f t="shared" ref="F204:F211" si="87">G204+H204+I204</f>
        <v>164</v>
      </c>
      <c r="G204" s="235">
        <v>0</v>
      </c>
      <c r="H204" s="227">
        <v>156</v>
      </c>
      <c r="I204" s="227">
        <v>8</v>
      </c>
      <c r="J204" s="308">
        <v>0</v>
      </c>
      <c r="K204" s="231">
        <v>0</v>
      </c>
      <c r="L204" s="231">
        <v>0</v>
      </c>
      <c r="M204" s="231">
        <v>0</v>
      </c>
      <c r="N204" s="231">
        <v>0</v>
      </c>
      <c r="O204" s="208">
        <v>0</v>
      </c>
      <c r="P204" s="231">
        <f t="shared" si="85"/>
        <v>0</v>
      </c>
      <c r="Q204" s="231">
        <v>0</v>
      </c>
      <c r="R204" s="231">
        <v>0</v>
      </c>
      <c r="S204" s="231">
        <v>0</v>
      </c>
      <c r="T204" s="208">
        <v>0</v>
      </c>
      <c r="U204" s="231">
        <v>0</v>
      </c>
      <c r="V204" s="231">
        <v>0</v>
      </c>
      <c r="W204" s="231">
        <v>0</v>
      </c>
      <c r="X204" s="231">
        <v>0</v>
      </c>
      <c r="Y204" s="208">
        <v>0</v>
      </c>
      <c r="Z204" s="231">
        <v>0</v>
      </c>
      <c r="AA204" s="231">
        <v>0</v>
      </c>
      <c r="AB204" s="231">
        <v>0</v>
      </c>
      <c r="AC204" s="231">
        <v>0</v>
      </c>
    </row>
    <row r="205" spans="1:29" s="6" customFormat="1" ht="24" outlineLevel="1" x14ac:dyDescent="0.25">
      <c r="A205" s="13" t="s">
        <v>1204</v>
      </c>
      <c r="B205" s="33" t="s">
        <v>1147</v>
      </c>
      <c r="C205" s="308">
        <f t="shared" si="86"/>
        <v>0</v>
      </c>
      <c r="D205" s="229">
        <f t="shared" ref="D205:D211" si="88">F205+K205+P205+U205+Z205</f>
        <v>221</v>
      </c>
      <c r="E205" s="255">
        <v>0</v>
      </c>
      <c r="F205" s="235">
        <f t="shared" si="87"/>
        <v>221</v>
      </c>
      <c r="G205" s="235">
        <v>0</v>
      </c>
      <c r="H205" s="227">
        <v>211</v>
      </c>
      <c r="I205" s="227">
        <v>10</v>
      </c>
      <c r="J205" s="308">
        <v>0</v>
      </c>
      <c r="K205" s="231">
        <v>0</v>
      </c>
      <c r="L205" s="231">
        <v>0</v>
      </c>
      <c r="M205" s="231">
        <v>0</v>
      </c>
      <c r="N205" s="231">
        <v>0</v>
      </c>
      <c r="O205" s="208">
        <v>0</v>
      </c>
      <c r="P205" s="231">
        <f t="shared" si="85"/>
        <v>0</v>
      </c>
      <c r="Q205" s="231">
        <v>0</v>
      </c>
      <c r="R205" s="231">
        <v>0</v>
      </c>
      <c r="S205" s="231">
        <v>0</v>
      </c>
      <c r="T205" s="208">
        <v>0</v>
      </c>
      <c r="U205" s="231">
        <v>0</v>
      </c>
      <c r="V205" s="231">
        <v>0</v>
      </c>
      <c r="W205" s="231">
        <v>0</v>
      </c>
      <c r="X205" s="231">
        <v>0</v>
      </c>
      <c r="Y205" s="208">
        <v>0</v>
      </c>
      <c r="Z205" s="231">
        <v>0</v>
      </c>
      <c r="AA205" s="231">
        <v>0</v>
      </c>
      <c r="AB205" s="231">
        <v>0</v>
      </c>
      <c r="AC205" s="231">
        <v>0</v>
      </c>
    </row>
    <row r="206" spans="1:29" s="6" customFormat="1" ht="36" outlineLevel="1" x14ac:dyDescent="0.25">
      <c r="A206" s="13" t="s">
        <v>1205</v>
      </c>
      <c r="B206" s="33" t="s">
        <v>1148</v>
      </c>
      <c r="C206" s="308">
        <f t="shared" si="86"/>
        <v>0</v>
      </c>
      <c r="D206" s="229">
        <f t="shared" si="88"/>
        <v>108</v>
      </c>
      <c r="E206" s="255">
        <v>0</v>
      </c>
      <c r="F206" s="235">
        <f t="shared" si="87"/>
        <v>108</v>
      </c>
      <c r="G206" s="235">
        <v>0</v>
      </c>
      <c r="H206" s="227">
        <v>103</v>
      </c>
      <c r="I206" s="227">
        <v>5</v>
      </c>
      <c r="J206" s="308">
        <v>0</v>
      </c>
      <c r="K206" s="231">
        <v>0</v>
      </c>
      <c r="L206" s="231">
        <v>0</v>
      </c>
      <c r="M206" s="231">
        <v>0</v>
      </c>
      <c r="N206" s="231">
        <v>0</v>
      </c>
      <c r="O206" s="208">
        <v>0</v>
      </c>
      <c r="P206" s="231">
        <f t="shared" ref="P206:P211" si="89">S206</f>
        <v>0</v>
      </c>
      <c r="Q206" s="231">
        <v>0</v>
      </c>
      <c r="R206" s="231">
        <v>0</v>
      </c>
      <c r="S206" s="231">
        <v>0</v>
      </c>
      <c r="T206" s="208">
        <v>0</v>
      </c>
      <c r="U206" s="231">
        <v>0</v>
      </c>
      <c r="V206" s="231">
        <v>0</v>
      </c>
      <c r="W206" s="231">
        <v>0</v>
      </c>
      <c r="X206" s="231">
        <v>0</v>
      </c>
      <c r="Y206" s="208">
        <v>0</v>
      </c>
      <c r="Z206" s="231">
        <v>0</v>
      </c>
      <c r="AA206" s="231">
        <v>0</v>
      </c>
      <c r="AB206" s="231">
        <v>0</v>
      </c>
      <c r="AC206" s="231">
        <v>0</v>
      </c>
    </row>
    <row r="207" spans="1:29" s="6" customFormat="1" ht="48" outlineLevel="1" x14ac:dyDescent="0.25">
      <c r="A207" s="13" t="s">
        <v>1206</v>
      </c>
      <c r="B207" s="33" t="s">
        <v>1149</v>
      </c>
      <c r="C207" s="308">
        <f t="shared" si="86"/>
        <v>0</v>
      </c>
      <c r="D207" s="229">
        <f t="shared" si="88"/>
        <v>398</v>
      </c>
      <c r="E207" s="255">
        <v>0</v>
      </c>
      <c r="F207" s="235">
        <f t="shared" si="87"/>
        <v>398</v>
      </c>
      <c r="G207" s="235">
        <v>0</v>
      </c>
      <c r="H207" s="227">
        <v>379</v>
      </c>
      <c r="I207" s="227">
        <v>19</v>
      </c>
      <c r="J207" s="308">
        <v>0</v>
      </c>
      <c r="K207" s="231">
        <v>0</v>
      </c>
      <c r="L207" s="231">
        <v>0</v>
      </c>
      <c r="M207" s="231">
        <v>0</v>
      </c>
      <c r="N207" s="231">
        <v>0</v>
      </c>
      <c r="O207" s="208">
        <v>0</v>
      </c>
      <c r="P207" s="231">
        <f t="shared" si="89"/>
        <v>0</v>
      </c>
      <c r="Q207" s="231">
        <v>0</v>
      </c>
      <c r="R207" s="231">
        <v>0</v>
      </c>
      <c r="S207" s="231">
        <v>0</v>
      </c>
      <c r="T207" s="208">
        <v>0</v>
      </c>
      <c r="U207" s="231">
        <v>0</v>
      </c>
      <c r="V207" s="231">
        <v>0</v>
      </c>
      <c r="W207" s="231">
        <v>0</v>
      </c>
      <c r="X207" s="231">
        <v>0</v>
      </c>
      <c r="Y207" s="208">
        <v>0</v>
      </c>
      <c r="Z207" s="231">
        <v>0</v>
      </c>
      <c r="AA207" s="231">
        <v>0</v>
      </c>
      <c r="AB207" s="231">
        <v>0</v>
      </c>
      <c r="AC207" s="231">
        <v>0</v>
      </c>
    </row>
    <row r="208" spans="1:29" s="6" customFormat="1" ht="36" outlineLevel="1" x14ac:dyDescent="0.25">
      <c r="A208" s="13" t="s">
        <v>1207</v>
      </c>
      <c r="B208" s="33" t="s">
        <v>1150</v>
      </c>
      <c r="C208" s="308">
        <f t="shared" si="86"/>
        <v>0</v>
      </c>
      <c r="D208" s="229">
        <f t="shared" si="88"/>
        <v>173</v>
      </c>
      <c r="E208" s="255">
        <v>0</v>
      </c>
      <c r="F208" s="235">
        <f t="shared" si="87"/>
        <v>173</v>
      </c>
      <c r="G208" s="235">
        <v>0</v>
      </c>
      <c r="H208" s="227">
        <v>165</v>
      </c>
      <c r="I208" s="227">
        <v>8</v>
      </c>
      <c r="J208" s="308">
        <v>0</v>
      </c>
      <c r="K208" s="231">
        <v>0</v>
      </c>
      <c r="L208" s="231">
        <v>0</v>
      </c>
      <c r="M208" s="231">
        <v>0</v>
      </c>
      <c r="N208" s="231">
        <v>0</v>
      </c>
      <c r="O208" s="208">
        <v>0</v>
      </c>
      <c r="P208" s="231">
        <f t="shared" si="89"/>
        <v>0</v>
      </c>
      <c r="Q208" s="231">
        <v>0</v>
      </c>
      <c r="R208" s="231">
        <v>0</v>
      </c>
      <c r="S208" s="231">
        <v>0</v>
      </c>
      <c r="T208" s="208">
        <v>0</v>
      </c>
      <c r="U208" s="231">
        <v>0</v>
      </c>
      <c r="V208" s="231">
        <v>0</v>
      </c>
      <c r="W208" s="231">
        <v>0</v>
      </c>
      <c r="X208" s="231">
        <v>0</v>
      </c>
      <c r="Y208" s="208">
        <v>0</v>
      </c>
      <c r="Z208" s="231">
        <v>0</v>
      </c>
      <c r="AA208" s="231">
        <v>0</v>
      </c>
      <c r="AB208" s="231">
        <v>0</v>
      </c>
      <c r="AC208" s="231">
        <v>0</v>
      </c>
    </row>
    <row r="209" spans="1:43" s="6" customFormat="1" ht="96" outlineLevel="1" x14ac:dyDescent="0.25">
      <c r="A209" s="13" t="s">
        <v>1208</v>
      </c>
      <c r="B209" s="33" t="s">
        <v>1151</v>
      </c>
      <c r="C209" s="308">
        <f t="shared" si="86"/>
        <v>0</v>
      </c>
      <c r="D209" s="229">
        <f t="shared" si="88"/>
        <v>1622</v>
      </c>
      <c r="E209" s="255">
        <v>0</v>
      </c>
      <c r="F209" s="235">
        <f t="shared" si="87"/>
        <v>1622</v>
      </c>
      <c r="G209" s="235">
        <v>0</v>
      </c>
      <c r="H209" s="227">
        <v>1544</v>
      </c>
      <c r="I209" s="227">
        <v>78</v>
      </c>
      <c r="J209" s="308">
        <v>0</v>
      </c>
      <c r="K209" s="231">
        <v>0</v>
      </c>
      <c r="L209" s="231">
        <v>0</v>
      </c>
      <c r="M209" s="231">
        <v>0</v>
      </c>
      <c r="N209" s="231">
        <v>0</v>
      </c>
      <c r="O209" s="208">
        <v>0</v>
      </c>
      <c r="P209" s="231">
        <f t="shared" si="89"/>
        <v>0</v>
      </c>
      <c r="Q209" s="231">
        <v>0</v>
      </c>
      <c r="R209" s="231">
        <v>0</v>
      </c>
      <c r="S209" s="231">
        <v>0</v>
      </c>
      <c r="T209" s="208">
        <v>0</v>
      </c>
      <c r="U209" s="231">
        <v>0</v>
      </c>
      <c r="V209" s="231">
        <v>0</v>
      </c>
      <c r="W209" s="231">
        <v>0</v>
      </c>
      <c r="X209" s="231">
        <v>0</v>
      </c>
      <c r="Y209" s="208">
        <v>0</v>
      </c>
      <c r="Z209" s="231">
        <v>0</v>
      </c>
      <c r="AA209" s="231">
        <v>0</v>
      </c>
      <c r="AB209" s="231">
        <v>0</v>
      </c>
      <c r="AC209" s="231">
        <v>0</v>
      </c>
    </row>
    <row r="210" spans="1:43" s="6" customFormat="1" ht="48" outlineLevel="1" x14ac:dyDescent="0.25">
      <c r="A210" s="13" t="s">
        <v>1209</v>
      </c>
      <c r="B210" s="33" t="s">
        <v>1152</v>
      </c>
      <c r="C210" s="308">
        <f t="shared" si="86"/>
        <v>0</v>
      </c>
      <c r="D210" s="229">
        <f t="shared" si="88"/>
        <v>5983</v>
      </c>
      <c r="E210" s="255">
        <v>0</v>
      </c>
      <c r="F210" s="235">
        <f t="shared" si="87"/>
        <v>5983</v>
      </c>
      <c r="G210" s="235">
        <v>0</v>
      </c>
      <c r="H210" s="227">
        <v>5696</v>
      </c>
      <c r="I210" s="227">
        <v>287</v>
      </c>
      <c r="J210" s="308">
        <v>0</v>
      </c>
      <c r="K210" s="231">
        <v>0</v>
      </c>
      <c r="L210" s="231">
        <v>0</v>
      </c>
      <c r="M210" s="231">
        <v>0</v>
      </c>
      <c r="N210" s="231">
        <v>0</v>
      </c>
      <c r="O210" s="208">
        <v>0</v>
      </c>
      <c r="P210" s="231">
        <f t="shared" si="89"/>
        <v>0</v>
      </c>
      <c r="Q210" s="231">
        <v>0</v>
      </c>
      <c r="R210" s="231">
        <v>0</v>
      </c>
      <c r="S210" s="231">
        <v>0</v>
      </c>
      <c r="T210" s="208">
        <v>0</v>
      </c>
      <c r="U210" s="231">
        <v>0</v>
      </c>
      <c r="V210" s="231">
        <v>0</v>
      </c>
      <c r="W210" s="231">
        <v>0</v>
      </c>
      <c r="X210" s="231">
        <v>0</v>
      </c>
      <c r="Y210" s="208">
        <v>0</v>
      </c>
      <c r="Z210" s="231">
        <v>0</v>
      </c>
      <c r="AA210" s="231">
        <v>0</v>
      </c>
      <c r="AB210" s="231">
        <v>0</v>
      </c>
      <c r="AC210" s="231">
        <v>0</v>
      </c>
    </row>
    <row r="211" spans="1:43" s="6" customFormat="1" ht="96" outlineLevel="1" x14ac:dyDescent="0.25">
      <c r="A211" s="13" t="s">
        <v>1210</v>
      </c>
      <c r="B211" s="33" t="s">
        <v>1153</v>
      </c>
      <c r="C211" s="308">
        <f t="shared" si="86"/>
        <v>0</v>
      </c>
      <c r="D211" s="229">
        <f t="shared" si="88"/>
        <v>21350</v>
      </c>
      <c r="E211" s="255">
        <v>0</v>
      </c>
      <c r="F211" s="235">
        <f t="shared" si="87"/>
        <v>21350</v>
      </c>
      <c r="G211" s="235">
        <v>0</v>
      </c>
      <c r="H211" s="227">
        <v>20325</v>
      </c>
      <c r="I211" s="227">
        <v>1025</v>
      </c>
      <c r="J211" s="308">
        <v>0</v>
      </c>
      <c r="K211" s="231">
        <v>0</v>
      </c>
      <c r="L211" s="231">
        <v>0</v>
      </c>
      <c r="M211" s="231">
        <v>0</v>
      </c>
      <c r="N211" s="231">
        <v>0</v>
      </c>
      <c r="O211" s="208">
        <v>0</v>
      </c>
      <c r="P211" s="231">
        <f t="shared" si="89"/>
        <v>0</v>
      </c>
      <c r="Q211" s="231">
        <v>0</v>
      </c>
      <c r="R211" s="231">
        <v>0</v>
      </c>
      <c r="S211" s="231">
        <v>0</v>
      </c>
      <c r="T211" s="208">
        <v>0</v>
      </c>
      <c r="U211" s="231">
        <v>0</v>
      </c>
      <c r="V211" s="231">
        <v>0</v>
      </c>
      <c r="W211" s="231">
        <v>0</v>
      </c>
      <c r="X211" s="231">
        <v>0</v>
      </c>
      <c r="Y211" s="208">
        <v>0</v>
      </c>
      <c r="Z211" s="231">
        <v>0</v>
      </c>
      <c r="AA211" s="231">
        <v>0</v>
      </c>
      <c r="AB211" s="231">
        <v>0</v>
      </c>
      <c r="AC211" s="231">
        <v>0</v>
      </c>
    </row>
    <row r="212" spans="1:43" s="6" customFormat="1" outlineLevel="1" x14ac:dyDescent="0.25">
      <c r="A212" s="13"/>
      <c r="B212" s="33" t="s">
        <v>1040</v>
      </c>
      <c r="C212" s="391">
        <f t="shared" ref="C212" si="90">E212+J212+O212+T212+Y212</f>
        <v>0</v>
      </c>
      <c r="D212" s="229">
        <f t="shared" ref="D212" si="91">F212+K212+P212+U212+Z212</f>
        <v>98</v>
      </c>
      <c r="E212" s="255">
        <v>0</v>
      </c>
      <c r="F212" s="235">
        <f t="shared" ref="F212" si="92">G212+H212+I212</f>
        <v>98</v>
      </c>
      <c r="G212" s="235">
        <v>0</v>
      </c>
      <c r="H212" s="227">
        <v>93</v>
      </c>
      <c r="I212" s="227">
        <v>5</v>
      </c>
      <c r="J212" s="391">
        <v>0</v>
      </c>
      <c r="K212" s="231">
        <v>0</v>
      </c>
      <c r="L212" s="231">
        <v>0</v>
      </c>
      <c r="M212" s="231">
        <v>0</v>
      </c>
      <c r="N212" s="231">
        <v>0</v>
      </c>
      <c r="O212" s="208">
        <v>0</v>
      </c>
      <c r="P212" s="231">
        <f t="shared" ref="P212" si="93">S212</f>
        <v>0</v>
      </c>
      <c r="Q212" s="231">
        <v>0</v>
      </c>
      <c r="R212" s="231">
        <v>0</v>
      </c>
      <c r="S212" s="231">
        <v>0</v>
      </c>
      <c r="T212" s="208">
        <v>0</v>
      </c>
      <c r="U212" s="231">
        <v>0</v>
      </c>
      <c r="V212" s="231">
        <v>0</v>
      </c>
      <c r="W212" s="231">
        <v>0</v>
      </c>
      <c r="X212" s="231">
        <v>0</v>
      </c>
      <c r="Y212" s="208">
        <v>0</v>
      </c>
      <c r="Z212" s="231">
        <v>0</v>
      </c>
      <c r="AA212" s="231">
        <v>0</v>
      </c>
      <c r="AB212" s="231">
        <v>0</v>
      </c>
      <c r="AC212" s="231">
        <v>0</v>
      </c>
    </row>
    <row r="213" spans="1:43" s="6" customFormat="1" ht="21" customHeight="1" outlineLevel="1" x14ac:dyDescent="0.25">
      <c r="A213" s="455" t="s">
        <v>1258</v>
      </c>
      <c r="B213" s="456"/>
      <c r="C213" s="456"/>
      <c r="D213" s="456"/>
      <c r="E213" s="456"/>
      <c r="F213" s="456"/>
      <c r="G213" s="456"/>
      <c r="H213" s="456"/>
      <c r="I213" s="456"/>
      <c r="J213" s="456"/>
      <c r="K213" s="456"/>
      <c r="L213" s="456"/>
      <c r="M213" s="456"/>
      <c r="N213" s="456"/>
      <c r="O213" s="456"/>
      <c r="P213" s="456"/>
      <c r="Q213" s="456"/>
      <c r="R213" s="456"/>
      <c r="S213" s="456"/>
      <c r="T213" s="456"/>
      <c r="U213" s="456"/>
      <c r="V213" s="456"/>
      <c r="W213" s="456"/>
      <c r="X213" s="456"/>
      <c r="Y213" s="456"/>
      <c r="Z213" s="456"/>
      <c r="AA213" s="456"/>
      <c r="AB213" s="456"/>
      <c r="AC213" s="457"/>
    </row>
    <row r="214" spans="1:43" s="7" customFormat="1" ht="39.75" customHeight="1" outlineLevel="1" x14ac:dyDescent="0.25">
      <c r="A214" s="13" t="s">
        <v>1211</v>
      </c>
      <c r="B214" s="32" t="s">
        <v>1067</v>
      </c>
      <c r="C214" s="226">
        <f t="shared" ref="C214:C224" si="94">E214+J214+O214+T214+Y214</f>
        <v>33.700000000000003</v>
      </c>
      <c r="D214" s="229">
        <f t="shared" ref="D214:D224" si="95">F214+K214+P214+U214+Z214</f>
        <v>80828.600000000006</v>
      </c>
      <c r="E214" s="226">
        <v>33.700000000000003</v>
      </c>
      <c r="F214" s="235">
        <f t="shared" ref="F214:F225" si="96">G214+H214+I214</f>
        <v>80828.600000000006</v>
      </c>
      <c r="G214" s="235">
        <v>0</v>
      </c>
      <c r="H214" s="227">
        <v>76948.800000000003</v>
      </c>
      <c r="I214" s="227">
        <v>3879.8</v>
      </c>
      <c r="J214" s="226">
        <v>0</v>
      </c>
      <c r="K214" s="231">
        <f t="shared" ref="K214:K225" si="97">SUM(L214:N214)</f>
        <v>0</v>
      </c>
      <c r="L214" s="231">
        <v>0</v>
      </c>
      <c r="M214" s="231">
        <v>0</v>
      </c>
      <c r="N214" s="231">
        <v>0</v>
      </c>
      <c r="O214" s="208">
        <v>0</v>
      </c>
      <c r="P214" s="231">
        <f t="shared" ref="P214:P225" si="98">Q214+R214+S214</f>
        <v>0</v>
      </c>
      <c r="Q214" s="231">
        <v>0</v>
      </c>
      <c r="R214" s="231">
        <v>0</v>
      </c>
      <c r="S214" s="231">
        <v>0</v>
      </c>
      <c r="T214" s="208">
        <v>0</v>
      </c>
      <c r="U214" s="231">
        <f t="shared" ref="U214:U225" si="99">V214+W214+X214</f>
        <v>0</v>
      </c>
      <c r="V214" s="231">
        <v>0</v>
      </c>
      <c r="W214" s="231">
        <v>0</v>
      </c>
      <c r="X214" s="231">
        <v>0</v>
      </c>
      <c r="Y214" s="208">
        <v>0</v>
      </c>
      <c r="Z214" s="231">
        <f t="shared" ref="Z214:Z225" si="100">AA214+AB214+AC214</f>
        <v>0</v>
      </c>
      <c r="AA214" s="231">
        <v>0</v>
      </c>
      <c r="AB214" s="231">
        <v>0</v>
      </c>
      <c r="AC214" s="231">
        <v>0</v>
      </c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</row>
    <row r="215" spans="1:43" s="6" customFormat="1" ht="51" customHeight="1" outlineLevel="1" x14ac:dyDescent="0.25">
      <c r="A215" s="13" t="s">
        <v>1212</v>
      </c>
      <c r="B215" s="33" t="s">
        <v>986</v>
      </c>
      <c r="C215" s="226">
        <f t="shared" si="94"/>
        <v>14.33</v>
      </c>
      <c r="D215" s="229">
        <f t="shared" si="95"/>
        <v>31918.699999999997</v>
      </c>
      <c r="E215" s="255">
        <v>14.33</v>
      </c>
      <c r="F215" s="235">
        <f t="shared" si="96"/>
        <v>31918.699999999997</v>
      </c>
      <c r="G215" s="235">
        <v>0</v>
      </c>
      <c r="H215" s="227">
        <v>30386.6</v>
      </c>
      <c r="I215" s="235">
        <v>1532.1</v>
      </c>
      <c r="J215" s="226">
        <v>0</v>
      </c>
      <c r="K215" s="231">
        <f t="shared" si="97"/>
        <v>0</v>
      </c>
      <c r="L215" s="231">
        <v>0</v>
      </c>
      <c r="M215" s="231">
        <v>0</v>
      </c>
      <c r="N215" s="231">
        <v>0</v>
      </c>
      <c r="O215" s="208">
        <v>0</v>
      </c>
      <c r="P215" s="231">
        <f t="shared" si="98"/>
        <v>0</v>
      </c>
      <c r="Q215" s="231">
        <v>0</v>
      </c>
      <c r="R215" s="231">
        <v>0</v>
      </c>
      <c r="S215" s="231">
        <v>0</v>
      </c>
      <c r="T215" s="208">
        <v>0</v>
      </c>
      <c r="U215" s="231">
        <f t="shared" si="99"/>
        <v>0</v>
      </c>
      <c r="V215" s="231">
        <v>0</v>
      </c>
      <c r="W215" s="231">
        <v>0</v>
      </c>
      <c r="X215" s="231">
        <v>0</v>
      </c>
      <c r="Y215" s="208">
        <v>0</v>
      </c>
      <c r="Z215" s="231">
        <f t="shared" si="100"/>
        <v>0</v>
      </c>
      <c r="AA215" s="231">
        <v>0</v>
      </c>
      <c r="AB215" s="231">
        <v>0</v>
      </c>
      <c r="AC215" s="231">
        <v>0</v>
      </c>
    </row>
    <row r="216" spans="1:43" s="7" customFormat="1" ht="75" customHeight="1" outlineLevel="1" x14ac:dyDescent="0.25">
      <c r="A216" s="13" t="s">
        <v>1213</v>
      </c>
      <c r="B216" s="32" t="s">
        <v>1068</v>
      </c>
      <c r="C216" s="226">
        <f t="shared" si="94"/>
        <v>12.3</v>
      </c>
      <c r="D216" s="229">
        <f t="shared" si="95"/>
        <v>24717.800000000003</v>
      </c>
      <c r="E216" s="261">
        <v>12.3</v>
      </c>
      <c r="F216" s="235">
        <f t="shared" si="96"/>
        <v>24717.800000000003</v>
      </c>
      <c r="G216" s="235">
        <v>0</v>
      </c>
      <c r="H216" s="227">
        <v>23531.4</v>
      </c>
      <c r="I216" s="227">
        <v>1186.4000000000001</v>
      </c>
      <c r="J216" s="226">
        <v>0</v>
      </c>
      <c r="K216" s="231">
        <f t="shared" si="97"/>
        <v>0</v>
      </c>
      <c r="L216" s="231">
        <v>0</v>
      </c>
      <c r="M216" s="231">
        <v>0</v>
      </c>
      <c r="N216" s="231">
        <v>0</v>
      </c>
      <c r="O216" s="208">
        <v>0</v>
      </c>
      <c r="P216" s="231">
        <f t="shared" si="98"/>
        <v>0</v>
      </c>
      <c r="Q216" s="231">
        <v>0</v>
      </c>
      <c r="R216" s="231">
        <v>0</v>
      </c>
      <c r="S216" s="231">
        <v>0</v>
      </c>
      <c r="T216" s="208">
        <v>0</v>
      </c>
      <c r="U216" s="231">
        <f t="shared" si="99"/>
        <v>0</v>
      </c>
      <c r="V216" s="231">
        <v>0</v>
      </c>
      <c r="W216" s="231">
        <v>0</v>
      </c>
      <c r="X216" s="231">
        <v>0</v>
      </c>
      <c r="Y216" s="208">
        <v>0</v>
      </c>
      <c r="Z216" s="231">
        <f t="shared" si="100"/>
        <v>0</v>
      </c>
      <c r="AA216" s="231">
        <v>0</v>
      </c>
      <c r="AB216" s="231">
        <v>0</v>
      </c>
      <c r="AC216" s="231">
        <v>0</v>
      </c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</row>
    <row r="217" spans="1:43" s="7" customFormat="1" ht="78" customHeight="1" outlineLevel="1" x14ac:dyDescent="0.25">
      <c r="A217" s="13" t="s">
        <v>1214</v>
      </c>
      <c r="B217" s="32" t="s">
        <v>1069</v>
      </c>
      <c r="C217" s="226">
        <f t="shared" si="94"/>
        <v>39.11</v>
      </c>
      <c r="D217" s="229">
        <f t="shared" si="95"/>
        <v>90457.799999999988</v>
      </c>
      <c r="E217" s="261">
        <v>39.11</v>
      </c>
      <c r="F217" s="235">
        <f t="shared" si="96"/>
        <v>90457.799999999988</v>
      </c>
      <c r="G217" s="235">
        <v>0</v>
      </c>
      <c r="H217" s="227">
        <v>86115.9</v>
      </c>
      <c r="I217" s="227">
        <v>4341.8999999999996</v>
      </c>
      <c r="J217" s="226">
        <v>0</v>
      </c>
      <c r="K217" s="231">
        <f t="shared" si="97"/>
        <v>0</v>
      </c>
      <c r="L217" s="231">
        <v>0</v>
      </c>
      <c r="M217" s="231">
        <v>0</v>
      </c>
      <c r="N217" s="231">
        <v>0</v>
      </c>
      <c r="O217" s="208">
        <v>0</v>
      </c>
      <c r="P217" s="231">
        <f t="shared" si="98"/>
        <v>0</v>
      </c>
      <c r="Q217" s="231">
        <v>0</v>
      </c>
      <c r="R217" s="231">
        <v>0</v>
      </c>
      <c r="S217" s="231">
        <v>0</v>
      </c>
      <c r="T217" s="208">
        <v>0</v>
      </c>
      <c r="U217" s="231">
        <f t="shared" si="99"/>
        <v>0</v>
      </c>
      <c r="V217" s="231">
        <v>0</v>
      </c>
      <c r="W217" s="231">
        <v>0</v>
      </c>
      <c r="X217" s="231">
        <v>0</v>
      </c>
      <c r="Y217" s="208">
        <v>0</v>
      </c>
      <c r="Z217" s="231">
        <f t="shared" si="100"/>
        <v>0</v>
      </c>
      <c r="AA217" s="231">
        <v>0</v>
      </c>
      <c r="AB217" s="231">
        <v>0</v>
      </c>
      <c r="AC217" s="231">
        <v>0</v>
      </c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</row>
    <row r="218" spans="1:43" s="6" customFormat="1" ht="27" customHeight="1" outlineLevel="1" x14ac:dyDescent="0.25">
      <c r="A218" s="13" t="s">
        <v>1215</v>
      </c>
      <c r="B218" s="33" t="s">
        <v>992</v>
      </c>
      <c r="C218" s="226">
        <f t="shared" si="94"/>
        <v>6.66</v>
      </c>
      <c r="D218" s="229">
        <f t="shared" si="95"/>
        <v>14297.699999999999</v>
      </c>
      <c r="E218" s="255">
        <v>6.66</v>
      </c>
      <c r="F218" s="235">
        <f t="shared" si="96"/>
        <v>14297.699999999999</v>
      </c>
      <c r="G218" s="235">
        <v>0</v>
      </c>
      <c r="H218" s="227">
        <v>13611.4</v>
      </c>
      <c r="I218" s="235">
        <v>686.3</v>
      </c>
      <c r="J218" s="226">
        <v>0</v>
      </c>
      <c r="K218" s="231">
        <f t="shared" si="97"/>
        <v>0</v>
      </c>
      <c r="L218" s="231">
        <v>0</v>
      </c>
      <c r="M218" s="231">
        <v>0</v>
      </c>
      <c r="N218" s="231">
        <v>0</v>
      </c>
      <c r="O218" s="208">
        <v>0</v>
      </c>
      <c r="P218" s="231">
        <f t="shared" si="98"/>
        <v>0</v>
      </c>
      <c r="Q218" s="231">
        <v>0</v>
      </c>
      <c r="R218" s="231">
        <v>0</v>
      </c>
      <c r="S218" s="231">
        <v>0</v>
      </c>
      <c r="T218" s="208">
        <v>0</v>
      </c>
      <c r="U218" s="231">
        <f t="shared" si="99"/>
        <v>0</v>
      </c>
      <c r="V218" s="231">
        <v>0</v>
      </c>
      <c r="W218" s="231">
        <v>0</v>
      </c>
      <c r="X218" s="231">
        <v>0</v>
      </c>
      <c r="Y218" s="208">
        <v>0</v>
      </c>
      <c r="Z218" s="231">
        <f t="shared" si="100"/>
        <v>0</v>
      </c>
      <c r="AA218" s="231">
        <v>0</v>
      </c>
      <c r="AB218" s="231">
        <v>0</v>
      </c>
      <c r="AC218" s="231">
        <v>0</v>
      </c>
    </row>
    <row r="219" spans="1:43" s="7" customFormat="1" ht="40.200000000000003" customHeight="1" outlineLevel="1" x14ac:dyDescent="0.25">
      <c r="A219" s="13" t="s">
        <v>1216</v>
      </c>
      <c r="B219" s="32" t="s">
        <v>1070</v>
      </c>
      <c r="C219" s="226">
        <f t="shared" si="94"/>
        <v>26.66</v>
      </c>
      <c r="D219" s="229">
        <f t="shared" si="95"/>
        <v>67372.899999999994</v>
      </c>
      <c r="E219" s="261">
        <v>26.66</v>
      </c>
      <c r="F219" s="235">
        <f t="shared" si="96"/>
        <v>67372.899999999994</v>
      </c>
      <c r="G219" s="235">
        <v>0</v>
      </c>
      <c r="H219" s="227">
        <v>64139</v>
      </c>
      <c r="I219" s="227">
        <v>3233.9</v>
      </c>
      <c r="J219" s="226">
        <v>0</v>
      </c>
      <c r="K219" s="231">
        <f t="shared" si="97"/>
        <v>0</v>
      </c>
      <c r="L219" s="231">
        <v>0</v>
      </c>
      <c r="M219" s="231">
        <v>0</v>
      </c>
      <c r="N219" s="231">
        <v>0</v>
      </c>
      <c r="O219" s="208">
        <v>0</v>
      </c>
      <c r="P219" s="231">
        <f t="shared" si="98"/>
        <v>0</v>
      </c>
      <c r="Q219" s="231">
        <v>0</v>
      </c>
      <c r="R219" s="231">
        <v>0</v>
      </c>
      <c r="S219" s="231">
        <v>0</v>
      </c>
      <c r="T219" s="208">
        <v>0</v>
      </c>
      <c r="U219" s="231">
        <f t="shared" si="99"/>
        <v>0</v>
      </c>
      <c r="V219" s="231">
        <v>0</v>
      </c>
      <c r="W219" s="231">
        <v>0</v>
      </c>
      <c r="X219" s="231">
        <v>0</v>
      </c>
      <c r="Y219" s="208">
        <v>0</v>
      </c>
      <c r="Z219" s="231">
        <f t="shared" si="100"/>
        <v>0</v>
      </c>
      <c r="AA219" s="231">
        <v>0</v>
      </c>
      <c r="AB219" s="231">
        <v>0</v>
      </c>
      <c r="AC219" s="231">
        <v>0</v>
      </c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</row>
    <row r="220" spans="1:43" s="7" customFormat="1" ht="40.950000000000003" customHeight="1" outlineLevel="1" x14ac:dyDescent="0.25">
      <c r="A220" s="13" t="s">
        <v>1217</v>
      </c>
      <c r="B220" s="32" t="s">
        <v>988</v>
      </c>
      <c r="C220" s="226">
        <f t="shared" si="94"/>
        <v>51.6</v>
      </c>
      <c r="D220" s="229">
        <f t="shared" si="95"/>
        <v>107447.6</v>
      </c>
      <c r="E220" s="261">
        <v>51.6</v>
      </c>
      <c r="F220" s="235">
        <f t="shared" si="96"/>
        <v>107447.6</v>
      </c>
      <c r="G220" s="235">
        <v>0</v>
      </c>
      <c r="H220" s="227">
        <v>102290.1</v>
      </c>
      <c r="I220" s="227">
        <v>5157.5</v>
      </c>
      <c r="J220" s="226">
        <v>0</v>
      </c>
      <c r="K220" s="231">
        <f t="shared" si="97"/>
        <v>0</v>
      </c>
      <c r="L220" s="231">
        <v>0</v>
      </c>
      <c r="M220" s="231">
        <v>0</v>
      </c>
      <c r="N220" s="231">
        <v>0</v>
      </c>
      <c r="O220" s="208">
        <v>0</v>
      </c>
      <c r="P220" s="231">
        <f t="shared" si="98"/>
        <v>0</v>
      </c>
      <c r="Q220" s="231">
        <v>0</v>
      </c>
      <c r="R220" s="231">
        <v>0</v>
      </c>
      <c r="S220" s="231">
        <v>0</v>
      </c>
      <c r="T220" s="208">
        <v>0</v>
      </c>
      <c r="U220" s="231">
        <f t="shared" si="99"/>
        <v>0</v>
      </c>
      <c r="V220" s="231">
        <v>0</v>
      </c>
      <c r="W220" s="231">
        <v>0</v>
      </c>
      <c r="X220" s="231">
        <v>0</v>
      </c>
      <c r="Y220" s="208">
        <v>0</v>
      </c>
      <c r="Z220" s="231">
        <f t="shared" si="100"/>
        <v>0</v>
      </c>
      <c r="AA220" s="231">
        <v>0</v>
      </c>
      <c r="AB220" s="231">
        <v>0</v>
      </c>
      <c r="AC220" s="231">
        <v>0</v>
      </c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</row>
    <row r="221" spans="1:43" s="7" customFormat="1" ht="40.5" customHeight="1" outlineLevel="1" x14ac:dyDescent="0.25">
      <c r="A221" s="13" t="s">
        <v>1218</v>
      </c>
      <c r="B221" s="32" t="s">
        <v>1071</v>
      </c>
      <c r="C221" s="226">
        <f t="shared" si="94"/>
        <v>29.7</v>
      </c>
      <c r="D221" s="229">
        <f t="shared" si="95"/>
        <v>77014.7</v>
      </c>
      <c r="E221" s="226">
        <v>29.7</v>
      </c>
      <c r="F221" s="235">
        <f t="shared" si="96"/>
        <v>77014.7</v>
      </c>
      <c r="G221" s="235">
        <v>0</v>
      </c>
      <c r="H221" s="227">
        <v>73317.899999999994</v>
      </c>
      <c r="I221" s="227">
        <v>3696.8</v>
      </c>
      <c r="J221" s="226">
        <v>0</v>
      </c>
      <c r="K221" s="231">
        <f t="shared" si="97"/>
        <v>0</v>
      </c>
      <c r="L221" s="231">
        <v>0</v>
      </c>
      <c r="M221" s="231">
        <v>0</v>
      </c>
      <c r="N221" s="231">
        <v>0</v>
      </c>
      <c r="O221" s="208">
        <v>0</v>
      </c>
      <c r="P221" s="231">
        <f t="shared" si="98"/>
        <v>0</v>
      </c>
      <c r="Q221" s="231">
        <v>0</v>
      </c>
      <c r="R221" s="231">
        <v>0</v>
      </c>
      <c r="S221" s="231">
        <v>0</v>
      </c>
      <c r="T221" s="208">
        <v>0</v>
      </c>
      <c r="U221" s="231">
        <f t="shared" si="99"/>
        <v>0</v>
      </c>
      <c r="V221" s="231">
        <v>0</v>
      </c>
      <c r="W221" s="231">
        <v>0</v>
      </c>
      <c r="X221" s="231">
        <v>0</v>
      </c>
      <c r="Y221" s="208">
        <v>0</v>
      </c>
      <c r="Z221" s="231">
        <f t="shared" si="100"/>
        <v>0</v>
      </c>
      <c r="AA221" s="231">
        <v>0</v>
      </c>
      <c r="AB221" s="231">
        <v>0</v>
      </c>
      <c r="AC221" s="231">
        <v>0</v>
      </c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</row>
    <row r="222" spans="1:43" s="7" customFormat="1" ht="28.95" customHeight="1" outlineLevel="1" x14ac:dyDescent="0.25">
      <c r="A222" s="13" t="s">
        <v>1219</v>
      </c>
      <c r="B222" s="32" t="s">
        <v>1072</v>
      </c>
      <c r="C222" s="226">
        <f t="shared" si="94"/>
        <v>32.51</v>
      </c>
      <c r="D222" s="229">
        <f t="shared" si="95"/>
        <v>79586.899999999994</v>
      </c>
      <c r="E222" s="261">
        <v>32.51</v>
      </c>
      <c r="F222" s="235">
        <f t="shared" si="96"/>
        <v>79586.899999999994</v>
      </c>
      <c r="G222" s="235">
        <v>0</v>
      </c>
      <c r="H222" s="227">
        <v>75766.7</v>
      </c>
      <c r="I222" s="227">
        <v>3820.2</v>
      </c>
      <c r="J222" s="226">
        <v>0</v>
      </c>
      <c r="K222" s="231">
        <f t="shared" si="97"/>
        <v>0</v>
      </c>
      <c r="L222" s="231">
        <v>0</v>
      </c>
      <c r="M222" s="231">
        <v>0</v>
      </c>
      <c r="N222" s="231">
        <v>0</v>
      </c>
      <c r="O222" s="208">
        <v>0</v>
      </c>
      <c r="P222" s="231">
        <f t="shared" si="98"/>
        <v>0</v>
      </c>
      <c r="Q222" s="231">
        <v>0</v>
      </c>
      <c r="R222" s="231">
        <v>0</v>
      </c>
      <c r="S222" s="231">
        <v>0</v>
      </c>
      <c r="T222" s="208">
        <v>0</v>
      </c>
      <c r="U222" s="231">
        <f t="shared" si="99"/>
        <v>0</v>
      </c>
      <c r="V222" s="231">
        <v>0</v>
      </c>
      <c r="W222" s="231">
        <v>0</v>
      </c>
      <c r="X222" s="231">
        <v>0</v>
      </c>
      <c r="Y222" s="208">
        <v>0</v>
      </c>
      <c r="Z222" s="231">
        <f t="shared" si="100"/>
        <v>0</v>
      </c>
      <c r="AA222" s="231">
        <v>0</v>
      </c>
      <c r="AB222" s="231">
        <v>0</v>
      </c>
      <c r="AC222" s="231">
        <v>0</v>
      </c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</row>
    <row r="223" spans="1:43" s="6" customFormat="1" ht="34.950000000000003" customHeight="1" outlineLevel="1" x14ac:dyDescent="0.25">
      <c r="A223" s="13" t="s">
        <v>1220</v>
      </c>
      <c r="B223" s="33" t="s">
        <v>1073</v>
      </c>
      <c r="C223" s="226">
        <f t="shared" si="94"/>
        <v>2.0699999999999998</v>
      </c>
      <c r="D223" s="229">
        <f t="shared" si="95"/>
        <v>4472.5999999999995</v>
      </c>
      <c r="E223" s="255">
        <v>2.0699999999999998</v>
      </c>
      <c r="F223" s="235">
        <f t="shared" si="96"/>
        <v>4472.5999999999995</v>
      </c>
      <c r="G223" s="235">
        <v>0</v>
      </c>
      <c r="H223" s="227">
        <v>4257.8999999999996</v>
      </c>
      <c r="I223" s="235">
        <v>214.7</v>
      </c>
      <c r="J223" s="226">
        <v>0</v>
      </c>
      <c r="K223" s="231">
        <f t="shared" si="97"/>
        <v>0</v>
      </c>
      <c r="L223" s="231">
        <v>0</v>
      </c>
      <c r="M223" s="231">
        <v>0</v>
      </c>
      <c r="N223" s="231">
        <v>0</v>
      </c>
      <c r="O223" s="208">
        <v>0</v>
      </c>
      <c r="P223" s="231">
        <f t="shared" si="98"/>
        <v>0</v>
      </c>
      <c r="Q223" s="231">
        <v>0</v>
      </c>
      <c r="R223" s="231">
        <v>0</v>
      </c>
      <c r="S223" s="231">
        <v>0</v>
      </c>
      <c r="T223" s="208">
        <v>0</v>
      </c>
      <c r="U223" s="231">
        <f t="shared" si="99"/>
        <v>0</v>
      </c>
      <c r="V223" s="231">
        <v>0</v>
      </c>
      <c r="W223" s="231">
        <v>0</v>
      </c>
      <c r="X223" s="231">
        <v>0</v>
      </c>
      <c r="Y223" s="208">
        <v>0</v>
      </c>
      <c r="Z223" s="231">
        <f t="shared" si="100"/>
        <v>0</v>
      </c>
      <c r="AA223" s="231">
        <v>0</v>
      </c>
      <c r="AB223" s="231">
        <v>0</v>
      </c>
      <c r="AC223" s="231">
        <v>0</v>
      </c>
    </row>
    <row r="224" spans="1:43" s="6" customFormat="1" ht="61.5" customHeight="1" outlineLevel="1" x14ac:dyDescent="0.25">
      <c r="A224" s="13" t="s">
        <v>1221</v>
      </c>
      <c r="B224" s="33" t="s">
        <v>990</v>
      </c>
      <c r="C224" s="226">
        <f t="shared" si="94"/>
        <v>45.6</v>
      </c>
      <c r="D224" s="229">
        <f t="shared" si="95"/>
        <v>110398.20000000001</v>
      </c>
      <c r="E224" s="255">
        <v>45.6</v>
      </c>
      <c r="F224" s="235">
        <f t="shared" si="96"/>
        <v>110398.20000000001</v>
      </c>
      <c r="G224" s="235">
        <v>0</v>
      </c>
      <c r="H224" s="227">
        <v>105099.1</v>
      </c>
      <c r="I224" s="235">
        <v>5299.1</v>
      </c>
      <c r="J224" s="226">
        <v>0</v>
      </c>
      <c r="K224" s="231">
        <f t="shared" si="97"/>
        <v>0</v>
      </c>
      <c r="L224" s="231">
        <v>0</v>
      </c>
      <c r="M224" s="231">
        <v>0</v>
      </c>
      <c r="N224" s="231">
        <v>0</v>
      </c>
      <c r="O224" s="208">
        <v>0</v>
      </c>
      <c r="P224" s="231">
        <f t="shared" si="98"/>
        <v>0</v>
      </c>
      <c r="Q224" s="231">
        <v>0</v>
      </c>
      <c r="R224" s="231">
        <v>0</v>
      </c>
      <c r="S224" s="231">
        <v>0</v>
      </c>
      <c r="T224" s="208">
        <v>0</v>
      </c>
      <c r="U224" s="231">
        <f t="shared" si="99"/>
        <v>0</v>
      </c>
      <c r="V224" s="231">
        <v>0</v>
      </c>
      <c r="W224" s="231">
        <v>0</v>
      </c>
      <c r="X224" s="231">
        <v>0</v>
      </c>
      <c r="Y224" s="208">
        <v>0</v>
      </c>
      <c r="Z224" s="231">
        <f t="shared" si="100"/>
        <v>0</v>
      </c>
      <c r="AA224" s="231">
        <v>0</v>
      </c>
      <c r="AB224" s="231">
        <v>0</v>
      </c>
      <c r="AC224" s="231">
        <v>0</v>
      </c>
    </row>
    <row r="225" spans="1:29" s="6" customFormat="1" ht="41.4" customHeight="1" outlineLevel="1" x14ac:dyDescent="0.25">
      <c r="A225" s="13" t="s">
        <v>1222</v>
      </c>
      <c r="B225" s="33" t="s">
        <v>987</v>
      </c>
      <c r="C225" s="226">
        <f t="shared" ref="C225:D225" si="101">E225+J225+O225+T225+Y225</f>
        <v>1.59</v>
      </c>
      <c r="D225" s="229">
        <f t="shared" si="101"/>
        <v>5354.7</v>
      </c>
      <c r="E225" s="255">
        <v>1.59</v>
      </c>
      <c r="F225" s="235">
        <f t="shared" si="96"/>
        <v>5354.7</v>
      </c>
      <c r="G225" s="235">
        <v>0</v>
      </c>
      <c r="H225" s="227">
        <v>5097.7</v>
      </c>
      <c r="I225" s="235">
        <v>257</v>
      </c>
      <c r="J225" s="226">
        <v>0</v>
      </c>
      <c r="K225" s="231">
        <f t="shared" si="97"/>
        <v>0</v>
      </c>
      <c r="L225" s="231">
        <v>0</v>
      </c>
      <c r="M225" s="231">
        <v>0</v>
      </c>
      <c r="N225" s="231">
        <v>0</v>
      </c>
      <c r="O225" s="208">
        <v>0</v>
      </c>
      <c r="P225" s="231">
        <f t="shared" si="98"/>
        <v>0</v>
      </c>
      <c r="Q225" s="231">
        <v>0</v>
      </c>
      <c r="R225" s="231">
        <v>0</v>
      </c>
      <c r="S225" s="231">
        <v>0</v>
      </c>
      <c r="T225" s="208">
        <v>0</v>
      </c>
      <c r="U225" s="231">
        <f t="shared" si="99"/>
        <v>0</v>
      </c>
      <c r="V225" s="231">
        <v>0</v>
      </c>
      <c r="W225" s="231">
        <v>0</v>
      </c>
      <c r="X225" s="231">
        <v>0</v>
      </c>
      <c r="Y225" s="208">
        <v>0</v>
      </c>
      <c r="Z225" s="231">
        <f t="shared" si="100"/>
        <v>0</v>
      </c>
      <c r="AA225" s="231">
        <v>0</v>
      </c>
      <c r="AB225" s="231">
        <v>0</v>
      </c>
      <c r="AC225" s="231">
        <v>0</v>
      </c>
    </row>
    <row r="226" spans="1:29" s="6" customFormat="1" ht="24" outlineLevel="1" x14ac:dyDescent="0.25">
      <c r="A226" s="13" t="s">
        <v>1223</v>
      </c>
      <c r="B226" s="33" t="s">
        <v>1261</v>
      </c>
      <c r="C226" s="391">
        <f t="shared" ref="C226:C232" si="102">E226+J226+O226+T226+Y226</f>
        <v>0</v>
      </c>
      <c r="D226" s="229">
        <f t="shared" ref="D226:D232" si="103">F226+K226+P226+U226+Z226</f>
        <v>91042</v>
      </c>
      <c r="E226" s="255">
        <v>0</v>
      </c>
      <c r="F226" s="235">
        <f t="shared" ref="F226:F232" si="104">G226+H226+I226</f>
        <v>0</v>
      </c>
      <c r="G226" s="235">
        <v>0</v>
      </c>
      <c r="H226" s="227">
        <v>0</v>
      </c>
      <c r="I226" s="227">
        <v>0</v>
      </c>
      <c r="J226" s="391">
        <v>0</v>
      </c>
      <c r="K226" s="231">
        <f t="shared" ref="K226:K232" si="105">SUM(L226:N226)</f>
        <v>91042</v>
      </c>
      <c r="L226" s="231">
        <v>0</v>
      </c>
      <c r="M226" s="231">
        <v>87318</v>
      </c>
      <c r="N226" s="231">
        <v>3724</v>
      </c>
      <c r="O226" s="208">
        <v>0</v>
      </c>
      <c r="P226" s="231">
        <f t="shared" ref="P226:P232" si="106">Q226+R226+S226</f>
        <v>0</v>
      </c>
      <c r="Q226" s="231">
        <v>0</v>
      </c>
      <c r="R226" s="231">
        <v>0</v>
      </c>
      <c r="S226" s="231">
        <v>0</v>
      </c>
      <c r="T226" s="208">
        <v>0</v>
      </c>
      <c r="U226" s="231">
        <f t="shared" ref="U226:U232" si="107">V226+W226+X226</f>
        <v>0</v>
      </c>
      <c r="V226" s="231">
        <v>0</v>
      </c>
      <c r="W226" s="231">
        <v>0</v>
      </c>
      <c r="X226" s="231">
        <v>0</v>
      </c>
      <c r="Y226" s="208">
        <v>0</v>
      </c>
      <c r="Z226" s="231">
        <f t="shared" ref="Z226:Z232" si="108">AA226+AB226+AC226</f>
        <v>0</v>
      </c>
      <c r="AA226" s="231">
        <v>0</v>
      </c>
      <c r="AB226" s="231">
        <v>0</v>
      </c>
      <c r="AC226" s="231">
        <v>0</v>
      </c>
    </row>
    <row r="227" spans="1:29" s="6" customFormat="1" ht="24" outlineLevel="1" x14ac:dyDescent="0.25">
      <c r="A227" s="13" t="s">
        <v>1224</v>
      </c>
      <c r="B227" s="33" t="s">
        <v>1262</v>
      </c>
      <c r="C227" s="391">
        <f t="shared" si="102"/>
        <v>2.2000000000000002</v>
      </c>
      <c r="D227" s="229">
        <f t="shared" si="103"/>
        <v>55660</v>
      </c>
      <c r="E227" s="255">
        <v>0</v>
      </c>
      <c r="F227" s="235">
        <f t="shared" si="104"/>
        <v>0</v>
      </c>
      <c r="G227" s="235">
        <v>0</v>
      </c>
      <c r="H227" s="227">
        <v>0</v>
      </c>
      <c r="I227" s="227">
        <v>0</v>
      </c>
      <c r="J227" s="391">
        <v>2.2000000000000002</v>
      </c>
      <c r="K227" s="231">
        <f t="shared" si="105"/>
        <v>55660</v>
      </c>
      <c r="L227" s="231">
        <v>0</v>
      </c>
      <c r="M227" s="231">
        <v>53036</v>
      </c>
      <c r="N227" s="231">
        <v>2624</v>
      </c>
      <c r="O227" s="208">
        <v>0</v>
      </c>
      <c r="P227" s="231">
        <f t="shared" si="106"/>
        <v>0</v>
      </c>
      <c r="Q227" s="231">
        <v>0</v>
      </c>
      <c r="R227" s="231">
        <v>0</v>
      </c>
      <c r="S227" s="231">
        <v>0</v>
      </c>
      <c r="T227" s="208">
        <v>0</v>
      </c>
      <c r="U227" s="231">
        <f t="shared" si="107"/>
        <v>0</v>
      </c>
      <c r="V227" s="231">
        <v>0</v>
      </c>
      <c r="W227" s="231">
        <v>0</v>
      </c>
      <c r="X227" s="231">
        <v>0</v>
      </c>
      <c r="Y227" s="208">
        <v>0</v>
      </c>
      <c r="Z227" s="231">
        <f t="shared" si="108"/>
        <v>0</v>
      </c>
      <c r="AA227" s="231">
        <v>0</v>
      </c>
      <c r="AB227" s="231">
        <v>0</v>
      </c>
      <c r="AC227" s="231">
        <v>0</v>
      </c>
    </row>
    <row r="228" spans="1:29" s="6" customFormat="1" ht="24" outlineLevel="1" x14ac:dyDescent="0.25">
      <c r="A228" s="13" t="s">
        <v>1275</v>
      </c>
      <c r="B228" s="33" t="s">
        <v>1263</v>
      </c>
      <c r="C228" s="391">
        <f t="shared" si="102"/>
        <v>2.2999999999999998</v>
      </c>
      <c r="D228" s="229">
        <f t="shared" si="103"/>
        <v>138201</v>
      </c>
      <c r="E228" s="255">
        <v>0</v>
      </c>
      <c r="F228" s="235">
        <f t="shared" si="104"/>
        <v>0</v>
      </c>
      <c r="G228" s="235">
        <v>0</v>
      </c>
      <c r="H228" s="227">
        <v>0</v>
      </c>
      <c r="I228" s="227">
        <v>0</v>
      </c>
      <c r="J228" s="391">
        <v>2.2999999999999998</v>
      </c>
      <c r="K228" s="231">
        <f t="shared" si="105"/>
        <v>138201</v>
      </c>
      <c r="L228" s="231">
        <v>0</v>
      </c>
      <c r="M228" s="231">
        <v>133137</v>
      </c>
      <c r="N228" s="231">
        <v>5064</v>
      </c>
      <c r="O228" s="208">
        <v>0</v>
      </c>
      <c r="P228" s="231">
        <f t="shared" si="106"/>
        <v>0</v>
      </c>
      <c r="Q228" s="231">
        <v>0</v>
      </c>
      <c r="R228" s="231">
        <v>0</v>
      </c>
      <c r="S228" s="231">
        <v>0</v>
      </c>
      <c r="T228" s="208">
        <v>0</v>
      </c>
      <c r="U228" s="231">
        <f t="shared" si="107"/>
        <v>0</v>
      </c>
      <c r="V228" s="231">
        <v>0</v>
      </c>
      <c r="W228" s="231">
        <v>0</v>
      </c>
      <c r="X228" s="231">
        <v>0</v>
      </c>
      <c r="Y228" s="208">
        <v>0</v>
      </c>
      <c r="Z228" s="231">
        <f t="shared" si="108"/>
        <v>0</v>
      </c>
      <c r="AA228" s="231">
        <v>0</v>
      </c>
      <c r="AB228" s="231">
        <v>0</v>
      </c>
      <c r="AC228" s="231">
        <v>0</v>
      </c>
    </row>
    <row r="229" spans="1:29" s="6" customFormat="1" ht="24" outlineLevel="1" x14ac:dyDescent="0.25">
      <c r="A229" s="13" t="s">
        <v>1276</v>
      </c>
      <c r="B229" s="33" t="s">
        <v>1264</v>
      </c>
      <c r="C229" s="391">
        <f t="shared" si="102"/>
        <v>2.2000000000000002</v>
      </c>
      <c r="D229" s="229">
        <f t="shared" si="103"/>
        <v>22698</v>
      </c>
      <c r="E229" s="255">
        <v>0</v>
      </c>
      <c r="F229" s="235">
        <f t="shared" si="104"/>
        <v>0</v>
      </c>
      <c r="G229" s="235">
        <v>0</v>
      </c>
      <c r="H229" s="227">
        <v>0</v>
      </c>
      <c r="I229" s="227">
        <v>0</v>
      </c>
      <c r="J229" s="391">
        <v>2.2000000000000002</v>
      </c>
      <c r="K229" s="231">
        <f t="shared" si="105"/>
        <v>22698</v>
      </c>
      <c r="L229" s="231">
        <v>0</v>
      </c>
      <c r="M229" s="231">
        <v>21633</v>
      </c>
      <c r="N229" s="231">
        <v>1065</v>
      </c>
      <c r="O229" s="208">
        <v>0</v>
      </c>
      <c r="P229" s="231">
        <f t="shared" si="106"/>
        <v>0</v>
      </c>
      <c r="Q229" s="231">
        <v>0</v>
      </c>
      <c r="R229" s="231">
        <v>0</v>
      </c>
      <c r="S229" s="231">
        <v>0</v>
      </c>
      <c r="T229" s="208">
        <v>0</v>
      </c>
      <c r="U229" s="231">
        <f t="shared" si="107"/>
        <v>0</v>
      </c>
      <c r="V229" s="231">
        <v>0</v>
      </c>
      <c r="W229" s="231">
        <v>0</v>
      </c>
      <c r="X229" s="231">
        <v>0</v>
      </c>
      <c r="Y229" s="208">
        <v>0</v>
      </c>
      <c r="Z229" s="231">
        <f t="shared" si="108"/>
        <v>0</v>
      </c>
      <c r="AA229" s="231">
        <v>0</v>
      </c>
      <c r="AB229" s="231">
        <v>0</v>
      </c>
      <c r="AC229" s="231">
        <v>0</v>
      </c>
    </row>
    <row r="230" spans="1:29" s="6" customFormat="1" ht="24" outlineLevel="1" x14ac:dyDescent="0.25">
      <c r="A230" s="13" t="s">
        <v>1277</v>
      </c>
      <c r="B230" s="33" t="s">
        <v>1265</v>
      </c>
      <c r="C230" s="391">
        <f t="shared" si="102"/>
        <v>2.2999999999999998</v>
      </c>
      <c r="D230" s="229">
        <f t="shared" si="103"/>
        <v>78925</v>
      </c>
      <c r="E230" s="255">
        <v>0</v>
      </c>
      <c r="F230" s="235">
        <f t="shared" si="104"/>
        <v>0</v>
      </c>
      <c r="G230" s="235">
        <v>0</v>
      </c>
      <c r="H230" s="227">
        <v>0</v>
      </c>
      <c r="I230" s="227">
        <v>0</v>
      </c>
      <c r="J230" s="391">
        <v>2.2999999999999998</v>
      </c>
      <c r="K230" s="231">
        <f t="shared" si="105"/>
        <v>78925</v>
      </c>
      <c r="L230" s="231">
        <v>0</v>
      </c>
      <c r="M230" s="231">
        <v>75708</v>
      </c>
      <c r="N230" s="231">
        <v>3217</v>
      </c>
      <c r="O230" s="208">
        <v>0</v>
      </c>
      <c r="P230" s="231">
        <f t="shared" si="106"/>
        <v>0</v>
      </c>
      <c r="Q230" s="231">
        <v>0</v>
      </c>
      <c r="R230" s="231">
        <v>0</v>
      </c>
      <c r="S230" s="231">
        <v>0</v>
      </c>
      <c r="T230" s="208">
        <v>0</v>
      </c>
      <c r="U230" s="231">
        <f t="shared" si="107"/>
        <v>0</v>
      </c>
      <c r="V230" s="231">
        <v>0</v>
      </c>
      <c r="W230" s="231">
        <v>0</v>
      </c>
      <c r="X230" s="231">
        <v>0</v>
      </c>
      <c r="Y230" s="208">
        <v>0</v>
      </c>
      <c r="Z230" s="231">
        <f t="shared" si="108"/>
        <v>0</v>
      </c>
      <c r="AA230" s="231">
        <v>0</v>
      </c>
      <c r="AB230" s="231">
        <v>0</v>
      </c>
      <c r="AC230" s="231">
        <v>0</v>
      </c>
    </row>
    <row r="231" spans="1:29" s="6" customFormat="1" ht="24" outlineLevel="1" x14ac:dyDescent="0.25">
      <c r="A231" s="13" t="s">
        <v>1279</v>
      </c>
      <c r="B231" s="33" t="s">
        <v>1266</v>
      </c>
      <c r="C231" s="391">
        <f t="shared" si="102"/>
        <v>2.1</v>
      </c>
      <c r="D231" s="229">
        <f t="shared" si="103"/>
        <v>21945</v>
      </c>
      <c r="E231" s="255">
        <v>0</v>
      </c>
      <c r="F231" s="235">
        <f t="shared" si="104"/>
        <v>0</v>
      </c>
      <c r="G231" s="235">
        <v>0</v>
      </c>
      <c r="H231" s="227">
        <v>0</v>
      </c>
      <c r="I231" s="227">
        <v>0</v>
      </c>
      <c r="J231" s="391">
        <v>2.1</v>
      </c>
      <c r="K231" s="231">
        <f t="shared" si="105"/>
        <v>21945</v>
      </c>
      <c r="L231" s="231">
        <v>0</v>
      </c>
      <c r="M231" s="231">
        <v>20892</v>
      </c>
      <c r="N231" s="231">
        <v>1053</v>
      </c>
      <c r="O231" s="208">
        <v>0</v>
      </c>
      <c r="P231" s="231">
        <f t="shared" si="106"/>
        <v>0</v>
      </c>
      <c r="Q231" s="231">
        <v>0</v>
      </c>
      <c r="R231" s="231">
        <v>0</v>
      </c>
      <c r="S231" s="231">
        <v>0</v>
      </c>
      <c r="T231" s="208">
        <v>0</v>
      </c>
      <c r="U231" s="231">
        <f t="shared" si="107"/>
        <v>0</v>
      </c>
      <c r="V231" s="231">
        <v>0</v>
      </c>
      <c r="W231" s="231">
        <v>0</v>
      </c>
      <c r="X231" s="231">
        <v>0</v>
      </c>
      <c r="Y231" s="208">
        <v>0</v>
      </c>
      <c r="Z231" s="231">
        <f t="shared" si="108"/>
        <v>0</v>
      </c>
      <c r="AA231" s="231">
        <v>0</v>
      </c>
      <c r="AB231" s="231">
        <v>0</v>
      </c>
      <c r="AC231" s="231">
        <v>0</v>
      </c>
    </row>
    <row r="232" spans="1:29" s="6" customFormat="1" ht="24" outlineLevel="1" x14ac:dyDescent="0.25">
      <c r="A232" s="13" t="s">
        <v>1280</v>
      </c>
      <c r="B232" s="33" t="s">
        <v>1267</v>
      </c>
      <c r="C232" s="391">
        <f t="shared" si="102"/>
        <v>2.2999999999999998</v>
      </c>
      <c r="D232" s="229">
        <f t="shared" si="103"/>
        <v>18400</v>
      </c>
      <c r="E232" s="255">
        <v>0</v>
      </c>
      <c r="F232" s="235">
        <f t="shared" si="104"/>
        <v>0</v>
      </c>
      <c r="G232" s="235">
        <v>0</v>
      </c>
      <c r="H232" s="227">
        <v>0</v>
      </c>
      <c r="I232" s="227">
        <v>0</v>
      </c>
      <c r="J232" s="391">
        <v>2.2999999999999998</v>
      </c>
      <c r="K232" s="231">
        <f t="shared" si="105"/>
        <v>18400</v>
      </c>
      <c r="L232" s="231">
        <v>0</v>
      </c>
      <c r="M232" s="231">
        <v>17517</v>
      </c>
      <c r="N232" s="231">
        <v>883</v>
      </c>
      <c r="O232" s="208">
        <v>0</v>
      </c>
      <c r="P232" s="231">
        <f t="shared" si="106"/>
        <v>0</v>
      </c>
      <c r="Q232" s="231">
        <v>0</v>
      </c>
      <c r="R232" s="231">
        <v>0</v>
      </c>
      <c r="S232" s="231">
        <v>0</v>
      </c>
      <c r="T232" s="208">
        <v>0</v>
      </c>
      <c r="U232" s="231">
        <f t="shared" si="107"/>
        <v>0</v>
      </c>
      <c r="V232" s="231">
        <v>0</v>
      </c>
      <c r="W232" s="231">
        <v>0</v>
      </c>
      <c r="X232" s="231">
        <v>0</v>
      </c>
      <c r="Y232" s="208">
        <v>0</v>
      </c>
      <c r="Z232" s="231">
        <f t="shared" si="108"/>
        <v>0</v>
      </c>
      <c r="AA232" s="231">
        <v>0</v>
      </c>
      <c r="AB232" s="231">
        <v>0</v>
      </c>
      <c r="AC232" s="231">
        <v>0</v>
      </c>
    </row>
    <row r="233" spans="1:29" s="6" customFormat="1" ht="36" outlineLevel="1" x14ac:dyDescent="0.25">
      <c r="A233" s="13" t="s">
        <v>1281</v>
      </c>
      <c r="B233" s="33" t="s">
        <v>1268</v>
      </c>
      <c r="C233" s="391">
        <f t="shared" ref="C233:C239" si="109">E233+J233+O233+T233+Y233</f>
        <v>2.2000000000000002</v>
      </c>
      <c r="D233" s="229">
        <f t="shared" ref="D233:D239" si="110">F233+K233+P233+U233+Z233</f>
        <v>12650</v>
      </c>
      <c r="E233" s="255">
        <v>0</v>
      </c>
      <c r="F233" s="235">
        <f t="shared" ref="F233:F239" si="111">G233+H233+I233</f>
        <v>0</v>
      </c>
      <c r="G233" s="235">
        <v>0</v>
      </c>
      <c r="H233" s="227">
        <v>0</v>
      </c>
      <c r="I233" s="227">
        <v>0</v>
      </c>
      <c r="J233" s="391">
        <v>2.2000000000000002</v>
      </c>
      <c r="K233" s="231">
        <f t="shared" ref="K233:K239" si="112">SUM(L233:N233)</f>
        <v>12650</v>
      </c>
      <c r="L233" s="231">
        <v>0</v>
      </c>
      <c r="M233" s="231">
        <v>12043</v>
      </c>
      <c r="N233" s="231">
        <v>607</v>
      </c>
      <c r="O233" s="208">
        <v>0</v>
      </c>
      <c r="P233" s="231">
        <f t="shared" ref="P233:P239" si="113">Q233+R233+S233</f>
        <v>0</v>
      </c>
      <c r="Q233" s="231">
        <v>0</v>
      </c>
      <c r="R233" s="231">
        <v>0</v>
      </c>
      <c r="S233" s="231">
        <v>0</v>
      </c>
      <c r="T233" s="208">
        <v>0</v>
      </c>
      <c r="U233" s="231">
        <f t="shared" ref="U233:U239" si="114">V233+W233+X233</f>
        <v>0</v>
      </c>
      <c r="V233" s="231">
        <v>0</v>
      </c>
      <c r="W233" s="231">
        <v>0</v>
      </c>
      <c r="X233" s="231">
        <v>0</v>
      </c>
      <c r="Y233" s="208">
        <v>0</v>
      </c>
      <c r="Z233" s="231">
        <f t="shared" ref="Z233:Z239" si="115">AA233+AB233+AC233</f>
        <v>0</v>
      </c>
      <c r="AA233" s="231">
        <v>0</v>
      </c>
      <c r="AB233" s="231">
        <v>0</v>
      </c>
      <c r="AC233" s="231">
        <v>0</v>
      </c>
    </row>
    <row r="234" spans="1:29" s="6" customFormat="1" ht="24" outlineLevel="1" x14ac:dyDescent="0.25">
      <c r="A234" s="13" t="s">
        <v>1282</v>
      </c>
      <c r="B234" s="33" t="s">
        <v>1269</v>
      </c>
      <c r="C234" s="391">
        <f t="shared" si="109"/>
        <v>2.2999999999999998</v>
      </c>
      <c r="D234" s="229">
        <f t="shared" si="110"/>
        <v>36791</v>
      </c>
      <c r="E234" s="255">
        <v>0</v>
      </c>
      <c r="F234" s="235">
        <f t="shared" si="111"/>
        <v>0</v>
      </c>
      <c r="G234" s="235">
        <v>0</v>
      </c>
      <c r="H234" s="227">
        <v>0</v>
      </c>
      <c r="I234" s="227">
        <v>0</v>
      </c>
      <c r="J234" s="391">
        <v>0</v>
      </c>
      <c r="K234" s="231">
        <f t="shared" si="112"/>
        <v>0</v>
      </c>
      <c r="L234" s="231">
        <v>0</v>
      </c>
      <c r="M234" s="231">
        <v>0</v>
      </c>
      <c r="N234" s="231">
        <v>0</v>
      </c>
      <c r="O234" s="208">
        <v>2.2999999999999998</v>
      </c>
      <c r="P234" s="231">
        <f t="shared" si="113"/>
        <v>36791</v>
      </c>
      <c r="Q234" s="231">
        <v>0</v>
      </c>
      <c r="R234" s="231">
        <v>35025</v>
      </c>
      <c r="S234" s="231">
        <v>1766</v>
      </c>
      <c r="T234" s="208">
        <v>0</v>
      </c>
      <c r="U234" s="231">
        <f t="shared" si="114"/>
        <v>0</v>
      </c>
      <c r="V234" s="231">
        <v>0</v>
      </c>
      <c r="W234" s="231">
        <v>0</v>
      </c>
      <c r="X234" s="231">
        <v>0</v>
      </c>
      <c r="Y234" s="208">
        <v>0</v>
      </c>
      <c r="Z234" s="231">
        <f t="shared" si="115"/>
        <v>0</v>
      </c>
      <c r="AA234" s="231">
        <v>0</v>
      </c>
      <c r="AB234" s="231">
        <v>0</v>
      </c>
      <c r="AC234" s="231">
        <v>0</v>
      </c>
    </row>
    <row r="235" spans="1:29" s="6" customFormat="1" ht="24" outlineLevel="1" x14ac:dyDescent="0.25">
      <c r="A235" s="13" t="s">
        <v>1283</v>
      </c>
      <c r="B235" s="33" t="s">
        <v>1270</v>
      </c>
      <c r="C235" s="391">
        <f t="shared" si="109"/>
        <v>2.2999999999999998</v>
      </c>
      <c r="D235" s="229">
        <f t="shared" si="110"/>
        <v>98183</v>
      </c>
      <c r="E235" s="255">
        <v>0</v>
      </c>
      <c r="F235" s="235">
        <f t="shared" si="111"/>
        <v>0</v>
      </c>
      <c r="G235" s="235">
        <v>0</v>
      </c>
      <c r="H235" s="227">
        <v>0</v>
      </c>
      <c r="I235" s="227">
        <v>0</v>
      </c>
      <c r="J235" s="391">
        <v>0</v>
      </c>
      <c r="K235" s="231">
        <f t="shared" si="112"/>
        <v>0</v>
      </c>
      <c r="L235" s="231">
        <v>0</v>
      </c>
      <c r="M235" s="231">
        <v>0</v>
      </c>
      <c r="N235" s="231">
        <v>0</v>
      </c>
      <c r="O235" s="208">
        <v>2.2999999999999998</v>
      </c>
      <c r="P235" s="231">
        <f t="shared" si="113"/>
        <v>98183</v>
      </c>
      <c r="Q235" s="231">
        <v>0</v>
      </c>
      <c r="R235" s="231">
        <v>95041</v>
      </c>
      <c r="S235" s="231">
        <v>3142</v>
      </c>
      <c r="T235" s="208">
        <v>0</v>
      </c>
      <c r="U235" s="231">
        <f t="shared" si="114"/>
        <v>0</v>
      </c>
      <c r="V235" s="231">
        <v>0</v>
      </c>
      <c r="W235" s="231">
        <v>0</v>
      </c>
      <c r="X235" s="231">
        <v>0</v>
      </c>
      <c r="Y235" s="208">
        <v>0</v>
      </c>
      <c r="Z235" s="231">
        <f t="shared" si="115"/>
        <v>0</v>
      </c>
      <c r="AA235" s="231">
        <v>0</v>
      </c>
      <c r="AB235" s="231">
        <v>0</v>
      </c>
      <c r="AC235" s="231">
        <v>0</v>
      </c>
    </row>
    <row r="236" spans="1:29" s="6" customFormat="1" ht="36" outlineLevel="1" x14ac:dyDescent="0.25">
      <c r="A236" s="13" t="s">
        <v>1284</v>
      </c>
      <c r="B236" s="33" t="s">
        <v>1271</v>
      </c>
      <c r="C236" s="391">
        <f t="shared" si="109"/>
        <v>2.2999999999999998</v>
      </c>
      <c r="D236" s="229">
        <f t="shared" si="110"/>
        <v>103650</v>
      </c>
      <c r="E236" s="255">
        <v>0</v>
      </c>
      <c r="F236" s="235">
        <f t="shared" si="111"/>
        <v>0</v>
      </c>
      <c r="G236" s="235">
        <v>0</v>
      </c>
      <c r="H236" s="227">
        <v>0</v>
      </c>
      <c r="I236" s="227">
        <v>0</v>
      </c>
      <c r="J236" s="391">
        <v>0</v>
      </c>
      <c r="K236" s="231">
        <f t="shared" si="112"/>
        <v>0</v>
      </c>
      <c r="L236" s="231">
        <v>0</v>
      </c>
      <c r="M236" s="231">
        <v>0</v>
      </c>
      <c r="N236" s="231">
        <v>0</v>
      </c>
      <c r="O236" s="208">
        <v>2.2999999999999998</v>
      </c>
      <c r="P236" s="231">
        <f t="shared" si="113"/>
        <v>103650</v>
      </c>
      <c r="Q236" s="231">
        <v>0</v>
      </c>
      <c r="R236" s="231">
        <v>99627</v>
      </c>
      <c r="S236" s="231">
        <v>4023</v>
      </c>
      <c r="T236" s="208">
        <v>0</v>
      </c>
      <c r="U236" s="231">
        <f t="shared" si="114"/>
        <v>0</v>
      </c>
      <c r="V236" s="231">
        <v>0</v>
      </c>
      <c r="W236" s="231">
        <v>0</v>
      </c>
      <c r="X236" s="231">
        <v>0</v>
      </c>
      <c r="Y236" s="208">
        <v>0</v>
      </c>
      <c r="Z236" s="231">
        <f t="shared" si="115"/>
        <v>0</v>
      </c>
      <c r="AA236" s="231">
        <v>0</v>
      </c>
      <c r="AB236" s="231">
        <v>0</v>
      </c>
      <c r="AC236" s="231">
        <v>0</v>
      </c>
    </row>
    <row r="237" spans="1:29" s="6" customFormat="1" ht="24" outlineLevel="1" x14ac:dyDescent="0.25">
      <c r="A237" s="13" t="s">
        <v>1285</v>
      </c>
      <c r="B237" s="33" t="s">
        <v>1272</v>
      </c>
      <c r="C237" s="391">
        <f t="shared" si="109"/>
        <v>2.2999999999999998</v>
      </c>
      <c r="D237" s="229">
        <f t="shared" si="110"/>
        <v>9890</v>
      </c>
      <c r="E237" s="255">
        <v>0</v>
      </c>
      <c r="F237" s="235">
        <f t="shared" si="111"/>
        <v>0</v>
      </c>
      <c r="G237" s="235">
        <v>0</v>
      </c>
      <c r="H237" s="227">
        <v>0</v>
      </c>
      <c r="I237" s="227">
        <v>0</v>
      </c>
      <c r="J237" s="391">
        <v>0</v>
      </c>
      <c r="K237" s="231">
        <f t="shared" si="112"/>
        <v>0</v>
      </c>
      <c r="L237" s="231">
        <v>0</v>
      </c>
      <c r="M237" s="231">
        <v>0</v>
      </c>
      <c r="N237" s="231">
        <v>0</v>
      </c>
      <c r="O237" s="208">
        <v>2.2999999999999998</v>
      </c>
      <c r="P237" s="231">
        <f t="shared" si="113"/>
        <v>9890</v>
      </c>
      <c r="Q237" s="231">
        <v>0</v>
      </c>
      <c r="R237" s="231">
        <v>9415</v>
      </c>
      <c r="S237" s="231">
        <v>475</v>
      </c>
      <c r="T237" s="208">
        <v>0</v>
      </c>
      <c r="U237" s="231">
        <f t="shared" si="114"/>
        <v>0</v>
      </c>
      <c r="V237" s="231">
        <v>0</v>
      </c>
      <c r="W237" s="231">
        <v>0</v>
      </c>
      <c r="X237" s="231">
        <v>0</v>
      </c>
      <c r="Y237" s="208">
        <v>0</v>
      </c>
      <c r="Z237" s="231">
        <f t="shared" si="115"/>
        <v>0</v>
      </c>
      <c r="AA237" s="231">
        <v>0</v>
      </c>
      <c r="AB237" s="231">
        <v>0</v>
      </c>
      <c r="AC237" s="231">
        <v>0</v>
      </c>
    </row>
    <row r="238" spans="1:29" s="6" customFormat="1" ht="24" outlineLevel="1" x14ac:dyDescent="0.25">
      <c r="A238" s="13" t="s">
        <v>1286</v>
      </c>
      <c r="B238" s="33" t="s">
        <v>1273</v>
      </c>
      <c r="C238" s="391">
        <f t="shared" si="109"/>
        <v>2.2999999999999998</v>
      </c>
      <c r="D238" s="229">
        <f t="shared" si="110"/>
        <v>88130</v>
      </c>
      <c r="E238" s="255">
        <v>0</v>
      </c>
      <c r="F238" s="235">
        <f t="shared" si="111"/>
        <v>0</v>
      </c>
      <c r="G238" s="235">
        <v>0</v>
      </c>
      <c r="H238" s="227">
        <v>0</v>
      </c>
      <c r="I238" s="227">
        <v>0</v>
      </c>
      <c r="J238" s="391">
        <v>0</v>
      </c>
      <c r="K238" s="231">
        <f t="shared" si="112"/>
        <v>0</v>
      </c>
      <c r="L238" s="231">
        <v>0</v>
      </c>
      <c r="M238" s="231">
        <v>0</v>
      </c>
      <c r="N238" s="231">
        <v>0</v>
      </c>
      <c r="O238" s="208">
        <v>2.2999999999999998</v>
      </c>
      <c r="P238" s="231">
        <f t="shared" si="113"/>
        <v>88130</v>
      </c>
      <c r="Q238" s="231">
        <v>0</v>
      </c>
      <c r="R238" s="231">
        <v>84237</v>
      </c>
      <c r="S238" s="231">
        <v>3893</v>
      </c>
      <c r="T238" s="208">
        <v>0</v>
      </c>
      <c r="U238" s="231">
        <f t="shared" si="114"/>
        <v>0</v>
      </c>
      <c r="V238" s="231">
        <v>0</v>
      </c>
      <c r="W238" s="231">
        <v>0</v>
      </c>
      <c r="X238" s="231">
        <v>0</v>
      </c>
      <c r="Y238" s="208">
        <v>0</v>
      </c>
      <c r="Z238" s="231">
        <f t="shared" si="115"/>
        <v>0</v>
      </c>
      <c r="AA238" s="231">
        <v>0</v>
      </c>
      <c r="AB238" s="231">
        <v>0</v>
      </c>
      <c r="AC238" s="231">
        <v>0</v>
      </c>
    </row>
    <row r="239" spans="1:29" s="6" customFormat="1" ht="24" outlineLevel="1" x14ac:dyDescent="0.25">
      <c r="A239" s="13" t="s">
        <v>1287</v>
      </c>
      <c r="B239" s="33" t="s">
        <v>1274</v>
      </c>
      <c r="C239" s="391">
        <f t="shared" si="109"/>
        <v>2.2999999999999998</v>
      </c>
      <c r="D239" s="229">
        <f t="shared" si="110"/>
        <v>20930</v>
      </c>
      <c r="E239" s="255">
        <v>0</v>
      </c>
      <c r="F239" s="235">
        <f t="shared" si="111"/>
        <v>0</v>
      </c>
      <c r="G239" s="235">
        <v>0</v>
      </c>
      <c r="H239" s="227">
        <v>0</v>
      </c>
      <c r="I239" s="227">
        <v>0</v>
      </c>
      <c r="J239" s="391">
        <v>0</v>
      </c>
      <c r="K239" s="231">
        <f t="shared" si="112"/>
        <v>0</v>
      </c>
      <c r="L239" s="231">
        <v>0</v>
      </c>
      <c r="M239" s="231">
        <v>0</v>
      </c>
      <c r="N239" s="231">
        <v>0</v>
      </c>
      <c r="O239" s="208">
        <v>2.2999999999999998</v>
      </c>
      <c r="P239" s="231">
        <f t="shared" si="113"/>
        <v>20930</v>
      </c>
      <c r="Q239" s="231">
        <v>0</v>
      </c>
      <c r="R239" s="231">
        <v>19925</v>
      </c>
      <c r="S239" s="231">
        <v>1005</v>
      </c>
      <c r="T239" s="208">
        <v>0</v>
      </c>
      <c r="U239" s="231">
        <f t="shared" si="114"/>
        <v>0</v>
      </c>
      <c r="V239" s="231">
        <v>0</v>
      </c>
      <c r="W239" s="231">
        <v>0</v>
      </c>
      <c r="X239" s="231">
        <v>0</v>
      </c>
      <c r="Y239" s="208">
        <v>0</v>
      </c>
      <c r="Z239" s="231">
        <f t="shared" si="115"/>
        <v>0</v>
      </c>
      <c r="AA239" s="231">
        <v>0</v>
      </c>
      <c r="AB239" s="231">
        <v>0</v>
      </c>
      <c r="AC239" s="231">
        <v>0</v>
      </c>
    </row>
    <row r="240" spans="1:29" s="6" customFormat="1" ht="21" customHeight="1" outlineLevel="1" x14ac:dyDescent="0.25">
      <c r="A240" s="13" t="s">
        <v>1288</v>
      </c>
      <c r="B240" s="33" t="s">
        <v>1040</v>
      </c>
      <c r="C240" s="226">
        <f t="shared" ref="C240" si="116">E240+J240+O240+T240+Y240</f>
        <v>0</v>
      </c>
      <c r="D240" s="229">
        <f>F240+K240+P240+U240+Z240</f>
        <v>44</v>
      </c>
      <c r="E240" s="255">
        <v>0</v>
      </c>
      <c r="F240" s="235">
        <f>H240+I240</f>
        <v>44</v>
      </c>
      <c r="G240" s="235">
        <v>0</v>
      </c>
      <c r="H240" s="227">
        <f>41</f>
        <v>41</v>
      </c>
      <c r="I240" s="227">
        <f>3</f>
        <v>3</v>
      </c>
      <c r="J240" s="226">
        <v>0</v>
      </c>
      <c r="K240" s="231">
        <f t="shared" ref="K240" si="117">SUM(L240:N240)</f>
        <v>0</v>
      </c>
      <c r="L240" s="231">
        <v>0</v>
      </c>
      <c r="M240" s="231">
        <v>0</v>
      </c>
      <c r="N240" s="231">
        <v>0</v>
      </c>
      <c r="O240" s="208">
        <v>0</v>
      </c>
      <c r="P240" s="231">
        <f t="shared" ref="P240" si="118">Q240+R240+S240</f>
        <v>0</v>
      </c>
      <c r="Q240" s="231">
        <v>0</v>
      </c>
      <c r="R240" s="231">
        <v>0</v>
      </c>
      <c r="S240" s="231">
        <v>0</v>
      </c>
      <c r="T240" s="208">
        <v>0</v>
      </c>
      <c r="U240" s="231">
        <f t="shared" ref="U240" si="119">V240+W240+X240</f>
        <v>0</v>
      </c>
      <c r="V240" s="231">
        <v>0</v>
      </c>
      <c r="W240" s="231">
        <v>0</v>
      </c>
      <c r="X240" s="231">
        <v>0</v>
      </c>
      <c r="Y240" s="208">
        <v>0</v>
      </c>
      <c r="Z240" s="231">
        <f t="shared" ref="Z240" si="120">AA240+AB240+AC240</f>
        <v>0</v>
      </c>
      <c r="AA240" s="231">
        <v>0</v>
      </c>
      <c r="AB240" s="231">
        <v>0</v>
      </c>
      <c r="AC240" s="231">
        <v>0</v>
      </c>
    </row>
    <row r="241" spans="1:43" s="8" customFormat="1" ht="36" customHeight="1" x14ac:dyDescent="0.25">
      <c r="A241" s="13"/>
      <c r="B241" s="93" t="s">
        <v>85</v>
      </c>
      <c r="C241" s="75">
        <f>SUM(C100:C240)</f>
        <v>1406.9549999999992</v>
      </c>
      <c r="D241" s="237">
        <f>SUM(D100:D240)</f>
        <v>3956351.7000000007</v>
      </c>
      <c r="E241" s="75">
        <f>SUM(E100:E240)</f>
        <v>313.31</v>
      </c>
      <c r="F241" s="237">
        <f>SUM(F100:F240)</f>
        <v>784985.59999999986</v>
      </c>
      <c r="G241" s="237">
        <f>SUM(G100:G240)</f>
        <v>0</v>
      </c>
      <c r="H241" s="237">
        <f>SUM(H100:H240)+0.6</f>
        <v>740046.49999999988</v>
      </c>
      <c r="I241" s="237">
        <f>SUM(I100:I240)-0.3</f>
        <v>44939.399999999987</v>
      </c>
      <c r="J241" s="75">
        <f t="shared" ref="J241:Y241" si="121">SUM(J100:J240)</f>
        <v>15.599999999999998</v>
      </c>
      <c r="K241" s="237">
        <f t="shared" si="121"/>
        <v>442526</v>
      </c>
      <c r="L241" s="237">
        <f t="shared" si="121"/>
        <v>0</v>
      </c>
      <c r="M241" s="237">
        <f t="shared" si="121"/>
        <v>421284</v>
      </c>
      <c r="N241" s="237">
        <f t="shared" si="121"/>
        <v>21242</v>
      </c>
      <c r="O241" s="75">
        <f t="shared" si="121"/>
        <v>13.8</v>
      </c>
      <c r="P241" s="237">
        <f t="shared" si="121"/>
        <v>360579</v>
      </c>
      <c r="Q241" s="237">
        <f t="shared" si="121"/>
        <v>0</v>
      </c>
      <c r="R241" s="237">
        <f t="shared" si="121"/>
        <v>343270</v>
      </c>
      <c r="S241" s="237">
        <f t="shared" si="121"/>
        <v>17309</v>
      </c>
      <c r="T241" s="75">
        <f t="shared" si="121"/>
        <v>547.87</v>
      </c>
      <c r="U241" s="237">
        <f t="shared" si="121"/>
        <v>1085223</v>
      </c>
      <c r="V241" s="237">
        <f t="shared" si="121"/>
        <v>0</v>
      </c>
      <c r="W241" s="237">
        <f t="shared" si="121"/>
        <v>1027920</v>
      </c>
      <c r="X241" s="237">
        <f t="shared" si="121"/>
        <v>57303</v>
      </c>
      <c r="Y241" s="75">
        <f t="shared" si="121"/>
        <v>516.375</v>
      </c>
      <c r="Z241" s="237">
        <f>SUM(Z100:Z240)+0.5</f>
        <v>1283038.6000000001</v>
      </c>
      <c r="AA241" s="76">
        <f>SUM(AA100:AA240)</f>
        <v>0</v>
      </c>
      <c r="AB241" s="388">
        <f>SUM(AB100:AB240)+0.5</f>
        <v>1225718.5</v>
      </c>
      <c r="AC241" s="388">
        <f>SUM(AC100:AC240)</f>
        <v>57320.100000000006</v>
      </c>
      <c r="AD241" s="18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</row>
    <row r="242" spans="1:43" s="223" customFormat="1" ht="30" customHeight="1" x14ac:dyDescent="0.25">
      <c r="A242" s="454" t="s">
        <v>837</v>
      </c>
      <c r="B242" s="454"/>
      <c r="C242" s="454"/>
      <c r="D242" s="454"/>
      <c r="E242" s="454"/>
      <c r="F242" s="454"/>
      <c r="G242" s="454"/>
      <c r="H242" s="454"/>
      <c r="I242" s="454"/>
      <c r="J242" s="454"/>
      <c r="K242" s="454"/>
      <c r="L242" s="454"/>
      <c r="M242" s="454"/>
      <c r="N242" s="454"/>
      <c r="O242" s="454"/>
      <c r="P242" s="454"/>
      <c r="Q242" s="454"/>
      <c r="R242" s="454"/>
      <c r="S242" s="454"/>
      <c r="T242" s="454"/>
      <c r="U242" s="454"/>
      <c r="V242" s="454"/>
      <c r="W242" s="454"/>
      <c r="X242" s="454"/>
      <c r="Y242" s="454"/>
      <c r="Z242" s="454"/>
      <c r="AA242" s="454"/>
      <c r="AB242" s="454"/>
      <c r="AC242" s="454"/>
      <c r="AD242" s="222"/>
      <c r="AE242" s="222"/>
      <c r="AF242" s="222"/>
      <c r="AG242" s="222"/>
      <c r="AH242" s="222"/>
      <c r="AI242" s="222"/>
      <c r="AJ242" s="222"/>
      <c r="AK242" s="222"/>
      <c r="AL242" s="222"/>
      <c r="AM242" s="222"/>
      <c r="AN242" s="222"/>
      <c r="AO242" s="222"/>
      <c r="AP242" s="222"/>
      <c r="AQ242" s="222"/>
    </row>
    <row r="243" spans="1:43" s="329" customFormat="1" ht="71.400000000000006" customHeight="1" outlineLevel="1" x14ac:dyDescent="0.25">
      <c r="A243" s="327" t="s">
        <v>8</v>
      </c>
      <c r="B243" s="328" t="s">
        <v>102</v>
      </c>
      <c r="C243" s="318">
        <f>E243+J243+O243+T243+Y243</f>
        <v>761.7</v>
      </c>
      <c r="D243" s="325">
        <f>F243+K243+P243+U243+Z243</f>
        <v>871117</v>
      </c>
      <c r="E243" s="318">
        <v>85.67</v>
      </c>
      <c r="F243" s="326">
        <f>G243+H243+I243</f>
        <v>131303</v>
      </c>
      <c r="G243" s="325">
        <v>0</v>
      </c>
      <c r="H243" s="325">
        <v>125000</v>
      </c>
      <c r="I243" s="325">
        <v>6303</v>
      </c>
      <c r="J243" s="318">
        <v>15</v>
      </c>
      <c r="K243" s="326">
        <f>SUM(L243:N243)</f>
        <v>14420</v>
      </c>
      <c r="L243" s="325">
        <v>0</v>
      </c>
      <c r="M243" s="325">
        <v>0</v>
      </c>
      <c r="N243" s="325">
        <v>14420</v>
      </c>
      <c r="O243" s="318">
        <v>13.03</v>
      </c>
      <c r="P243" s="325">
        <f>Q243+R243+S243</f>
        <v>14420</v>
      </c>
      <c r="Q243" s="325">
        <v>0</v>
      </c>
      <c r="R243" s="325">
        <v>0</v>
      </c>
      <c r="S243" s="325">
        <v>14420</v>
      </c>
      <c r="T243" s="318">
        <v>321</v>
      </c>
      <c r="U243" s="325">
        <f>V243+W243+X243</f>
        <v>352679</v>
      </c>
      <c r="V243" s="325">
        <v>0</v>
      </c>
      <c r="W243" s="325">
        <v>338219</v>
      </c>
      <c r="X243" s="325">
        <v>14460</v>
      </c>
      <c r="Y243" s="318">
        <v>327</v>
      </c>
      <c r="Z243" s="325">
        <f>AA243+AB243+AC243</f>
        <v>358295</v>
      </c>
      <c r="AA243" s="325">
        <v>0</v>
      </c>
      <c r="AB243" s="325">
        <f>ROUND(358295*0.959,1)</f>
        <v>343604.9</v>
      </c>
      <c r="AC243" s="325">
        <f>ROUND(358295*0.041,1)</f>
        <v>14690.1</v>
      </c>
      <c r="AD243" s="323"/>
      <c r="AE243" s="322"/>
      <c r="AF243" s="323"/>
      <c r="AG243" s="323"/>
      <c r="AH243" s="323"/>
      <c r="AI243" s="323"/>
      <c r="AJ243" s="323"/>
      <c r="AK243" s="323"/>
      <c r="AL243" s="323"/>
      <c r="AM243" s="323"/>
      <c r="AN243" s="323"/>
      <c r="AO243" s="323"/>
      <c r="AP243" s="323"/>
      <c r="AQ243" s="323"/>
    </row>
    <row r="244" spans="1:43" s="209" customFormat="1" ht="125.4" customHeight="1" outlineLevel="1" x14ac:dyDescent="0.25">
      <c r="A244" s="79" t="s">
        <v>9</v>
      </c>
      <c r="B244" s="207" t="s">
        <v>103</v>
      </c>
      <c r="C244" s="208">
        <v>0</v>
      </c>
      <c r="D244" s="231">
        <f>F244+K244+P244+U244+Z244</f>
        <v>7988</v>
      </c>
      <c r="E244" s="208">
        <v>0</v>
      </c>
      <c r="F244" s="235">
        <v>0</v>
      </c>
      <c r="G244" s="231">
        <v>0</v>
      </c>
      <c r="H244" s="231">
        <v>0</v>
      </c>
      <c r="I244" s="231">
        <v>0</v>
      </c>
      <c r="J244" s="208">
        <v>0</v>
      </c>
      <c r="K244" s="235">
        <f>SUM(L244:N244)</f>
        <v>0</v>
      </c>
      <c r="L244" s="231">
        <v>0</v>
      </c>
      <c r="M244" s="231">
        <v>0</v>
      </c>
      <c r="N244" s="231">
        <v>0</v>
      </c>
      <c r="O244" s="208">
        <v>0</v>
      </c>
      <c r="P244" s="231">
        <v>0</v>
      </c>
      <c r="Q244" s="231">
        <v>0</v>
      </c>
      <c r="R244" s="231">
        <v>0</v>
      </c>
      <c r="S244" s="231">
        <v>0</v>
      </c>
      <c r="T244" s="208">
        <v>0</v>
      </c>
      <c r="U244" s="231">
        <f>V244+W244+X244</f>
        <v>3922</v>
      </c>
      <c r="V244" s="231">
        <v>0</v>
      </c>
      <c r="W244" s="231">
        <v>0</v>
      </c>
      <c r="X244" s="231">
        <v>3922</v>
      </c>
      <c r="Y244" s="208">
        <v>0</v>
      </c>
      <c r="Z244" s="231">
        <f>AA244+AB244+AC244</f>
        <v>4066</v>
      </c>
      <c r="AA244" s="231">
        <v>0</v>
      </c>
      <c r="AB244" s="231">
        <v>0</v>
      </c>
      <c r="AC244" s="231">
        <v>4066</v>
      </c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</row>
    <row r="245" spans="1:43" s="17" customFormat="1" ht="46.95" customHeight="1" x14ac:dyDescent="0.25">
      <c r="A245" s="79"/>
      <c r="B245" s="97" t="s">
        <v>18</v>
      </c>
      <c r="C245" s="99">
        <f>C243+C244</f>
        <v>761.7</v>
      </c>
      <c r="D245" s="88">
        <f>F245+K245+P245+U245+Z245</f>
        <v>879105</v>
      </c>
      <c r="E245" s="99">
        <f t="shared" ref="E245:J245" si="122">E243+E244</f>
        <v>85.67</v>
      </c>
      <c r="F245" s="237">
        <f>F243+F244</f>
        <v>131303</v>
      </c>
      <c r="G245" s="237">
        <f t="shared" si="122"/>
        <v>0</v>
      </c>
      <c r="H245" s="237">
        <f t="shared" si="122"/>
        <v>125000</v>
      </c>
      <c r="I245" s="237">
        <f t="shared" si="122"/>
        <v>6303</v>
      </c>
      <c r="J245" s="99">
        <f t="shared" si="122"/>
        <v>15</v>
      </c>
      <c r="K245" s="237">
        <f>SUM(L245:N245)</f>
        <v>14420</v>
      </c>
      <c r="L245" s="237">
        <f t="shared" ref="L245:AC245" si="123">L243+L244</f>
        <v>0</v>
      </c>
      <c r="M245" s="237">
        <f t="shared" si="123"/>
        <v>0</v>
      </c>
      <c r="N245" s="237">
        <f t="shared" si="123"/>
        <v>14420</v>
      </c>
      <c r="O245" s="99">
        <f t="shared" si="123"/>
        <v>13.03</v>
      </c>
      <c r="P245" s="237">
        <f t="shared" si="123"/>
        <v>14420</v>
      </c>
      <c r="Q245" s="237">
        <f t="shared" si="123"/>
        <v>0</v>
      </c>
      <c r="R245" s="237">
        <f t="shared" si="123"/>
        <v>0</v>
      </c>
      <c r="S245" s="237">
        <f t="shared" si="123"/>
        <v>14420</v>
      </c>
      <c r="T245" s="99">
        <f t="shared" si="123"/>
        <v>321</v>
      </c>
      <c r="U245" s="237">
        <f t="shared" si="123"/>
        <v>356601</v>
      </c>
      <c r="V245" s="237">
        <f t="shared" si="123"/>
        <v>0</v>
      </c>
      <c r="W245" s="237">
        <f t="shared" si="123"/>
        <v>338219</v>
      </c>
      <c r="X245" s="237">
        <f t="shared" si="123"/>
        <v>18382</v>
      </c>
      <c r="Y245" s="99">
        <f t="shared" si="123"/>
        <v>327</v>
      </c>
      <c r="Z245" s="237">
        <f t="shared" si="123"/>
        <v>362361</v>
      </c>
      <c r="AA245" s="237">
        <f t="shared" si="123"/>
        <v>0</v>
      </c>
      <c r="AB245" s="237">
        <f t="shared" si="123"/>
        <v>343604.9</v>
      </c>
      <c r="AC245" s="237">
        <f t="shared" si="123"/>
        <v>18756.099999999999</v>
      </c>
      <c r="AD245" s="18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</row>
    <row r="246" spans="1:43" s="17" customFormat="1" ht="42" customHeight="1" x14ac:dyDescent="0.25">
      <c r="A246" s="444" t="s">
        <v>848</v>
      </c>
      <c r="B246" s="445"/>
      <c r="C246" s="445"/>
      <c r="D246" s="445"/>
      <c r="E246" s="445"/>
      <c r="F246" s="445"/>
      <c r="G246" s="445"/>
      <c r="H246" s="445"/>
      <c r="I246" s="445"/>
      <c r="J246" s="445"/>
      <c r="K246" s="445"/>
      <c r="L246" s="445"/>
      <c r="M246" s="445"/>
      <c r="N246" s="445"/>
      <c r="O246" s="445"/>
      <c r="P246" s="445"/>
      <c r="Q246" s="445"/>
      <c r="R246" s="445"/>
      <c r="S246" s="445"/>
      <c r="T246" s="445"/>
      <c r="U246" s="445"/>
      <c r="V246" s="445"/>
      <c r="W246" s="445"/>
      <c r="X246" s="445"/>
      <c r="Y246" s="445"/>
      <c r="Z246" s="445"/>
      <c r="AA246" s="445"/>
      <c r="AB246" s="445"/>
      <c r="AC246" s="446"/>
      <c r="AD246" s="18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</row>
    <row r="247" spans="1:43" s="17" customFormat="1" ht="25.2" customHeight="1" x14ac:dyDescent="0.25">
      <c r="A247" s="78"/>
      <c r="B247" s="65" t="s">
        <v>233</v>
      </c>
      <c r="C247" s="71"/>
      <c r="D247" s="91"/>
      <c r="E247" s="99"/>
      <c r="F247" s="76"/>
      <c r="G247" s="76"/>
      <c r="H247" s="76"/>
      <c r="I247" s="76"/>
      <c r="J247" s="99"/>
      <c r="K247" s="75"/>
      <c r="L247" s="76"/>
      <c r="M247" s="76"/>
      <c r="N247" s="76"/>
      <c r="O247" s="99"/>
      <c r="P247" s="14"/>
      <c r="Q247" s="76"/>
      <c r="R247" s="76"/>
      <c r="S247" s="71"/>
      <c r="T247" s="99"/>
      <c r="U247" s="22"/>
      <c r="V247" s="76"/>
      <c r="W247" s="76"/>
      <c r="X247" s="76"/>
      <c r="Y247" s="99"/>
      <c r="Z247" s="77"/>
      <c r="AA247" s="77"/>
      <c r="AB247" s="77"/>
      <c r="AC247" s="77"/>
      <c r="AD247" s="18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</row>
    <row r="248" spans="1:43" s="17" customFormat="1" ht="31.2" customHeight="1" x14ac:dyDescent="0.25">
      <c r="A248" s="81" t="s">
        <v>753</v>
      </c>
      <c r="B248" s="65" t="s">
        <v>444</v>
      </c>
      <c r="C248" s="71">
        <f>SUM(C249:C377)</f>
        <v>250.72000000000006</v>
      </c>
      <c r="D248" s="242">
        <f>F248+K248+P248+U248+Z248</f>
        <v>62633</v>
      </c>
      <c r="E248" s="71">
        <f t="shared" ref="E248:AC248" si="124">SUM(E249:E377)</f>
        <v>0</v>
      </c>
      <c r="F248" s="241">
        <f t="shared" si="124"/>
        <v>0</v>
      </c>
      <c r="G248" s="241">
        <f t="shared" si="124"/>
        <v>0</v>
      </c>
      <c r="H248" s="241">
        <f t="shared" si="124"/>
        <v>0</v>
      </c>
      <c r="I248" s="241">
        <f t="shared" si="124"/>
        <v>0</v>
      </c>
      <c r="J248" s="71">
        <f t="shared" si="124"/>
        <v>0</v>
      </c>
      <c r="K248" s="241">
        <f t="shared" ref="K248:K311" si="125">SUM(L248:N248)</f>
        <v>0</v>
      </c>
      <c r="L248" s="241">
        <f t="shared" si="124"/>
        <v>0</v>
      </c>
      <c r="M248" s="241">
        <f t="shared" si="124"/>
        <v>0</v>
      </c>
      <c r="N248" s="241">
        <f t="shared" si="124"/>
        <v>0</v>
      </c>
      <c r="O248" s="71">
        <f t="shared" si="124"/>
        <v>0</v>
      </c>
      <c r="P248" s="242">
        <f>Q248+R248+S248</f>
        <v>0</v>
      </c>
      <c r="Q248" s="241">
        <f t="shared" si="124"/>
        <v>0</v>
      </c>
      <c r="R248" s="241">
        <f t="shared" si="124"/>
        <v>0</v>
      </c>
      <c r="S248" s="241">
        <f t="shared" si="124"/>
        <v>0</v>
      </c>
      <c r="T248" s="71">
        <f>SUM(T249:T377)</f>
        <v>115.18</v>
      </c>
      <c r="U248" s="242">
        <f>V248+W248+X248</f>
        <v>28773</v>
      </c>
      <c r="V248" s="241">
        <f t="shared" si="124"/>
        <v>0</v>
      </c>
      <c r="W248" s="241">
        <f t="shared" si="124"/>
        <v>0</v>
      </c>
      <c r="X248" s="241">
        <f t="shared" si="124"/>
        <v>28773</v>
      </c>
      <c r="Y248" s="71">
        <f t="shared" si="124"/>
        <v>135.53999999999996</v>
      </c>
      <c r="Z248" s="241">
        <f t="shared" si="124"/>
        <v>33860</v>
      </c>
      <c r="AA248" s="241">
        <f t="shared" si="124"/>
        <v>0</v>
      </c>
      <c r="AB248" s="241">
        <f t="shared" si="124"/>
        <v>0</v>
      </c>
      <c r="AC248" s="241">
        <f t="shared" si="124"/>
        <v>33860</v>
      </c>
      <c r="AD248" s="18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</row>
    <row r="249" spans="1:43" s="17" customFormat="1" ht="34.950000000000003" customHeight="1" outlineLevel="1" x14ac:dyDescent="0.25">
      <c r="A249" s="78" t="s">
        <v>754</v>
      </c>
      <c r="B249" s="32" t="s">
        <v>234</v>
      </c>
      <c r="C249" s="226">
        <f t="shared" ref="C249:C312" si="126">E249+J249+O249+T249+Y249</f>
        <v>5.13</v>
      </c>
      <c r="D249" s="243">
        <f t="shared" ref="D249:D311" si="127">F249+K249+P249+U249+Z249</f>
        <v>1281</v>
      </c>
      <c r="E249" s="208">
        <v>0</v>
      </c>
      <c r="F249" s="244">
        <f t="shared" ref="F249:F312" si="128">G249+H249+I249</f>
        <v>0</v>
      </c>
      <c r="G249" s="243">
        <v>0</v>
      </c>
      <c r="H249" s="243">
        <v>0</v>
      </c>
      <c r="I249" s="243">
        <v>0</v>
      </c>
      <c r="J249" s="208">
        <v>0</v>
      </c>
      <c r="K249" s="244">
        <f t="shared" si="125"/>
        <v>0</v>
      </c>
      <c r="L249" s="243">
        <v>0</v>
      </c>
      <c r="M249" s="243">
        <v>0</v>
      </c>
      <c r="N249" s="243">
        <v>0</v>
      </c>
      <c r="O249" s="73">
        <v>0</v>
      </c>
      <c r="P249" s="243">
        <f t="shared" ref="P249:P312" si="129">Q249+R249+S249</f>
        <v>0</v>
      </c>
      <c r="Q249" s="243">
        <v>0</v>
      </c>
      <c r="R249" s="243">
        <v>0</v>
      </c>
      <c r="S249" s="245">
        <v>0</v>
      </c>
      <c r="T249" s="73">
        <f>ROUND(5.125,2)</f>
        <v>5.13</v>
      </c>
      <c r="U249" s="243">
        <f t="shared" ref="U249:U312" si="130">V249+W249+X249</f>
        <v>1281</v>
      </c>
      <c r="V249" s="243">
        <v>0</v>
      </c>
      <c r="W249" s="243">
        <v>0</v>
      </c>
      <c r="X249" s="245">
        <v>1281</v>
      </c>
      <c r="Y249" s="73">
        <v>0</v>
      </c>
      <c r="Z249" s="243">
        <f t="shared" ref="Z249:Z312" si="131">AA249+AB249+AC249</f>
        <v>0</v>
      </c>
      <c r="AA249" s="243">
        <v>0</v>
      </c>
      <c r="AB249" s="243">
        <v>0</v>
      </c>
      <c r="AC249" s="245">
        <v>0</v>
      </c>
      <c r="AD249" s="18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</row>
    <row r="250" spans="1:43" s="17" customFormat="1" ht="34.950000000000003" customHeight="1" outlineLevel="1" x14ac:dyDescent="0.25">
      <c r="A250" s="78" t="s">
        <v>471</v>
      </c>
      <c r="B250" s="32" t="s">
        <v>235</v>
      </c>
      <c r="C250" s="226">
        <f t="shared" si="126"/>
        <v>2.7</v>
      </c>
      <c r="D250" s="243">
        <f t="shared" si="127"/>
        <v>675</v>
      </c>
      <c r="E250" s="208">
        <v>0</v>
      </c>
      <c r="F250" s="244">
        <f t="shared" si="128"/>
        <v>0</v>
      </c>
      <c r="G250" s="243">
        <v>0</v>
      </c>
      <c r="H250" s="243">
        <v>0</v>
      </c>
      <c r="I250" s="243">
        <v>0</v>
      </c>
      <c r="J250" s="208">
        <v>0</v>
      </c>
      <c r="K250" s="244">
        <f t="shared" si="125"/>
        <v>0</v>
      </c>
      <c r="L250" s="243">
        <v>0</v>
      </c>
      <c r="M250" s="243">
        <v>0</v>
      </c>
      <c r="N250" s="243">
        <v>0</v>
      </c>
      <c r="O250" s="73">
        <v>0</v>
      </c>
      <c r="P250" s="243">
        <f t="shared" si="129"/>
        <v>0</v>
      </c>
      <c r="Q250" s="243">
        <v>0</v>
      </c>
      <c r="R250" s="243">
        <v>0</v>
      </c>
      <c r="S250" s="245">
        <v>0</v>
      </c>
      <c r="T250" s="73">
        <v>2.7</v>
      </c>
      <c r="U250" s="243">
        <f t="shared" si="130"/>
        <v>675</v>
      </c>
      <c r="V250" s="243">
        <v>0</v>
      </c>
      <c r="W250" s="243">
        <v>0</v>
      </c>
      <c r="X250" s="245">
        <v>675</v>
      </c>
      <c r="Y250" s="73">
        <v>0</v>
      </c>
      <c r="Z250" s="243">
        <f t="shared" si="131"/>
        <v>0</v>
      </c>
      <c r="AA250" s="243">
        <v>0</v>
      </c>
      <c r="AB250" s="243">
        <v>0</v>
      </c>
      <c r="AC250" s="245">
        <v>0</v>
      </c>
      <c r="AD250" s="18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</row>
    <row r="251" spans="1:43" s="17" customFormat="1" ht="24" customHeight="1" outlineLevel="1" x14ac:dyDescent="0.25">
      <c r="A251" s="78" t="s">
        <v>472</v>
      </c>
      <c r="B251" s="32" t="s">
        <v>236</v>
      </c>
      <c r="C251" s="226">
        <f t="shared" si="126"/>
        <v>2.56</v>
      </c>
      <c r="D251" s="243">
        <f t="shared" si="127"/>
        <v>639</v>
      </c>
      <c r="E251" s="208">
        <v>0</v>
      </c>
      <c r="F251" s="244">
        <f t="shared" si="128"/>
        <v>0</v>
      </c>
      <c r="G251" s="243">
        <v>0</v>
      </c>
      <c r="H251" s="243">
        <v>0</v>
      </c>
      <c r="I251" s="243">
        <v>0</v>
      </c>
      <c r="J251" s="208">
        <v>0</v>
      </c>
      <c r="K251" s="244">
        <f t="shared" si="125"/>
        <v>0</v>
      </c>
      <c r="L251" s="243">
        <v>0</v>
      </c>
      <c r="M251" s="243">
        <v>0</v>
      </c>
      <c r="N251" s="243">
        <v>0</v>
      </c>
      <c r="O251" s="73">
        <v>0</v>
      </c>
      <c r="P251" s="243">
        <f t="shared" si="129"/>
        <v>0</v>
      </c>
      <c r="Q251" s="243">
        <v>0</v>
      </c>
      <c r="R251" s="243">
        <v>0</v>
      </c>
      <c r="S251" s="245">
        <v>0</v>
      </c>
      <c r="T251" s="73">
        <f>ROUND(2.555,2)</f>
        <v>2.56</v>
      </c>
      <c r="U251" s="243">
        <f t="shared" si="130"/>
        <v>639</v>
      </c>
      <c r="V251" s="243">
        <v>0</v>
      </c>
      <c r="W251" s="243">
        <v>0</v>
      </c>
      <c r="X251" s="245">
        <v>639</v>
      </c>
      <c r="Y251" s="73">
        <v>0</v>
      </c>
      <c r="Z251" s="243">
        <f t="shared" si="131"/>
        <v>0</v>
      </c>
      <c r="AA251" s="243">
        <v>0</v>
      </c>
      <c r="AB251" s="243">
        <v>0</v>
      </c>
      <c r="AC251" s="245">
        <v>0</v>
      </c>
      <c r="AD251" s="18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</row>
    <row r="252" spans="1:43" s="17" customFormat="1" ht="27" customHeight="1" outlineLevel="1" x14ac:dyDescent="0.25">
      <c r="A252" s="78" t="s">
        <v>473</v>
      </c>
      <c r="B252" s="66" t="s">
        <v>237</v>
      </c>
      <c r="C252" s="226">
        <f t="shared" si="126"/>
        <v>3.3</v>
      </c>
      <c r="D252" s="243">
        <f t="shared" si="127"/>
        <v>824</v>
      </c>
      <c r="E252" s="208">
        <v>0</v>
      </c>
      <c r="F252" s="244">
        <f t="shared" si="128"/>
        <v>0</v>
      </c>
      <c r="G252" s="243">
        <v>0</v>
      </c>
      <c r="H252" s="243">
        <v>0</v>
      </c>
      <c r="I252" s="243">
        <v>0</v>
      </c>
      <c r="J252" s="208">
        <v>0</v>
      </c>
      <c r="K252" s="244">
        <f t="shared" si="125"/>
        <v>0</v>
      </c>
      <c r="L252" s="243">
        <v>0</v>
      </c>
      <c r="M252" s="243">
        <v>0</v>
      </c>
      <c r="N252" s="243">
        <v>0</v>
      </c>
      <c r="O252" s="73">
        <v>0</v>
      </c>
      <c r="P252" s="243">
        <f t="shared" si="129"/>
        <v>0</v>
      </c>
      <c r="Q252" s="243">
        <v>0</v>
      </c>
      <c r="R252" s="243">
        <v>0</v>
      </c>
      <c r="S252" s="245">
        <v>0</v>
      </c>
      <c r="T252" s="73">
        <f>ROUND(3.295,2)</f>
        <v>3.3</v>
      </c>
      <c r="U252" s="243">
        <f t="shared" si="130"/>
        <v>824</v>
      </c>
      <c r="V252" s="243">
        <v>0</v>
      </c>
      <c r="W252" s="243">
        <v>0</v>
      </c>
      <c r="X252" s="245">
        <v>824</v>
      </c>
      <c r="Y252" s="73">
        <v>0</v>
      </c>
      <c r="Z252" s="243">
        <f t="shared" si="131"/>
        <v>0</v>
      </c>
      <c r="AA252" s="243">
        <v>0</v>
      </c>
      <c r="AB252" s="243">
        <v>0</v>
      </c>
      <c r="AC252" s="245">
        <v>0</v>
      </c>
      <c r="AD252" s="18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</row>
    <row r="253" spans="1:43" s="17" customFormat="1" ht="46.95" customHeight="1" outlineLevel="1" x14ac:dyDescent="0.25">
      <c r="A253" s="78" t="s">
        <v>474</v>
      </c>
      <c r="B253" s="32" t="s">
        <v>238</v>
      </c>
      <c r="C253" s="226">
        <f t="shared" si="126"/>
        <v>1.25</v>
      </c>
      <c r="D253" s="243">
        <f t="shared" si="127"/>
        <v>313</v>
      </c>
      <c r="E253" s="208">
        <v>0</v>
      </c>
      <c r="F253" s="244">
        <f t="shared" si="128"/>
        <v>0</v>
      </c>
      <c r="G253" s="243">
        <v>0</v>
      </c>
      <c r="H253" s="243">
        <v>0</v>
      </c>
      <c r="I253" s="243">
        <v>0</v>
      </c>
      <c r="J253" s="208">
        <v>0</v>
      </c>
      <c r="K253" s="244">
        <f t="shared" si="125"/>
        <v>0</v>
      </c>
      <c r="L253" s="243">
        <v>0</v>
      </c>
      <c r="M253" s="243">
        <v>0</v>
      </c>
      <c r="N253" s="243">
        <v>0</v>
      </c>
      <c r="O253" s="73">
        <v>0</v>
      </c>
      <c r="P253" s="243">
        <f t="shared" si="129"/>
        <v>0</v>
      </c>
      <c r="Q253" s="243">
        <v>0</v>
      </c>
      <c r="R253" s="243">
        <v>0</v>
      </c>
      <c r="S253" s="245">
        <v>0</v>
      </c>
      <c r="T253" s="73">
        <v>1.25</v>
      </c>
      <c r="U253" s="243">
        <f t="shared" si="130"/>
        <v>313</v>
      </c>
      <c r="V253" s="243">
        <v>0</v>
      </c>
      <c r="W253" s="243">
        <v>0</v>
      </c>
      <c r="X253" s="245">
        <v>313</v>
      </c>
      <c r="Y253" s="73">
        <v>0</v>
      </c>
      <c r="Z253" s="243">
        <f t="shared" si="131"/>
        <v>0</v>
      </c>
      <c r="AA253" s="243">
        <v>0</v>
      </c>
      <c r="AB253" s="243">
        <v>0</v>
      </c>
      <c r="AC253" s="245">
        <v>0</v>
      </c>
      <c r="AD253" s="18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</row>
    <row r="254" spans="1:43" s="17" customFormat="1" ht="46.95" customHeight="1" outlineLevel="1" x14ac:dyDescent="0.25">
      <c r="A254" s="78" t="s">
        <v>475</v>
      </c>
      <c r="B254" s="32" t="s">
        <v>850</v>
      </c>
      <c r="C254" s="226">
        <f t="shared" si="126"/>
        <v>2.08</v>
      </c>
      <c r="D254" s="243">
        <f t="shared" si="127"/>
        <v>519</v>
      </c>
      <c r="E254" s="208">
        <v>0</v>
      </c>
      <c r="F254" s="244">
        <f t="shared" si="128"/>
        <v>0</v>
      </c>
      <c r="G254" s="243">
        <v>0</v>
      </c>
      <c r="H254" s="243">
        <v>0</v>
      </c>
      <c r="I254" s="243">
        <v>0</v>
      </c>
      <c r="J254" s="208">
        <v>0</v>
      </c>
      <c r="K254" s="244">
        <f t="shared" si="125"/>
        <v>0</v>
      </c>
      <c r="L254" s="243">
        <v>0</v>
      </c>
      <c r="M254" s="243">
        <v>0</v>
      </c>
      <c r="N254" s="243">
        <v>0</v>
      </c>
      <c r="O254" s="73">
        <v>0</v>
      </c>
      <c r="P254" s="243">
        <f t="shared" si="129"/>
        <v>0</v>
      </c>
      <c r="Q254" s="243">
        <v>0</v>
      </c>
      <c r="R254" s="243">
        <v>0</v>
      </c>
      <c r="S254" s="245">
        <v>0</v>
      </c>
      <c r="T254" s="73">
        <f>ROUND(2.075,2)</f>
        <v>2.08</v>
      </c>
      <c r="U254" s="243">
        <f t="shared" si="130"/>
        <v>519</v>
      </c>
      <c r="V254" s="243">
        <v>0</v>
      </c>
      <c r="W254" s="243">
        <v>0</v>
      </c>
      <c r="X254" s="245">
        <v>519</v>
      </c>
      <c r="Y254" s="73">
        <v>0</v>
      </c>
      <c r="Z254" s="243">
        <f t="shared" si="131"/>
        <v>0</v>
      </c>
      <c r="AA254" s="243">
        <v>0</v>
      </c>
      <c r="AB254" s="243">
        <v>0</v>
      </c>
      <c r="AC254" s="245">
        <v>0</v>
      </c>
      <c r="AD254" s="18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</row>
    <row r="255" spans="1:43" s="17" customFormat="1" ht="20.399999999999999" customHeight="1" outlineLevel="1" x14ac:dyDescent="0.25">
      <c r="A255" s="78" t="s">
        <v>476</v>
      </c>
      <c r="B255" s="32" t="s">
        <v>239</v>
      </c>
      <c r="C255" s="226">
        <f t="shared" si="126"/>
        <v>0.57999999999999996</v>
      </c>
      <c r="D255" s="243">
        <f t="shared" si="127"/>
        <v>144</v>
      </c>
      <c r="E255" s="208">
        <v>0</v>
      </c>
      <c r="F255" s="244">
        <f t="shared" si="128"/>
        <v>0</v>
      </c>
      <c r="G255" s="243">
        <v>0</v>
      </c>
      <c r="H255" s="243">
        <v>0</v>
      </c>
      <c r="I255" s="243">
        <v>0</v>
      </c>
      <c r="J255" s="208">
        <v>0</v>
      </c>
      <c r="K255" s="244">
        <f t="shared" si="125"/>
        <v>0</v>
      </c>
      <c r="L255" s="243">
        <v>0</v>
      </c>
      <c r="M255" s="243">
        <v>0</v>
      </c>
      <c r="N255" s="243">
        <v>0</v>
      </c>
      <c r="O255" s="73">
        <v>0</v>
      </c>
      <c r="P255" s="243">
        <f t="shared" si="129"/>
        <v>0</v>
      </c>
      <c r="Q255" s="243">
        <v>0</v>
      </c>
      <c r="R255" s="243">
        <v>0</v>
      </c>
      <c r="S255" s="245">
        <v>0</v>
      </c>
      <c r="T255" s="73">
        <f>ROUND(0.575,2)</f>
        <v>0.57999999999999996</v>
      </c>
      <c r="U255" s="243">
        <f t="shared" si="130"/>
        <v>144</v>
      </c>
      <c r="V255" s="243">
        <v>0</v>
      </c>
      <c r="W255" s="243">
        <v>0</v>
      </c>
      <c r="X255" s="245">
        <v>144</v>
      </c>
      <c r="Y255" s="73">
        <v>0</v>
      </c>
      <c r="Z255" s="243">
        <f t="shared" si="131"/>
        <v>0</v>
      </c>
      <c r="AA255" s="243">
        <v>0</v>
      </c>
      <c r="AB255" s="243">
        <v>0</v>
      </c>
      <c r="AC255" s="245">
        <v>0</v>
      </c>
      <c r="AD255" s="18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</row>
    <row r="256" spans="1:43" s="17" customFormat="1" ht="22.2" customHeight="1" outlineLevel="1" x14ac:dyDescent="0.25">
      <c r="A256" s="78" t="s">
        <v>477</v>
      </c>
      <c r="B256" s="32" t="s">
        <v>240</v>
      </c>
      <c r="C256" s="226">
        <f t="shared" si="126"/>
        <v>2.34</v>
      </c>
      <c r="D256" s="243">
        <f t="shared" si="127"/>
        <v>584</v>
      </c>
      <c r="E256" s="208">
        <v>0</v>
      </c>
      <c r="F256" s="244">
        <f t="shared" si="128"/>
        <v>0</v>
      </c>
      <c r="G256" s="243">
        <v>0</v>
      </c>
      <c r="H256" s="243">
        <v>0</v>
      </c>
      <c r="I256" s="243">
        <v>0</v>
      </c>
      <c r="J256" s="208">
        <v>0</v>
      </c>
      <c r="K256" s="244">
        <f t="shared" si="125"/>
        <v>0</v>
      </c>
      <c r="L256" s="243">
        <v>0</v>
      </c>
      <c r="M256" s="243">
        <v>0</v>
      </c>
      <c r="N256" s="243">
        <v>0</v>
      </c>
      <c r="O256" s="73">
        <v>0</v>
      </c>
      <c r="P256" s="243">
        <f t="shared" si="129"/>
        <v>0</v>
      </c>
      <c r="Q256" s="243">
        <v>0</v>
      </c>
      <c r="R256" s="243">
        <v>0</v>
      </c>
      <c r="S256" s="245">
        <v>0</v>
      </c>
      <c r="T256" s="73">
        <f>ROUND(2.335,2)</f>
        <v>2.34</v>
      </c>
      <c r="U256" s="243">
        <f t="shared" si="130"/>
        <v>584</v>
      </c>
      <c r="V256" s="243">
        <v>0</v>
      </c>
      <c r="W256" s="243">
        <v>0</v>
      </c>
      <c r="X256" s="245">
        <v>584</v>
      </c>
      <c r="Y256" s="73">
        <v>0</v>
      </c>
      <c r="Z256" s="243">
        <f t="shared" si="131"/>
        <v>0</v>
      </c>
      <c r="AA256" s="243">
        <v>0</v>
      </c>
      <c r="AB256" s="243">
        <v>0</v>
      </c>
      <c r="AC256" s="245">
        <v>0</v>
      </c>
      <c r="AD256" s="18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</row>
    <row r="257" spans="1:43" s="17" customFormat="1" ht="24" customHeight="1" outlineLevel="1" x14ac:dyDescent="0.25">
      <c r="A257" s="78" t="s">
        <v>478</v>
      </c>
      <c r="B257" s="32" t="s">
        <v>241</v>
      </c>
      <c r="C257" s="226">
        <f t="shared" si="126"/>
        <v>4.6899999999999995</v>
      </c>
      <c r="D257" s="243">
        <f t="shared" si="127"/>
        <v>1173</v>
      </c>
      <c r="E257" s="208">
        <v>0</v>
      </c>
      <c r="F257" s="244">
        <f t="shared" si="128"/>
        <v>0</v>
      </c>
      <c r="G257" s="243">
        <v>0</v>
      </c>
      <c r="H257" s="243">
        <v>0</v>
      </c>
      <c r="I257" s="243">
        <v>0</v>
      </c>
      <c r="J257" s="208">
        <v>0</v>
      </c>
      <c r="K257" s="244">
        <f t="shared" si="125"/>
        <v>0</v>
      </c>
      <c r="L257" s="243">
        <v>0</v>
      </c>
      <c r="M257" s="243">
        <v>0</v>
      </c>
      <c r="N257" s="243">
        <v>0</v>
      </c>
      <c r="O257" s="73">
        <v>0</v>
      </c>
      <c r="P257" s="243">
        <f t="shared" si="129"/>
        <v>0</v>
      </c>
      <c r="Q257" s="243">
        <v>0</v>
      </c>
      <c r="R257" s="243">
        <v>0</v>
      </c>
      <c r="S257" s="245">
        <v>0</v>
      </c>
      <c r="T257" s="73">
        <v>4.6899999999999995</v>
      </c>
      <c r="U257" s="243">
        <f t="shared" si="130"/>
        <v>1173</v>
      </c>
      <c r="V257" s="243">
        <v>0</v>
      </c>
      <c r="W257" s="243">
        <v>0</v>
      </c>
      <c r="X257" s="245">
        <v>1173</v>
      </c>
      <c r="Y257" s="73">
        <v>0</v>
      </c>
      <c r="Z257" s="243">
        <f t="shared" si="131"/>
        <v>0</v>
      </c>
      <c r="AA257" s="243">
        <v>0</v>
      </c>
      <c r="AB257" s="243">
        <v>0</v>
      </c>
      <c r="AC257" s="245">
        <v>0</v>
      </c>
      <c r="AD257" s="18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</row>
    <row r="258" spans="1:43" s="17" customFormat="1" ht="46.95" customHeight="1" outlineLevel="1" x14ac:dyDescent="0.25">
      <c r="A258" s="78" t="s">
        <v>479</v>
      </c>
      <c r="B258" s="32" t="s">
        <v>242</v>
      </c>
      <c r="C258" s="226">
        <f t="shared" si="126"/>
        <v>0.75</v>
      </c>
      <c r="D258" s="243">
        <f t="shared" si="127"/>
        <v>188</v>
      </c>
      <c r="E258" s="208">
        <v>0</v>
      </c>
      <c r="F258" s="244">
        <f t="shared" si="128"/>
        <v>0</v>
      </c>
      <c r="G258" s="243">
        <v>0</v>
      </c>
      <c r="H258" s="243">
        <v>0</v>
      </c>
      <c r="I258" s="243">
        <v>0</v>
      </c>
      <c r="J258" s="208">
        <v>0</v>
      </c>
      <c r="K258" s="244">
        <f t="shared" si="125"/>
        <v>0</v>
      </c>
      <c r="L258" s="243">
        <v>0</v>
      </c>
      <c r="M258" s="243">
        <v>0</v>
      </c>
      <c r="N258" s="243">
        <v>0</v>
      </c>
      <c r="O258" s="73">
        <v>0</v>
      </c>
      <c r="P258" s="243">
        <f t="shared" si="129"/>
        <v>0</v>
      </c>
      <c r="Q258" s="243">
        <v>0</v>
      </c>
      <c r="R258" s="243">
        <v>0</v>
      </c>
      <c r="S258" s="245">
        <v>0</v>
      </c>
      <c r="T258" s="73">
        <v>0.75</v>
      </c>
      <c r="U258" s="243">
        <f t="shared" si="130"/>
        <v>188</v>
      </c>
      <c r="V258" s="243">
        <v>0</v>
      </c>
      <c r="W258" s="243">
        <v>0</v>
      </c>
      <c r="X258" s="245">
        <v>188</v>
      </c>
      <c r="Y258" s="73">
        <v>0</v>
      </c>
      <c r="Z258" s="243">
        <f t="shared" si="131"/>
        <v>0</v>
      </c>
      <c r="AA258" s="243">
        <v>0</v>
      </c>
      <c r="AB258" s="243">
        <v>0</v>
      </c>
      <c r="AC258" s="245">
        <v>0</v>
      </c>
      <c r="AD258" s="18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</row>
    <row r="259" spans="1:43" s="17" customFormat="1" ht="32.4" customHeight="1" outlineLevel="1" x14ac:dyDescent="0.25">
      <c r="A259" s="78" t="s">
        <v>480</v>
      </c>
      <c r="B259" s="32" t="s">
        <v>851</v>
      </c>
      <c r="C259" s="226">
        <f t="shared" si="126"/>
        <v>1.88</v>
      </c>
      <c r="D259" s="243">
        <f t="shared" si="127"/>
        <v>470</v>
      </c>
      <c r="E259" s="208">
        <v>0</v>
      </c>
      <c r="F259" s="244">
        <f t="shared" si="128"/>
        <v>0</v>
      </c>
      <c r="G259" s="243">
        <v>0</v>
      </c>
      <c r="H259" s="243">
        <v>0</v>
      </c>
      <c r="I259" s="243">
        <v>0</v>
      </c>
      <c r="J259" s="208">
        <v>0</v>
      </c>
      <c r="K259" s="244">
        <f t="shared" si="125"/>
        <v>0</v>
      </c>
      <c r="L259" s="243">
        <v>0</v>
      </c>
      <c r="M259" s="243">
        <v>0</v>
      </c>
      <c r="N259" s="243">
        <v>0</v>
      </c>
      <c r="O259" s="73">
        <v>0</v>
      </c>
      <c r="P259" s="243">
        <f t="shared" si="129"/>
        <v>0</v>
      </c>
      <c r="Q259" s="243">
        <v>0</v>
      </c>
      <c r="R259" s="243">
        <v>0</v>
      </c>
      <c r="S259" s="245">
        <v>0</v>
      </c>
      <c r="T259" s="73">
        <v>1.88</v>
      </c>
      <c r="U259" s="243">
        <f t="shared" si="130"/>
        <v>470</v>
      </c>
      <c r="V259" s="243">
        <v>0</v>
      </c>
      <c r="W259" s="243">
        <v>0</v>
      </c>
      <c r="X259" s="245">
        <v>470</v>
      </c>
      <c r="Y259" s="73">
        <v>0</v>
      </c>
      <c r="Z259" s="243">
        <f t="shared" si="131"/>
        <v>0</v>
      </c>
      <c r="AA259" s="243">
        <v>0</v>
      </c>
      <c r="AB259" s="243">
        <v>0</v>
      </c>
      <c r="AC259" s="245">
        <v>0</v>
      </c>
      <c r="AD259" s="18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</row>
    <row r="260" spans="1:43" s="17" customFormat="1" ht="22.95" customHeight="1" outlineLevel="1" x14ac:dyDescent="0.25">
      <c r="A260" s="78" t="s">
        <v>481</v>
      </c>
      <c r="B260" s="32" t="s">
        <v>243</v>
      </c>
      <c r="C260" s="226">
        <f t="shared" si="126"/>
        <v>1</v>
      </c>
      <c r="D260" s="243">
        <f t="shared" si="127"/>
        <v>250</v>
      </c>
      <c r="E260" s="208">
        <v>0</v>
      </c>
      <c r="F260" s="244">
        <f t="shared" si="128"/>
        <v>0</v>
      </c>
      <c r="G260" s="243">
        <v>0</v>
      </c>
      <c r="H260" s="243">
        <v>0</v>
      </c>
      <c r="I260" s="243">
        <v>0</v>
      </c>
      <c r="J260" s="208">
        <v>0</v>
      </c>
      <c r="K260" s="244">
        <f t="shared" si="125"/>
        <v>0</v>
      </c>
      <c r="L260" s="243">
        <v>0</v>
      </c>
      <c r="M260" s="243">
        <v>0</v>
      </c>
      <c r="N260" s="243">
        <v>0</v>
      </c>
      <c r="O260" s="73">
        <v>0</v>
      </c>
      <c r="P260" s="243">
        <f t="shared" si="129"/>
        <v>0</v>
      </c>
      <c r="Q260" s="243">
        <v>0</v>
      </c>
      <c r="R260" s="243">
        <v>0</v>
      </c>
      <c r="S260" s="245">
        <v>0</v>
      </c>
      <c r="T260" s="73">
        <v>1</v>
      </c>
      <c r="U260" s="243">
        <f t="shared" si="130"/>
        <v>250</v>
      </c>
      <c r="V260" s="243">
        <v>0</v>
      </c>
      <c r="W260" s="243">
        <v>0</v>
      </c>
      <c r="X260" s="245">
        <v>250</v>
      </c>
      <c r="Y260" s="73">
        <v>0</v>
      </c>
      <c r="Z260" s="243">
        <f t="shared" si="131"/>
        <v>0</v>
      </c>
      <c r="AA260" s="243">
        <v>0</v>
      </c>
      <c r="AB260" s="243">
        <v>0</v>
      </c>
      <c r="AC260" s="245">
        <v>0</v>
      </c>
      <c r="AD260" s="18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</row>
    <row r="261" spans="1:43" s="17" customFormat="1" ht="41.4" customHeight="1" outlineLevel="1" x14ac:dyDescent="0.25">
      <c r="A261" s="78" t="s">
        <v>482</v>
      </c>
      <c r="B261" s="32" t="s">
        <v>244</v>
      </c>
      <c r="C261" s="226">
        <f t="shared" si="126"/>
        <v>0.61</v>
      </c>
      <c r="D261" s="243">
        <f t="shared" si="127"/>
        <v>153</v>
      </c>
      <c r="E261" s="208">
        <v>0</v>
      </c>
      <c r="F261" s="244">
        <f t="shared" si="128"/>
        <v>0</v>
      </c>
      <c r="G261" s="243">
        <v>0</v>
      </c>
      <c r="H261" s="243">
        <v>0</v>
      </c>
      <c r="I261" s="243">
        <v>0</v>
      </c>
      <c r="J261" s="208">
        <v>0</v>
      </c>
      <c r="K261" s="244">
        <f t="shared" si="125"/>
        <v>0</v>
      </c>
      <c r="L261" s="243">
        <v>0</v>
      </c>
      <c r="M261" s="243">
        <v>0</v>
      </c>
      <c r="N261" s="243">
        <v>0</v>
      </c>
      <c r="O261" s="73">
        <v>0</v>
      </c>
      <c r="P261" s="243">
        <f t="shared" si="129"/>
        <v>0</v>
      </c>
      <c r="Q261" s="243">
        <v>0</v>
      </c>
      <c r="R261" s="243">
        <v>0</v>
      </c>
      <c r="S261" s="245">
        <v>0</v>
      </c>
      <c r="T261" s="73">
        <v>0.61</v>
      </c>
      <c r="U261" s="243">
        <f t="shared" si="130"/>
        <v>153</v>
      </c>
      <c r="V261" s="243">
        <v>0</v>
      </c>
      <c r="W261" s="243">
        <v>0</v>
      </c>
      <c r="X261" s="245">
        <v>153</v>
      </c>
      <c r="Y261" s="73">
        <v>0</v>
      </c>
      <c r="Z261" s="243">
        <f t="shared" si="131"/>
        <v>0</v>
      </c>
      <c r="AA261" s="243">
        <v>0</v>
      </c>
      <c r="AB261" s="243">
        <v>0</v>
      </c>
      <c r="AC261" s="245">
        <v>0</v>
      </c>
      <c r="AD261" s="18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</row>
    <row r="262" spans="1:43" s="17" customFormat="1" ht="32.4" customHeight="1" outlineLevel="1" x14ac:dyDescent="0.25">
      <c r="A262" s="78" t="s">
        <v>483</v>
      </c>
      <c r="B262" s="32" t="s">
        <v>245</v>
      </c>
      <c r="C262" s="226">
        <f t="shared" si="126"/>
        <v>9.5499999999999989</v>
      </c>
      <c r="D262" s="243">
        <f t="shared" si="127"/>
        <v>2388</v>
      </c>
      <c r="E262" s="208">
        <v>0</v>
      </c>
      <c r="F262" s="244">
        <f t="shared" si="128"/>
        <v>0</v>
      </c>
      <c r="G262" s="243">
        <v>0</v>
      </c>
      <c r="H262" s="243">
        <v>0</v>
      </c>
      <c r="I262" s="243">
        <v>0</v>
      </c>
      <c r="J262" s="208">
        <v>0</v>
      </c>
      <c r="K262" s="244">
        <f t="shared" si="125"/>
        <v>0</v>
      </c>
      <c r="L262" s="243">
        <v>0</v>
      </c>
      <c r="M262" s="243">
        <v>0</v>
      </c>
      <c r="N262" s="243">
        <v>0</v>
      </c>
      <c r="O262" s="73">
        <v>0</v>
      </c>
      <c r="P262" s="243">
        <f t="shared" si="129"/>
        <v>0</v>
      </c>
      <c r="Q262" s="243">
        <v>0</v>
      </c>
      <c r="R262" s="243">
        <v>0</v>
      </c>
      <c r="S262" s="245">
        <v>0</v>
      </c>
      <c r="T262" s="73">
        <v>9.5499999999999989</v>
      </c>
      <c r="U262" s="243">
        <f t="shared" si="130"/>
        <v>2388</v>
      </c>
      <c r="V262" s="243">
        <v>0</v>
      </c>
      <c r="W262" s="243">
        <v>0</v>
      </c>
      <c r="X262" s="245">
        <v>2388</v>
      </c>
      <c r="Y262" s="73">
        <v>0</v>
      </c>
      <c r="Z262" s="243">
        <f t="shared" si="131"/>
        <v>0</v>
      </c>
      <c r="AA262" s="243">
        <v>0</v>
      </c>
      <c r="AB262" s="243">
        <v>0</v>
      </c>
      <c r="AC262" s="245">
        <v>0</v>
      </c>
      <c r="AD262" s="18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</row>
    <row r="263" spans="1:43" s="17" customFormat="1" ht="25.95" customHeight="1" outlineLevel="1" x14ac:dyDescent="0.25">
      <c r="A263" s="78" t="s">
        <v>484</v>
      </c>
      <c r="B263" s="32" t="s">
        <v>246</v>
      </c>
      <c r="C263" s="226">
        <f t="shared" si="126"/>
        <v>1.95</v>
      </c>
      <c r="D263" s="243">
        <f t="shared" si="127"/>
        <v>486</v>
      </c>
      <c r="E263" s="208">
        <v>0</v>
      </c>
      <c r="F263" s="244">
        <f t="shared" si="128"/>
        <v>0</v>
      </c>
      <c r="G263" s="243">
        <v>0</v>
      </c>
      <c r="H263" s="243">
        <v>0</v>
      </c>
      <c r="I263" s="243">
        <v>0</v>
      </c>
      <c r="J263" s="208">
        <v>0</v>
      </c>
      <c r="K263" s="244">
        <f t="shared" si="125"/>
        <v>0</v>
      </c>
      <c r="L263" s="243">
        <v>0</v>
      </c>
      <c r="M263" s="243">
        <v>0</v>
      </c>
      <c r="N263" s="243">
        <v>0</v>
      </c>
      <c r="O263" s="73">
        <v>0</v>
      </c>
      <c r="P263" s="243">
        <f t="shared" si="129"/>
        <v>0</v>
      </c>
      <c r="Q263" s="243">
        <v>0</v>
      </c>
      <c r="R263" s="243">
        <v>0</v>
      </c>
      <c r="S263" s="245">
        <v>0</v>
      </c>
      <c r="T263" s="73">
        <f>ROUND(1.945,2)</f>
        <v>1.95</v>
      </c>
      <c r="U263" s="243">
        <f t="shared" si="130"/>
        <v>486</v>
      </c>
      <c r="V263" s="243">
        <v>0</v>
      </c>
      <c r="W263" s="243">
        <v>0</v>
      </c>
      <c r="X263" s="245">
        <v>486</v>
      </c>
      <c r="Y263" s="73">
        <v>0</v>
      </c>
      <c r="Z263" s="243">
        <f t="shared" si="131"/>
        <v>0</v>
      </c>
      <c r="AA263" s="243">
        <v>0</v>
      </c>
      <c r="AB263" s="243">
        <v>0</v>
      </c>
      <c r="AC263" s="245">
        <v>0</v>
      </c>
      <c r="AD263" s="18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</row>
    <row r="264" spans="1:43" s="17" customFormat="1" ht="30" customHeight="1" outlineLevel="1" x14ac:dyDescent="0.25">
      <c r="A264" s="78" t="s">
        <v>485</v>
      </c>
      <c r="B264" s="32" t="s">
        <v>247</v>
      </c>
      <c r="C264" s="226">
        <f t="shared" si="126"/>
        <v>3.76</v>
      </c>
      <c r="D264" s="243">
        <f t="shared" si="127"/>
        <v>939</v>
      </c>
      <c r="E264" s="208">
        <v>0</v>
      </c>
      <c r="F264" s="244">
        <f t="shared" si="128"/>
        <v>0</v>
      </c>
      <c r="G264" s="243">
        <v>0</v>
      </c>
      <c r="H264" s="243">
        <v>0</v>
      </c>
      <c r="I264" s="243">
        <v>0</v>
      </c>
      <c r="J264" s="208">
        <v>0</v>
      </c>
      <c r="K264" s="244">
        <f t="shared" si="125"/>
        <v>0</v>
      </c>
      <c r="L264" s="243">
        <v>0</v>
      </c>
      <c r="M264" s="243">
        <v>0</v>
      </c>
      <c r="N264" s="243">
        <v>0</v>
      </c>
      <c r="O264" s="73">
        <v>0</v>
      </c>
      <c r="P264" s="243">
        <f t="shared" si="129"/>
        <v>0</v>
      </c>
      <c r="Q264" s="243">
        <v>0</v>
      </c>
      <c r="R264" s="243">
        <v>0</v>
      </c>
      <c r="S264" s="245">
        <v>0</v>
      </c>
      <c r="T264" s="73">
        <f>ROUND(3.755,2)</f>
        <v>3.76</v>
      </c>
      <c r="U264" s="243">
        <f t="shared" si="130"/>
        <v>939</v>
      </c>
      <c r="V264" s="243">
        <v>0</v>
      </c>
      <c r="W264" s="243">
        <v>0</v>
      </c>
      <c r="X264" s="245">
        <v>939</v>
      </c>
      <c r="Y264" s="73">
        <v>0</v>
      </c>
      <c r="Z264" s="243">
        <f t="shared" si="131"/>
        <v>0</v>
      </c>
      <c r="AA264" s="243">
        <v>0</v>
      </c>
      <c r="AB264" s="243">
        <v>0</v>
      </c>
      <c r="AC264" s="245">
        <v>0</v>
      </c>
      <c r="AD264" s="18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</row>
    <row r="265" spans="1:43" s="17" customFormat="1" ht="34.200000000000003" customHeight="1" outlineLevel="1" x14ac:dyDescent="0.25">
      <c r="A265" s="78" t="s">
        <v>486</v>
      </c>
      <c r="B265" s="32" t="s">
        <v>248</v>
      </c>
      <c r="C265" s="226">
        <f t="shared" si="126"/>
        <v>0.8899999999999999</v>
      </c>
      <c r="D265" s="243">
        <f t="shared" si="127"/>
        <v>223</v>
      </c>
      <c r="E265" s="208">
        <v>0</v>
      </c>
      <c r="F265" s="244">
        <f t="shared" si="128"/>
        <v>0</v>
      </c>
      <c r="G265" s="243">
        <v>0</v>
      </c>
      <c r="H265" s="243">
        <v>0</v>
      </c>
      <c r="I265" s="243">
        <v>0</v>
      </c>
      <c r="J265" s="208">
        <v>0</v>
      </c>
      <c r="K265" s="244">
        <f t="shared" si="125"/>
        <v>0</v>
      </c>
      <c r="L265" s="243">
        <v>0</v>
      </c>
      <c r="M265" s="243">
        <v>0</v>
      </c>
      <c r="N265" s="243">
        <v>0</v>
      </c>
      <c r="O265" s="73">
        <v>0</v>
      </c>
      <c r="P265" s="243">
        <f t="shared" si="129"/>
        <v>0</v>
      </c>
      <c r="Q265" s="243">
        <v>0</v>
      </c>
      <c r="R265" s="243">
        <v>0</v>
      </c>
      <c r="S265" s="245">
        <v>0</v>
      </c>
      <c r="T265" s="73">
        <v>0.8899999999999999</v>
      </c>
      <c r="U265" s="243">
        <f t="shared" si="130"/>
        <v>223</v>
      </c>
      <c r="V265" s="243">
        <v>0</v>
      </c>
      <c r="W265" s="243">
        <v>0</v>
      </c>
      <c r="X265" s="245">
        <v>223</v>
      </c>
      <c r="Y265" s="73">
        <v>0</v>
      </c>
      <c r="Z265" s="243">
        <f t="shared" si="131"/>
        <v>0</v>
      </c>
      <c r="AA265" s="243">
        <v>0</v>
      </c>
      <c r="AB265" s="243">
        <v>0</v>
      </c>
      <c r="AC265" s="245">
        <v>0</v>
      </c>
      <c r="AD265" s="18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</row>
    <row r="266" spans="1:43" s="17" customFormat="1" ht="46.95" customHeight="1" outlineLevel="1" x14ac:dyDescent="0.25">
      <c r="A266" s="78" t="s">
        <v>487</v>
      </c>
      <c r="B266" s="32" t="s">
        <v>249</v>
      </c>
      <c r="C266" s="226">
        <f t="shared" si="126"/>
        <v>0.55000000000000004</v>
      </c>
      <c r="D266" s="243">
        <f t="shared" si="127"/>
        <v>138</v>
      </c>
      <c r="E266" s="208">
        <v>0</v>
      </c>
      <c r="F266" s="244">
        <f t="shared" si="128"/>
        <v>0</v>
      </c>
      <c r="G266" s="243">
        <v>0</v>
      </c>
      <c r="H266" s="243">
        <v>0</v>
      </c>
      <c r="I266" s="243">
        <v>0</v>
      </c>
      <c r="J266" s="208">
        <v>0</v>
      </c>
      <c r="K266" s="244">
        <f t="shared" si="125"/>
        <v>0</v>
      </c>
      <c r="L266" s="243">
        <v>0</v>
      </c>
      <c r="M266" s="243">
        <v>0</v>
      </c>
      <c r="N266" s="243">
        <v>0</v>
      </c>
      <c r="O266" s="73">
        <v>0</v>
      </c>
      <c r="P266" s="243">
        <f t="shared" si="129"/>
        <v>0</v>
      </c>
      <c r="Q266" s="243">
        <v>0</v>
      </c>
      <c r="R266" s="243">
        <v>0</v>
      </c>
      <c r="S266" s="245">
        <v>0</v>
      </c>
      <c r="T266" s="73">
        <v>0.55000000000000004</v>
      </c>
      <c r="U266" s="243">
        <f t="shared" si="130"/>
        <v>138</v>
      </c>
      <c r="V266" s="243">
        <v>0</v>
      </c>
      <c r="W266" s="243">
        <v>0</v>
      </c>
      <c r="X266" s="245">
        <v>138</v>
      </c>
      <c r="Y266" s="73">
        <v>0</v>
      </c>
      <c r="Z266" s="243">
        <f t="shared" si="131"/>
        <v>0</v>
      </c>
      <c r="AA266" s="243">
        <v>0</v>
      </c>
      <c r="AB266" s="243">
        <v>0</v>
      </c>
      <c r="AC266" s="245">
        <v>0</v>
      </c>
      <c r="AD266" s="18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</row>
    <row r="267" spans="1:43" s="17" customFormat="1" ht="32.4" customHeight="1" outlineLevel="1" x14ac:dyDescent="0.25">
      <c r="A267" s="78" t="s">
        <v>488</v>
      </c>
      <c r="B267" s="32" t="s">
        <v>852</v>
      </c>
      <c r="C267" s="226">
        <f t="shared" si="126"/>
        <v>1.6600000000000001</v>
      </c>
      <c r="D267" s="243">
        <f t="shared" si="127"/>
        <v>415.00000000000006</v>
      </c>
      <c r="E267" s="208">
        <v>0</v>
      </c>
      <c r="F267" s="244">
        <f t="shared" si="128"/>
        <v>0</v>
      </c>
      <c r="G267" s="243">
        <v>0</v>
      </c>
      <c r="H267" s="243">
        <v>0</v>
      </c>
      <c r="I267" s="243">
        <v>0</v>
      </c>
      <c r="J267" s="208">
        <v>0</v>
      </c>
      <c r="K267" s="244">
        <f t="shared" si="125"/>
        <v>0</v>
      </c>
      <c r="L267" s="243">
        <v>0</v>
      </c>
      <c r="M267" s="243">
        <v>0</v>
      </c>
      <c r="N267" s="243">
        <v>0</v>
      </c>
      <c r="O267" s="73">
        <v>0</v>
      </c>
      <c r="P267" s="243">
        <f t="shared" si="129"/>
        <v>0</v>
      </c>
      <c r="Q267" s="243">
        <v>0</v>
      </c>
      <c r="R267" s="243">
        <v>0</v>
      </c>
      <c r="S267" s="245">
        <v>0</v>
      </c>
      <c r="T267" s="73">
        <v>1.6600000000000001</v>
      </c>
      <c r="U267" s="243">
        <f t="shared" si="130"/>
        <v>415.00000000000006</v>
      </c>
      <c r="V267" s="243">
        <v>0</v>
      </c>
      <c r="W267" s="243">
        <v>0</v>
      </c>
      <c r="X267" s="245">
        <v>415.00000000000006</v>
      </c>
      <c r="Y267" s="73">
        <v>0</v>
      </c>
      <c r="Z267" s="243">
        <f t="shared" si="131"/>
        <v>0</v>
      </c>
      <c r="AA267" s="243">
        <v>0</v>
      </c>
      <c r="AB267" s="243">
        <v>0</v>
      </c>
      <c r="AC267" s="245">
        <v>0</v>
      </c>
      <c r="AD267" s="18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</row>
    <row r="268" spans="1:43" s="17" customFormat="1" ht="43.2" customHeight="1" outlineLevel="1" x14ac:dyDescent="0.25">
      <c r="A268" s="78" t="s">
        <v>489</v>
      </c>
      <c r="B268" s="32" t="s">
        <v>250</v>
      </c>
      <c r="C268" s="226">
        <f t="shared" si="126"/>
        <v>0.25</v>
      </c>
      <c r="D268" s="243">
        <f t="shared" si="127"/>
        <v>63</v>
      </c>
      <c r="E268" s="208">
        <v>0</v>
      </c>
      <c r="F268" s="244">
        <f t="shared" si="128"/>
        <v>0</v>
      </c>
      <c r="G268" s="243">
        <v>0</v>
      </c>
      <c r="H268" s="243">
        <v>0</v>
      </c>
      <c r="I268" s="243">
        <v>0</v>
      </c>
      <c r="J268" s="208">
        <v>0</v>
      </c>
      <c r="K268" s="244">
        <f t="shared" si="125"/>
        <v>0</v>
      </c>
      <c r="L268" s="243">
        <v>0</v>
      </c>
      <c r="M268" s="243">
        <v>0</v>
      </c>
      <c r="N268" s="243">
        <v>0</v>
      </c>
      <c r="O268" s="73">
        <v>0</v>
      </c>
      <c r="P268" s="243">
        <f t="shared" si="129"/>
        <v>0</v>
      </c>
      <c r="Q268" s="243">
        <v>0</v>
      </c>
      <c r="R268" s="243">
        <v>0</v>
      </c>
      <c r="S268" s="245">
        <v>0</v>
      </c>
      <c r="T268" s="73">
        <v>0.25</v>
      </c>
      <c r="U268" s="243">
        <f t="shared" si="130"/>
        <v>63</v>
      </c>
      <c r="V268" s="243">
        <v>0</v>
      </c>
      <c r="W268" s="243">
        <v>0</v>
      </c>
      <c r="X268" s="245">
        <v>63</v>
      </c>
      <c r="Y268" s="73">
        <v>0</v>
      </c>
      <c r="Z268" s="243">
        <f t="shared" si="131"/>
        <v>0</v>
      </c>
      <c r="AA268" s="243">
        <v>0</v>
      </c>
      <c r="AB268" s="243">
        <v>0</v>
      </c>
      <c r="AC268" s="245">
        <v>0</v>
      </c>
      <c r="AD268" s="18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</row>
    <row r="269" spans="1:43" s="17" customFormat="1" ht="33" customHeight="1" outlineLevel="1" x14ac:dyDescent="0.25">
      <c r="A269" s="78" t="s">
        <v>490</v>
      </c>
      <c r="B269" s="32" t="s">
        <v>251</v>
      </c>
      <c r="C269" s="226">
        <f t="shared" si="126"/>
        <v>1.03</v>
      </c>
      <c r="D269" s="243">
        <f t="shared" si="127"/>
        <v>256</v>
      </c>
      <c r="E269" s="208">
        <v>0</v>
      </c>
      <c r="F269" s="244">
        <f t="shared" si="128"/>
        <v>0</v>
      </c>
      <c r="G269" s="243">
        <v>0</v>
      </c>
      <c r="H269" s="243">
        <v>0</v>
      </c>
      <c r="I269" s="243">
        <v>0</v>
      </c>
      <c r="J269" s="208">
        <v>0</v>
      </c>
      <c r="K269" s="244">
        <f t="shared" si="125"/>
        <v>0</v>
      </c>
      <c r="L269" s="243">
        <v>0</v>
      </c>
      <c r="M269" s="243">
        <v>0</v>
      </c>
      <c r="N269" s="243">
        <v>0</v>
      </c>
      <c r="O269" s="73">
        <v>0</v>
      </c>
      <c r="P269" s="243">
        <f t="shared" si="129"/>
        <v>0</v>
      </c>
      <c r="Q269" s="243">
        <v>0</v>
      </c>
      <c r="R269" s="243">
        <v>0</v>
      </c>
      <c r="S269" s="245">
        <v>0</v>
      </c>
      <c r="T269" s="73">
        <f>ROUND(1.025,2)</f>
        <v>1.03</v>
      </c>
      <c r="U269" s="243">
        <f t="shared" si="130"/>
        <v>256</v>
      </c>
      <c r="V269" s="243">
        <v>0</v>
      </c>
      <c r="W269" s="243">
        <v>0</v>
      </c>
      <c r="X269" s="245">
        <v>256</v>
      </c>
      <c r="Y269" s="73">
        <v>0</v>
      </c>
      <c r="Z269" s="243">
        <f t="shared" si="131"/>
        <v>0</v>
      </c>
      <c r="AA269" s="243">
        <v>0</v>
      </c>
      <c r="AB269" s="243">
        <v>0</v>
      </c>
      <c r="AC269" s="245">
        <v>0</v>
      </c>
      <c r="AD269" s="18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</row>
    <row r="270" spans="1:43" s="17" customFormat="1" ht="26.4" customHeight="1" outlineLevel="1" x14ac:dyDescent="0.25">
      <c r="A270" s="78" t="s">
        <v>491</v>
      </c>
      <c r="B270" s="32" t="s">
        <v>252</v>
      </c>
      <c r="C270" s="226">
        <f t="shared" si="126"/>
        <v>2</v>
      </c>
      <c r="D270" s="243">
        <f t="shared" si="127"/>
        <v>500</v>
      </c>
      <c r="E270" s="208">
        <v>0</v>
      </c>
      <c r="F270" s="244">
        <f t="shared" si="128"/>
        <v>0</v>
      </c>
      <c r="G270" s="243">
        <v>0</v>
      </c>
      <c r="H270" s="243">
        <v>0</v>
      </c>
      <c r="I270" s="243">
        <v>0</v>
      </c>
      <c r="J270" s="208">
        <v>0</v>
      </c>
      <c r="K270" s="244">
        <f t="shared" si="125"/>
        <v>0</v>
      </c>
      <c r="L270" s="243">
        <v>0</v>
      </c>
      <c r="M270" s="243">
        <v>0</v>
      </c>
      <c r="N270" s="243">
        <v>0</v>
      </c>
      <c r="O270" s="73">
        <v>0</v>
      </c>
      <c r="P270" s="243">
        <f t="shared" si="129"/>
        <v>0</v>
      </c>
      <c r="Q270" s="243">
        <v>0</v>
      </c>
      <c r="R270" s="243">
        <v>0</v>
      </c>
      <c r="S270" s="245">
        <v>0</v>
      </c>
      <c r="T270" s="73">
        <v>2</v>
      </c>
      <c r="U270" s="243">
        <f t="shared" si="130"/>
        <v>500</v>
      </c>
      <c r="V270" s="243">
        <v>0</v>
      </c>
      <c r="W270" s="243">
        <v>0</v>
      </c>
      <c r="X270" s="245">
        <v>500</v>
      </c>
      <c r="Y270" s="73">
        <v>0</v>
      </c>
      <c r="Z270" s="243">
        <f t="shared" si="131"/>
        <v>0</v>
      </c>
      <c r="AA270" s="243">
        <v>0</v>
      </c>
      <c r="AB270" s="243">
        <v>0</v>
      </c>
      <c r="AC270" s="245">
        <v>0</v>
      </c>
      <c r="AD270" s="18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</row>
    <row r="271" spans="1:43" s="17" customFormat="1" ht="32.4" customHeight="1" outlineLevel="1" x14ac:dyDescent="0.25">
      <c r="A271" s="78" t="s">
        <v>492</v>
      </c>
      <c r="B271" s="32" t="s">
        <v>253</v>
      </c>
      <c r="C271" s="226">
        <f t="shared" si="126"/>
        <v>2.88</v>
      </c>
      <c r="D271" s="243">
        <f t="shared" si="127"/>
        <v>719</v>
      </c>
      <c r="E271" s="208">
        <v>0</v>
      </c>
      <c r="F271" s="244">
        <f t="shared" si="128"/>
        <v>0</v>
      </c>
      <c r="G271" s="243">
        <v>0</v>
      </c>
      <c r="H271" s="243">
        <v>0</v>
      </c>
      <c r="I271" s="243">
        <v>0</v>
      </c>
      <c r="J271" s="208">
        <v>0</v>
      </c>
      <c r="K271" s="244">
        <f t="shared" si="125"/>
        <v>0</v>
      </c>
      <c r="L271" s="243">
        <v>0</v>
      </c>
      <c r="M271" s="243">
        <v>0</v>
      </c>
      <c r="N271" s="243">
        <v>0</v>
      </c>
      <c r="O271" s="73">
        <v>0</v>
      </c>
      <c r="P271" s="243">
        <f t="shared" si="129"/>
        <v>0</v>
      </c>
      <c r="Q271" s="243">
        <v>0</v>
      </c>
      <c r="R271" s="243">
        <v>0</v>
      </c>
      <c r="S271" s="245">
        <v>0</v>
      </c>
      <c r="T271" s="73">
        <f>ROUND(2.875,2)</f>
        <v>2.88</v>
      </c>
      <c r="U271" s="243">
        <f t="shared" si="130"/>
        <v>719</v>
      </c>
      <c r="V271" s="243">
        <v>0</v>
      </c>
      <c r="W271" s="243">
        <v>0</v>
      </c>
      <c r="X271" s="245">
        <v>719</v>
      </c>
      <c r="Y271" s="73">
        <v>0</v>
      </c>
      <c r="Z271" s="243">
        <f t="shared" si="131"/>
        <v>0</v>
      </c>
      <c r="AA271" s="243">
        <v>0</v>
      </c>
      <c r="AB271" s="243">
        <v>0</v>
      </c>
      <c r="AC271" s="245">
        <v>0</v>
      </c>
      <c r="AD271" s="18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</row>
    <row r="272" spans="1:43" s="17" customFormat="1" ht="36" customHeight="1" outlineLevel="1" x14ac:dyDescent="0.25">
      <c r="A272" s="78" t="s">
        <v>493</v>
      </c>
      <c r="B272" s="32" t="s">
        <v>254</v>
      </c>
      <c r="C272" s="226">
        <f t="shared" si="126"/>
        <v>3.7800000000000002</v>
      </c>
      <c r="D272" s="243">
        <f t="shared" si="127"/>
        <v>945.00000000000011</v>
      </c>
      <c r="E272" s="208">
        <v>0</v>
      </c>
      <c r="F272" s="244">
        <f t="shared" si="128"/>
        <v>0</v>
      </c>
      <c r="G272" s="243">
        <v>0</v>
      </c>
      <c r="H272" s="243">
        <v>0</v>
      </c>
      <c r="I272" s="243">
        <v>0</v>
      </c>
      <c r="J272" s="208">
        <v>0</v>
      </c>
      <c r="K272" s="244">
        <f t="shared" si="125"/>
        <v>0</v>
      </c>
      <c r="L272" s="243">
        <v>0</v>
      </c>
      <c r="M272" s="243">
        <v>0</v>
      </c>
      <c r="N272" s="243">
        <v>0</v>
      </c>
      <c r="O272" s="73">
        <v>0</v>
      </c>
      <c r="P272" s="243">
        <f t="shared" si="129"/>
        <v>0</v>
      </c>
      <c r="Q272" s="243">
        <v>0</v>
      </c>
      <c r="R272" s="243">
        <v>0</v>
      </c>
      <c r="S272" s="245">
        <v>0</v>
      </c>
      <c r="T272" s="73">
        <v>3.7800000000000002</v>
      </c>
      <c r="U272" s="243">
        <f t="shared" si="130"/>
        <v>945.00000000000011</v>
      </c>
      <c r="V272" s="243">
        <v>0</v>
      </c>
      <c r="W272" s="243">
        <v>0</v>
      </c>
      <c r="X272" s="245">
        <v>945.00000000000011</v>
      </c>
      <c r="Y272" s="73">
        <v>0</v>
      </c>
      <c r="Z272" s="243">
        <f t="shared" si="131"/>
        <v>0</v>
      </c>
      <c r="AA272" s="243">
        <v>0</v>
      </c>
      <c r="AB272" s="243">
        <v>0</v>
      </c>
      <c r="AC272" s="245">
        <v>0</v>
      </c>
      <c r="AD272" s="18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</row>
    <row r="273" spans="1:43" s="17" customFormat="1" ht="46.95" customHeight="1" outlineLevel="1" x14ac:dyDescent="0.25">
      <c r="A273" s="78" t="s">
        <v>494</v>
      </c>
      <c r="B273" s="66" t="s">
        <v>255</v>
      </c>
      <c r="C273" s="226">
        <f t="shared" si="126"/>
        <v>2.29</v>
      </c>
      <c r="D273" s="243">
        <f t="shared" si="127"/>
        <v>573</v>
      </c>
      <c r="E273" s="208">
        <v>0</v>
      </c>
      <c r="F273" s="244">
        <f t="shared" si="128"/>
        <v>0</v>
      </c>
      <c r="G273" s="243">
        <v>0</v>
      </c>
      <c r="H273" s="243">
        <v>0</v>
      </c>
      <c r="I273" s="243">
        <v>0</v>
      </c>
      <c r="J273" s="208">
        <v>0</v>
      </c>
      <c r="K273" s="244">
        <f t="shared" si="125"/>
        <v>0</v>
      </c>
      <c r="L273" s="243">
        <v>0</v>
      </c>
      <c r="M273" s="243">
        <v>0</v>
      </c>
      <c r="N273" s="243">
        <v>0</v>
      </c>
      <c r="O273" s="73">
        <v>0</v>
      </c>
      <c r="P273" s="243">
        <f t="shared" si="129"/>
        <v>0</v>
      </c>
      <c r="Q273" s="243">
        <v>0</v>
      </c>
      <c r="R273" s="243">
        <v>0</v>
      </c>
      <c r="S273" s="245">
        <v>0</v>
      </c>
      <c r="T273" s="73">
        <v>2.29</v>
      </c>
      <c r="U273" s="243">
        <f t="shared" si="130"/>
        <v>573</v>
      </c>
      <c r="V273" s="243">
        <v>0</v>
      </c>
      <c r="W273" s="243">
        <v>0</v>
      </c>
      <c r="X273" s="245">
        <v>573</v>
      </c>
      <c r="Y273" s="73">
        <v>0</v>
      </c>
      <c r="Z273" s="243">
        <f t="shared" si="131"/>
        <v>0</v>
      </c>
      <c r="AA273" s="243">
        <v>0</v>
      </c>
      <c r="AB273" s="243">
        <v>0</v>
      </c>
      <c r="AC273" s="245">
        <v>0</v>
      </c>
      <c r="AD273" s="18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</row>
    <row r="274" spans="1:43" s="17" customFormat="1" ht="53.4" customHeight="1" outlineLevel="1" x14ac:dyDescent="0.25">
      <c r="A274" s="78" t="s">
        <v>495</v>
      </c>
      <c r="B274" s="66" t="s">
        <v>256</v>
      </c>
      <c r="C274" s="226">
        <f t="shared" si="126"/>
        <v>4.88</v>
      </c>
      <c r="D274" s="243">
        <f t="shared" si="127"/>
        <v>1219</v>
      </c>
      <c r="E274" s="208">
        <v>0</v>
      </c>
      <c r="F274" s="244">
        <f t="shared" si="128"/>
        <v>0</v>
      </c>
      <c r="G274" s="243">
        <v>0</v>
      </c>
      <c r="H274" s="243">
        <v>0</v>
      </c>
      <c r="I274" s="243">
        <v>0</v>
      </c>
      <c r="J274" s="208">
        <v>0</v>
      </c>
      <c r="K274" s="244">
        <f t="shared" si="125"/>
        <v>0</v>
      </c>
      <c r="L274" s="243">
        <v>0</v>
      </c>
      <c r="M274" s="243">
        <v>0</v>
      </c>
      <c r="N274" s="243">
        <v>0</v>
      </c>
      <c r="O274" s="73">
        <v>0</v>
      </c>
      <c r="P274" s="243">
        <f t="shared" si="129"/>
        <v>0</v>
      </c>
      <c r="Q274" s="243">
        <v>0</v>
      </c>
      <c r="R274" s="243">
        <v>0</v>
      </c>
      <c r="S274" s="245">
        <v>0</v>
      </c>
      <c r="T274" s="73">
        <f>ROUND(4.875,2)</f>
        <v>4.88</v>
      </c>
      <c r="U274" s="243">
        <f t="shared" si="130"/>
        <v>1219</v>
      </c>
      <c r="V274" s="243">
        <v>0</v>
      </c>
      <c r="W274" s="243">
        <v>0</v>
      </c>
      <c r="X274" s="245">
        <v>1219</v>
      </c>
      <c r="Y274" s="73">
        <v>0</v>
      </c>
      <c r="Z274" s="243">
        <f t="shared" si="131"/>
        <v>0</v>
      </c>
      <c r="AA274" s="243">
        <v>0</v>
      </c>
      <c r="AB274" s="243">
        <v>0</v>
      </c>
      <c r="AC274" s="245">
        <v>0</v>
      </c>
      <c r="AD274" s="18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</row>
    <row r="275" spans="1:43" s="17" customFormat="1" ht="31.95" customHeight="1" outlineLevel="1" x14ac:dyDescent="0.25">
      <c r="A275" s="78" t="s">
        <v>496</v>
      </c>
      <c r="B275" s="66" t="s">
        <v>257</v>
      </c>
      <c r="C275" s="226">
        <f t="shared" si="126"/>
        <v>4.55</v>
      </c>
      <c r="D275" s="243">
        <f t="shared" si="127"/>
        <v>1138</v>
      </c>
      <c r="E275" s="208">
        <v>0</v>
      </c>
      <c r="F275" s="244">
        <f t="shared" si="128"/>
        <v>0</v>
      </c>
      <c r="G275" s="243">
        <v>0</v>
      </c>
      <c r="H275" s="243">
        <v>0</v>
      </c>
      <c r="I275" s="243">
        <v>0</v>
      </c>
      <c r="J275" s="208">
        <v>0</v>
      </c>
      <c r="K275" s="244">
        <f t="shared" si="125"/>
        <v>0</v>
      </c>
      <c r="L275" s="243">
        <v>0</v>
      </c>
      <c r="M275" s="243">
        <v>0</v>
      </c>
      <c r="N275" s="243">
        <v>0</v>
      </c>
      <c r="O275" s="73">
        <v>0</v>
      </c>
      <c r="P275" s="243">
        <f t="shared" si="129"/>
        <v>0</v>
      </c>
      <c r="Q275" s="243">
        <v>0</v>
      </c>
      <c r="R275" s="243">
        <v>0</v>
      </c>
      <c r="S275" s="245">
        <v>0</v>
      </c>
      <c r="T275" s="73">
        <v>4.55</v>
      </c>
      <c r="U275" s="243">
        <f t="shared" si="130"/>
        <v>1138</v>
      </c>
      <c r="V275" s="243">
        <v>0</v>
      </c>
      <c r="W275" s="243">
        <v>0</v>
      </c>
      <c r="X275" s="245">
        <v>1138</v>
      </c>
      <c r="Y275" s="73">
        <v>0</v>
      </c>
      <c r="Z275" s="243">
        <f t="shared" si="131"/>
        <v>0</v>
      </c>
      <c r="AA275" s="243">
        <v>0</v>
      </c>
      <c r="AB275" s="243">
        <v>0</v>
      </c>
      <c r="AC275" s="245">
        <v>0</v>
      </c>
      <c r="AD275" s="18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</row>
    <row r="276" spans="1:43" s="17" customFormat="1" ht="26.4" customHeight="1" outlineLevel="1" x14ac:dyDescent="0.25">
      <c r="A276" s="78" t="s">
        <v>497</v>
      </c>
      <c r="B276" s="66" t="s">
        <v>258</v>
      </c>
      <c r="C276" s="226">
        <f t="shared" si="126"/>
        <v>3.77</v>
      </c>
      <c r="D276" s="243">
        <f t="shared" si="127"/>
        <v>941</v>
      </c>
      <c r="E276" s="208">
        <v>0</v>
      </c>
      <c r="F276" s="244">
        <f t="shared" si="128"/>
        <v>0</v>
      </c>
      <c r="G276" s="243">
        <v>0</v>
      </c>
      <c r="H276" s="243">
        <v>0</v>
      </c>
      <c r="I276" s="243">
        <v>0</v>
      </c>
      <c r="J276" s="208">
        <v>0</v>
      </c>
      <c r="K276" s="244">
        <f t="shared" si="125"/>
        <v>0</v>
      </c>
      <c r="L276" s="243">
        <v>0</v>
      </c>
      <c r="M276" s="243">
        <v>0</v>
      </c>
      <c r="N276" s="243">
        <v>0</v>
      </c>
      <c r="O276" s="73">
        <v>0</v>
      </c>
      <c r="P276" s="243">
        <f t="shared" si="129"/>
        <v>0</v>
      </c>
      <c r="Q276" s="243">
        <v>0</v>
      </c>
      <c r="R276" s="243">
        <v>0</v>
      </c>
      <c r="S276" s="245">
        <v>0</v>
      </c>
      <c r="T276" s="73">
        <f>ROUND(3.765,2)</f>
        <v>3.77</v>
      </c>
      <c r="U276" s="243">
        <f t="shared" si="130"/>
        <v>941</v>
      </c>
      <c r="V276" s="243">
        <v>0</v>
      </c>
      <c r="W276" s="243">
        <v>0</v>
      </c>
      <c r="X276" s="245">
        <v>941</v>
      </c>
      <c r="Y276" s="73">
        <v>0</v>
      </c>
      <c r="Z276" s="243">
        <f t="shared" si="131"/>
        <v>0</v>
      </c>
      <c r="AA276" s="243">
        <v>0</v>
      </c>
      <c r="AB276" s="243">
        <v>0</v>
      </c>
      <c r="AC276" s="245">
        <v>0</v>
      </c>
      <c r="AD276" s="18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</row>
    <row r="277" spans="1:43" s="17" customFormat="1" ht="31.2" customHeight="1" outlineLevel="1" x14ac:dyDescent="0.25">
      <c r="A277" s="78" t="s">
        <v>498</v>
      </c>
      <c r="B277" s="66" t="s">
        <v>259</v>
      </c>
      <c r="C277" s="226">
        <f t="shared" si="126"/>
        <v>1.08</v>
      </c>
      <c r="D277" s="243">
        <f t="shared" si="127"/>
        <v>269</v>
      </c>
      <c r="E277" s="208">
        <v>0</v>
      </c>
      <c r="F277" s="244">
        <f t="shared" si="128"/>
        <v>0</v>
      </c>
      <c r="G277" s="243">
        <v>0</v>
      </c>
      <c r="H277" s="243">
        <v>0</v>
      </c>
      <c r="I277" s="243">
        <v>0</v>
      </c>
      <c r="J277" s="208">
        <v>0</v>
      </c>
      <c r="K277" s="244">
        <f t="shared" si="125"/>
        <v>0</v>
      </c>
      <c r="L277" s="243">
        <v>0</v>
      </c>
      <c r="M277" s="243">
        <v>0</v>
      </c>
      <c r="N277" s="243">
        <v>0</v>
      </c>
      <c r="O277" s="73">
        <v>0</v>
      </c>
      <c r="P277" s="243">
        <f t="shared" si="129"/>
        <v>0</v>
      </c>
      <c r="Q277" s="243">
        <v>0</v>
      </c>
      <c r="R277" s="243">
        <v>0</v>
      </c>
      <c r="S277" s="245">
        <v>0</v>
      </c>
      <c r="T277" s="73">
        <f>ROUND(1.075,2)</f>
        <v>1.08</v>
      </c>
      <c r="U277" s="243">
        <f t="shared" si="130"/>
        <v>269</v>
      </c>
      <c r="V277" s="243">
        <v>0</v>
      </c>
      <c r="W277" s="243">
        <v>0</v>
      </c>
      <c r="X277" s="245">
        <v>269</v>
      </c>
      <c r="Y277" s="73">
        <v>0</v>
      </c>
      <c r="Z277" s="243">
        <f t="shared" si="131"/>
        <v>0</v>
      </c>
      <c r="AA277" s="243">
        <v>0</v>
      </c>
      <c r="AB277" s="243">
        <v>0</v>
      </c>
      <c r="AC277" s="245">
        <v>0</v>
      </c>
      <c r="AD277" s="18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</row>
    <row r="278" spans="1:43" s="17" customFormat="1" ht="32.4" customHeight="1" outlineLevel="1" x14ac:dyDescent="0.25">
      <c r="A278" s="78" t="s">
        <v>499</v>
      </c>
      <c r="B278" s="66" t="s">
        <v>260</v>
      </c>
      <c r="C278" s="226">
        <f t="shared" si="126"/>
        <v>3.53</v>
      </c>
      <c r="D278" s="243">
        <f t="shared" si="127"/>
        <v>883</v>
      </c>
      <c r="E278" s="208">
        <v>0</v>
      </c>
      <c r="F278" s="244">
        <f t="shared" si="128"/>
        <v>0</v>
      </c>
      <c r="G278" s="243">
        <v>0</v>
      </c>
      <c r="H278" s="243">
        <v>0</v>
      </c>
      <c r="I278" s="243">
        <v>0</v>
      </c>
      <c r="J278" s="208">
        <v>0</v>
      </c>
      <c r="K278" s="244">
        <f t="shared" si="125"/>
        <v>0</v>
      </c>
      <c r="L278" s="243">
        <v>0</v>
      </c>
      <c r="M278" s="243">
        <v>0</v>
      </c>
      <c r="N278" s="243">
        <v>0</v>
      </c>
      <c r="O278" s="73">
        <v>0</v>
      </c>
      <c r="P278" s="243">
        <f t="shared" si="129"/>
        <v>0</v>
      </c>
      <c r="Q278" s="243">
        <v>0</v>
      </c>
      <c r="R278" s="243">
        <v>0</v>
      </c>
      <c r="S278" s="245">
        <v>0</v>
      </c>
      <c r="T278" s="73">
        <v>3.53</v>
      </c>
      <c r="U278" s="243">
        <f t="shared" si="130"/>
        <v>883</v>
      </c>
      <c r="V278" s="243">
        <v>0</v>
      </c>
      <c r="W278" s="243">
        <v>0</v>
      </c>
      <c r="X278" s="245">
        <v>883</v>
      </c>
      <c r="Y278" s="73">
        <v>0</v>
      </c>
      <c r="Z278" s="243">
        <f t="shared" si="131"/>
        <v>0</v>
      </c>
      <c r="AA278" s="243">
        <v>0</v>
      </c>
      <c r="AB278" s="243">
        <v>0</v>
      </c>
      <c r="AC278" s="245">
        <v>0</v>
      </c>
      <c r="AD278" s="18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</row>
    <row r="279" spans="1:43" s="17" customFormat="1" ht="30.6" customHeight="1" outlineLevel="1" x14ac:dyDescent="0.25">
      <c r="A279" s="78" t="s">
        <v>500</v>
      </c>
      <c r="B279" s="66" t="s">
        <v>261</v>
      </c>
      <c r="C279" s="226">
        <f t="shared" si="126"/>
        <v>2.1</v>
      </c>
      <c r="D279" s="243">
        <f t="shared" si="127"/>
        <v>525</v>
      </c>
      <c r="E279" s="208">
        <v>0</v>
      </c>
      <c r="F279" s="244">
        <f t="shared" si="128"/>
        <v>0</v>
      </c>
      <c r="G279" s="243">
        <v>0</v>
      </c>
      <c r="H279" s="243">
        <v>0</v>
      </c>
      <c r="I279" s="243">
        <v>0</v>
      </c>
      <c r="J279" s="208">
        <v>0</v>
      </c>
      <c r="K279" s="244">
        <f t="shared" si="125"/>
        <v>0</v>
      </c>
      <c r="L279" s="243">
        <v>0</v>
      </c>
      <c r="M279" s="243">
        <v>0</v>
      </c>
      <c r="N279" s="243">
        <v>0</v>
      </c>
      <c r="O279" s="73">
        <v>0</v>
      </c>
      <c r="P279" s="243">
        <f t="shared" si="129"/>
        <v>0</v>
      </c>
      <c r="Q279" s="243">
        <v>0</v>
      </c>
      <c r="R279" s="243">
        <v>0</v>
      </c>
      <c r="S279" s="245">
        <v>0</v>
      </c>
      <c r="T279" s="73">
        <v>2.1</v>
      </c>
      <c r="U279" s="243">
        <f t="shared" si="130"/>
        <v>525</v>
      </c>
      <c r="V279" s="243">
        <v>0</v>
      </c>
      <c r="W279" s="243">
        <v>0</v>
      </c>
      <c r="X279" s="245">
        <v>525</v>
      </c>
      <c r="Y279" s="73">
        <v>0</v>
      </c>
      <c r="Z279" s="243">
        <f t="shared" si="131"/>
        <v>0</v>
      </c>
      <c r="AA279" s="243">
        <v>0</v>
      </c>
      <c r="AB279" s="243">
        <v>0</v>
      </c>
      <c r="AC279" s="245">
        <v>0</v>
      </c>
      <c r="AD279" s="18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</row>
    <row r="280" spans="1:43" s="17" customFormat="1" ht="25.2" customHeight="1" outlineLevel="1" x14ac:dyDescent="0.25">
      <c r="A280" s="78" t="s">
        <v>501</v>
      </c>
      <c r="B280" s="66" t="s">
        <v>262</v>
      </c>
      <c r="C280" s="226">
        <f t="shared" si="126"/>
        <v>1.04</v>
      </c>
      <c r="D280" s="243">
        <f t="shared" si="127"/>
        <v>259</v>
      </c>
      <c r="E280" s="208">
        <v>0</v>
      </c>
      <c r="F280" s="244">
        <f t="shared" si="128"/>
        <v>0</v>
      </c>
      <c r="G280" s="243">
        <v>0</v>
      </c>
      <c r="H280" s="243">
        <v>0</v>
      </c>
      <c r="I280" s="243">
        <v>0</v>
      </c>
      <c r="J280" s="208">
        <v>0</v>
      </c>
      <c r="K280" s="244">
        <f t="shared" si="125"/>
        <v>0</v>
      </c>
      <c r="L280" s="243">
        <v>0</v>
      </c>
      <c r="M280" s="243">
        <v>0</v>
      </c>
      <c r="N280" s="243">
        <v>0</v>
      </c>
      <c r="O280" s="73">
        <v>0</v>
      </c>
      <c r="P280" s="243">
        <f t="shared" si="129"/>
        <v>0</v>
      </c>
      <c r="Q280" s="243">
        <v>0</v>
      </c>
      <c r="R280" s="243">
        <v>0</v>
      </c>
      <c r="S280" s="245">
        <v>0</v>
      </c>
      <c r="T280" s="73">
        <f>ROUND(1.035,2)</f>
        <v>1.04</v>
      </c>
      <c r="U280" s="243">
        <f t="shared" si="130"/>
        <v>259</v>
      </c>
      <c r="V280" s="243">
        <v>0</v>
      </c>
      <c r="W280" s="243">
        <v>0</v>
      </c>
      <c r="X280" s="245">
        <v>259</v>
      </c>
      <c r="Y280" s="73">
        <v>0</v>
      </c>
      <c r="Z280" s="243">
        <f t="shared" si="131"/>
        <v>0</v>
      </c>
      <c r="AA280" s="243">
        <v>0</v>
      </c>
      <c r="AB280" s="243">
        <v>0</v>
      </c>
      <c r="AC280" s="245">
        <v>0</v>
      </c>
      <c r="AD280" s="18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</row>
    <row r="281" spans="1:43" s="17" customFormat="1" ht="35.4" customHeight="1" outlineLevel="1" x14ac:dyDescent="0.25">
      <c r="A281" s="78" t="s">
        <v>502</v>
      </c>
      <c r="B281" s="66" t="s">
        <v>263</v>
      </c>
      <c r="C281" s="226">
        <f t="shared" si="126"/>
        <v>0.33</v>
      </c>
      <c r="D281" s="243">
        <f t="shared" si="127"/>
        <v>81</v>
      </c>
      <c r="E281" s="208">
        <v>0</v>
      </c>
      <c r="F281" s="244">
        <f t="shared" si="128"/>
        <v>0</v>
      </c>
      <c r="G281" s="243">
        <v>0</v>
      </c>
      <c r="H281" s="243">
        <v>0</v>
      </c>
      <c r="I281" s="243">
        <v>0</v>
      </c>
      <c r="J281" s="208">
        <v>0</v>
      </c>
      <c r="K281" s="244">
        <f t="shared" si="125"/>
        <v>0</v>
      </c>
      <c r="L281" s="243">
        <v>0</v>
      </c>
      <c r="M281" s="243">
        <v>0</v>
      </c>
      <c r="N281" s="243">
        <v>0</v>
      </c>
      <c r="O281" s="73">
        <v>0</v>
      </c>
      <c r="P281" s="243">
        <f t="shared" si="129"/>
        <v>0</v>
      </c>
      <c r="Q281" s="243">
        <v>0</v>
      </c>
      <c r="R281" s="243">
        <v>0</v>
      </c>
      <c r="S281" s="245">
        <v>0</v>
      </c>
      <c r="T281" s="73">
        <f>ROUND(0.325,2)</f>
        <v>0.33</v>
      </c>
      <c r="U281" s="243">
        <f t="shared" si="130"/>
        <v>81</v>
      </c>
      <c r="V281" s="243">
        <v>0</v>
      </c>
      <c r="W281" s="243">
        <v>0</v>
      </c>
      <c r="X281" s="245">
        <v>81</v>
      </c>
      <c r="Y281" s="73">
        <v>0</v>
      </c>
      <c r="Z281" s="243">
        <f t="shared" si="131"/>
        <v>0</v>
      </c>
      <c r="AA281" s="243">
        <v>0</v>
      </c>
      <c r="AB281" s="243">
        <v>0</v>
      </c>
      <c r="AC281" s="245">
        <v>0</v>
      </c>
      <c r="AD281" s="18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</row>
    <row r="282" spans="1:43" s="17" customFormat="1" ht="31.95" customHeight="1" outlineLevel="1" x14ac:dyDescent="0.25">
      <c r="A282" s="78" t="s">
        <v>503</v>
      </c>
      <c r="B282" s="66" t="s">
        <v>264</v>
      </c>
      <c r="C282" s="226">
        <f t="shared" si="126"/>
        <v>0.91999999999999993</v>
      </c>
      <c r="D282" s="243">
        <f t="shared" si="127"/>
        <v>229.99999999999997</v>
      </c>
      <c r="E282" s="208">
        <v>0</v>
      </c>
      <c r="F282" s="244">
        <f t="shared" si="128"/>
        <v>0</v>
      </c>
      <c r="G282" s="243">
        <v>0</v>
      </c>
      <c r="H282" s="243">
        <v>0</v>
      </c>
      <c r="I282" s="243">
        <v>0</v>
      </c>
      <c r="J282" s="208">
        <v>0</v>
      </c>
      <c r="K282" s="244">
        <f t="shared" si="125"/>
        <v>0</v>
      </c>
      <c r="L282" s="243">
        <v>0</v>
      </c>
      <c r="M282" s="243">
        <v>0</v>
      </c>
      <c r="N282" s="243">
        <v>0</v>
      </c>
      <c r="O282" s="73">
        <v>0</v>
      </c>
      <c r="P282" s="243">
        <f t="shared" si="129"/>
        <v>0</v>
      </c>
      <c r="Q282" s="243">
        <v>0</v>
      </c>
      <c r="R282" s="243">
        <v>0</v>
      </c>
      <c r="S282" s="245">
        <v>0</v>
      </c>
      <c r="T282" s="73">
        <v>0.91999999999999993</v>
      </c>
      <c r="U282" s="243">
        <f t="shared" si="130"/>
        <v>229.99999999999997</v>
      </c>
      <c r="V282" s="243">
        <v>0</v>
      </c>
      <c r="W282" s="243">
        <v>0</v>
      </c>
      <c r="X282" s="245">
        <v>229.99999999999997</v>
      </c>
      <c r="Y282" s="73">
        <v>0</v>
      </c>
      <c r="Z282" s="243">
        <f t="shared" si="131"/>
        <v>0</v>
      </c>
      <c r="AA282" s="243">
        <v>0</v>
      </c>
      <c r="AB282" s="243">
        <v>0</v>
      </c>
      <c r="AC282" s="245">
        <v>0</v>
      </c>
      <c r="AD282" s="18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</row>
    <row r="283" spans="1:43" s="17" customFormat="1" ht="32.4" customHeight="1" outlineLevel="1" x14ac:dyDescent="0.25">
      <c r="A283" s="78" t="s">
        <v>504</v>
      </c>
      <c r="B283" s="66" t="s">
        <v>265</v>
      </c>
      <c r="C283" s="226">
        <f t="shared" si="126"/>
        <v>0.88</v>
      </c>
      <c r="D283" s="243">
        <f t="shared" si="127"/>
        <v>219</v>
      </c>
      <c r="E283" s="208">
        <v>0</v>
      </c>
      <c r="F283" s="244">
        <f t="shared" si="128"/>
        <v>0</v>
      </c>
      <c r="G283" s="243">
        <v>0</v>
      </c>
      <c r="H283" s="243">
        <v>0</v>
      </c>
      <c r="I283" s="243">
        <v>0</v>
      </c>
      <c r="J283" s="208">
        <v>0</v>
      </c>
      <c r="K283" s="244">
        <f t="shared" si="125"/>
        <v>0</v>
      </c>
      <c r="L283" s="243">
        <v>0</v>
      </c>
      <c r="M283" s="243">
        <v>0</v>
      </c>
      <c r="N283" s="243">
        <v>0</v>
      </c>
      <c r="O283" s="73">
        <v>0</v>
      </c>
      <c r="P283" s="243">
        <f t="shared" si="129"/>
        <v>0</v>
      </c>
      <c r="Q283" s="243">
        <v>0</v>
      </c>
      <c r="R283" s="243">
        <v>0</v>
      </c>
      <c r="S283" s="245">
        <v>0</v>
      </c>
      <c r="T283" s="73">
        <f>ROUND(0.875,2)</f>
        <v>0.88</v>
      </c>
      <c r="U283" s="243">
        <f t="shared" si="130"/>
        <v>219</v>
      </c>
      <c r="V283" s="243">
        <v>0</v>
      </c>
      <c r="W283" s="243">
        <v>0</v>
      </c>
      <c r="X283" s="245">
        <v>219</v>
      </c>
      <c r="Y283" s="73">
        <v>0</v>
      </c>
      <c r="Z283" s="243">
        <f t="shared" si="131"/>
        <v>0</v>
      </c>
      <c r="AA283" s="243">
        <v>0</v>
      </c>
      <c r="AB283" s="243">
        <v>0</v>
      </c>
      <c r="AC283" s="245">
        <v>0</v>
      </c>
      <c r="AD283" s="18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</row>
    <row r="284" spans="1:43" s="17" customFormat="1" ht="28.95" customHeight="1" outlineLevel="1" x14ac:dyDescent="0.25">
      <c r="A284" s="78" t="s">
        <v>505</v>
      </c>
      <c r="B284" s="66" t="s">
        <v>266</v>
      </c>
      <c r="C284" s="226">
        <f t="shared" si="126"/>
        <v>1</v>
      </c>
      <c r="D284" s="243">
        <f t="shared" si="127"/>
        <v>250</v>
      </c>
      <c r="E284" s="208">
        <v>0</v>
      </c>
      <c r="F284" s="244">
        <f t="shared" si="128"/>
        <v>0</v>
      </c>
      <c r="G284" s="243">
        <v>0</v>
      </c>
      <c r="H284" s="243">
        <v>0</v>
      </c>
      <c r="I284" s="243">
        <v>0</v>
      </c>
      <c r="J284" s="208">
        <v>0</v>
      </c>
      <c r="K284" s="244">
        <f t="shared" si="125"/>
        <v>0</v>
      </c>
      <c r="L284" s="243">
        <v>0</v>
      </c>
      <c r="M284" s="243">
        <v>0</v>
      </c>
      <c r="N284" s="243">
        <v>0</v>
      </c>
      <c r="O284" s="73">
        <v>0</v>
      </c>
      <c r="P284" s="243">
        <f t="shared" si="129"/>
        <v>0</v>
      </c>
      <c r="Q284" s="243">
        <v>0</v>
      </c>
      <c r="R284" s="243">
        <v>0</v>
      </c>
      <c r="S284" s="245">
        <v>0</v>
      </c>
      <c r="T284" s="73">
        <v>1</v>
      </c>
      <c r="U284" s="243">
        <f t="shared" si="130"/>
        <v>250</v>
      </c>
      <c r="V284" s="243">
        <v>0</v>
      </c>
      <c r="W284" s="243">
        <v>0</v>
      </c>
      <c r="X284" s="245">
        <v>250</v>
      </c>
      <c r="Y284" s="73">
        <v>0</v>
      </c>
      <c r="Z284" s="243">
        <f t="shared" si="131"/>
        <v>0</v>
      </c>
      <c r="AA284" s="243">
        <v>0</v>
      </c>
      <c r="AB284" s="243">
        <v>0</v>
      </c>
      <c r="AC284" s="245">
        <v>0</v>
      </c>
      <c r="AD284" s="18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</row>
    <row r="285" spans="1:43" s="17" customFormat="1" ht="33" customHeight="1" outlineLevel="1" x14ac:dyDescent="0.25">
      <c r="A285" s="78" t="s">
        <v>506</v>
      </c>
      <c r="B285" s="66" t="s">
        <v>267</v>
      </c>
      <c r="C285" s="226">
        <f t="shared" si="126"/>
        <v>0.98</v>
      </c>
      <c r="D285" s="243">
        <f t="shared" si="127"/>
        <v>245</v>
      </c>
      <c r="E285" s="208">
        <v>0</v>
      </c>
      <c r="F285" s="244">
        <f t="shared" si="128"/>
        <v>0</v>
      </c>
      <c r="G285" s="243">
        <v>0</v>
      </c>
      <c r="H285" s="243">
        <v>0</v>
      </c>
      <c r="I285" s="243">
        <v>0</v>
      </c>
      <c r="J285" s="208">
        <v>0</v>
      </c>
      <c r="K285" s="244">
        <f t="shared" si="125"/>
        <v>0</v>
      </c>
      <c r="L285" s="243">
        <v>0</v>
      </c>
      <c r="M285" s="243">
        <v>0</v>
      </c>
      <c r="N285" s="243">
        <v>0</v>
      </c>
      <c r="O285" s="73">
        <v>0</v>
      </c>
      <c r="P285" s="243">
        <f t="shared" si="129"/>
        <v>0</v>
      </c>
      <c r="Q285" s="243">
        <v>0</v>
      </c>
      <c r="R285" s="243">
        <v>0</v>
      </c>
      <c r="S285" s="245">
        <v>0</v>
      </c>
      <c r="T285" s="73">
        <v>0.98</v>
      </c>
      <c r="U285" s="243">
        <f t="shared" si="130"/>
        <v>245</v>
      </c>
      <c r="V285" s="243">
        <v>0</v>
      </c>
      <c r="W285" s="243">
        <v>0</v>
      </c>
      <c r="X285" s="245">
        <v>245</v>
      </c>
      <c r="Y285" s="73">
        <v>0</v>
      </c>
      <c r="Z285" s="243">
        <f t="shared" si="131"/>
        <v>0</v>
      </c>
      <c r="AA285" s="243">
        <v>0</v>
      </c>
      <c r="AB285" s="243">
        <v>0</v>
      </c>
      <c r="AC285" s="245">
        <v>0</v>
      </c>
      <c r="AD285" s="18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</row>
    <row r="286" spans="1:43" s="17" customFormat="1" ht="31.2" customHeight="1" outlineLevel="1" x14ac:dyDescent="0.25">
      <c r="A286" s="78" t="s">
        <v>507</v>
      </c>
      <c r="B286" s="66" t="s">
        <v>268</v>
      </c>
      <c r="C286" s="226">
        <f t="shared" si="126"/>
        <v>1.33</v>
      </c>
      <c r="D286" s="243">
        <f t="shared" si="127"/>
        <v>331</v>
      </c>
      <c r="E286" s="208">
        <v>0</v>
      </c>
      <c r="F286" s="244">
        <f t="shared" si="128"/>
        <v>0</v>
      </c>
      <c r="G286" s="243">
        <v>0</v>
      </c>
      <c r="H286" s="243">
        <v>0</v>
      </c>
      <c r="I286" s="243">
        <v>0</v>
      </c>
      <c r="J286" s="208">
        <v>0</v>
      </c>
      <c r="K286" s="244">
        <f t="shared" si="125"/>
        <v>0</v>
      </c>
      <c r="L286" s="243">
        <v>0</v>
      </c>
      <c r="M286" s="243">
        <v>0</v>
      </c>
      <c r="N286" s="243">
        <v>0</v>
      </c>
      <c r="O286" s="73">
        <v>0</v>
      </c>
      <c r="P286" s="243">
        <f t="shared" si="129"/>
        <v>0</v>
      </c>
      <c r="Q286" s="243">
        <v>0</v>
      </c>
      <c r="R286" s="243">
        <v>0</v>
      </c>
      <c r="S286" s="245">
        <v>0</v>
      </c>
      <c r="T286" s="73">
        <f>ROUND(1.325,2)</f>
        <v>1.33</v>
      </c>
      <c r="U286" s="243">
        <f t="shared" si="130"/>
        <v>331</v>
      </c>
      <c r="V286" s="243">
        <v>0</v>
      </c>
      <c r="W286" s="243">
        <v>0</v>
      </c>
      <c r="X286" s="245">
        <v>331</v>
      </c>
      <c r="Y286" s="73">
        <v>0</v>
      </c>
      <c r="Z286" s="243">
        <f t="shared" si="131"/>
        <v>0</v>
      </c>
      <c r="AA286" s="243">
        <v>0</v>
      </c>
      <c r="AB286" s="243">
        <v>0</v>
      </c>
      <c r="AC286" s="245">
        <v>0</v>
      </c>
      <c r="AD286" s="18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</row>
    <row r="287" spans="1:43" s="17" customFormat="1" ht="19.2" customHeight="1" outlineLevel="1" x14ac:dyDescent="0.25">
      <c r="A287" s="78" t="s">
        <v>508</v>
      </c>
      <c r="B287" s="66" t="s">
        <v>269</v>
      </c>
      <c r="C287" s="226">
        <f t="shared" si="126"/>
        <v>3.13</v>
      </c>
      <c r="D287" s="243">
        <f t="shared" si="127"/>
        <v>781</v>
      </c>
      <c r="E287" s="208">
        <v>0</v>
      </c>
      <c r="F287" s="244">
        <f t="shared" si="128"/>
        <v>0</v>
      </c>
      <c r="G287" s="243">
        <v>0</v>
      </c>
      <c r="H287" s="243">
        <v>0</v>
      </c>
      <c r="I287" s="243">
        <v>0</v>
      </c>
      <c r="J287" s="208">
        <v>0</v>
      </c>
      <c r="K287" s="244">
        <f t="shared" si="125"/>
        <v>0</v>
      </c>
      <c r="L287" s="243">
        <v>0</v>
      </c>
      <c r="M287" s="243">
        <v>0</v>
      </c>
      <c r="N287" s="243">
        <v>0</v>
      </c>
      <c r="O287" s="73">
        <v>0</v>
      </c>
      <c r="P287" s="243">
        <f t="shared" si="129"/>
        <v>0</v>
      </c>
      <c r="Q287" s="243">
        <v>0</v>
      </c>
      <c r="R287" s="243">
        <v>0</v>
      </c>
      <c r="S287" s="245">
        <v>0</v>
      </c>
      <c r="T287" s="73">
        <f>ROUND(3.125,2)</f>
        <v>3.13</v>
      </c>
      <c r="U287" s="243">
        <f t="shared" si="130"/>
        <v>781</v>
      </c>
      <c r="V287" s="243">
        <v>0</v>
      </c>
      <c r="W287" s="243">
        <v>0</v>
      </c>
      <c r="X287" s="245">
        <v>781</v>
      </c>
      <c r="Y287" s="73">
        <v>0</v>
      </c>
      <c r="Z287" s="243">
        <f t="shared" si="131"/>
        <v>0</v>
      </c>
      <c r="AA287" s="243">
        <v>0</v>
      </c>
      <c r="AB287" s="243">
        <v>0</v>
      </c>
      <c r="AC287" s="245">
        <v>0</v>
      </c>
      <c r="AD287" s="18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</row>
    <row r="288" spans="1:43" s="17" customFormat="1" ht="24" customHeight="1" outlineLevel="1" x14ac:dyDescent="0.25">
      <c r="A288" s="78" t="s">
        <v>509</v>
      </c>
      <c r="B288" s="66" t="s">
        <v>270</v>
      </c>
      <c r="C288" s="226">
        <f t="shared" si="126"/>
        <v>1.5</v>
      </c>
      <c r="D288" s="243">
        <f t="shared" si="127"/>
        <v>375</v>
      </c>
      <c r="E288" s="208">
        <v>0</v>
      </c>
      <c r="F288" s="244">
        <f t="shared" si="128"/>
        <v>0</v>
      </c>
      <c r="G288" s="243">
        <v>0</v>
      </c>
      <c r="H288" s="243">
        <v>0</v>
      </c>
      <c r="I288" s="243">
        <v>0</v>
      </c>
      <c r="J288" s="208">
        <v>0</v>
      </c>
      <c r="K288" s="244">
        <f t="shared" si="125"/>
        <v>0</v>
      </c>
      <c r="L288" s="243">
        <v>0</v>
      </c>
      <c r="M288" s="243">
        <v>0</v>
      </c>
      <c r="N288" s="243">
        <v>0</v>
      </c>
      <c r="O288" s="73">
        <v>0</v>
      </c>
      <c r="P288" s="243">
        <f t="shared" si="129"/>
        <v>0</v>
      </c>
      <c r="Q288" s="243">
        <v>0</v>
      </c>
      <c r="R288" s="243">
        <v>0</v>
      </c>
      <c r="S288" s="245">
        <v>0</v>
      </c>
      <c r="T288" s="73">
        <v>1.5</v>
      </c>
      <c r="U288" s="243">
        <f t="shared" si="130"/>
        <v>375</v>
      </c>
      <c r="V288" s="243">
        <v>0</v>
      </c>
      <c r="W288" s="243">
        <v>0</v>
      </c>
      <c r="X288" s="245">
        <v>375</v>
      </c>
      <c r="Y288" s="73">
        <v>0</v>
      </c>
      <c r="Z288" s="243">
        <f t="shared" si="131"/>
        <v>0</v>
      </c>
      <c r="AA288" s="243">
        <v>0</v>
      </c>
      <c r="AB288" s="243">
        <v>0</v>
      </c>
      <c r="AC288" s="245">
        <v>0</v>
      </c>
      <c r="AD288" s="18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</row>
    <row r="289" spans="1:43" s="17" customFormat="1" ht="32.4" customHeight="1" outlineLevel="1" x14ac:dyDescent="0.25">
      <c r="A289" s="78" t="s">
        <v>510</v>
      </c>
      <c r="B289" s="66" t="s">
        <v>271</v>
      </c>
      <c r="C289" s="226">
        <f t="shared" si="126"/>
        <v>0.62</v>
      </c>
      <c r="D289" s="243">
        <f t="shared" si="127"/>
        <v>155</v>
      </c>
      <c r="E289" s="208">
        <v>0</v>
      </c>
      <c r="F289" s="244">
        <f t="shared" si="128"/>
        <v>0</v>
      </c>
      <c r="G289" s="243">
        <v>0</v>
      </c>
      <c r="H289" s="243">
        <v>0</v>
      </c>
      <c r="I289" s="243">
        <v>0</v>
      </c>
      <c r="J289" s="208">
        <v>0</v>
      </c>
      <c r="K289" s="244">
        <f t="shared" si="125"/>
        <v>0</v>
      </c>
      <c r="L289" s="243">
        <v>0</v>
      </c>
      <c r="M289" s="243">
        <v>0</v>
      </c>
      <c r="N289" s="243">
        <v>0</v>
      </c>
      <c r="O289" s="73">
        <v>0</v>
      </c>
      <c r="P289" s="243">
        <f t="shared" si="129"/>
        <v>0</v>
      </c>
      <c r="Q289" s="243">
        <v>0</v>
      </c>
      <c r="R289" s="243">
        <v>0</v>
      </c>
      <c r="S289" s="245">
        <v>0</v>
      </c>
      <c r="T289" s="73">
        <v>0.62</v>
      </c>
      <c r="U289" s="243">
        <f t="shared" si="130"/>
        <v>155</v>
      </c>
      <c r="V289" s="243">
        <v>0</v>
      </c>
      <c r="W289" s="243">
        <v>0</v>
      </c>
      <c r="X289" s="245">
        <v>155</v>
      </c>
      <c r="Y289" s="73">
        <v>0</v>
      </c>
      <c r="Z289" s="243">
        <f t="shared" si="131"/>
        <v>0</v>
      </c>
      <c r="AA289" s="243">
        <v>0</v>
      </c>
      <c r="AB289" s="243">
        <v>0</v>
      </c>
      <c r="AC289" s="245">
        <v>0</v>
      </c>
      <c r="AD289" s="18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</row>
    <row r="290" spans="1:43" s="17" customFormat="1" ht="30.6" customHeight="1" outlineLevel="1" x14ac:dyDescent="0.25">
      <c r="A290" s="78" t="s">
        <v>511</v>
      </c>
      <c r="B290" s="66" t="s">
        <v>272</v>
      </c>
      <c r="C290" s="226">
        <f t="shared" si="126"/>
        <v>3.43</v>
      </c>
      <c r="D290" s="243">
        <f t="shared" si="127"/>
        <v>856</v>
      </c>
      <c r="E290" s="208">
        <v>0</v>
      </c>
      <c r="F290" s="244">
        <f t="shared" si="128"/>
        <v>0</v>
      </c>
      <c r="G290" s="243">
        <v>0</v>
      </c>
      <c r="H290" s="243">
        <v>0</v>
      </c>
      <c r="I290" s="243">
        <v>0</v>
      </c>
      <c r="J290" s="208">
        <v>0</v>
      </c>
      <c r="K290" s="244">
        <f t="shared" si="125"/>
        <v>0</v>
      </c>
      <c r="L290" s="243">
        <v>0</v>
      </c>
      <c r="M290" s="243">
        <v>0</v>
      </c>
      <c r="N290" s="243">
        <v>0</v>
      </c>
      <c r="O290" s="73">
        <v>0</v>
      </c>
      <c r="P290" s="243">
        <f t="shared" si="129"/>
        <v>0</v>
      </c>
      <c r="Q290" s="243">
        <v>0</v>
      </c>
      <c r="R290" s="243">
        <v>0</v>
      </c>
      <c r="S290" s="245">
        <v>0</v>
      </c>
      <c r="T290" s="73">
        <f>ROUND(3.425,2)</f>
        <v>3.43</v>
      </c>
      <c r="U290" s="243">
        <f t="shared" si="130"/>
        <v>856</v>
      </c>
      <c r="V290" s="243">
        <v>0</v>
      </c>
      <c r="W290" s="243">
        <v>0</v>
      </c>
      <c r="X290" s="245">
        <v>856</v>
      </c>
      <c r="Y290" s="73">
        <v>0</v>
      </c>
      <c r="Z290" s="243">
        <f t="shared" si="131"/>
        <v>0</v>
      </c>
      <c r="AA290" s="243">
        <v>0</v>
      </c>
      <c r="AB290" s="243">
        <v>0</v>
      </c>
      <c r="AC290" s="245">
        <v>0</v>
      </c>
      <c r="AD290" s="18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</row>
    <row r="291" spans="1:43" s="17" customFormat="1" ht="33" customHeight="1" outlineLevel="1" x14ac:dyDescent="0.25">
      <c r="A291" s="78" t="s">
        <v>512</v>
      </c>
      <c r="B291" s="66" t="s">
        <v>273</v>
      </c>
      <c r="C291" s="226">
        <f t="shared" si="126"/>
        <v>3.37</v>
      </c>
      <c r="D291" s="243">
        <f t="shared" si="127"/>
        <v>841</v>
      </c>
      <c r="E291" s="208">
        <v>0</v>
      </c>
      <c r="F291" s="244">
        <f t="shared" si="128"/>
        <v>0</v>
      </c>
      <c r="G291" s="243">
        <v>0</v>
      </c>
      <c r="H291" s="243">
        <v>0</v>
      </c>
      <c r="I291" s="243">
        <v>0</v>
      </c>
      <c r="J291" s="208">
        <v>0</v>
      </c>
      <c r="K291" s="244">
        <f t="shared" si="125"/>
        <v>0</v>
      </c>
      <c r="L291" s="243">
        <v>0</v>
      </c>
      <c r="M291" s="243">
        <v>0</v>
      </c>
      <c r="N291" s="243">
        <v>0</v>
      </c>
      <c r="O291" s="73">
        <v>0</v>
      </c>
      <c r="P291" s="243">
        <f t="shared" si="129"/>
        <v>0</v>
      </c>
      <c r="Q291" s="243">
        <v>0</v>
      </c>
      <c r="R291" s="243">
        <v>0</v>
      </c>
      <c r="S291" s="245">
        <v>0</v>
      </c>
      <c r="T291" s="73">
        <f>ROUND(3.365,2)</f>
        <v>3.37</v>
      </c>
      <c r="U291" s="243">
        <f t="shared" si="130"/>
        <v>841</v>
      </c>
      <c r="V291" s="243">
        <v>0</v>
      </c>
      <c r="W291" s="243">
        <v>0</v>
      </c>
      <c r="X291" s="245">
        <v>841</v>
      </c>
      <c r="Y291" s="73">
        <v>0</v>
      </c>
      <c r="Z291" s="243">
        <f t="shared" si="131"/>
        <v>0</v>
      </c>
      <c r="AA291" s="243">
        <v>0</v>
      </c>
      <c r="AB291" s="243">
        <v>0</v>
      </c>
      <c r="AC291" s="245">
        <v>0</v>
      </c>
      <c r="AD291" s="18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</row>
    <row r="292" spans="1:43" s="17" customFormat="1" ht="35.4" customHeight="1" outlineLevel="1" x14ac:dyDescent="0.25">
      <c r="A292" s="78" t="s">
        <v>513</v>
      </c>
      <c r="B292" s="66" t="s">
        <v>274</v>
      </c>
      <c r="C292" s="226">
        <f t="shared" si="126"/>
        <v>5.53</v>
      </c>
      <c r="D292" s="243">
        <f t="shared" si="127"/>
        <v>1383</v>
      </c>
      <c r="E292" s="208">
        <v>0</v>
      </c>
      <c r="F292" s="244">
        <f t="shared" si="128"/>
        <v>0</v>
      </c>
      <c r="G292" s="243">
        <v>0</v>
      </c>
      <c r="H292" s="243">
        <v>0</v>
      </c>
      <c r="I292" s="243">
        <v>0</v>
      </c>
      <c r="J292" s="208">
        <v>0</v>
      </c>
      <c r="K292" s="244">
        <f t="shared" si="125"/>
        <v>0</v>
      </c>
      <c r="L292" s="243">
        <v>0</v>
      </c>
      <c r="M292" s="243">
        <v>0</v>
      </c>
      <c r="N292" s="243">
        <v>0</v>
      </c>
      <c r="O292" s="73">
        <v>0</v>
      </c>
      <c r="P292" s="243">
        <f t="shared" si="129"/>
        <v>0</v>
      </c>
      <c r="Q292" s="243">
        <v>0</v>
      </c>
      <c r="R292" s="243">
        <v>0</v>
      </c>
      <c r="S292" s="245">
        <v>0</v>
      </c>
      <c r="T292" s="73">
        <v>5.53</v>
      </c>
      <c r="U292" s="243">
        <f t="shared" si="130"/>
        <v>1383</v>
      </c>
      <c r="V292" s="243">
        <v>0</v>
      </c>
      <c r="W292" s="243">
        <v>0</v>
      </c>
      <c r="X292" s="245">
        <v>1383</v>
      </c>
      <c r="Y292" s="73">
        <v>0</v>
      </c>
      <c r="Z292" s="243">
        <f t="shared" si="131"/>
        <v>0</v>
      </c>
      <c r="AA292" s="243">
        <v>0</v>
      </c>
      <c r="AB292" s="243">
        <v>0</v>
      </c>
      <c r="AC292" s="245">
        <v>0</v>
      </c>
      <c r="AD292" s="18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</row>
    <row r="293" spans="1:43" s="17" customFormat="1" ht="33" customHeight="1" outlineLevel="1" x14ac:dyDescent="0.25">
      <c r="A293" s="78" t="s">
        <v>514</v>
      </c>
      <c r="B293" s="66" t="s">
        <v>275</v>
      </c>
      <c r="C293" s="226">
        <f t="shared" si="126"/>
        <v>2.25</v>
      </c>
      <c r="D293" s="243">
        <f t="shared" si="127"/>
        <v>561</v>
      </c>
      <c r="E293" s="208">
        <v>0</v>
      </c>
      <c r="F293" s="244">
        <f t="shared" si="128"/>
        <v>0</v>
      </c>
      <c r="G293" s="243">
        <v>0</v>
      </c>
      <c r="H293" s="243">
        <v>0</v>
      </c>
      <c r="I293" s="243">
        <v>0</v>
      </c>
      <c r="J293" s="208">
        <v>0</v>
      </c>
      <c r="K293" s="244">
        <f t="shared" si="125"/>
        <v>0</v>
      </c>
      <c r="L293" s="243">
        <v>0</v>
      </c>
      <c r="M293" s="243">
        <v>0</v>
      </c>
      <c r="N293" s="243">
        <v>0</v>
      </c>
      <c r="O293" s="73">
        <v>0</v>
      </c>
      <c r="P293" s="243">
        <f t="shared" si="129"/>
        <v>0</v>
      </c>
      <c r="Q293" s="243">
        <v>0</v>
      </c>
      <c r="R293" s="243">
        <v>0</v>
      </c>
      <c r="S293" s="245">
        <v>0</v>
      </c>
      <c r="T293" s="73">
        <f>ROUND(2.245,2)</f>
        <v>2.25</v>
      </c>
      <c r="U293" s="243">
        <f t="shared" si="130"/>
        <v>561</v>
      </c>
      <c r="V293" s="243">
        <v>0</v>
      </c>
      <c r="W293" s="243">
        <v>0</v>
      </c>
      <c r="X293" s="245">
        <v>561</v>
      </c>
      <c r="Y293" s="73">
        <v>0</v>
      </c>
      <c r="Z293" s="243">
        <f t="shared" si="131"/>
        <v>0</v>
      </c>
      <c r="AA293" s="243">
        <v>0</v>
      </c>
      <c r="AB293" s="243">
        <v>0</v>
      </c>
      <c r="AC293" s="245">
        <v>0</v>
      </c>
      <c r="AD293" s="18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</row>
    <row r="294" spans="1:43" s="17" customFormat="1" ht="31.95" customHeight="1" outlineLevel="1" x14ac:dyDescent="0.25">
      <c r="A294" s="78" t="s">
        <v>515</v>
      </c>
      <c r="B294" s="66" t="s">
        <v>276</v>
      </c>
      <c r="C294" s="226">
        <f t="shared" si="126"/>
        <v>2.25</v>
      </c>
      <c r="D294" s="243">
        <f t="shared" si="127"/>
        <v>561</v>
      </c>
      <c r="E294" s="208">
        <v>0</v>
      </c>
      <c r="F294" s="244">
        <f t="shared" si="128"/>
        <v>0</v>
      </c>
      <c r="G294" s="243">
        <v>0</v>
      </c>
      <c r="H294" s="243">
        <v>0</v>
      </c>
      <c r="I294" s="243">
        <v>0</v>
      </c>
      <c r="J294" s="208">
        <v>0</v>
      </c>
      <c r="K294" s="244">
        <f t="shared" si="125"/>
        <v>0</v>
      </c>
      <c r="L294" s="243">
        <v>0</v>
      </c>
      <c r="M294" s="243">
        <v>0</v>
      </c>
      <c r="N294" s="243">
        <v>0</v>
      </c>
      <c r="O294" s="73">
        <v>0</v>
      </c>
      <c r="P294" s="243">
        <f t="shared" si="129"/>
        <v>0</v>
      </c>
      <c r="Q294" s="243">
        <v>0</v>
      </c>
      <c r="R294" s="243">
        <v>0</v>
      </c>
      <c r="S294" s="245">
        <v>0</v>
      </c>
      <c r="T294" s="73">
        <f>ROUND(2.245,2)</f>
        <v>2.25</v>
      </c>
      <c r="U294" s="243">
        <f t="shared" si="130"/>
        <v>561</v>
      </c>
      <c r="V294" s="243">
        <v>0</v>
      </c>
      <c r="W294" s="243">
        <v>0</v>
      </c>
      <c r="X294" s="245">
        <v>561</v>
      </c>
      <c r="Y294" s="73">
        <v>0</v>
      </c>
      <c r="Z294" s="243">
        <f t="shared" si="131"/>
        <v>0</v>
      </c>
      <c r="AA294" s="243">
        <v>0</v>
      </c>
      <c r="AB294" s="243">
        <v>0</v>
      </c>
      <c r="AC294" s="245">
        <v>0</v>
      </c>
      <c r="AD294" s="18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</row>
    <row r="295" spans="1:43" s="17" customFormat="1" ht="25.2" customHeight="1" outlineLevel="1" x14ac:dyDescent="0.25">
      <c r="A295" s="78" t="s">
        <v>516</v>
      </c>
      <c r="B295" s="66" t="s">
        <v>277</v>
      </c>
      <c r="C295" s="226">
        <f t="shared" si="126"/>
        <v>3.13</v>
      </c>
      <c r="D295" s="243">
        <f t="shared" si="127"/>
        <v>783</v>
      </c>
      <c r="E295" s="208">
        <v>0</v>
      </c>
      <c r="F295" s="244">
        <f t="shared" si="128"/>
        <v>0</v>
      </c>
      <c r="G295" s="243">
        <v>0</v>
      </c>
      <c r="H295" s="243">
        <v>0</v>
      </c>
      <c r="I295" s="243">
        <v>0</v>
      </c>
      <c r="J295" s="208">
        <v>0</v>
      </c>
      <c r="K295" s="244">
        <f t="shared" si="125"/>
        <v>0</v>
      </c>
      <c r="L295" s="243">
        <v>0</v>
      </c>
      <c r="M295" s="243">
        <v>0</v>
      </c>
      <c r="N295" s="243">
        <v>0</v>
      </c>
      <c r="O295" s="73">
        <v>0</v>
      </c>
      <c r="P295" s="243">
        <f t="shared" si="129"/>
        <v>0</v>
      </c>
      <c r="Q295" s="243">
        <v>0</v>
      </c>
      <c r="R295" s="243">
        <v>0</v>
      </c>
      <c r="S295" s="245">
        <v>0</v>
      </c>
      <c r="T295" s="73">
        <v>3.13</v>
      </c>
      <c r="U295" s="243">
        <f t="shared" si="130"/>
        <v>783</v>
      </c>
      <c r="V295" s="243">
        <v>0</v>
      </c>
      <c r="W295" s="243">
        <v>0</v>
      </c>
      <c r="X295" s="245">
        <v>783</v>
      </c>
      <c r="Y295" s="73">
        <v>0</v>
      </c>
      <c r="Z295" s="243">
        <f t="shared" si="131"/>
        <v>0</v>
      </c>
      <c r="AA295" s="243">
        <v>0</v>
      </c>
      <c r="AB295" s="243">
        <v>0</v>
      </c>
      <c r="AC295" s="245">
        <v>0</v>
      </c>
      <c r="AD295" s="18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</row>
    <row r="296" spans="1:43" s="17" customFormat="1" ht="24" customHeight="1" outlineLevel="1" x14ac:dyDescent="0.25">
      <c r="A296" s="78" t="s">
        <v>517</v>
      </c>
      <c r="B296" s="66" t="s">
        <v>278</v>
      </c>
      <c r="C296" s="226">
        <f t="shared" si="126"/>
        <v>2.2200000000000002</v>
      </c>
      <c r="D296" s="243">
        <f t="shared" si="127"/>
        <v>554</v>
      </c>
      <c r="E296" s="208">
        <v>0</v>
      </c>
      <c r="F296" s="244">
        <f t="shared" si="128"/>
        <v>0</v>
      </c>
      <c r="G296" s="243">
        <v>0</v>
      </c>
      <c r="H296" s="243">
        <v>0</v>
      </c>
      <c r="I296" s="243">
        <v>0</v>
      </c>
      <c r="J296" s="208">
        <v>0</v>
      </c>
      <c r="K296" s="244">
        <f t="shared" si="125"/>
        <v>0</v>
      </c>
      <c r="L296" s="243">
        <v>0</v>
      </c>
      <c r="M296" s="243">
        <v>0</v>
      </c>
      <c r="N296" s="243">
        <v>0</v>
      </c>
      <c r="O296" s="73">
        <v>0</v>
      </c>
      <c r="P296" s="243">
        <f t="shared" si="129"/>
        <v>0</v>
      </c>
      <c r="Q296" s="243">
        <v>0</v>
      </c>
      <c r="R296" s="243">
        <v>0</v>
      </c>
      <c r="S296" s="245">
        <v>0</v>
      </c>
      <c r="T296" s="73">
        <f>ROUND(2.215,2)</f>
        <v>2.2200000000000002</v>
      </c>
      <c r="U296" s="243">
        <f t="shared" si="130"/>
        <v>554</v>
      </c>
      <c r="V296" s="243">
        <v>0</v>
      </c>
      <c r="W296" s="243">
        <v>0</v>
      </c>
      <c r="X296" s="245">
        <v>554</v>
      </c>
      <c r="Y296" s="73">
        <v>0</v>
      </c>
      <c r="Z296" s="243">
        <f t="shared" si="131"/>
        <v>0</v>
      </c>
      <c r="AA296" s="243">
        <v>0</v>
      </c>
      <c r="AB296" s="243">
        <v>0</v>
      </c>
      <c r="AC296" s="245">
        <v>0</v>
      </c>
      <c r="AD296" s="18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</row>
    <row r="297" spans="1:43" s="17" customFormat="1" ht="34.200000000000003" customHeight="1" outlineLevel="1" x14ac:dyDescent="0.25">
      <c r="A297" s="78" t="s">
        <v>518</v>
      </c>
      <c r="B297" s="66" t="s">
        <v>279</v>
      </c>
      <c r="C297" s="226">
        <f t="shared" si="126"/>
        <v>1.9</v>
      </c>
      <c r="D297" s="243">
        <f t="shared" si="127"/>
        <v>475</v>
      </c>
      <c r="E297" s="208">
        <v>0</v>
      </c>
      <c r="F297" s="244">
        <f t="shared" si="128"/>
        <v>0</v>
      </c>
      <c r="G297" s="243">
        <v>0</v>
      </c>
      <c r="H297" s="243">
        <v>0</v>
      </c>
      <c r="I297" s="243">
        <v>0</v>
      </c>
      <c r="J297" s="208">
        <v>0</v>
      </c>
      <c r="K297" s="244">
        <f t="shared" si="125"/>
        <v>0</v>
      </c>
      <c r="L297" s="243">
        <v>0</v>
      </c>
      <c r="M297" s="243">
        <v>0</v>
      </c>
      <c r="N297" s="243">
        <v>0</v>
      </c>
      <c r="O297" s="73">
        <v>0</v>
      </c>
      <c r="P297" s="243">
        <f t="shared" si="129"/>
        <v>0</v>
      </c>
      <c r="Q297" s="243">
        <v>0</v>
      </c>
      <c r="R297" s="243">
        <v>0</v>
      </c>
      <c r="S297" s="245">
        <v>0</v>
      </c>
      <c r="T297" s="73">
        <v>1.9</v>
      </c>
      <c r="U297" s="243">
        <f t="shared" si="130"/>
        <v>475</v>
      </c>
      <c r="V297" s="243">
        <v>0</v>
      </c>
      <c r="W297" s="243">
        <v>0</v>
      </c>
      <c r="X297" s="245">
        <v>475</v>
      </c>
      <c r="Y297" s="73">
        <v>0</v>
      </c>
      <c r="Z297" s="243">
        <f t="shared" si="131"/>
        <v>0</v>
      </c>
      <c r="AA297" s="243">
        <v>0</v>
      </c>
      <c r="AB297" s="243">
        <v>0</v>
      </c>
      <c r="AC297" s="245">
        <v>0</v>
      </c>
      <c r="AD297" s="18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</row>
    <row r="298" spans="1:43" s="17" customFormat="1" ht="28.95" customHeight="1" outlineLevel="1" x14ac:dyDescent="0.25">
      <c r="A298" s="78" t="s">
        <v>519</v>
      </c>
      <c r="B298" s="66" t="s">
        <v>280</v>
      </c>
      <c r="C298" s="226">
        <f t="shared" si="126"/>
        <v>4.8899999999999997</v>
      </c>
      <c r="D298" s="243">
        <f t="shared" si="127"/>
        <v>1221</v>
      </c>
      <c r="E298" s="208">
        <v>0</v>
      </c>
      <c r="F298" s="244">
        <f t="shared" si="128"/>
        <v>0</v>
      </c>
      <c r="G298" s="243">
        <v>0</v>
      </c>
      <c r="H298" s="243">
        <v>0</v>
      </c>
      <c r="I298" s="243">
        <v>0</v>
      </c>
      <c r="J298" s="208">
        <v>0</v>
      </c>
      <c r="K298" s="244">
        <f t="shared" si="125"/>
        <v>0</v>
      </c>
      <c r="L298" s="243">
        <v>0</v>
      </c>
      <c r="M298" s="243">
        <v>0</v>
      </c>
      <c r="N298" s="243">
        <v>0</v>
      </c>
      <c r="O298" s="73">
        <v>0</v>
      </c>
      <c r="P298" s="243">
        <f t="shared" si="129"/>
        <v>0</v>
      </c>
      <c r="Q298" s="243">
        <v>0</v>
      </c>
      <c r="R298" s="243">
        <v>0</v>
      </c>
      <c r="S298" s="245">
        <v>0</v>
      </c>
      <c r="T298" s="73">
        <v>0</v>
      </c>
      <c r="U298" s="243">
        <f t="shared" si="130"/>
        <v>0</v>
      </c>
      <c r="V298" s="243">
        <v>0</v>
      </c>
      <c r="W298" s="243">
        <v>0</v>
      </c>
      <c r="X298" s="245">
        <v>0</v>
      </c>
      <c r="Y298" s="73">
        <f>ROUND(4.885,2)</f>
        <v>4.8899999999999997</v>
      </c>
      <c r="Z298" s="243">
        <f t="shared" si="131"/>
        <v>1221</v>
      </c>
      <c r="AA298" s="243">
        <v>0</v>
      </c>
      <c r="AB298" s="243">
        <v>0</v>
      </c>
      <c r="AC298" s="245">
        <v>1221</v>
      </c>
      <c r="AD298" s="18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</row>
    <row r="299" spans="1:43" s="17" customFormat="1" ht="42" customHeight="1" outlineLevel="1" x14ac:dyDescent="0.25">
      <c r="A299" s="78" t="s">
        <v>520</v>
      </c>
      <c r="B299" s="66" t="s">
        <v>281</v>
      </c>
      <c r="C299" s="226">
        <f t="shared" si="126"/>
        <v>3.29</v>
      </c>
      <c r="D299" s="243">
        <f t="shared" si="127"/>
        <v>821</v>
      </c>
      <c r="E299" s="208">
        <v>0</v>
      </c>
      <c r="F299" s="244">
        <f t="shared" si="128"/>
        <v>0</v>
      </c>
      <c r="G299" s="243">
        <v>0</v>
      </c>
      <c r="H299" s="243">
        <v>0</v>
      </c>
      <c r="I299" s="243">
        <v>0</v>
      </c>
      <c r="J299" s="208">
        <v>0</v>
      </c>
      <c r="K299" s="244">
        <f t="shared" si="125"/>
        <v>0</v>
      </c>
      <c r="L299" s="243">
        <v>0</v>
      </c>
      <c r="M299" s="243">
        <v>0</v>
      </c>
      <c r="N299" s="243">
        <v>0</v>
      </c>
      <c r="O299" s="73">
        <v>0</v>
      </c>
      <c r="P299" s="243">
        <f t="shared" si="129"/>
        <v>0</v>
      </c>
      <c r="Q299" s="243">
        <v>0</v>
      </c>
      <c r="R299" s="243">
        <v>0</v>
      </c>
      <c r="S299" s="245">
        <v>0</v>
      </c>
      <c r="T299" s="73">
        <v>0</v>
      </c>
      <c r="U299" s="243">
        <f t="shared" si="130"/>
        <v>0</v>
      </c>
      <c r="V299" s="243">
        <v>0</v>
      </c>
      <c r="W299" s="243">
        <v>0</v>
      </c>
      <c r="X299" s="245">
        <v>0</v>
      </c>
      <c r="Y299" s="73">
        <f>ROUND(3.285,2)</f>
        <v>3.29</v>
      </c>
      <c r="Z299" s="243">
        <f t="shared" si="131"/>
        <v>821</v>
      </c>
      <c r="AA299" s="243">
        <v>0</v>
      </c>
      <c r="AB299" s="243">
        <v>0</v>
      </c>
      <c r="AC299" s="245">
        <v>821</v>
      </c>
      <c r="AD299" s="18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</row>
    <row r="300" spans="1:43" s="17" customFormat="1" ht="23.4" customHeight="1" outlineLevel="1" x14ac:dyDescent="0.25">
      <c r="A300" s="78" t="s">
        <v>521</v>
      </c>
      <c r="B300" s="66" t="s">
        <v>282</v>
      </c>
      <c r="C300" s="226">
        <f t="shared" si="126"/>
        <v>3.58</v>
      </c>
      <c r="D300" s="243">
        <f t="shared" si="127"/>
        <v>895</v>
      </c>
      <c r="E300" s="208">
        <v>0</v>
      </c>
      <c r="F300" s="244">
        <f t="shared" si="128"/>
        <v>0</v>
      </c>
      <c r="G300" s="243">
        <v>0</v>
      </c>
      <c r="H300" s="243">
        <v>0</v>
      </c>
      <c r="I300" s="243">
        <v>0</v>
      </c>
      <c r="J300" s="208">
        <v>0</v>
      </c>
      <c r="K300" s="244">
        <f t="shared" si="125"/>
        <v>0</v>
      </c>
      <c r="L300" s="243">
        <v>0</v>
      </c>
      <c r="M300" s="243">
        <v>0</v>
      </c>
      <c r="N300" s="243">
        <v>0</v>
      </c>
      <c r="O300" s="73">
        <v>0</v>
      </c>
      <c r="P300" s="243">
        <f t="shared" si="129"/>
        <v>0</v>
      </c>
      <c r="Q300" s="243">
        <v>0</v>
      </c>
      <c r="R300" s="243">
        <v>0</v>
      </c>
      <c r="S300" s="245">
        <v>0</v>
      </c>
      <c r="T300" s="73">
        <v>0</v>
      </c>
      <c r="U300" s="243">
        <f t="shared" si="130"/>
        <v>0</v>
      </c>
      <c r="V300" s="243">
        <v>0</v>
      </c>
      <c r="W300" s="243">
        <v>0</v>
      </c>
      <c r="X300" s="245">
        <v>0</v>
      </c>
      <c r="Y300" s="73">
        <v>3.58</v>
      </c>
      <c r="Z300" s="243">
        <f t="shared" si="131"/>
        <v>895</v>
      </c>
      <c r="AA300" s="243">
        <v>0</v>
      </c>
      <c r="AB300" s="243">
        <v>0</v>
      </c>
      <c r="AC300" s="245">
        <v>895</v>
      </c>
      <c r="AD300" s="18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</row>
    <row r="301" spans="1:43" s="17" customFormat="1" ht="46.95" customHeight="1" outlineLevel="1" x14ac:dyDescent="0.25">
      <c r="A301" s="78" t="s">
        <v>522</v>
      </c>
      <c r="B301" s="66" t="s">
        <v>469</v>
      </c>
      <c r="C301" s="226">
        <f t="shared" si="126"/>
        <v>0.43999999999999995</v>
      </c>
      <c r="D301" s="243">
        <f t="shared" si="127"/>
        <v>110</v>
      </c>
      <c r="E301" s="208">
        <v>0</v>
      </c>
      <c r="F301" s="244">
        <f t="shared" si="128"/>
        <v>0</v>
      </c>
      <c r="G301" s="243">
        <v>0</v>
      </c>
      <c r="H301" s="243">
        <v>0</v>
      </c>
      <c r="I301" s="243">
        <v>0</v>
      </c>
      <c r="J301" s="208">
        <v>0</v>
      </c>
      <c r="K301" s="244">
        <f t="shared" si="125"/>
        <v>0</v>
      </c>
      <c r="L301" s="243">
        <v>0</v>
      </c>
      <c r="M301" s="243">
        <v>0</v>
      </c>
      <c r="N301" s="243">
        <v>0</v>
      </c>
      <c r="O301" s="73">
        <v>0</v>
      </c>
      <c r="P301" s="243">
        <f t="shared" si="129"/>
        <v>0</v>
      </c>
      <c r="Q301" s="243">
        <v>0</v>
      </c>
      <c r="R301" s="243">
        <v>0</v>
      </c>
      <c r="S301" s="245">
        <v>0</v>
      </c>
      <c r="T301" s="73">
        <v>0</v>
      </c>
      <c r="U301" s="243">
        <f t="shared" si="130"/>
        <v>0</v>
      </c>
      <c r="V301" s="243">
        <v>0</v>
      </c>
      <c r="W301" s="243">
        <v>0</v>
      </c>
      <c r="X301" s="245">
        <v>0</v>
      </c>
      <c r="Y301" s="73">
        <v>0.43999999999999995</v>
      </c>
      <c r="Z301" s="243">
        <f t="shared" si="131"/>
        <v>110</v>
      </c>
      <c r="AA301" s="243">
        <v>0</v>
      </c>
      <c r="AB301" s="243">
        <v>0</v>
      </c>
      <c r="AC301" s="245">
        <v>110</v>
      </c>
      <c r="AD301" s="18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</row>
    <row r="302" spans="1:43" s="17" customFormat="1" ht="27" customHeight="1" outlineLevel="1" x14ac:dyDescent="0.25">
      <c r="A302" s="78" t="s">
        <v>523</v>
      </c>
      <c r="B302" s="66" t="s">
        <v>283</v>
      </c>
      <c r="C302" s="226">
        <f t="shared" si="126"/>
        <v>0.70000000000000007</v>
      </c>
      <c r="D302" s="243">
        <f t="shared" si="127"/>
        <v>175</v>
      </c>
      <c r="E302" s="208">
        <v>0</v>
      </c>
      <c r="F302" s="244">
        <f t="shared" si="128"/>
        <v>0</v>
      </c>
      <c r="G302" s="243">
        <v>0</v>
      </c>
      <c r="H302" s="243">
        <v>0</v>
      </c>
      <c r="I302" s="243">
        <v>0</v>
      </c>
      <c r="J302" s="208">
        <v>0</v>
      </c>
      <c r="K302" s="244">
        <f t="shared" si="125"/>
        <v>0</v>
      </c>
      <c r="L302" s="243">
        <v>0</v>
      </c>
      <c r="M302" s="243">
        <v>0</v>
      </c>
      <c r="N302" s="243">
        <v>0</v>
      </c>
      <c r="O302" s="73">
        <v>0</v>
      </c>
      <c r="P302" s="243">
        <f t="shared" si="129"/>
        <v>0</v>
      </c>
      <c r="Q302" s="243">
        <v>0</v>
      </c>
      <c r="R302" s="243">
        <v>0</v>
      </c>
      <c r="S302" s="245">
        <v>0</v>
      </c>
      <c r="T302" s="73">
        <v>0</v>
      </c>
      <c r="U302" s="243">
        <f t="shared" si="130"/>
        <v>0</v>
      </c>
      <c r="V302" s="243">
        <v>0</v>
      </c>
      <c r="W302" s="243">
        <v>0</v>
      </c>
      <c r="X302" s="245">
        <v>0</v>
      </c>
      <c r="Y302" s="73">
        <v>0.70000000000000007</v>
      </c>
      <c r="Z302" s="243">
        <f t="shared" si="131"/>
        <v>175</v>
      </c>
      <c r="AA302" s="243">
        <v>0</v>
      </c>
      <c r="AB302" s="243">
        <v>0</v>
      </c>
      <c r="AC302" s="245">
        <v>175</v>
      </c>
      <c r="AD302" s="18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</row>
    <row r="303" spans="1:43" s="17" customFormat="1" ht="34.200000000000003" customHeight="1" outlineLevel="1" x14ac:dyDescent="0.25">
      <c r="A303" s="78" t="s">
        <v>524</v>
      </c>
      <c r="B303" s="66" t="s">
        <v>284</v>
      </c>
      <c r="C303" s="226">
        <f t="shared" si="126"/>
        <v>3.4899999999999998</v>
      </c>
      <c r="D303" s="243">
        <f t="shared" si="127"/>
        <v>873</v>
      </c>
      <c r="E303" s="208">
        <v>0</v>
      </c>
      <c r="F303" s="244">
        <f t="shared" si="128"/>
        <v>0</v>
      </c>
      <c r="G303" s="243">
        <v>0</v>
      </c>
      <c r="H303" s="243">
        <v>0</v>
      </c>
      <c r="I303" s="243">
        <v>0</v>
      </c>
      <c r="J303" s="208">
        <v>0</v>
      </c>
      <c r="K303" s="244">
        <f t="shared" si="125"/>
        <v>0</v>
      </c>
      <c r="L303" s="243">
        <v>0</v>
      </c>
      <c r="M303" s="243">
        <v>0</v>
      </c>
      <c r="N303" s="243">
        <v>0</v>
      </c>
      <c r="O303" s="73">
        <v>0</v>
      </c>
      <c r="P303" s="243">
        <f t="shared" si="129"/>
        <v>0</v>
      </c>
      <c r="Q303" s="243">
        <v>0</v>
      </c>
      <c r="R303" s="243">
        <v>0</v>
      </c>
      <c r="S303" s="245">
        <v>0</v>
      </c>
      <c r="T303" s="73">
        <v>0</v>
      </c>
      <c r="U303" s="243">
        <f t="shared" si="130"/>
        <v>0</v>
      </c>
      <c r="V303" s="243">
        <v>0</v>
      </c>
      <c r="W303" s="243">
        <v>0</v>
      </c>
      <c r="X303" s="245">
        <v>0</v>
      </c>
      <c r="Y303" s="73">
        <v>3.4899999999999998</v>
      </c>
      <c r="Z303" s="243">
        <f t="shared" si="131"/>
        <v>873</v>
      </c>
      <c r="AA303" s="243">
        <v>0</v>
      </c>
      <c r="AB303" s="243">
        <v>0</v>
      </c>
      <c r="AC303" s="245">
        <v>873</v>
      </c>
      <c r="AD303" s="18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</row>
    <row r="304" spans="1:43" s="17" customFormat="1" ht="27" customHeight="1" outlineLevel="1" x14ac:dyDescent="0.25">
      <c r="A304" s="78" t="s">
        <v>525</v>
      </c>
      <c r="B304" s="66" t="s">
        <v>285</v>
      </c>
      <c r="C304" s="226">
        <f t="shared" si="126"/>
        <v>2.97</v>
      </c>
      <c r="D304" s="243">
        <f t="shared" si="127"/>
        <v>741</v>
      </c>
      <c r="E304" s="208">
        <v>0</v>
      </c>
      <c r="F304" s="244">
        <f t="shared" si="128"/>
        <v>0</v>
      </c>
      <c r="G304" s="243">
        <v>0</v>
      </c>
      <c r="H304" s="243">
        <v>0</v>
      </c>
      <c r="I304" s="243">
        <v>0</v>
      </c>
      <c r="J304" s="208">
        <v>0</v>
      </c>
      <c r="K304" s="244">
        <f t="shared" si="125"/>
        <v>0</v>
      </c>
      <c r="L304" s="243">
        <v>0</v>
      </c>
      <c r="M304" s="243">
        <v>0</v>
      </c>
      <c r="N304" s="243">
        <v>0</v>
      </c>
      <c r="O304" s="73">
        <v>0</v>
      </c>
      <c r="P304" s="243">
        <f t="shared" si="129"/>
        <v>0</v>
      </c>
      <c r="Q304" s="243">
        <v>0</v>
      </c>
      <c r="R304" s="243">
        <v>0</v>
      </c>
      <c r="S304" s="245">
        <v>0</v>
      </c>
      <c r="T304" s="73">
        <v>0</v>
      </c>
      <c r="U304" s="243">
        <f t="shared" si="130"/>
        <v>0</v>
      </c>
      <c r="V304" s="243">
        <v>0</v>
      </c>
      <c r="W304" s="243">
        <v>0</v>
      </c>
      <c r="X304" s="245">
        <v>0</v>
      </c>
      <c r="Y304" s="73">
        <f>ROUND(2.965,2)</f>
        <v>2.97</v>
      </c>
      <c r="Z304" s="243">
        <f t="shared" si="131"/>
        <v>741</v>
      </c>
      <c r="AA304" s="243">
        <v>0</v>
      </c>
      <c r="AB304" s="243">
        <v>0</v>
      </c>
      <c r="AC304" s="245">
        <v>741</v>
      </c>
      <c r="AD304" s="18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</row>
    <row r="305" spans="1:43" s="17" customFormat="1" ht="26.4" customHeight="1" outlineLevel="1" x14ac:dyDescent="0.25">
      <c r="A305" s="78" t="s">
        <v>526</v>
      </c>
      <c r="B305" s="66" t="s">
        <v>286</v>
      </c>
      <c r="C305" s="226">
        <f t="shared" si="126"/>
        <v>1.27</v>
      </c>
      <c r="D305" s="243">
        <f t="shared" si="127"/>
        <v>318</v>
      </c>
      <c r="E305" s="208">
        <v>0</v>
      </c>
      <c r="F305" s="244">
        <f t="shared" si="128"/>
        <v>0</v>
      </c>
      <c r="G305" s="243">
        <v>0</v>
      </c>
      <c r="H305" s="243">
        <v>0</v>
      </c>
      <c r="I305" s="243">
        <v>0</v>
      </c>
      <c r="J305" s="208">
        <v>0</v>
      </c>
      <c r="K305" s="244">
        <f t="shared" si="125"/>
        <v>0</v>
      </c>
      <c r="L305" s="243">
        <v>0</v>
      </c>
      <c r="M305" s="243">
        <v>0</v>
      </c>
      <c r="N305" s="243">
        <v>0</v>
      </c>
      <c r="O305" s="73">
        <v>0</v>
      </c>
      <c r="P305" s="243">
        <f t="shared" si="129"/>
        <v>0</v>
      </c>
      <c r="Q305" s="243">
        <v>0</v>
      </c>
      <c r="R305" s="243">
        <v>0</v>
      </c>
      <c r="S305" s="245">
        <v>0</v>
      </c>
      <c r="T305" s="73">
        <v>0</v>
      </c>
      <c r="U305" s="243">
        <f t="shared" si="130"/>
        <v>0</v>
      </c>
      <c r="V305" s="243">
        <v>0</v>
      </c>
      <c r="W305" s="243">
        <v>0</v>
      </c>
      <c r="X305" s="245">
        <v>0</v>
      </c>
      <c r="Y305" s="73">
        <v>1.27</v>
      </c>
      <c r="Z305" s="243">
        <f t="shared" si="131"/>
        <v>318</v>
      </c>
      <c r="AA305" s="243">
        <v>0</v>
      </c>
      <c r="AB305" s="243">
        <v>0</v>
      </c>
      <c r="AC305" s="245">
        <v>318</v>
      </c>
      <c r="AD305" s="18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</row>
    <row r="306" spans="1:43" s="17" customFormat="1" ht="25.95" customHeight="1" outlineLevel="1" x14ac:dyDescent="0.25">
      <c r="A306" s="78" t="s">
        <v>527</v>
      </c>
      <c r="B306" s="66" t="s">
        <v>287</v>
      </c>
      <c r="C306" s="226">
        <f t="shared" si="126"/>
        <v>3.61</v>
      </c>
      <c r="D306" s="243">
        <f t="shared" si="127"/>
        <v>903</v>
      </c>
      <c r="E306" s="208">
        <v>0</v>
      </c>
      <c r="F306" s="244">
        <f t="shared" si="128"/>
        <v>0</v>
      </c>
      <c r="G306" s="243">
        <v>0</v>
      </c>
      <c r="H306" s="243">
        <v>0</v>
      </c>
      <c r="I306" s="243">
        <v>0</v>
      </c>
      <c r="J306" s="208">
        <v>0</v>
      </c>
      <c r="K306" s="244">
        <f t="shared" si="125"/>
        <v>0</v>
      </c>
      <c r="L306" s="243">
        <v>0</v>
      </c>
      <c r="M306" s="243">
        <v>0</v>
      </c>
      <c r="N306" s="243">
        <v>0</v>
      </c>
      <c r="O306" s="73">
        <v>0</v>
      </c>
      <c r="P306" s="243">
        <f t="shared" si="129"/>
        <v>0</v>
      </c>
      <c r="Q306" s="243">
        <v>0</v>
      </c>
      <c r="R306" s="243">
        <v>0</v>
      </c>
      <c r="S306" s="245">
        <v>0</v>
      </c>
      <c r="T306" s="73">
        <v>0</v>
      </c>
      <c r="U306" s="243">
        <f t="shared" si="130"/>
        <v>0</v>
      </c>
      <c r="V306" s="243">
        <v>0</v>
      </c>
      <c r="W306" s="243">
        <v>0</v>
      </c>
      <c r="X306" s="245">
        <v>0</v>
      </c>
      <c r="Y306" s="73">
        <v>3.61</v>
      </c>
      <c r="Z306" s="243">
        <f t="shared" si="131"/>
        <v>903</v>
      </c>
      <c r="AA306" s="243">
        <v>0</v>
      </c>
      <c r="AB306" s="243">
        <v>0</v>
      </c>
      <c r="AC306" s="245">
        <v>903</v>
      </c>
      <c r="AD306" s="18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</row>
    <row r="307" spans="1:43" s="17" customFormat="1" ht="23.4" customHeight="1" outlineLevel="1" x14ac:dyDescent="0.25">
      <c r="A307" s="78" t="s">
        <v>528</v>
      </c>
      <c r="B307" s="66" t="s">
        <v>288</v>
      </c>
      <c r="C307" s="226">
        <f t="shared" si="126"/>
        <v>3.54</v>
      </c>
      <c r="D307" s="243">
        <f t="shared" si="127"/>
        <v>884</v>
      </c>
      <c r="E307" s="208">
        <v>0</v>
      </c>
      <c r="F307" s="244">
        <f t="shared" si="128"/>
        <v>0</v>
      </c>
      <c r="G307" s="243">
        <v>0</v>
      </c>
      <c r="H307" s="243">
        <v>0</v>
      </c>
      <c r="I307" s="243">
        <v>0</v>
      </c>
      <c r="J307" s="208">
        <v>0</v>
      </c>
      <c r="K307" s="244">
        <f t="shared" si="125"/>
        <v>0</v>
      </c>
      <c r="L307" s="243">
        <v>0</v>
      </c>
      <c r="M307" s="243">
        <v>0</v>
      </c>
      <c r="N307" s="243">
        <v>0</v>
      </c>
      <c r="O307" s="73">
        <v>0</v>
      </c>
      <c r="P307" s="243">
        <f t="shared" si="129"/>
        <v>0</v>
      </c>
      <c r="Q307" s="243">
        <v>0</v>
      </c>
      <c r="R307" s="243">
        <v>0</v>
      </c>
      <c r="S307" s="245">
        <v>0</v>
      </c>
      <c r="T307" s="73">
        <v>0</v>
      </c>
      <c r="U307" s="243">
        <f t="shared" si="130"/>
        <v>0</v>
      </c>
      <c r="V307" s="243">
        <v>0</v>
      </c>
      <c r="W307" s="243">
        <v>0</v>
      </c>
      <c r="X307" s="245">
        <v>0</v>
      </c>
      <c r="Y307" s="73">
        <f>ROUND(3.535,2)</f>
        <v>3.54</v>
      </c>
      <c r="Z307" s="243">
        <f t="shared" si="131"/>
        <v>884</v>
      </c>
      <c r="AA307" s="243">
        <v>0</v>
      </c>
      <c r="AB307" s="243">
        <v>0</v>
      </c>
      <c r="AC307" s="245">
        <v>884</v>
      </c>
      <c r="AD307" s="18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</row>
    <row r="308" spans="1:43" s="17" customFormat="1" ht="25.2" customHeight="1" outlineLevel="1" x14ac:dyDescent="0.25">
      <c r="A308" s="78" t="s">
        <v>529</v>
      </c>
      <c r="B308" s="66" t="s">
        <v>289</v>
      </c>
      <c r="C308" s="226">
        <f t="shared" si="126"/>
        <v>3.48</v>
      </c>
      <c r="D308" s="243">
        <f t="shared" si="127"/>
        <v>869</v>
      </c>
      <c r="E308" s="208">
        <v>0</v>
      </c>
      <c r="F308" s="244">
        <f t="shared" si="128"/>
        <v>0</v>
      </c>
      <c r="G308" s="243">
        <v>0</v>
      </c>
      <c r="H308" s="243">
        <v>0</v>
      </c>
      <c r="I308" s="243">
        <v>0</v>
      </c>
      <c r="J308" s="208">
        <v>0</v>
      </c>
      <c r="K308" s="244">
        <f t="shared" si="125"/>
        <v>0</v>
      </c>
      <c r="L308" s="243">
        <v>0</v>
      </c>
      <c r="M308" s="243">
        <v>0</v>
      </c>
      <c r="N308" s="243">
        <v>0</v>
      </c>
      <c r="O308" s="73">
        <v>0</v>
      </c>
      <c r="P308" s="243">
        <f t="shared" si="129"/>
        <v>0</v>
      </c>
      <c r="Q308" s="243">
        <v>0</v>
      </c>
      <c r="R308" s="243">
        <v>0</v>
      </c>
      <c r="S308" s="245">
        <v>0</v>
      </c>
      <c r="T308" s="73">
        <v>0</v>
      </c>
      <c r="U308" s="243">
        <f t="shared" si="130"/>
        <v>0</v>
      </c>
      <c r="V308" s="243">
        <v>0</v>
      </c>
      <c r="W308" s="243">
        <v>0</v>
      </c>
      <c r="X308" s="245">
        <v>0</v>
      </c>
      <c r="Y308" s="73">
        <f>ROUND(3.475,2)</f>
        <v>3.48</v>
      </c>
      <c r="Z308" s="243">
        <f t="shared" si="131"/>
        <v>869</v>
      </c>
      <c r="AA308" s="243">
        <v>0</v>
      </c>
      <c r="AB308" s="243">
        <v>0</v>
      </c>
      <c r="AC308" s="245">
        <v>869</v>
      </c>
      <c r="AD308" s="18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</row>
    <row r="309" spans="1:43" s="17" customFormat="1" ht="33" customHeight="1" outlineLevel="1" x14ac:dyDescent="0.25">
      <c r="A309" s="78" t="s">
        <v>530</v>
      </c>
      <c r="B309" s="66" t="s">
        <v>290</v>
      </c>
      <c r="C309" s="226">
        <f t="shared" si="126"/>
        <v>2.58</v>
      </c>
      <c r="D309" s="243">
        <f t="shared" si="127"/>
        <v>645</v>
      </c>
      <c r="E309" s="208">
        <v>0</v>
      </c>
      <c r="F309" s="244">
        <f t="shared" si="128"/>
        <v>0</v>
      </c>
      <c r="G309" s="243">
        <v>0</v>
      </c>
      <c r="H309" s="243">
        <v>0</v>
      </c>
      <c r="I309" s="243">
        <v>0</v>
      </c>
      <c r="J309" s="208">
        <v>0</v>
      </c>
      <c r="K309" s="244">
        <f t="shared" si="125"/>
        <v>0</v>
      </c>
      <c r="L309" s="243">
        <v>0</v>
      </c>
      <c r="M309" s="243">
        <v>0</v>
      </c>
      <c r="N309" s="243">
        <v>0</v>
      </c>
      <c r="O309" s="73">
        <v>0</v>
      </c>
      <c r="P309" s="243">
        <f t="shared" si="129"/>
        <v>0</v>
      </c>
      <c r="Q309" s="243">
        <v>0</v>
      </c>
      <c r="R309" s="243">
        <v>0</v>
      </c>
      <c r="S309" s="245">
        <v>0</v>
      </c>
      <c r="T309" s="73">
        <v>0</v>
      </c>
      <c r="U309" s="243">
        <f t="shared" si="130"/>
        <v>0</v>
      </c>
      <c r="V309" s="243">
        <v>0</v>
      </c>
      <c r="W309" s="243">
        <v>0</v>
      </c>
      <c r="X309" s="245">
        <v>0</v>
      </c>
      <c r="Y309" s="73">
        <v>2.58</v>
      </c>
      <c r="Z309" s="243">
        <f t="shared" si="131"/>
        <v>645</v>
      </c>
      <c r="AA309" s="243">
        <v>0</v>
      </c>
      <c r="AB309" s="243">
        <v>0</v>
      </c>
      <c r="AC309" s="245">
        <v>645</v>
      </c>
      <c r="AD309" s="18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</row>
    <row r="310" spans="1:43" s="17" customFormat="1" ht="22.95" customHeight="1" outlineLevel="1" x14ac:dyDescent="0.25">
      <c r="A310" s="78" t="s">
        <v>531</v>
      </c>
      <c r="B310" s="66" t="s">
        <v>291</v>
      </c>
      <c r="C310" s="226">
        <f t="shared" si="126"/>
        <v>1.7799999999999998</v>
      </c>
      <c r="D310" s="243">
        <f t="shared" si="127"/>
        <v>445</v>
      </c>
      <c r="E310" s="208">
        <v>0</v>
      </c>
      <c r="F310" s="244">
        <f t="shared" si="128"/>
        <v>0</v>
      </c>
      <c r="G310" s="243">
        <v>0</v>
      </c>
      <c r="H310" s="243">
        <v>0</v>
      </c>
      <c r="I310" s="243">
        <v>0</v>
      </c>
      <c r="J310" s="208">
        <v>0</v>
      </c>
      <c r="K310" s="244">
        <f t="shared" si="125"/>
        <v>0</v>
      </c>
      <c r="L310" s="243">
        <v>0</v>
      </c>
      <c r="M310" s="243">
        <v>0</v>
      </c>
      <c r="N310" s="243">
        <v>0</v>
      </c>
      <c r="O310" s="73">
        <v>0</v>
      </c>
      <c r="P310" s="243">
        <f t="shared" si="129"/>
        <v>0</v>
      </c>
      <c r="Q310" s="243">
        <v>0</v>
      </c>
      <c r="R310" s="243">
        <v>0</v>
      </c>
      <c r="S310" s="245">
        <v>0</v>
      </c>
      <c r="T310" s="73">
        <v>0</v>
      </c>
      <c r="U310" s="243">
        <f t="shared" si="130"/>
        <v>0</v>
      </c>
      <c r="V310" s="243">
        <v>0</v>
      </c>
      <c r="W310" s="243">
        <v>0</v>
      </c>
      <c r="X310" s="245">
        <v>0</v>
      </c>
      <c r="Y310" s="73">
        <v>1.7799999999999998</v>
      </c>
      <c r="Z310" s="243">
        <f t="shared" si="131"/>
        <v>445</v>
      </c>
      <c r="AA310" s="243">
        <v>0</v>
      </c>
      <c r="AB310" s="243">
        <v>0</v>
      </c>
      <c r="AC310" s="245">
        <v>445</v>
      </c>
      <c r="AD310" s="18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</row>
    <row r="311" spans="1:43" s="17" customFormat="1" ht="30" customHeight="1" outlineLevel="1" x14ac:dyDescent="0.25">
      <c r="A311" s="78" t="s">
        <v>532</v>
      </c>
      <c r="B311" s="66" t="s">
        <v>292</v>
      </c>
      <c r="C311" s="226">
        <f t="shared" si="126"/>
        <v>2.06</v>
      </c>
      <c r="D311" s="243">
        <f t="shared" si="127"/>
        <v>515</v>
      </c>
      <c r="E311" s="208">
        <v>0</v>
      </c>
      <c r="F311" s="244">
        <f t="shared" si="128"/>
        <v>0</v>
      </c>
      <c r="G311" s="243">
        <v>0</v>
      </c>
      <c r="H311" s="243">
        <v>0</v>
      </c>
      <c r="I311" s="243">
        <v>0</v>
      </c>
      <c r="J311" s="208">
        <v>0</v>
      </c>
      <c r="K311" s="244">
        <f t="shared" si="125"/>
        <v>0</v>
      </c>
      <c r="L311" s="243">
        <v>0</v>
      </c>
      <c r="M311" s="243">
        <v>0</v>
      </c>
      <c r="N311" s="243">
        <v>0</v>
      </c>
      <c r="O311" s="73">
        <v>0</v>
      </c>
      <c r="P311" s="243">
        <f t="shared" si="129"/>
        <v>0</v>
      </c>
      <c r="Q311" s="243">
        <v>0</v>
      </c>
      <c r="R311" s="243">
        <v>0</v>
      </c>
      <c r="S311" s="245">
        <v>0</v>
      </c>
      <c r="T311" s="73">
        <v>0</v>
      </c>
      <c r="U311" s="243">
        <f t="shared" si="130"/>
        <v>0</v>
      </c>
      <c r="V311" s="243">
        <v>0</v>
      </c>
      <c r="W311" s="243">
        <v>0</v>
      </c>
      <c r="X311" s="245">
        <v>0</v>
      </c>
      <c r="Y311" s="73">
        <v>2.06</v>
      </c>
      <c r="Z311" s="243">
        <f t="shared" si="131"/>
        <v>515</v>
      </c>
      <c r="AA311" s="243">
        <v>0</v>
      </c>
      <c r="AB311" s="243">
        <v>0</v>
      </c>
      <c r="AC311" s="245">
        <v>515</v>
      </c>
      <c r="AD311" s="18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</row>
    <row r="312" spans="1:43" s="17" customFormat="1" ht="26.4" customHeight="1" outlineLevel="1" x14ac:dyDescent="0.25">
      <c r="A312" s="78" t="s">
        <v>533</v>
      </c>
      <c r="B312" s="66" t="s">
        <v>293</v>
      </c>
      <c r="C312" s="226">
        <f t="shared" si="126"/>
        <v>0.8899999999999999</v>
      </c>
      <c r="D312" s="243">
        <f t="shared" ref="D312:D375" si="132">F312+K312+P312+U312+Z312</f>
        <v>223</v>
      </c>
      <c r="E312" s="208">
        <v>0</v>
      </c>
      <c r="F312" s="244">
        <f t="shared" si="128"/>
        <v>0</v>
      </c>
      <c r="G312" s="243">
        <v>0</v>
      </c>
      <c r="H312" s="243">
        <v>0</v>
      </c>
      <c r="I312" s="243">
        <v>0</v>
      </c>
      <c r="J312" s="208">
        <v>0</v>
      </c>
      <c r="K312" s="244">
        <f t="shared" ref="K312:K375" si="133">SUM(L312:N312)</f>
        <v>0</v>
      </c>
      <c r="L312" s="243">
        <v>0</v>
      </c>
      <c r="M312" s="243">
        <v>0</v>
      </c>
      <c r="N312" s="243">
        <v>0</v>
      </c>
      <c r="O312" s="73">
        <v>0</v>
      </c>
      <c r="P312" s="243">
        <f t="shared" si="129"/>
        <v>0</v>
      </c>
      <c r="Q312" s="243">
        <v>0</v>
      </c>
      <c r="R312" s="243">
        <v>0</v>
      </c>
      <c r="S312" s="245">
        <v>0</v>
      </c>
      <c r="T312" s="73">
        <v>0</v>
      </c>
      <c r="U312" s="243">
        <f t="shared" si="130"/>
        <v>0</v>
      </c>
      <c r="V312" s="243">
        <v>0</v>
      </c>
      <c r="W312" s="243">
        <v>0</v>
      </c>
      <c r="X312" s="245">
        <v>0</v>
      </c>
      <c r="Y312" s="73">
        <v>0.8899999999999999</v>
      </c>
      <c r="Z312" s="243">
        <f t="shared" si="131"/>
        <v>223</v>
      </c>
      <c r="AA312" s="243">
        <v>0</v>
      </c>
      <c r="AB312" s="243">
        <v>0</v>
      </c>
      <c r="AC312" s="245">
        <v>223</v>
      </c>
      <c r="AD312" s="18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</row>
    <row r="313" spans="1:43" s="17" customFormat="1" ht="26.4" customHeight="1" outlineLevel="1" x14ac:dyDescent="0.25">
      <c r="A313" s="78" t="s">
        <v>534</v>
      </c>
      <c r="B313" s="66" t="s">
        <v>294</v>
      </c>
      <c r="C313" s="226">
        <f t="shared" ref="C313:C376" si="134">E313+J313+O313+T313+Y313</f>
        <v>0.65</v>
      </c>
      <c r="D313" s="243">
        <f t="shared" si="132"/>
        <v>163</v>
      </c>
      <c r="E313" s="208">
        <v>0</v>
      </c>
      <c r="F313" s="244">
        <f t="shared" ref="F313:F376" si="135">G313+H313+I313</f>
        <v>0</v>
      </c>
      <c r="G313" s="243">
        <v>0</v>
      </c>
      <c r="H313" s="243">
        <v>0</v>
      </c>
      <c r="I313" s="243">
        <v>0</v>
      </c>
      <c r="J313" s="208">
        <v>0</v>
      </c>
      <c r="K313" s="244">
        <f t="shared" si="133"/>
        <v>0</v>
      </c>
      <c r="L313" s="243">
        <v>0</v>
      </c>
      <c r="M313" s="243">
        <v>0</v>
      </c>
      <c r="N313" s="243">
        <v>0</v>
      </c>
      <c r="O313" s="73">
        <v>0</v>
      </c>
      <c r="P313" s="243">
        <f t="shared" ref="P313:P376" si="136">Q313+R313+S313</f>
        <v>0</v>
      </c>
      <c r="Q313" s="243">
        <v>0</v>
      </c>
      <c r="R313" s="243">
        <v>0</v>
      </c>
      <c r="S313" s="245">
        <v>0</v>
      </c>
      <c r="T313" s="73">
        <v>0</v>
      </c>
      <c r="U313" s="243">
        <f t="shared" ref="U313:U376" si="137">V313+W313+X313</f>
        <v>0</v>
      </c>
      <c r="V313" s="243">
        <v>0</v>
      </c>
      <c r="W313" s="243">
        <v>0</v>
      </c>
      <c r="X313" s="245">
        <v>0</v>
      </c>
      <c r="Y313" s="73">
        <v>0.65</v>
      </c>
      <c r="Z313" s="243">
        <f t="shared" ref="Z313:Z376" si="138">AA313+AB313+AC313</f>
        <v>163</v>
      </c>
      <c r="AA313" s="243">
        <v>0</v>
      </c>
      <c r="AB313" s="243">
        <v>0</v>
      </c>
      <c r="AC313" s="245">
        <v>163</v>
      </c>
      <c r="AD313" s="18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</row>
    <row r="314" spans="1:43" s="17" customFormat="1" ht="29.4" customHeight="1" outlineLevel="1" x14ac:dyDescent="0.25">
      <c r="A314" s="78" t="s">
        <v>535</v>
      </c>
      <c r="B314" s="66" t="s">
        <v>295</v>
      </c>
      <c r="C314" s="226">
        <f t="shared" si="134"/>
        <v>0.78</v>
      </c>
      <c r="D314" s="243">
        <f t="shared" si="132"/>
        <v>194</v>
      </c>
      <c r="E314" s="208">
        <v>0</v>
      </c>
      <c r="F314" s="244">
        <f t="shared" si="135"/>
        <v>0</v>
      </c>
      <c r="G314" s="243">
        <v>0</v>
      </c>
      <c r="H314" s="243">
        <v>0</v>
      </c>
      <c r="I314" s="243">
        <v>0</v>
      </c>
      <c r="J314" s="208">
        <v>0</v>
      </c>
      <c r="K314" s="244">
        <f t="shared" si="133"/>
        <v>0</v>
      </c>
      <c r="L314" s="243">
        <v>0</v>
      </c>
      <c r="M314" s="243">
        <v>0</v>
      </c>
      <c r="N314" s="243">
        <v>0</v>
      </c>
      <c r="O314" s="73">
        <v>0</v>
      </c>
      <c r="P314" s="243">
        <f t="shared" si="136"/>
        <v>0</v>
      </c>
      <c r="Q314" s="243">
        <v>0</v>
      </c>
      <c r="R314" s="243">
        <v>0</v>
      </c>
      <c r="S314" s="245">
        <v>0</v>
      </c>
      <c r="T314" s="73">
        <v>0</v>
      </c>
      <c r="U314" s="243">
        <f t="shared" si="137"/>
        <v>0</v>
      </c>
      <c r="V314" s="243">
        <v>0</v>
      </c>
      <c r="W314" s="243">
        <v>0</v>
      </c>
      <c r="X314" s="245">
        <v>0</v>
      </c>
      <c r="Y314" s="73">
        <f>ROUND(0.775,2)</f>
        <v>0.78</v>
      </c>
      <c r="Z314" s="243">
        <f t="shared" si="138"/>
        <v>194</v>
      </c>
      <c r="AA314" s="243">
        <v>0</v>
      </c>
      <c r="AB314" s="243">
        <v>0</v>
      </c>
      <c r="AC314" s="245">
        <v>194</v>
      </c>
      <c r="AD314" s="18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</row>
    <row r="315" spans="1:43" s="17" customFormat="1" ht="29.4" customHeight="1" outlineLevel="1" x14ac:dyDescent="0.25">
      <c r="A315" s="78" t="s">
        <v>536</v>
      </c>
      <c r="B315" s="66" t="s">
        <v>296</v>
      </c>
      <c r="C315" s="226">
        <f t="shared" si="134"/>
        <v>0.84000000000000008</v>
      </c>
      <c r="D315" s="243">
        <f t="shared" si="132"/>
        <v>210</v>
      </c>
      <c r="E315" s="208">
        <v>0</v>
      </c>
      <c r="F315" s="244">
        <f t="shared" si="135"/>
        <v>0</v>
      </c>
      <c r="G315" s="243">
        <v>0</v>
      </c>
      <c r="H315" s="243">
        <v>0</v>
      </c>
      <c r="I315" s="243">
        <v>0</v>
      </c>
      <c r="J315" s="208">
        <v>0</v>
      </c>
      <c r="K315" s="244">
        <f t="shared" si="133"/>
        <v>0</v>
      </c>
      <c r="L315" s="243">
        <v>0</v>
      </c>
      <c r="M315" s="243">
        <v>0</v>
      </c>
      <c r="N315" s="243">
        <v>0</v>
      </c>
      <c r="O315" s="73">
        <v>0</v>
      </c>
      <c r="P315" s="243">
        <f t="shared" si="136"/>
        <v>0</v>
      </c>
      <c r="Q315" s="243">
        <v>0</v>
      </c>
      <c r="R315" s="243">
        <v>0</v>
      </c>
      <c r="S315" s="245">
        <v>0</v>
      </c>
      <c r="T315" s="73">
        <v>0</v>
      </c>
      <c r="U315" s="243">
        <f t="shared" si="137"/>
        <v>0</v>
      </c>
      <c r="V315" s="243">
        <v>0</v>
      </c>
      <c r="W315" s="243">
        <v>0</v>
      </c>
      <c r="X315" s="245">
        <v>0</v>
      </c>
      <c r="Y315" s="73">
        <v>0.84000000000000008</v>
      </c>
      <c r="Z315" s="243">
        <f t="shared" si="138"/>
        <v>210</v>
      </c>
      <c r="AA315" s="243">
        <v>0</v>
      </c>
      <c r="AB315" s="243">
        <v>0</v>
      </c>
      <c r="AC315" s="245">
        <v>210</v>
      </c>
      <c r="AD315" s="18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</row>
    <row r="316" spans="1:43" s="17" customFormat="1" ht="23.4" customHeight="1" outlineLevel="1" x14ac:dyDescent="0.25">
      <c r="A316" s="78" t="s">
        <v>537</v>
      </c>
      <c r="B316" s="66" t="s">
        <v>297</v>
      </c>
      <c r="C316" s="226">
        <f t="shared" si="134"/>
        <v>0.82000000000000006</v>
      </c>
      <c r="D316" s="243">
        <f t="shared" si="132"/>
        <v>205</v>
      </c>
      <c r="E316" s="208">
        <v>0</v>
      </c>
      <c r="F316" s="244">
        <f t="shared" si="135"/>
        <v>0</v>
      </c>
      <c r="G316" s="243">
        <v>0</v>
      </c>
      <c r="H316" s="243">
        <v>0</v>
      </c>
      <c r="I316" s="243">
        <v>0</v>
      </c>
      <c r="J316" s="208">
        <v>0</v>
      </c>
      <c r="K316" s="244">
        <f t="shared" si="133"/>
        <v>0</v>
      </c>
      <c r="L316" s="243">
        <v>0</v>
      </c>
      <c r="M316" s="243">
        <v>0</v>
      </c>
      <c r="N316" s="243">
        <v>0</v>
      </c>
      <c r="O316" s="73">
        <v>0</v>
      </c>
      <c r="P316" s="243">
        <f t="shared" si="136"/>
        <v>0</v>
      </c>
      <c r="Q316" s="243">
        <v>0</v>
      </c>
      <c r="R316" s="243">
        <v>0</v>
      </c>
      <c r="S316" s="245">
        <v>0</v>
      </c>
      <c r="T316" s="73">
        <v>0</v>
      </c>
      <c r="U316" s="243">
        <f t="shared" si="137"/>
        <v>0</v>
      </c>
      <c r="V316" s="243">
        <v>0</v>
      </c>
      <c r="W316" s="243">
        <v>0</v>
      </c>
      <c r="X316" s="245">
        <v>0</v>
      </c>
      <c r="Y316" s="73">
        <v>0.82000000000000006</v>
      </c>
      <c r="Z316" s="243">
        <f t="shared" si="138"/>
        <v>205</v>
      </c>
      <c r="AA316" s="243">
        <v>0</v>
      </c>
      <c r="AB316" s="243">
        <v>0</v>
      </c>
      <c r="AC316" s="245">
        <v>205</v>
      </c>
      <c r="AD316" s="18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</row>
    <row r="317" spans="1:43" s="17" customFormat="1" ht="24" customHeight="1" outlineLevel="1" x14ac:dyDescent="0.25">
      <c r="A317" s="78" t="s">
        <v>538</v>
      </c>
      <c r="B317" s="66" t="s">
        <v>298</v>
      </c>
      <c r="C317" s="226">
        <f t="shared" si="134"/>
        <v>1.71</v>
      </c>
      <c r="D317" s="243">
        <f t="shared" si="132"/>
        <v>426</v>
      </c>
      <c r="E317" s="208">
        <v>0</v>
      </c>
      <c r="F317" s="244">
        <f t="shared" si="135"/>
        <v>0</v>
      </c>
      <c r="G317" s="243">
        <v>0</v>
      </c>
      <c r="H317" s="243">
        <v>0</v>
      </c>
      <c r="I317" s="243">
        <v>0</v>
      </c>
      <c r="J317" s="208">
        <v>0</v>
      </c>
      <c r="K317" s="244">
        <f t="shared" si="133"/>
        <v>0</v>
      </c>
      <c r="L317" s="243">
        <v>0</v>
      </c>
      <c r="M317" s="243">
        <v>0</v>
      </c>
      <c r="N317" s="243">
        <v>0</v>
      </c>
      <c r="O317" s="73">
        <v>0</v>
      </c>
      <c r="P317" s="243">
        <f t="shared" si="136"/>
        <v>0</v>
      </c>
      <c r="Q317" s="243">
        <v>0</v>
      </c>
      <c r="R317" s="243">
        <v>0</v>
      </c>
      <c r="S317" s="245">
        <v>0</v>
      </c>
      <c r="T317" s="73">
        <v>0</v>
      </c>
      <c r="U317" s="243">
        <f t="shared" si="137"/>
        <v>0</v>
      </c>
      <c r="V317" s="243">
        <v>0</v>
      </c>
      <c r="W317" s="243">
        <v>0</v>
      </c>
      <c r="X317" s="245">
        <v>0</v>
      </c>
      <c r="Y317" s="73">
        <f>ROUND(1.705,2)</f>
        <v>1.71</v>
      </c>
      <c r="Z317" s="243">
        <f t="shared" si="138"/>
        <v>426</v>
      </c>
      <c r="AA317" s="243">
        <v>0</v>
      </c>
      <c r="AB317" s="243">
        <v>0</v>
      </c>
      <c r="AC317" s="245">
        <v>426</v>
      </c>
      <c r="AD317" s="18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</row>
    <row r="318" spans="1:43" s="17" customFormat="1" ht="22.2" customHeight="1" outlineLevel="1" x14ac:dyDescent="0.25">
      <c r="A318" s="78" t="s">
        <v>539</v>
      </c>
      <c r="B318" s="66" t="s">
        <v>299</v>
      </c>
      <c r="C318" s="226">
        <f t="shared" si="134"/>
        <v>0.72</v>
      </c>
      <c r="D318" s="243">
        <f t="shared" si="132"/>
        <v>179</v>
      </c>
      <c r="E318" s="208">
        <v>0</v>
      </c>
      <c r="F318" s="244">
        <f t="shared" si="135"/>
        <v>0</v>
      </c>
      <c r="G318" s="243">
        <v>0</v>
      </c>
      <c r="H318" s="243">
        <v>0</v>
      </c>
      <c r="I318" s="243">
        <v>0</v>
      </c>
      <c r="J318" s="208">
        <v>0</v>
      </c>
      <c r="K318" s="244">
        <f t="shared" si="133"/>
        <v>0</v>
      </c>
      <c r="L318" s="243">
        <v>0</v>
      </c>
      <c r="M318" s="243">
        <v>0</v>
      </c>
      <c r="N318" s="243">
        <v>0</v>
      </c>
      <c r="O318" s="73">
        <v>0</v>
      </c>
      <c r="P318" s="243">
        <f t="shared" si="136"/>
        <v>0</v>
      </c>
      <c r="Q318" s="243">
        <v>0</v>
      </c>
      <c r="R318" s="243">
        <v>0</v>
      </c>
      <c r="S318" s="245">
        <v>0</v>
      </c>
      <c r="T318" s="73">
        <v>0</v>
      </c>
      <c r="U318" s="243">
        <f t="shared" si="137"/>
        <v>0</v>
      </c>
      <c r="V318" s="243">
        <v>0</v>
      </c>
      <c r="W318" s="243">
        <v>0</v>
      </c>
      <c r="X318" s="245">
        <v>0</v>
      </c>
      <c r="Y318" s="73">
        <f>ROUND(0.715,2)</f>
        <v>0.72</v>
      </c>
      <c r="Z318" s="243">
        <f t="shared" si="138"/>
        <v>179</v>
      </c>
      <c r="AA318" s="243">
        <v>0</v>
      </c>
      <c r="AB318" s="243">
        <v>0</v>
      </c>
      <c r="AC318" s="245">
        <v>179</v>
      </c>
      <c r="AD318" s="18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</row>
    <row r="319" spans="1:43" s="17" customFormat="1" ht="21" customHeight="1" outlineLevel="1" x14ac:dyDescent="0.25">
      <c r="A319" s="78" t="s">
        <v>540</v>
      </c>
      <c r="B319" s="66" t="s">
        <v>300</v>
      </c>
      <c r="C319" s="226">
        <f t="shared" si="134"/>
        <v>3.48</v>
      </c>
      <c r="D319" s="243">
        <f t="shared" si="132"/>
        <v>869</v>
      </c>
      <c r="E319" s="208">
        <v>0</v>
      </c>
      <c r="F319" s="244">
        <f t="shared" si="135"/>
        <v>0</v>
      </c>
      <c r="G319" s="243">
        <v>0</v>
      </c>
      <c r="H319" s="243">
        <v>0</v>
      </c>
      <c r="I319" s="243">
        <v>0</v>
      </c>
      <c r="J319" s="208">
        <v>0</v>
      </c>
      <c r="K319" s="244">
        <f t="shared" si="133"/>
        <v>0</v>
      </c>
      <c r="L319" s="243">
        <v>0</v>
      </c>
      <c r="M319" s="243">
        <v>0</v>
      </c>
      <c r="N319" s="243">
        <v>0</v>
      </c>
      <c r="O319" s="73">
        <v>0</v>
      </c>
      <c r="P319" s="243">
        <f t="shared" si="136"/>
        <v>0</v>
      </c>
      <c r="Q319" s="243">
        <v>0</v>
      </c>
      <c r="R319" s="243">
        <v>0</v>
      </c>
      <c r="S319" s="245">
        <v>0</v>
      </c>
      <c r="T319" s="73">
        <v>0</v>
      </c>
      <c r="U319" s="243">
        <f t="shared" si="137"/>
        <v>0</v>
      </c>
      <c r="V319" s="243">
        <v>0</v>
      </c>
      <c r="W319" s="243">
        <v>0</v>
      </c>
      <c r="X319" s="245">
        <v>0</v>
      </c>
      <c r="Y319" s="73">
        <f>ROUND(3.475,2)</f>
        <v>3.48</v>
      </c>
      <c r="Z319" s="243">
        <f t="shared" si="138"/>
        <v>869</v>
      </c>
      <c r="AA319" s="243">
        <v>0</v>
      </c>
      <c r="AB319" s="243">
        <v>0</v>
      </c>
      <c r="AC319" s="245">
        <v>869</v>
      </c>
      <c r="AD319" s="18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</row>
    <row r="320" spans="1:43" s="17" customFormat="1" ht="22.95" customHeight="1" outlineLevel="1" x14ac:dyDescent="0.25">
      <c r="A320" s="78" t="s">
        <v>541</v>
      </c>
      <c r="B320" s="66" t="s">
        <v>301</v>
      </c>
      <c r="C320" s="226">
        <f t="shared" si="134"/>
        <v>1.51</v>
      </c>
      <c r="D320" s="243">
        <f t="shared" si="132"/>
        <v>378</v>
      </c>
      <c r="E320" s="208">
        <v>0</v>
      </c>
      <c r="F320" s="244">
        <f t="shared" si="135"/>
        <v>0</v>
      </c>
      <c r="G320" s="243">
        <v>0</v>
      </c>
      <c r="H320" s="243">
        <v>0</v>
      </c>
      <c r="I320" s="243">
        <v>0</v>
      </c>
      <c r="J320" s="208">
        <v>0</v>
      </c>
      <c r="K320" s="244">
        <f t="shared" si="133"/>
        <v>0</v>
      </c>
      <c r="L320" s="243">
        <v>0</v>
      </c>
      <c r="M320" s="243">
        <v>0</v>
      </c>
      <c r="N320" s="243">
        <v>0</v>
      </c>
      <c r="O320" s="73">
        <v>0</v>
      </c>
      <c r="P320" s="243">
        <f t="shared" si="136"/>
        <v>0</v>
      </c>
      <c r="Q320" s="243">
        <v>0</v>
      </c>
      <c r="R320" s="243">
        <v>0</v>
      </c>
      <c r="S320" s="245">
        <v>0</v>
      </c>
      <c r="T320" s="73">
        <v>0</v>
      </c>
      <c r="U320" s="243">
        <f t="shared" si="137"/>
        <v>0</v>
      </c>
      <c r="V320" s="243">
        <v>0</v>
      </c>
      <c r="W320" s="243">
        <v>0</v>
      </c>
      <c r="X320" s="245">
        <v>0</v>
      </c>
      <c r="Y320" s="73">
        <v>1.51</v>
      </c>
      <c r="Z320" s="243">
        <f t="shared" si="138"/>
        <v>378</v>
      </c>
      <c r="AA320" s="243">
        <v>0</v>
      </c>
      <c r="AB320" s="243">
        <v>0</v>
      </c>
      <c r="AC320" s="245">
        <v>378</v>
      </c>
      <c r="AD320" s="18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</row>
    <row r="321" spans="1:43" s="17" customFormat="1" ht="22.2" customHeight="1" outlineLevel="1" x14ac:dyDescent="0.25">
      <c r="A321" s="78" t="s">
        <v>542</v>
      </c>
      <c r="B321" s="66" t="s">
        <v>302</v>
      </c>
      <c r="C321" s="226">
        <f t="shared" si="134"/>
        <v>1.69</v>
      </c>
      <c r="D321" s="243">
        <f t="shared" si="132"/>
        <v>421</v>
      </c>
      <c r="E321" s="208">
        <v>0</v>
      </c>
      <c r="F321" s="244">
        <f t="shared" si="135"/>
        <v>0</v>
      </c>
      <c r="G321" s="243">
        <v>0</v>
      </c>
      <c r="H321" s="243">
        <v>0</v>
      </c>
      <c r="I321" s="243">
        <v>0</v>
      </c>
      <c r="J321" s="208">
        <v>0</v>
      </c>
      <c r="K321" s="244">
        <f t="shared" si="133"/>
        <v>0</v>
      </c>
      <c r="L321" s="243">
        <v>0</v>
      </c>
      <c r="M321" s="243">
        <v>0</v>
      </c>
      <c r="N321" s="243">
        <v>0</v>
      </c>
      <c r="O321" s="73">
        <v>0</v>
      </c>
      <c r="P321" s="243">
        <f t="shared" si="136"/>
        <v>0</v>
      </c>
      <c r="Q321" s="243">
        <v>0</v>
      </c>
      <c r="R321" s="243">
        <v>0</v>
      </c>
      <c r="S321" s="245">
        <v>0</v>
      </c>
      <c r="T321" s="73">
        <v>0</v>
      </c>
      <c r="U321" s="243">
        <f t="shared" si="137"/>
        <v>0</v>
      </c>
      <c r="V321" s="243">
        <v>0</v>
      </c>
      <c r="W321" s="243">
        <v>0</v>
      </c>
      <c r="X321" s="245">
        <v>0</v>
      </c>
      <c r="Y321" s="73">
        <f>ROUND(1.685,2)</f>
        <v>1.69</v>
      </c>
      <c r="Z321" s="243">
        <f t="shared" si="138"/>
        <v>421</v>
      </c>
      <c r="AA321" s="243">
        <v>0</v>
      </c>
      <c r="AB321" s="243">
        <v>0</v>
      </c>
      <c r="AC321" s="245">
        <v>421</v>
      </c>
      <c r="AD321" s="18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</row>
    <row r="322" spans="1:43" s="17" customFormat="1" ht="23.4" customHeight="1" outlineLevel="1" x14ac:dyDescent="0.25">
      <c r="A322" s="78" t="s">
        <v>543</v>
      </c>
      <c r="B322" s="66" t="s">
        <v>303</v>
      </c>
      <c r="C322" s="226">
        <f t="shared" si="134"/>
        <v>0.85999999999999988</v>
      </c>
      <c r="D322" s="243">
        <f t="shared" si="132"/>
        <v>215</v>
      </c>
      <c r="E322" s="208">
        <v>0</v>
      </c>
      <c r="F322" s="244">
        <f t="shared" si="135"/>
        <v>0</v>
      </c>
      <c r="G322" s="243">
        <v>0</v>
      </c>
      <c r="H322" s="243">
        <v>0</v>
      </c>
      <c r="I322" s="243">
        <v>0</v>
      </c>
      <c r="J322" s="208">
        <v>0</v>
      </c>
      <c r="K322" s="244">
        <f t="shared" si="133"/>
        <v>0</v>
      </c>
      <c r="L322" s="243">
        <v>0</v>
      </c>
      <c r="M322" s="243">
        <v>0</v>
      </c>
      <c r="N322" s="243">
        <v>0</v>
      </c>
      <c r="O322" s="73">
        <v>0</v>
      </c>
      <c r="P322" s="243">
        <f t="shared" si="136"/>
        <v>0</v>
      </c>
      <c r="Q322" s="243">
        <v>0</v>
      </c>
      <c r="R322" s="243">
        <v>0</v>
      </c>
      <c r="S322" s="245">
        <v>0</v>
      </c>
      <c r="T322" s="73">
        <v>0</v>
      </c>
      <c r="U322" s="243">
        <f t="shared" si="137"/>
        <v>0</v>
      </c>
      <c r="V322" s="243">
        <v>0</v>
      </c>
      <c r="W322" s="243">
        <v>0</v>
      </c>
      <c r="X322" s="245">
        <v>0</v>
      </c>
      <c r="Y322" s="73">
        <v>0.85999999999999988</v>
      </c>
      <c r="Z322" s="243">
        <f t="shared" si="138"/>
        <v>215</v>
      </c>
      <c r="AA322" s="243">
        <v>0</v>
      </c>
      <c r="AB322" s="243">
        <v>0</v>
      </c>
      <c r="AC322" s="245">
        <v>215</v>
      </c>
      <c r="AD322" s="18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</row>
    <row r="323" spans="1:43" s="17" customFormat="1" ht="23.4" customHeight="1" outlineLevel="1" x14ac:dyDescent="0.25">
      <c r="A323" s="78" t="s">
        <v>544</v>
      </c>
      <c r="B323" s="66" t="s">
        <v>304</v>
      </c>
      <c r="C323" s="226">
        <f t="shared" si="134"/>
        <v>2.29</v>
      </c>
      <c r="D323" s="243">
        <f t="shared" si="132"/>
        <v>573</v>
      </c>
      <c r="E323" s="208">
        <v>0</v>
      </c>
      <c r="F323" s="244">
        <f t="shared" si="135"/>
        <v>0</v>
      </c>
      <c r="G323" s="243">
        <v>0</v>
      </c>
      <c r="H323" s="243">
        <v>0</v>
      </c>
      <c r="I323" s="243">
        <v>0</v>
      </c>
      <c r="J323" s="208">
        <v>0</v>
      </c>
      <c r="K323" s="244">
        <f t="shared" si="133"/>
        <v>0</v>
      </c>
      <c r="L323" s="243">
        <v>0</v>
      </c>
      <c r="M323" s="243">
        <v>0</v>
      </c>
      <c r="N323" s="243">
        <v>0</v>
      </c>
      <c r="O323" s="73">
        <v>0</v>
      </c>
      <c r="P323" s="243">
        <f t="shared" si="136"/>
        <v>0</v>
      </c>
      <c r="Q323" s="243">
        <v>0</v>
      </c>
      <c r="R323" s="243">
        <v>0</v>
      </c>
      <c r="S323" s="245">
        <v>0</v>
      </c>
      <c r="T323" s="73">
        <v>0</v>
      </c>
      <c r="U323" s="243">
        <f t="shared" si="137"/>
        <v>0</v>
      </c>
      <c r="V323" s="243">
        <v>0</v>
      </c>
      <c r="W323" s="243">
        <v>0</v>
      </c>
      <c r="X323" s="245">
        <v>0</v>
      </c>
      <c r="Y323" s="73">
        <v>2.29</v>
      </c>
      <c r="Z323" s="243">
        <f t="shared" si="138"/>
        <v>573</v>
      </c>
      <c r="AA323" s="243">
        <v>0</v>
      </c>
      <c r="AB323" s="243">
        <v>0</v>
      </c>
      <c r="AC323" s="245">
        <v>573</v>
      </c>
      <c r="AD323" s="18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</row>
    <row r="324" spans="1:43" s="17" customFormat="1" ht="22.2" customHeight="1" outlineLevel="1" x14ac:dyDescent="0.25">
      <c r="A324" s="78" t="s">
        <v>545</v>
      </c>
      <c r="B324" s="66" t="s">
        <v>305</v>
      </c>
      <c r="C324" s="226">
        <f t="shared" si="134"/>
        <v>2.64</v>
      </c>
      <c r="D324" s="243">
        <f t="shared" si="132"/>
        <v>660</v>
      </c>
      <c r="E324" s="208">
        <v>0</v>
      </c>
      <c r="F324" s="244">
        <f t="shared" si="135"/>
        <v>0</v>
      </c>
      <c r="G324" s="243">
        <v>0</v>
      </c>
      <c r="H324" s="243">
        <v>0</v>
      </c>
      <c r="I324" s="243">
        <v>0</v>
      </c>
      <c r="J324" s="208">
        <v>0</v>
      </c>
      <c r="K324" s="244">
        <f t="shared" si="133"/>
        <v>0</v>
      </c>
      <c r="L324" s="243">
        <v>0</v>
      </c>
      <c r="M324" s="243">
        <v>0</v>
      </c>
      <c r="N324" s="243">
        <v>0</v>
      </c>
      <c r="O324" s="73">
        <v>0</v>
      </c>
      <c r="P324" s="243">
        <f t="shared" si="136"/>
        <v>0</v>
      </c>
      <c r="Q324" s="243">
        <v>0</v>
      </c>
      <c r="R324" s="243">
        <v>0</v>
      </c>
      <c r="S324" s="245">
        <v>0</v>
      </c>
      <c r="T324" s="73">
        <v>0</v>
      </c>
      <c r="U324" s="243">
        <f t="shared" si="137"/>
        <v>0</v>
      </c>
      <c r="V324" s="243">
        <v>0</v>
      </c>
      <c r="W324" s="243">
        <v>0</v>
      </c>
      <c r="X324" s="245">
        <v>0</v>
      </c>
      <c r="Y324" s="73">
        <v>2.64</v>
      </c>
      <c r="Z324" s="243">
        <f t="shared" si="138"/>
        <v>660</v>
      </c>
      <c r="AA324" s="243">
        <v>0</v>
      </c>
      <c r="AB324" s="243">
        <v>0</v>
      </c>
      <c r="AC324" s="245">
        <v>660</v>
      </c>
      <c r="AD324" s="18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</row>
    <row r="325" spans="1:43" s="17" customFormat="1" ht="25.2" customHeight="1" outlineLevel="1" x14ac:dyDescent="0.25">
      <c r="A325" s="78" t="s">
        <v>546</v>
      </c>
      <c r="B325" s="66" t="s">
        <v>306</v>
      </c>
      <c r="C325" s="226">
        <f t="shared" si="134"/>
        <v>2.3899999999999997</v>
      </c>
      <c r="D325" s="243">
        <f t="shared" si="132"/>
        <v>598</v>
      </c>
      <c r="E325" s="208">
        <v>0</v>
      </c>
      <c r="F325" s="244">
        <f t="shared" si="135"/>
        <v>0</v>
      </c>
      <c r="G325" s="243">
        <v>0</v>
      </c>
      <c r="H325" s="243">
        <v>0</v>
      </c>
      <c r="I325" s="243">
        <v>0</v>
      </c>
      <c r="J325" s="208">
        <v>0</v>
      </c>
      <c r="K325" s="244">
        <f t="shared" si="133"/>
        <v>0</v>
      </c>
      <c r="L325" s="243">
        <v>0</v>
      </c>
      <c r="M325" s="243">
        <v>0</v>
      </c>
      <c r="N325" s="243">
        <v>0</v>
      </c>
      <c r="O325" s="73">
        <v>0</v>
      </c>
      <c r="P325" s="243">
        <f t="shared" si="136"/>
        <v>0</v>
      </c>
      <c r="Q325" s="243">
        <v>0</v>
      </c>
      <c r="R325" s="243">
        <v>0</v>
      </c>
      <c r="S325" s="245">
        <v>0</v>
      </c>
      <c r="T325" s="73">
        <v>0</v>
      </c>
      <c r="U325" s="243">
        <f t="shared" si="137"/>
        <v>0</v>
      </c>
      <c r="V325" s="243">
        <v>0</v>
      </c>
      <c r="W325" s="243">
        <v>0</v>
      </c>
      <c r="X325" s="245">
        <v>0</v>
      </c>
      <c r="Y325" s="73">
        <v>2.3899999999999997</v>
      </c>
      <c r="Z325" s="243">
        <f t="shared" si="138"/>
        <v>598</v>
      </c>
      <c r="AA325" s="243">
        <v>0</v>
      </c>
      <c r="AB325" s="243">
        <v>0</v>
      </c>
      <c r="AC325" s="245">
        <v>598</v>
      </c>
      <c r="AD325" s="18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</row>
    <row r="326" spans="1:43" s="17" customFormat="1" ht="25.95" customHeight="1" outlineLevel="1" x14ac:dyDescent="0.25">
      <c r="A326" s="78" t="s">
        <v>547</v>
      </c>
      <c r="B326" s="66" t="s">
        <v>307</v>
      </c>
      <c r="C326" s="226">
        <f t="shared" si="134"/>
        <v>2.1800000000000002</v>
      </c>
      <c r="D326" s="243">
        <f t="shared" si="132"/>
        <v>545</v>
      </c>
      <c r="E326" s="208">
        <v>0</v>
      </c>
      <c r="F326" s="244">
        <f t="shared" si="135"/>
        <v>0</v>
      </c>
      <c r="G326" s="243">
        <v>0</v>
      </c>
      <c r="H326" s="243">
        <v>0</v>
      </c>
      <c r="I326" s="243">
        <v>0</v>
      </c>
      <c r="J326" s="208">
        <v>0</v>
      </c>
      <c r="K326" s="244">
        <f t="shared" si="133"/>
        <v>0</v>
      </c>
      <c r="L326" s="243">
        <v>0</v>
      </c>
      <c r="M326" s="243">
        <v>0</v>
      </c>
      <c r="N326" s="243">
        <v>0</v>
      </c>
      <c r="O326" s="73">
        <v>0</v>
      </c>
      <c r="P326" s="243">
        <f t="shared" si="136"/>
        <v>0</v>
      </c>
      <c r="Q326" s="243">
        <v>0</v>
      </c>
      <c r="R326" s="243">
        <v>0</v>
      </c>
      <c r="S326" s="245">
        <v>0</v>
      </c>
      <c r="T326" s="73">
        <v>0</v>
      </c>
      <c r="U326" s="243">
        <f t="shared" si="137"/>
        <v>0</v>
      </c>
      <c r="V326" s="243">
        <v>0</v>
      </c>
      <c r="W326" s="243">
        <v>0</v>
      </c>
      <c r="X326" s="245">
        <v>0</v>
      </c>
      <c r="Y326" s="73">
        <v>2.1800000000000002</v>
      </c>
      <c r="Z326" s="243">
        <f t="shared" si="138"/>
        <v>545</v>
      </c>
      <c r="AA326" s="243">
        <v>0</v>
      </c>
      <c r="AB326" s="243">
        <v>0</v>
      </c>
      <c r="AC326" s="245">
        <v>545</v>
      </c>
      <c r="AD326" s="18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</row>
    <row r="327" spans="1:43" s="17" customFormat="1" ht="28.2" customHeight="1" outlineLevel="1" x14ac:dyDescent="0.25">
      <c r="A327" s="78" t="s">
        <v>548</v>
      </c>
      <c r="B327" s="66" t="s">
        <v>308</v>
      </c>
      <c r="C327" s="226">
        <f t="shared" si="134"/>
        <v>1.94</v>
      </c>
      <c r="D327" s="243">
        <f t="shared" si="132"/>
        <v>485</v>
      </c>
      <c r="E327" s="208">
        <v>0</v>
      </c>
      <c r="F327" s="244">
        <f t="shared" si="135"/>
        <v>0</v>
      </c>
      <c r="G327" s="243">
        <v>0</v>
      </c>
      <c r="H327" s="243">
        <v>0</v>
      </c>
      <c r="I327" s="243">
        <v>0</v>
      </c>
      <c r="J327" s="208">
        <v>0</v>
      </c>
      <c r="K327" s="244">
        <f t="shared" si="133"/>
        <v>0</v>
      </c>
      <c r="L327" s="243">
        <v>0</v>
      </c>
      <c r="M327" s="243">
        <v>0</v>
      </c>
      <c r="N327" s="243">
        <v>0</v>
      </c>
      <c r="O327" s="73">
        <v>0</v>
      </c>
      <c r="P327" s="243">
        <f t="shared" si="136"/>
        <v>0</v>
      </c>
      <c r="Q327" s="243">
        <v>0</v>
      </c>
      <c r="R327" s="243">
        <v>0</v>
      </c>
      <c r="S327" s="245">
        <v>0</v>
      </c>
      <c r="T327" s="73">
        <v>0</v>
      </c>
      <c r="U327" s="243">
        <f t="shared" si="137"/>
        <v>0</v>
      </c>
      <c r="V327" s="243">
        <v>0</v>
      </c>
      <c r="W327" s="243">
        <v>0</v>
      </c>
      <c r="X327" s="245">
        <v>0</v>
      </c>
      <c r="Y327" s="73">
        <v>1.94</v>
      </c>
      <c r="Z327" s="243">
        <f t="shared" si="138"/>
        <v>485</v>
      </c>
      <c r="AA327" s="243">
        <v>0</v>
      </c>
      <c r="AB327" s="243">
        <v>0</v>
      </c>
      <c r="AC327" s="245">
        <v>485</v>
      </c>
      <c r="AD327" s="18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</row>
    <row r="328" spans="1:43" s="17" customFormat="1" ht="28.2" customHeight="1" outlineLevel="1" x14ac:dyDescent="0.25">
      <c r="A328" s="78" t="s">
        <v>549</v>
      </c>
      <c r="B328" s="66" t="s">
        <v>309</v>
      </c>
      <c r="C328" s="226">
        <f t="shared" si="134"/>
        <v>1.7999999999999998</v>
      </c>
      <c r="D328" s="243">
        <f t="shared" si="132"/>
        <v>450</v>
      </c>
      <c r="E328" s="208">
        <v>0</v>
      </c>
      <c r="F328" s="244">
        <f t="shared" si="135"/>
        <v>0</v>
      </c>
      <c r="G328" s="243">
        <v>0</v>
      </c>
      <c r="H328" s="243">
        <v>0</v>
      </c>
      <c r="I328" s="243">
        <v>0</v>
      </c>
      <c r="J328" s="208">
        <v>0</v>
      </c>
      <c r="K328" s="244">
        <f t="shared" si="133"/>
        <v>0</v>
      </c>
      <c r="L328" s="243">
        <v>0</v>
      </c>
      <c r="M328" s="243">
        <v>0</v>
      </c>
      <c r="N328" s="243">
        <v>0</v>
      </c>
      <c r="O328" s="73">
        <v>0</v>
      </c>
      <c r="P328" s="243">
        <f t="shared" si="136"/>
        <v>0</v>
      </c>
      <c r="Q328" s="243">
        <v>0</v>
      </c>
      <c r="R328" s="243">
        <v>0</v>
      </c>
      <c r="S328" s="245">
        <v>0</v>
      </c>
      <c r="T328" s="73">
        <v>0</v>
      </c>
      <c r="U328" s="243">
        <f t="shared" si="137"/>
        <v>0</v>
      </c>
      <c r="V328" s="243">
        <v>0</v>
      </c>
      <c r="W328" s="243">
        <v>0</v>
      </c>
      <c r="X328" s="245">
        <v>0</v>
      </c>
      <c r="Y328" s="73">
        <v>1.7999999999999998</v>
      </c>
      <c r="Z328" s="243">
        <f t="shared" si="138"/>
        <v>450</v>
      </c>
      <c r="AA328" s="243">
        <v>0</v>
      </c>
      <c r="AB328" s="243">
        <v>0</v>
      </c>
      <c r="AC328" s="245">
        <v>450</v>
      </c>
      <c r="AD328" s="18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</row>
    <row r="329" spans="1:43" s="17" customFormat="1" ht="24" customHeight="1" outlineLevel="1" x14ac:dyDescent="0.25">
      <c r="A329" s="78" t="s">
        <v>550</v>
      </c>
      <c r="B329" s="66" t="s">
        <v>310</v>
      </c>
      <c r="C329" s="226">
        <f t="shared" si="134"/>
        <v>1.36</v>
      </c>
      <c r="D329" s="243">
        <f t="shared" si="132"/>
        <v>340</v>
      </c>
      <c r="E329" s="208">
        <v>0</v>
      </c>
      <c r="F329" s="244">
        <f t="shared" si="135"/>
        <v>0</v>
      </c>
      <c r="G329" s="243">
        <v>0</v>
      </c>
      <c r="H329" s="243">
        <v>0</v>
      </c>
      <c r="I329" s="243">
        <v>0</v>
      </c>
      <c r="J329" s="208">
        <v>0</v>
      </c>
      <c r="K329" s="244">
        <f t="shared" si="133"/>
        <v>0</v>
      </c>
      <c r="L329" s="243">
        <v>0</v>
      </c>
      <c r="M329" s="243">
        <v>0</v>
      </c>
      <c r="N329" s="243">
        <v>0</v>
      </c>
      <c r="O329" s="73">
        <v>0</v>
      </c>
      <c r="P329" s="243">
        <f t="shared" si="136"/>
        <v>0</v>
      </c>
      <c r="Q329" s="243">
        <v>0</v>
      </c>
      <c r="R329" s="243">
        <v>0</v>
      </c>
      <c r="S329" s="245">
        <v>0</v>
      </c>
      <c r="T329" s="73">
        <v>0</v>
      </c>
      <c r="U329" s="243">
        <f t="shared" si="137"/>
        <v>0</v>
      </c>
      <c r="V329" s="243">
        <v>0</v>
      </c>
      <c r="W329" s="243">
        <v>0</v>
      </c>
      <c r="X329" s="245">
        <v>0</v>
      </c>
      <c r="Y329" s="73">
        <v>1.36</v>
      </c>
      <c r="Z329" s="243">
        <f t="shared" si="138"/>
        <v>340</v>
      </c>
      <c r="AA329" s="243">
        <v>0</v>
      </c>
      <c r="AB329" s="243">
        <v>0</v>
      </c>
      <c r="AC329" s="245">
        <v>340</v>
      </c>
      <c r="AD329" s="18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</row>
    <row r="330" spans="1:43" s="17" customFormat="1" ht="26.4" customHeight="1" outlineLevel="1" x14ac:dyDescent="0.25">
      <c r="A330" s="78" t="s">
        <v>551</v>
      </c>
      <c r="B330" s="66" t="s">
        <v>311</v>
      </c>
      <c r="C330" s="226">
        <f t="shared" si="134"/>
        <v>1.1499999999999999</v>
      </c>
      <c r="D330" s="243">
        <f t="shared" si="132"/>
        <v>286</v>
      </c>
      <c r="E330" s="208">
        <v>0</v>
      </c>
      <c r="F330" s="244">
        <f t="shared" si="135"/>
        <v>0</v>
      </c>
      <c r="G330" s="243">
        <v>0</v>
      </c>
      <c r="H330" s="243">
        <v>0</v>
      </c>
      <c r="I330" s="243">
        <v>0</v>
      </c>
      <c r="J330" s="208">
        <v>0</v>
      </c>
      <c r="K330" s="244">
        <f t="shared" si="133"/>
        <v>0</v>
      </c>
      <c r="L330" s="243">
        <v>0</v>
      </c>
      <c r="M330" s="243">
        <v>0</v>
      </c>
      <c r="N330" s="243">
        <v>0</v>
      </c>
      <c r="O330" s="73">
        <v>0</v>
      </c>
      <c r="P330" s="243">
        <f t="shared" si="136"/>
        <v>0</v>
      </c>
      <c r="Q330" s="243">
        <v>0</v>
      </c>
      <c r="R330" s="243">
        <v>0</v>
      </c>
      <c r="S330" s="245">
        <v>0</v>
      </c>
      <c r="T330" s="73">
        <v>0</v>
      </c>
      <c r="U330" s="243">
        <f t="shared" si="137"/>
        <v>0</v>
      </c>
      <c r="V330" s="243">
        <v>0</v>
      </c>
      <c r="W330" s="243">
        <v>0</v>
      </c>
      <c r="X330" s="245">
        <v>0</v>
      </c>
      <c r="Y330" s="73">
        <f>ROUND(1.145,2)</f>
        <v>1.1499999999999999</v>
      </c>
      <c r="Z330" s="243">
        <f t="shared" si="138"/>
        <v>286</v>
      </c>
      <c r="AA330" s="243">
        <v>0</v>
      </c>
      <c r="AB330" s="243">
        <v>0</v>
      </c>
      <c r="AC330" s="245">
        <v>286</v>
      </c>
      <c r="AD330" s="18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</row>
    <row r="331" spans="1:43" s="17" customFormat="1" ht="34.200000000000003" customHeight="1" outlineLevel="1" x14ac:dyDescent="0.25">
      <c r="A331" s="78" t="s">
        <v>552</v>
      </c>
      <c r="B331" s="66" t="s">
        <v>312</v>
      </c>
      <c r="C331" s="226">
        <f t="shared" si="134"/>
        <v>4.37</v>
      </c>
      <c r="D331" s="243">
        <f t="shared" si="132"/>
        <v>1091</v>
      </c>
      <c r="E331" s="208">
        <v>0</v>
      </c>
      <c r="F331" s="244">
        <f t="shared" si="135"/>
        <v>0</v>
      </c>
      <c r="G331" s="243">
        <v>0</v>
      </c>
      <c r="H331" s="243">
        <v>0</v>
      </c>
      <c r="I331" s="243">
        <v>0</v>
      </c>
      <c r="J331" s="208">
        <v>0</v>
      </c>
      <c r="K331" s="244">
        <f t="shared" si="133"/>
        <v>0</v>
      </c>
      <c r="L331" s="243">
        <v>0</v>
      </c>
      <c r="M331" s="243">
        <v>0</v>
      </c>
      <c r="N331" s="243">
        <v>0</v>
      </c>
      <c r="O331" s="73">
        <v>0</v>
      </c>
      <c r="P331" s="243">
        <f t="shared" si="136"/>
        <v>0</v>
      </c>
      <c r="Q331" s="243">
        <v>0</v>
      </c>
      <c r="R331" s="243">
        <v>0</v>
      </c>
      <c r="S331" s="245">
        <v>0</v>
      </c>
      <c r="T331" s="73">
        <v>0</v>
      </c>
      <c r="U331" s="243">
        <f t="shared" si="137"/>
        <v>0</v>
      </c>
      <c r="V331" s="243">
        <v>0</v>
      </c>
      <c r="W331" s="243">
        <v>0</v>
      </c>
      <c r="X331" s="245">
        <v>0</v>
      </c>
      <c r="Y331" s="73">
        <f>ROUND(4.365,2)</f>
        <v>4.37</v>
      </c>
      <c r="Z331" s="243">
        <f t="shared" si="138"/>
        <v>1091</v>
      </c>
      <c r="AA331" s="243">
        <v>0</v>
      </c>
      <c r="AB331" s="243">
        <v>0</v>
      </c>
      <c r="AC331" s="245">
        <v>1091</v>
      </c>
      <c r="AD331" s="18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</row>
    <row r="332" spans="1:43" s="17" customFormat="1" ht="28.95" customHeight="1" outlineLevel="1" x14ac:dyDescent="0.25">
      <c r="A332" s="78" t="s">
        <v>553</v>
      </c>
      <c r="B332" s="66" t="s">
        <v>313</v>
      </c>
      <c r="C332" s="226">
        <f t="shared" si="134"/>
        <v>1.29</v>
      </c>
      <c r="D332" s="243">
        <f t="shared" si="132"/>
        <v>323</v>
      </c>
      <c r="E332" s="208">
        <v>0</v>
      </c>
      <c r="F332" s="244">
        <f t="shared" si="135"/>
        <v>0</v>
      </c>
      <c r="G332" s="243">
        <v>0</v>
      </c>
      <c r="H332" s="243">
        <v>0</v>
      </c>
      <c r="I332" s="243">
        <v>0</v>
      </c>
      <c r="J332" s="208">
        <v>0</v>
      </c>
      <c r="K332" s="244">
        <f t="shared" si="133"/>
        <v>0</v>
      </c>
      <c r="L332" s="243">
        <v>0</v>
      </c>
      <c r="M332" s="243">
        <v>0</v>
      </c>
      <c r="N332" s="243">
        <v>0</v>
      </c>
      <c r="O332" s="73">
        <v>0</v>
      </c>
      <c r="P332" s="243">
        <f t="shared" si="136"/>
        <v>0</v>
      </c>
      <c r="Q332" s="243">
        <v>0</v>
      </c>
      <c r="R332" s="243">
        <v>0</v>
      </c>
      <c r="S332" s="245">
        <v>0</v>
      </c>
      <c r="T332" s="73">
        <v>0</v>
      </c>
      <c r="U332" s="243">
        <f t="shared" si="137"/>
        <v>0</v>
      </c>
      <c r="V332" s="243">
        <v>0</v>
      </c>
      <c r="W332" s="243">
        <v>0</v>
      </c>
      <c r="X332" s="245">
        <v>0</v>
      </c>
      <c r="Y332" s="73">
        <v>1.29</v>
      </c>
      <c r="Z332" s="243">
        <f t="shared" si="138"/>
        <v>323</v>
      </c>
      <c r="AA332" s="243">
        <v>0</v>
      </c>
      <c r="AB332" s="243">
        <v>0</v>
      </c>
      <c r="AC332" s="245">
        <v>323</v>
      </c>
      <c r="AD332" s="18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</row>
    <row r="333" spans="1:43" s="17" customFormat="1" ht="26.4" customHeight="1" outlineLevel="1" x14ac:dyDescent="0.25">
      <c r="A333" s="78" t="s">
        <v>554</v>
      </c>
      <c r="B333" s="66" t="s">
        <v>314</v>
      </c>
      <c r="C333" s="226">
        <f t="shared" si="134"/>
        <v>0.81</v>
      </c>
      <c r="D333" s="243">
        <f t="shared" si="132"/>
        <v>203</v>
      </c>
      <c r="E333" s="208">
        <v>0</v>
      </c>
      <c r="F333" s="244">
        <f t="shared" si="135"/>
        <v>0</v>
      </c>
      <c r="G333" s="243">
        <v>0</v>
      </c>
      <c r="H333" s="243">
        <v>0</v>
      </c>
      <c r="I333" s="243">
        <v>0</v>
      </c>
      <c r="J333" s="208">
        <v>0</v>
      </c>
      <c r="K333" s="244">
        <f t="shared" si="133"/>
        <v>0</v>
      </c>
      <c r="L333" s="243">
        <v>0</v>
      </c>
      <c r="M333" s="243">
        <v>0</v>
      </c>
      <c r="N333" s="243">
        <v>0</v>
      </c>
      <c r="O333" s="73">
        <v>0</v>
      </c>
      <c r="P333" s="243">
        <f t="shared" si="136"/>
        <v>0</v>
      </c>
      <c r="Q333" s="243">
        <v>0</v>
      </c>
      <c r="R333" s="243">
        <v>0</v>
      </c>
      <c r="S333" s="245">
        <v>0</v>
      </c>
      <c r="T333" s="73">
        <v>0</v>
      </c>
      <c r="U333" s="243">
        <f t="shared" si="137"/>
        <v>0</v>
      </c>
      <c r="V333" s="243">
        <v>0</v>
      </c>
      <c r="W333" s="243">
        <v>0</v>
      </c>
      <c r="X333" s="245">
        <v>0</v>
      </c>
      <c r="Y333" s="73">
        <v>0.81</v>
      </c>
      <c r="Z333" s="243">
        <f t="shared" si="138"/>
        <v>203</v>
      </c>
      <c r="AA333" s="243">
        <v>0</v>
      </c>
      <c r="AB333" s="243">
        <v>0</v>
      </c>
      <c r="AC333" s="245">
        <v>203</v>
      </c>
      <c r="AD333" s="18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</row>
    <row r="334" spans="1:43" s="17" customFormat="1" ht="24" customHeight="1" outlineLevel="1" x14ac:dyDescent="0.25">
      <c r="A334" s="78" t="s">
        <v>555</v>
      </c>
      <c r="B334" s="66" t="s">
        <v>315</v>
      </c>
      <c r="C334" s="226">
        <f t="shared" si="134"/>
        <v>0.67</v>
      </c>
      <c r="D334" s="243">
        <f t="shared" si="132"/>
        <v>168</v>
      </c>
      <c r="E334" s="208">
        <v>0</v>
      </c>
      <c r="F334" s="244">
        <f t="shared" si="135"/>
        <v>0</v>
      </c>
      <c r="G334" s="243">
        <v>0</v>
      </c>
      <c r="H334" s="243">
        <v>0</v>
      </c>
      <c r="I334" s="243">
        <v>0</v>
      </c>
      <c r="J334" s="208">
        <v>0</v>
      </c>
      <c r="K334" s="244">
        <f t="shared" si="133"/>
        <v>0</v>
      </c>
      <c r="L334" s="243">
        <v>0</v>
      </c>
      <c r="M334" s="243">
        <v>0</v>
      </c>
      <c r="N334" s="243">
        <v>0</v>
      </c>
      <c r="O334" s="73">
        <v>0</v>
      </c>
      <c r="P334" s="243">
        <f t="shared" si="136"/>
        <v>0</v>
      </c>
      <c r="Q334" s="243">
        <v>0</v>
      </c>
      <c r="R334" s="243">
        <v>0</v>
      </c>
      <c r="S334" s="245">
        <v>0</v>
      </c>
      <c r="T334" s="73">
        <v>0</v>
      </c>
      <c r="U334" s="243">
        <f t="shared" si="137"/>
        <v>0</v>
      </c>
      <c r="V334" s="243">
        <v>0</v>
      </c>
      <c r="W334" s="243">
        <v>0</v>
      </c>
      <c r="X334" s="245">
        <v>0</v>
      </c>
      <c r="Y334" s="73">
        <v>0.67</v>
      </c>
      <c r="Z334" s="243">
        <f t="shared" si="138"/>
        <v>168</v>
      </c>
      <c r="AA334" s="243">
        <v>0</v>
      </c>
      <c r="AB334" s="243">
        <v>0</v>
      </c>
      <c r="AC334" s="245">
        <v>168</v>
      </c>
      <c r="AD334" s="18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</row>
    <row r="335" spans="1:43" s="17" customFormat="1" ht="24" customHeight="1" outlineLevel="1" x14ac:dyDescent="0.25">
      <c r="A335" s="78" t="s">
        <v>556</v>
      </c>
      <c r="B335" s="66" t="s">
        <v>316</v>
      </c>
      <c r="C335" s="226">
        <f t="shared" si="134"/>
        <v>1.05</v>
      </c>
      <c r="D335" s="243">
        <f t="shared" si="132"/>
        <v>263</v>
      </c>
      <c r="E335" s="208">
        <v>0</v>
      </c>
      <c r="F335" s="244">
        <f t="shared" si="135"/>
        <v>0</v>
      </c>
      <c r="G335" s="243">
        <v>0</v>
      </c>
      <c r="H335" s="243">
        <v>0</v>
      </c>
      <c r="I335" s="243">
        <v>0</v>
      </c>
      <c r="J335" s="208">
        <v>0</v>
      </c>
      <c r="K335" s="244">
        <f t="shared" si="133"/>
        <v>0</v>
      </c>
      <c r="L335" s="243">
        <v>0</v>
      </c>
      <c r="M335" s="243">
        <v>0</v>
      </c>
      <c r="N335" s="243">
        <v>0</v>
      </c>
      <c r="O335" s="73">
        <v>0</v>
      </c>
      <c r="P335" s="243">
        <f t="shared" si="136"/>
        <v>0</v>
      </c>
      <c r="Q335" s="243">
        <v>0</v>
      </c>
      <c r="R335" s="243">
        <v>0</v>
      </c>
      <c r="S335" s="245">
        <v>0</v>
      </c>
      <c r="T335" s="73">
        <v>0</v>
      </c>
      <c r="U335" s="243">
        <f t="shared" si="137"/>
        <v>0</v>
      </c>
      <c r="V335" s="243">
        <v>0</v>
      </c>
      <c r="W335" s="243">
        <v>0</v>
      </c>
      <c r="X335" s="245">
        <v>0</v>
      </c>
      <c r="Y335" s="73">
        <v>1.05</v>
      </c>
      <c r="Z335" s="243">
        <f t="shared" si="138"/>
        <v>263</v>
      </c>
      <c r="AA335" s="243">
        <v>0</v>
      </c>
      <c r="AB335" s="243">
        <v>0</v>
      </c>
      <c r="AC335" s="245">
        <v>263</v>
      </c>
      <c r="AD335" s="18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</row>
    <row r="336" spans="1:43" s="17" customFormat="1" ht="27" customHeight="1" outlineLevel="1" x14ac:dyDescent="0.25">
      <c r="A336" s="78" t="s">
        <v>557</v>
      </c>
      <c r="B336" s="66" t="s">
        <v>447</v>
      </c>
      <c r="C336" s="226">
        <f t="shared" si="134"/>
        <v>1.52</v>
      </c>
      <c r="D336" s="243">
        <f t="shared" si="132"/>
        <v>379</v>
      </c>
      <c r="E336" s="208">
        <v>0</v>
      </c>
      <c r="F336" s="244">
        <f t="shared" si="135"/>
        <v>0</v>
      </c>
      <c r="G336" s="243">
        <v>0</v>
      </c>
      <c r="H336" s="243">
        <v>0</v>
      </c>
      <c r="I336" s="243">
        <v>0</v>
      </c>
      <c r="J336" s="208">
        <v>0</v>
      </c>
      <c r="K336" s="244">
        <f t="shared" si="133"/>
        <v>0</v>
      </c>
      <c r="L336" s="243">
        <v>0</v>
      </c>
      <c r="M336" s="243">
        <v>0</v>
      </c>
      <c r="N336" s="243">
        <v>0</v>
      </c>
      <c r="O336" s="73">
        <v>0</v>
      </c>
      <c r="P336" s="243">
        <f t="shared" si="136"/>
        <v>0</v>
      </c>
      <c r="Q336" s="243">
        <v>0</v>
      </c>
      <c r="R336" s="243">
        <v>0</v>
      </c>
      <c r="S336" s="245">
        <v>0</v>
      </c>
      <c r="T336" s="73">
        <v>0</v>
      </c>
      <c r="U336" s="243">
        <f t="shared" si="137"/>
        <v>0</v>
      </c>
      <c r="V336" s="243">
        <v>0</v>
      </c>
      <c r="W336" s="243">
        <v>0</v>
      </c>
      <c r="X336" s="245">
        <v>0</v>
      </c>
      <c r="Y336" s="73">
        <f>ROUND(1.515,2)</f>
        <v>1.52</v>
      </c>
      <c r="Z336" s="243">
        <f t="shared" si="138"/>
        <v>379</v>
      </c>
      <c r="AA336" s="243">
        <v>0</v>
      </c>
      <c r="AB336" s="243">
        <v>0</v>
      </c>
      <c r="AC336" s="245">
        <v>379</v>
      </c>
      <c r="AD336" s="18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</row>
    <row r="337" spans="1:43" s="17" customFormat="1" ht="29.4" customHeight="1" outlineLevel="1" x14ac:dyDescent="0.25">
      <c r="A337" s="78" t="s">
        <v>558</v>
      </c>
      <c r="B337" s="66" t="s">
        <v>317</v>
      </c>
      <c r="C337" s="226">
        <f t="shared" si="134"/>
        <v>1.55</v>
      </c>
      <c r="D337" s="243">
        <f t="shared" si="132"/>
        <v>388</v>
      </c>
      <c r="E337" s="208">
        <v>0</v>
      </c>
      <c r="F337" s="244">
        <f t="shared" si="135"/>
        <v>0</v>
      </c>
      <c r="G337" s="243">
        <v>0</v>
      </c>
      <c r="H337" s="243">
        <v>0</v>
      </c>
      <c r="I337" s="243">
        <v>0</v>
      </c>
      <c r="J337" s="208">
        <v>0</v>
      </c>
      <c r="K337" s="244">
        <f t="shared" si="133"/>
        <v>0</v>
      </c>
      <c r="L337" s="243">
        <v>0</v>
      </c>
      <c r="M337" s="243">
        <v>0</v>
      </c>
      <c r="N337" s="243">
        <v>0</v>
      </c>
      <c r="O337" s="73">
        <v>0</v>
      </c>
      <c r="P337" s="243">
        <f t="shared" si="136"/>
        <v>0</v>
      </c>
      <c r="Q337" s="243">
        <v>0</v>
      </c>
      <c r="R337" s="243">
        <v>0</v>
      </c>
      <c r="S337" s="245">
        <v>0</v>
      </c>
      <c r="T337" s="73">
        <v>0</v>
      </c>
      <c r="U337" s="243">
        <f t="shared" si="137"/>
        <v>0</v>
      </c>
      <c r="V337" s="243">
        <v>0</v>
      </c>
      <c r="W337" s="243">
        <v>0</v>
      </c>
      <c r="X337" s="245">
        <v>0</v>
      </c>
      <c r="Y337" s="73">
        <v>1.55</v>
      </c>
      <c r="Z337" s="243">
        <f t="shared" si="138"/>
        <v>388</v>
      </c>
      <c r="AA337" s="243">
        <v>0</v>
      </c>
      <c r="AB337" s="243">
        <v>0</v>
      </c>
      <c r="AC337" s="245">
        <v>388</v>
      </c>
      <c r="AD337" s="18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</row>
    <row r="338" spans="1:43" s="17" customFormat="1" ht="25.2" customHeight="1" outlineLevel="1" x14ac:dyDescent="0.25">
      <c r="A338" s="78" t="s">
        <v>559</v>
      </c>
      <c r="B338" s="66" t="s">
        <v>318</v>
      </c>
      <c r="C338" s="226">
        <f t="shared" si="134"/>
        <v>0.73</v>
      </c>
      <c r="D338" s="243">
        <f t="shared" si="132"/>
        <v>181</v>
      </c>
      <c r="E338" s="208">
        <v>0</v>
      </c>
      <c r="F338" s="244">
        <f t="shared" si="135"/>
        <v>0</v>
      </c>
      <c r="G338" s="243">
        <v>0</v>
      </c>
      <c r="H338" s="243">
        <v>0</v>
      </c>
      <c r="I338" s="243">
        <v>0</v>
      </c>
      <c r="J338" s="208">
        <v>0</v>
      </c>
      <c r="K338" s="244">
        <f t="shared" si="133"/>
        <v>0</v>
      </c>
      <c r="L338" s="243">
        <v>0</v>
      </c>
      <c r="M338" s="243">
        <v>0</v>
      </c>
      <c r="N338" s="243">
        <v>0</v>
      </c>
      <c r="O338" s="73">
        <v>0</v>
      </c>
      <c r="P338" s="243">
        <f t="shared" si="136"/>
        <v>0</v>
      </c>
      <c r="Q338" s="243">
        <v>0</v>
      </c>
      <c r="R338" s="243">
        <v>0</v>
      </c>
      <c r="S338" s="245">
        <v>0</v>
      </c>
      <c r="T338" s="73">
        <v>0</v>
      </c>
      <c r="U338" s="243">
        <f t="shared" si="137"/>
        <v>0</v>
      </c>
      <c r="V338" s="243">
        <v>0</v>
      </c>
      <c r="W338" s="243">
        <v>0</v>
      </c>
      <c r="X338" s="245">
        <v>0</v>
      </c>
      <c r="Y338" s="73">
        <f>ROUND(0.725,2)</f>
        <v>0.73</v>
      </c>
      <c r="Z338" s="243">
        <f t="shared" si="138"/>
        <v>181</v>
      </c>
      <c r="AA338" s="243">
        <v>0</v>
      </c>
      <c r="AB338" s="243">
        <v>0</v>
      </c>
      <c r="AC338" s="245">
        <v>181</v>
      </c>
      <c r="AD338" s="18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</row>
    <row r="339" spans="1:43" s="17" customFormat="1" ht="22.2" customHeight="1" outlineLevel="1" x14ac:dyDescent="0.25">
      <c r="A339" s="78" t="s">
        <v>560</v>
      </c>
      <c r="B339" s="66" t="s">
        <v>319</v>
      </c>
      <c r="C339" s="226">
        <f t="shared" si="134"/>
        <v>1.89</v>
      </c>
      <c r="D339" s="243">
        <f t="shared" si="132"/>
        <v>471</v>
      </c>
      <c r="E339" s="208">
        <v>0</v>
      </c>
      <c r="F339" s="244">
        <f t="shared" si="135"/>
        <v>0</v>
      </c>
      <c r="G339" s="243">
        <v>0</v>
      </c>
      <c r="H339" s="243">
        <v>0</v>
      </c>
      <c r="I339" s="243">
        <v>0</v>
      </c>
      <c r="J339" s="208">
        <v>0</v>
      </c>
      <c r="K339" s="244">
        <f t="shared" si="133"/>
        <v>0</v>
      </c>
      <c r="L339" s="243">
        <v>0</v>
      </c>
      <c r="M339" s="243">
        <v>0</v>
      </c>
      <c r="N339" s="243">
        <v>0</v>
      </c>
      <c r="O339" s="73">
        <v>0</v>
      </c>
      <c r="P339" s="243">
        <f t="shared" si="136"/>
        <v>0</v>
      </c>
      <c r="Q339" s="243">
        <v>0</v>
      </c>
      <c r="R339" s="243">
        <v>0</v>
      </c>
      <c r="S339" s="245">
        <v>0</v>
      </c>
      <c r="T339" s="73">
        <v>0</v>
      </c>
      <c r="U339" s="243">
        <f t="shared" si="137"/>
        <v>0</v>
      </c>
      <c r="V339" s="243">
        <v>0</v>
      </c>
      <c r="W339" s="243">
        <v>0</v>
      </c>
      <c r="X339" s="245">
        <v>0</v>
      </c>
      <c r="Y339" s="73">
        <f>ROUND(1.885,2)</f>
        <v>1.89</v>
      </c>
      <c r="Z339" s="243">
        <f t="shared" si="138"/>
        <v>471</v>
      </c>
      <c r="AA339" s="243">
        <v>0</v>
      </c>
      <c r="AB339" s="243">
        <v>0</v>
      </c>
      <c r="AC339" s="245">
        <v>471</v>
      </c>
      <c r="AD339" s="18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</row>
    <row r="340" spans="1:43" s="17" customFormat="1" ht="25.95" customHeight="1" outlineLevel="1" x14ac:dyDescent="0.25">
      <c r="A340" s="78" t="s">
        <v>561</v>
      </c>
      <c r="B340" s="66" t="s">
        <v>448</v>
      </c>
      <c r="C340" s="226">
        <f t="shared" si="134"/>
        <v>3</v>
      </c>
      <c r="D340" s="243">
        <f t="shared" si="132"/>
        <v>750</v>
      </c>
      <c r="E340" s="208">
        <v>0</v>
      </c>
      <c r="F340" s="244">
        <f t="shared" si="135"/>
        <v>0</v>
      </c>
      <c r="G340" s="243">
        <v>0</v>
      </c>
      <c r="H340" s="243">
        <v>0</v>
      </c>
      <c r="I340" s="243">
        <v>0</v>
      </c>
      <c r="J340" s="208">
        <v>0</v>
      </c>
      <c r="K340" s="244">
        <f t="shared" si="133"/>
        <v>0</v>
      </c>
      <c r="L340" s="243">
        <v>0</v>
      </c>
      <c r="M340" s="243">
        <v>0</v>
      </c>
      <c r="N340" s="243">
        <v>0</v>
      </c>
      <c r="O340" s="73">
        <v>0</v>
      </c>
      <c r="P340" s="243">
        <f t="shared" si="136"/>
        <v>0</v>
      </c>
      <c r="Q340" s="243">
        <v>0</v>
      </c>
      <c r="R340" s="243">
        <v>0</v>
      </c>
      <c r="S340" s="245">
        <v>0</v>
      </c>
      <c r="T340" s="73">
        <v>0</v>
      </c>
      <c r="U340" s="243">
        <f t="shared" si="137"/>
        <v>0</v>
      </c>
      <c r="V340" s="243">
        <v>0</v>
      </c>
      <c r="W340" s="243">
        <v>0</v>
      </c>
      <c r="X340" s="245">
        <v>0</v>
      </c>
      <c r="Y340" s="73">
        <v>3</v>
      </c>
      <c r="Z340" s="243">
        <f t="shared" si="138"/>
        <v>750</v>
      </c>
      <c r="AA340" s="243">
        <v>0</v>
      </c>
      <c r="AB340" s="243">
        <v>0</v>
      </c>
      <c r="AC340" s="245">
        <v>750</v>
      </c>
      <c r="AD340" s="18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</row>
    <row r="341" spans="1:43" s="17" customFormat="1" ht="29.4" customHeight="1" outlineLevel="1" x14ac:dyDescent="0.25">
      <c r="A341" s="78" t="s">
        <v>562</v>
      </c>
      <c r="B341" s="66" t="s">
        <v>449</v>
      </c>
      <c r="C341" s="226">
        <f t="shared" si="134"/>
        <v>2.75</v>
      </c>
      <c r="D341" s="243">
        <f t="shared" si="132"/>
        <v>688</v>
      </c>
      <c r="E341" s="208">
        <v>0</v>
      </c>
      <c r="F341" s="244">
        <f t="shared" si="135"/>
        <v>0</v>
      </c>
      <c r="G341" s="243">
        <v>0</v>
      </c>
      <c r="H341" s="243">
        <v>0</v>
      </c>
      <c r="I341" s="243">
        <v>0</v>
      </c>
      <c r="J341" s="208">
        <v>0</v>
      </c>
      <c r="K341" s="244">
        <f t="shared" si="133"/>
        <v>0</v>
      </c>
      <c r="L341" s="243">
        <v>0</v>
      </c>
      <c r="M341" s="243">
        <v>0</v>
      </c>
      <c r="N341" s="243">
        <v>0</v>
      </c>
      <c r="O341" s="73">
        <v>0</v>
      </c>
      <c r="P341" s="243">
        <f t="shared" si="136"/>
        <v>0</v>
      </c>
      <c r="Q341" s="243">
        <v>0</v>
      </c>
      <c r="R341" s="243">
        <v>0</v>
      </c>
      <c r="S341" s="245">
        <v>0</v>
      </c>
      <c r="T341" s="73">
        <v>0</v>
      </c>
      <c r="U341" s="243">
        <f t="shared" si="137"/>
        <v>0</v>
      </c>
      <c r="V341" s="243">
        <v>0</v>
      </c>
      <c r="W341" s="243">
        <v>0</v>
      </c>
      <c r="X341" s="245">
        <v>0</v>
      </c>
      <c r="Y341" s="73">
        <v>2.75</v>
      </c>
      <c r="Z341" s="243">
        <f t="shared" si="138"/>
        <v>688</v>
      </c>
      <c r="AA341" s="243">
        <v>0</v>
      </c>
      <c r="AB341" s="243">
        <v>0</v>
      </c>
      <c r="AC341" s="245">
        <v>688</v>
      </c>
      <c r="AD341" s="18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</row>
    <row r="342" spans="1:43" s="17" customFormat="1" ht="25.2" customHeight="1" outlineLevel="1" x14ac:dyDescent="0.25">
      <c r="A342" s="78" t="s">
        <v>563</v>
      </c>
      <c r="B342" s="66" t="s">
        <v>450</v>
      </c>
      <c r="C342" s="226">
        <f t="shared" si="134"/>
        <v>1.88</v>
      </c>
      <c r="D342" s="243">
        <f t="shared" si="132"/>
        <v>469</v>
      </c>
      <c r="E342" s="208">
        <v>0</v>
      </c>
      <c r="F342" s="244">
        <f t="shared" si="135"/>
        <v>0</v>
      </c>
      <c r="G342" s="243">
        <v>0</v>
      </c>
      <c r="H342" s="243">
        <v>0</v>
      </c>
      <c r="I342" s="243">
        <v>0</v>
      </c>
      <c r="J342" s="208">
        <v>0</v>
      </c>
      <c r="K342" s="244">
        <f t="shared" si="133"/>
        <v>0</v>
      </c>
      <c r="L342" s="243">
        <v>0</v>
      </c>
      <c r="M342" s="243">
        <v>0</v>
      </c>
      <c r="N342" s="243">
        <v>0</v>
      </c>
      <c r="O342" s="73">
        <v>0</v>
      </c>
      <c r="P342" s="243">
        <f t="shared" si="136"/>
        <v>0</v>
      </c>
      <c r="Q342" s="243">
        <v>0</v>
      </c>
      <c r="R342" s="243">
        <v>0</v>
      </c>
      <c r="S342" s="245">
        <v>0</v>
      </c>
      <c r="T342" s="73">
        <v>0</v>
      </c>
      <c r="U342" s="243">
        <f t="shared" si="137"/>
        <v>0</v>
      </c>
      <c r="V342" s="243">
        <v>0</v>
      </c>
      <c r="W342" s="243">
        <v>0</v>
      </c>
      <c r="X342" s="245">
        <v>0</v>
      </c>
      <c r="Y342" s="73">
        <f>ROUND(1.875,2)</f>
        <v>1.88</v>
      </c>
      <c r="Z342" s="243">
        <f t="shared" si="138"/>
        <v>469</v>
      </c>
      <c r="AA342" s="243">
        <v>0</v>
      </c>
      <c r="AB342" s="243">
        <v>0</v>
      </c>
      <c r="AC342" s="245">
        <v>469</v>
      </c>
      <c r="AD342" s="18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</row>
    <row r="343" spans="1:43" s="17" customFormat="1" ht="27" customHeight="1" outlineLevel="1" x14ac:dyDescent="0.25">
      <c r="A343" s="78" t="s">
        <v>564</v>
      </c>
      <c r="B343" s="66" t="s">
        <v>451</v>
      </c>
      <c r="C343" s="226">
        <f t="shared" si="134"/>
        <v>3.08</v>
      </c>
      <c r="D343" s="243">
        <f t="shared" si="132"/>
        <v>769</v>
      </c>
      <c r="E343" s="208">
        <v>0</v>
      </c>
      <c r="F343" s="244">
        <f t="shared" si="135"/>
        <v>0</v>
      </c>
      <c r="G343" s="243">
        <v>0</v>
      </c>
      <c r="H343" s="243">
        <v>0</v>
      </c>
      <c r="I343" s="243">
        <v>0</v>
      </c>
      <c r="J343" s="208">
        <v>0</v>
      </c>
      <c r="K343" s="244">
        <f t="shared" si="133"/>
        <v>0</v>
      </c>
      <c r="L343" s="243">
        <v>0</v>
      </c>
      <c r="M343" s="243">
        <v>0</v>
      </c>
      <c r="N343" s="243">
        <v>0</v>
      </c>
      <c r="O343" s="73">
        <v>0</v>
      </c>
      <c r="P343" s="243">
        <f t="shared" si="136"/>
        <v>0</v>
      </c>
      <c r="Q343" s="243">
        <v>0</v>
      </c>
      <c r="R343" s="243">
        <v>0</v>
      </c>
      <c r="S343" s="245">
        <v>0</v>
      </c>
      <c r="T343" s="73">
        <v>0</v>
      </c>
      <c r="U343" s="243">
        <f t="shared" si="137"/>
        <v>0</v>
      </c>
      <c r="V343" s="243">
        <v>0</v>
      </c>
      <c r="W343" s="243">
        <v>0</v>
      </c>
      <c r="X343" s="245">
        <v>0</v>
      </c>
      <c r="Y343" s="73">
        <f>ROUND(3.075,2)</f>
        <v>3.08</v>
      </c>
      <c r="Z343" s="243">
        <f t="shared" si="138"/>
        <v>769</v>
      </c>
      <c r="AA343" s="243">
        <v>0</v>
      </c>
      <c r="AB343" s="243">
        <v>0</v>
      </c>
      <c r="AC343" s="245">
        <v>769</v>
      </c>
      <c r="AD343" s="18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</row>
    <row r="344" spans="1:43" s="17" customFormat="1" ht="25.2" customHeight="1" outlineLevel="1" x14ac:dyDescent="0.25">
      <c r="A344" s="78" t="s">
        <v>565</v>
      </c>
      <c r="B344" s="66" t="s">
        <v>320</v>
      </c>
      <c r="C344" s="226">
        <f t="shared" si="134"/>
        <v>0.57999999999999996</v>
      </c>
      <c r="D344" s="243">
        <f t="shared" si="132"/>
        <v>144</v>
      </c>
      <c r="E344" s="208">
        <v>0</v>
      </c>
      <c r="F344" s="244">
        <f t="shared" si="135"/>
        <v>0</v>
      </c>
      <c r="G344" s="243">
        <v>0</v>
      </c>
      <c r="H344" s="243">
        <v>0</v>
      </c>
      <c r="I344" s="243">
        <v>0</v>
      </c>
      <c r="J344" s="208">
        <v>0</v>
      </c>
      <c r="K344" s="244">
        <f t="shared" si="133"/>
        <v>0</v>
      </c>
      <c r="L344" s="243">
        <v>0</v>
      </c>
      <c r="M344" s="243">
        <v>0</v>
      </c>
      <c r="N344" s="243">
        <v>0</v>
      </c>
      <c r="O344" s="73">
        <v>0</v>
      </c>
      <c r="P344" s="243">
        <f t="shared" si="136"/>
        <v>0</v>
      </c>
      <c r="Q344" s="243">
        <v>0</v>
      </c>
      <c r="R344" s="243">
        <v>0</v>
      </c>
      <c r="S344" s="245">
        <v>0</v>
      </c>
      <c r="T344" s="73">
        <v>0</v>
      </c>
      <c r="U344" s="243">
        <f t="shared" si="137"/>
        <v>0</v>
      </c>
      <c r="V344" s="243">
        <v>0</v>
      </c>
      <c r="W344" s="243">
        <v>0</v>
      </c>
      <c r="X344" s="245">
        <v>0</v>
      </c>
      <c r="Y344" s="73">
        <f>ROUND(0.575,2)</f>
        <v>0.57999999999999996</v>
      </c>
      <c r="Z344" s="243">
        <f t="shared" si="138"/>
        <v>144</v>
      </c>
      <c r="AA344" s="243">
        <v>0</v>
      </c>
      <c r="AB344" s="243">
        <v>0</v>
      </c>
      <c r="AC344" s="245">
        <v>144</v>
      </c>
      <c r="AD344" s="18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</row>
    <row r="345" spans="1:43" s="17" customFormat="1" ht="22.95" customHeight="1" outlineLevel="1" x14ac:dyDescent="0.25">
      <c r="A345" s="78" t="s">
        <v>566</v>
      </c>
      <c r="B345" s="66" t="s">
        <v>321</v>
      </c>
      <c r="C345" s="226">
        <f t="shared" si="134"/>
        <v>0.74</v>
      </c>
      <c r="D345" s="243">
        <f t="shared" si="132"/>
        <v>184</v>
      </c>
      <c r="E345" s="208">
        <v>0</v>
      </c>
      <c r="F345" s="244">
        <f t="shared" si="135"/>
        <v>0</v>
      </c>
      <c r="G345" s="243">
        <v>0</v>
      </c>
      <c r="H345" s="243">
        <v>0</v>
      </c>
      <c r="I345" s="243">
        <v>0</v>
      </c>
      <c r="J345" s="208">
        <v>0</v>
      </c>
      <c r="K345" s="244">
        <f t="shared" si="133"/>
        <v>0</v>
      </c>
      <c r="L345" s="243">
        <v>0</v>
      </c>
      <c r="M345" s="243">
        <v>0</v>
      </c>
      <c r="N345" s="243">
        <v>0</v>
      </c>
      <c r="O345" s="73">
        <v>0</v>
      </c>
      <c r="P345" s="243">
        <f t="shared" si="136"/>
        <v>0</v>
      </c>
      <c r="Q345" s="243">
        <v>0</v>
      </c>
      <c r="R345" s="243">
        <v>0</v>
      </c>
      <c r="S345" s="245">
        <v>0</v>
      </c>
      <c r="T345" s="73">
        <v>0</v>
      </c>
      <c r="U345" s="243">
        <f t="shared" si="137"/>
        <v>0</v>
      </c>
      <c r="V345" s="243">
        <v>0</v>
      </c>
      <c r="W345" s="243">
        <v>0</v>
      </c>
      <c r="X345" s="245">
        <v>0</v>
      </c>
      <c r="Y345" s="73">
        <f>ROUND(0.735,2)</f>
        <v>0.74</v>
      </c>
      <c r="Z345" s="243">
        <f t="shared" si="138"/>
        <v>184</v>
      </c>
      <c r="AA345" s="243">
        <v>0</v>
      </c>
      <c r="AB345" s="243">
        <v>0</v>
      </c>
      <c r="AC345" s="245">
        <v>184</v>
      </c>
      <c r="AD345" s="18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</row>
    <row r="346" spans="1:43" s="17" customFormat="1" ht="31.2" customHeight="1" outlineLevel="1" x14ac:dyDescent="0.25">
      <c r="A346" s="78" t="s">
        <v>567</v>
      </c>
      <c r="B346" s="66" t="s">
        <v>322</v>
      </c>
      <c r="C346" s="226">
        <f t="shared" si="134"/>
        <v>0.99</v>
      </c>
      <c r="D346" s="243">
        <f t="shared" si="132"/>
        <v>246</v>
      </c>
      <c r="E346" s="208">
        <v>0</v>
      </c>
      <c r="F346" s="244">
        <f t="shared" si="135"/>
        <v>0</v>
      </c>
      <c r="G346" s="243">
        <v>0</v>
      </c>
      <c r="H346" s="243">
        <v>0</v>
      </c>
      <c r="I346" s="243">
        <v>0</v>
      </c>
      <c r="J346" s="208">
        <v>0</v>
      </c>
      <c r="K346" s="244">
        <f t="shared" si="133"/>
        <v>0</v>
      </c>
      <c r="L346" s="243">
        <v>0</v>
      </c>
      <c r="M346" s="243">
        <v>0</v>
      </c>
      <c r="N346" s="243">
        <v>0</v>
      </c>
      <c r="O346" s="73">
        <v>0</v>
      </c>
      <c r="P346" s="243">
        <f t="shared" si="136"/>
        <v>0</v>
      </c>
      <c r="Q346" s="243">
        <v>0</v>
      </c>
      <c r="R346" s="243">
        <v>0</v>
      </c>
      <c r="S346" s="245">
        <v>0</v>
      </c>
      <c r="T346" s="73">
        <v>0</v>
      </c>
      <c r="U346" s="243">
        <f t="shared" si="137"/>
        <v>0</v>
      </c>
      <c r="V346" s="243">
        <v>0</v>
      </c>
      <c r="W346" s="243">
        <v>0</v>
      </c>
      <c r="X346" s="245">
        <v>0</v>
      </c>
      <c r="Y346" s="73">
        <f>ROUND(0.985,2)</f>
        <v>0.99</v>
      </c>
      <c r="Z346" s="243">
        <f t="shared" si="138"/>
        <v>246</v>
      </c>
      <c r="AA346" s="243">
        <v>0</v>
      </c>
      <c r="AB346" s="243">
        <v>0</v>
      </c>
      <c r="AC346" s="245">
        <v>246</v>
      </c>
      <c r="AD346" s="18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</row>
    <row r="347" spans="1:43" s="17" customFormat="1" ht="31.2" customHeight="1" outlineLevel="1" x14ac:dyDescent="0.25">
      <c r="A347" s="78" t="s">
        <v>568</v>
      </c>
      <c r="B347" s="66" t="s">
        <v>323</v>
      </c>
      <c r="C347" s="226">
        <f t="shared" si="134"/>
        <v>0.88</v>
      </c>
      <c r="D347" s="243">
        <f t="shared" si="132"/>
        <v>219</v>
      </c>
      <c r="E347" s="208">
        <v>0</v>
      </c>
      <c r="F347" s="244">
        <f t="shared" si="135"/>
        <v>0</v>
      </c>
      <c r="G347" s="243">
        <v>0</v>
      </c>
      <c r="H347" s="243">
        <v>0</v>
      </c>
      <c r="I347" s="243">
        <v>0</v>
      </c>
      <c r="J347" s="208">
        <v>0</v>
      </c>
      <c r="K347" s="244">
        <f t="shared" si="133"/>
        <v>0</v>
      </c>
      <c r="L347" s="243">
        <v>0</v>
      </c>
      <c r="M347" s="243">
        <v>0</v>
      </c>
      <c r="N347" s="243">
        <v>0</v>
      </c>
      <c r="O347" s="73">
        <v>0</v>
      </c>
      <c r="P347" s="243">
        <f t="shared" si="136"/>
        <v>0</v>
      </c>
      <c r="Q347" s="243">
        <v>0</v>
      </c>
      <c r="R347" s="243">
        <v>0</v>
      </c>
      <c r="S347" s="245">
        <v>0</v>
      </c>
      <c r="T347" s="73">
        <v>0</v>
      </c>
      <c r="U347" s="243">
        <f t="shared" si="137"/>
        <v>0</v>
      </c>
      <c r="V347" s="243">
        <v>0</v>
      </c>
      <c r="W347" s="243">
        <v>0</v>
      </c>
      <c r="X347" s="245">
        <v>0</v>
      </c>
      <c r="Y347" s="73">
        <f>ROUND(0.875,2)</f>
        <v>0.88</v>
      </c>
      <c r="Z347" s="243">
        <f t="shared" si="138"/>
        <v>219</v>
      </c>
      <c r="AA347" s="243">
        <v>0</v>
      </c>
      <c r="AB347" s="243">
        <v>0</v>
      </c>
      <c r="AC347" s="245">
        <v>219</v>
      </c>
      <c r="AD347" s="18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</row>
    <row r="348" spans="1:43" s="17" customFormat="1" ht="31.95" customHeight="1" outlineLevel="1" x14ac:dyDescent="0.25">
      <c r="A348" s="78" t="s">
        <v>569</v>
      </c>
      <c r="B348" s="66" t="s">
        <v>324</v>
      </c>
      <c r="C348" s="226">
        <f t="shared" si="134"/>
        <v>1.1200000000000001</v>
      </c>
      <c r="D348" s="243">
        <f t="shared" si="132"/>
        <v>280</v>
      </c>
      <c r="E348" s="208">
        <v>0</v>
      </c>
      <c r="F348" s="244">
        <f t="shared" si="135"/>
        <v>0</v>
      </c>
      <c r="G348" s="243">
        <v>0</v>
      </c>
      <c r="H348" s="243">
        <v>0</v>
      </c>
      <c r="I348" s="243">
        <v>0</v>
      </c>
      <c r="J348" s="208">
        <v>0</v>
      </c>
      <c r="K348" s="244">
        <f t="shared" si="133"/>
        <v>0</v>
      </c>
      <c r="L348" s="243">
        <v>0</v>
      </c>
      <c r="M348" s="243">
        <v>0</v>
      </c>
      <c r="N348" s="243">
        <v>0</v>
      </c>
      <c r="O348" s="73">
        <v>0</v>
      </c>
      <c r="P348" s="243">
        <f t="shared" si="136"/>
        <v>0</v>
      </c>
      <c r="Q348" s="243">
        <v>0</v>
      </c>
      <c r="R348" s="243">
        <v>0</v>
      </c>
      <c r="S348" s="245">
        <v>0</v>
      </c>
      <c r="T348" s="73">
        <v>0</v>
      </c>
      <c r="U348" s="243">
        <f t="shared" si="137"/>
        <v>0</v>
      </c>
      <c r="V348" s="243">
        <v>0</v>
      </c>
      <c r="W348" s="243">
        <v>0</v>
      </c>
      <c r="X348" s="245">
        <v>0</v>
      </c>
      <c r="Y348" s="73">
        <v>1.1200000000000001</v>
      </c>
      <c r="Z348" s="243">
        <f t="shared" si="138"/>
        <v>280</v>
      </c>
      <c r="AA348" s="243">
        <v>0</v>
      </c>
      <c r="AB348" s="243">
        <v>0</v>
      </c>
      <c r="AC348" s="245">
        <v>280</v>
      </c>
      <c r="AD348" s="18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</row>
    <row r="349" spans="1:43" s="17" customFormat="1" ht="33" customHeight="1" outlineLevel="1" x14ac:dyDescent="0.25">
      <c r="A349" s="78" t="s">
        <v>570</v>
      </c>
      <c r="B349" s="66" t="s">
        <v>325</v>
      </c>
      <c r="C349" s="226">
        <f t="shared" si="134"/>
        <v>1.03</v>
      </c>
      <c r="D349" s="243">
        <f t="shared" si="132"/>
        <v>258</v>
      </c>
      <c r="E349" s="208">
        <v>0</v>
      </c>
      <c r="F349" s="244">
        <f t="shared" si="135"/>
        <v>0</v>
      </c>
      <c r="G349" s="243">
        <v>0</v>
      </c>
      <c r="H349" s="243">
        <v>0</v>
      </c>
      <c r="I349" s="243">
        <v>0</v>
      </c>
      <c r="J349" s="208">
        <v>0</v>
      </c>
      <c r="K349" s="244">
        <f t="shared" si="133"/>
        <v>0</v>
      </c>
      <c r="L349" s="243">
        <v>0</v>
      </c>
      <c r="M349" s="243">
        <v>0</v>
      </c>
      <c r="N349" s="243">
        <v>0</v>
      </c>
      <c r="O349" s="73">
        <v>0</v>
      </c>
      <c r="P349" s="243">
        <f t="shared" si="136"/>
        <v>0</v>
      </c>
      <c r="Q349" s="243">
        <v>0</v>
      </c>
      <c r="R349" s="243">
        <v>0</v>
      </c>
      <c r="S349" s="245">
        <v>0</v>
      </c>
      <c r="T349" s="73">
        <v>0</v>
      </c>
      <c r="U349" s="243">
        <f t="shared" si="137"/>
        <v>0</v>
      </c>
      <c r="V349" s="243">
        <v>0</v>
      </c>
      <c r="W349" s="243">
        <v>0</v>
      </c>
      <c r="X349" s="245">
        <v>0</v>
      </c>
      <c r="Y349" s="73">
        <v>1.03</v>
      </c>
      <c r="Z349" s="243">
        <f t="shared" si="138"/>
        <v>258</v>
      </c>
      <c r="AA349" s="243">
        <v>0</v>
      </c>
      <c r="AB349" s="243">
        <v>0</v>
      </c>
      <c r="AC349" s="245">
        <v>258</v>
      </c>
      <c r="AD349" s="18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</row>
    <row r="350" spans="1:43" s="17" customFormat="1" ht="31.2" customHeight="1" outlineLevel="1" x14ac:dyDescent="0.25">
      <c r="A350" s="78" t="s">
        <v>571</v>
      </c>
      <c r="B350" s="66" t="s">
        <v>326</v>
      </c>
      <c r="C350" s="226">
        <f t="shared" si="134"/>
        <v>1.9100000000000001</v>
      </c>
      <c r="D350" s="243">
        <f t="shared" si="132"/>
        <v>478</v>
      </c>
      <c r="E350" s="208">
        <v>0</v>
      </c>
      <c r="F350" s="244">
        <f t="shared" si="135"/>
        <v>0</v>
      </c>
      <c r="G350" s="243">
        <v>0</v>
      </c>
      <c r="H350" s="243">
        <v>0</v>
      </c>
      <c r="I350" s="243">
        <v>0</v>
      </c>
      <c r="J350" s="208">
        <v>0</v>
      </c>
      <c r="K350" s="244">
        <f t="shared" si="133"/>
        <v>0</v>
      </c>
      <c r="L350" s="243">
        <v>0</v>
      </c>
      <c r="M350" s="243">
        <v>0</v>
      </c>
      <c r="N350" s="243">
        <v>0</v>
      </c>
      <c r="O350" s="73">
        <v>0</v>
      </c>
      <c r="P350" s="243">
        <f t="shared" si="136"/>
        <v>0</v>
      </c>
      <c r="Q350" s="243">
        <v>0</v>
      </c>
      <c r="R350" s="243">
        <v>0</v>
      </c>
      <c r="S350" s="245">
        <v>0</v>
      </c>
      <c r="T350" s="73">
        <v>0</v>
      </c>
      <c r="U350" s="243">
        <f t="shared" si="137"/>
        <v>0</v>
      </c>
      <c r="V350" s="243">
        <v>0</v>
      </c>
      <c r="W350" s="243">
        <v>0</v>
      </c>
      <c r="X350" s="245">
        <v>0</v>
      </c>
      <c r="Y350" s="73">
        <v>1.9100000000000001</v>
      </c>
      <c r="Z350" s="243">
        <f t="shared" si="138"/>
        <v>478</v>
      </c>
      <c r="AA350" s="243">
        <v>0</v>
      </c>
      <c r="AB350" s="243">
        <v>0</v>
      </c>
      <c r="AC350" s="245">
        <v>478</v>
      </c>
      <c r="AD350" s="18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</row>
    <row r="351" spans="1:43" s="17" customFormat="1" ht="31.2" customHeight="1" outlineLevel="1" x14ac:dyDescent="0.25">
      <c r="A351" s="78" t="s">
        <v>572</v>
      </c>
      <c r="B351" s="66" t="s">
        <v>327</v>
      </c>
      <c r="C351" s="226">
        <f t="shared" si="134"/>
        <v>0.99</v>
      </c>
      <c r="D351" s="243">
        <f t="shared" si="132"/>
        <v>246</v>
      </c>
      <c r="E351" s="208">
        <v>0</v>
      </c>
      <c r="F351" s="244">
        <f t="shared" si="135"/>
        <v>0</v>
      </c>
      <c r="G351" s="243">
        <v>0</v>
      </c>
      <c r="H351" s="243">
        <v>0</v>
      </c>
      <c r="I351" s="243">
        <v>0</v>
      </c>
      <c r="J351" s="208">
        <v>0</v>
      </c>
      <c r="K351" s="244">
        <f t="shared" si="133"/>
        <v>0</v>
      </c>
      <c r="L351" s="243">
        <v>0</v>
      </c>
      <c r="M351" s="243">
        <v>0</v>
      </c>
      <c r="N351" s="243">
        <v>0</v>
      </c>
      <c r="O351" s="73">
        <v>0</v>
      </c>
      <c r="P351" s="243">
        <f t="shared" si="136"/>
        <v>0</v>
      </c>
      <c r="Q351" s="243">
        <v>0</v>
      </c>
      <c r="R351" s="243">
        <v>0</v>
      </c>
      <c r="S351" s="245">
        <v>0</v>
      </c>
      <c r="T351" s="73">
        <v>0</v>
      </c>
      <c r="U351" s="243">
        <f t="shared" si="137"/>
        <v>0</v>
      </c>
      <c r="V351" s="243">
        <v>0</v>
      </c>
      <c r="W351" s="243">
        <v>0</v>
      </c>
      <c r="X351" s="245">
        <v>0</v>
      </c>
      <c r="Y351" s="73">
        <f>ROUND(0.985,2)</f>
        <v>0.99</v>
      </c>
      <c r="Z351" s="243">
        <f t="shared" si="138"/>
        <v>246</v>
      </c>
      <c r="AA351" s="243">
        <v>0</v>
      </c>
      <c r="AB351" s="243">
        <v>0</v>
      </c>
      <c r="AC351" s="245">
        <v>246</v>
      </c>
      <c r="AD351" s="18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</row>
    <row r="352" spans="1:43" s="17" customFormat="1" ht="30" customHeight="1" outlineLevel="1" x14ac:dyDescent="0.25">
      <c r="A352" s="78" t="s">
        <v>573</v>
      </c>
      <c r="B352" s="66" t="s">
        <v>328</v>
      </c>
      <c r="C352" s="226">
        <f t="shared" si="134"/>
        <v>0.83</v>
      </c>
      <c r="D352" s="243">
        <f t="shared" si="132"/>
        <v>206</v>
      </c>
      <c r="E352" s="208">
        <v>0</v>
      </c>
      <c r="F352" s="244">
        <f t="shared" si="135"/>
        <v>0</v>
      </c>
      <c r="G352" s="243">
        <v>0</v>
      </c>
      <c r="H352" s="243">
        <v>0</v>
      </c>
      <c r="I352" s="243">
        <v>0</v>
      </c>
      <c r="J352" s="208">
        <v>0</v>
      </c>
      <c r="K352" s="244">
        <f t="shared" si="133"/>
        <v>0</v>
      </c>
      <c r="L352" s="243">
        <v>0</v>
      </c>
      <c r="M352" s="243">
        <v>0</v>
      </c>
      <c r="N352" s="243">
        <v>0</v>
      </c>
      <c r="O352" s="73">
        <v>0</v>
      </c>
      <c r="P352" s="243">
        <f t="shared" si="136"/>
        <v>0</v>
      </c>
      <c r="Q352" s="243">
        <v>0</v>
      </c>
      <c r="R352" s="243">
        <v>0</v>
      </c>
      <c r="S352" s="245">
        <v>0</v>
      </c>
      <c r="T352" s="73">
        <v>0</v>
      </c>
      <c r="U352" s="243">
        <f t="shared" si="137"/>
        <v>0</v>
      </c>
      <c r="V352" s="243">
        <v>0</v>
      </c>
      <c r="W352" s="243">
        <v>0</v>
      </c>
      <c r="X352" s="245">
        <v>0</v>
      </c>
      <c r="Y352" s="73">
        <f>ROUND(0.825,2)</f>
        <v>0.83</v>
      </c>
      <c r="Z352" s="243">
        <f t="shared" si="138"/>
        <v>206</v>
      </c>
      <c r="AA352" s="243">
        <v>0</v>
      </c>
      <c r="AB352" s="243">
        <v>0</v>
      </c>
      <c r="AC352" s="245">
        <v>206</v>
      </c>
      <c r="AD352" s="18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</row>
    <row r="353" spans="1:43" s="17" customFormat="1" ht="22.2" customHeight="1" outlineLevel="1" x14ac:dyDescent="0.25">
      <c r="A353" s="78" t="s">
        <v>574</v>
      </c>
      <c r="B353" s="66" t="s">
        <v>329</v>
      </c>
      <c r="C353" s="226">
        <f t="shared" si="134"/>
        <v>0.85000000000000009</v>
      </c>
      <c r="D353" s="243">
        <f t="shared" si="132"/>
        <v>213</v>
      </c>
      <c r="E353" s="208">
        <v>0</v>
      </c>
      <c r="F353" s="244">
        <f t="shared" si="135"/>
        <v>0</v>
      </c>
      <c r="G353" s="243">
        <v>0</v>
      </c>
      <c r="H353" s="243">
        <v>0</v>
      </c>
      <c r="I353" s="243">
        <v>0</v>
      </c>
      <c r="J353" s="208">
        <v>0</v>
      </c>
      <c r="K353" s="244">
        <f t="shared" si="133"/>
        <v>0</v>
      </c>
      <c r="L353" s="243">
        <v>0</v>
      </c>
      <c r="M353" s="243">
        <v>0</v>
      </c>
      <c r="N353" s="243">
        <v>0</v>
      </c>
      <c r="O353" s="73">
        <v>0</v>
      </c>
      <c r="P353" s="243">
        <f t="shared" si="136"/>
        <v>0</v>
      </c>
      <c r="Q353" s="243">
        <v>0</v>
      </c>
      <c r="R353" s="243">
        <v>0</v>
      </c>
      <c r="S353" s="245">
        <v>0</v>
      </c>
      <c r="T353" s="73">
        <v>0</v>
      </c>
      <c r="U353" s="243">
        <f t="shared" si="137"/>
        <v>0</v>
      </c>
      <c r="V353" s="243">
        <v>0</v>
      </c>
      <c r="W353" s="243">
        <v>0</v>
      </c>
      <c r="X353" s="245">
        <v>0</v>
      </c>
      <c r="Y353" s="73">
        <v>0.85000000000000009</v>
      </c>
      <c r="Z353" s="243">
        <f t="shared" si="138"/>
        <v>213</v>
      </c>
      <c r="AA353" s="243">
        <v>0</v>
      </c>
      <c r="AB353" s="243">
        <v>0</v>
      </c>
      <c r="AC353" s="245">
        <v>213</v>
      </c>
      <c r="AD353" s="18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</row>
    <row r="354" spans="1:43" s="17" customFormat="1" ht="26.4" customHeight="1" outlineLevel="1" x14ac:dyDescent="0.25">
      <c r="A354" s="78" t="s">
        <v>575</v>
      </c>
      <c r="B354" s="66" t="s">
        <v>330</v>
      </c>
      <c r="C354" s="226">
        <f t="shared" si="134"/>
        <v>1.47</v>
      </c>
      <c r="D354" s="243">
        <f t="shared" si="132"/>
        <v>368</v>
      </c>
      <c r="E354" s="208">
        <v>0</v>
      </c>
      <c r="F354" s="244">
        <f t="shared" si="135"/>
        <v>0</v>
      </c>
      <c r="G354" s="243">
        <v>0</v>
      </c>
      <c r="H354" s="243">
        <v>0</v>
      </c>
      <c r="I354" s="243">
        <v>0</v>
      </c>
      <c r="J354" s="208">
        <v>0</v>
      </c>
      <c r="K354" s="244">
        <f t="shared" si="133"/>
        <v>0</v>
      </c>
      <c r="L354" s="243">
        <v>0</v>
      </c>
      <c r="M354" s="243">
        <v>0</v>
      </c>
      <c r="N354" s="243">
        <v>0</v>
      </c>
      <c r="O354" s="73">
        <v>0</v>
      </c>
      <c r="P354" s="243">
        <f t="shared" si="136"/>
        <v>0</v>
      </c>
      <c r="Q354" s="243">
        <v>0</v>
      </c>
      <c r="R354" s="243">
        <v>0</v>
      </c>
      <c r="S354" s="245">
        <v>0</v>
      </c>
      <c r="T354" s="73">
        <v>0</v>
      </c>
      <c r="U354" s="243">
        <f t="shared" si="137"/>
        <v>0</v>
      </c>
      <c r="V354" s="243">
        <v>0</v>
      </c>
      <c r="W354" s="243">
        <v>0</v>
      </c>
      <c r="X354" s="245">
        <v>0</v>
      </c>
      <c r="Y354" s="73">
        <v>1.47</v>
      </c>
      <c r="Z354" s="243">
        <f t="shared" si="138"/>
        <v>368</v>
      </c>
      <c r="AA354" s="243">
        <v>0</v>
      </c>
      <c r="AB354" s="243">
        <v>0</v>
      </c>
      <c r="AC354" s="245">
        <v>368</v>
      </c>
      <c r="AD354" s="18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</row>
    <row r="355" spans="1:43" s="17" customFormat="1" ht="25.95" customHeight="1" outlineLevel="1" x14ac:dyDescent="0.25">
      <c r="A355" s="78" t="s">
        <v>576</v>
      </c>
      <c r="B355" s="66" t="s">
        <v>331</v>
      </c>
      <c r="C355" s="226">
        <f t="shared" si="134"/>
        <v>1.82</v>
      </c>
      <c r="D355" s="243">
        <f t="shared" si="132"/>
        <v>454</v>
      </c>
      <c r="E355" s="208">
        <v>0</v>
      </c>
      <c r="F355" s="244">
        <f t="shared" si="135"/>
        <v>0</v>
      </c>
      <c r="G355" s="243">
        <v>0</v>
      </c>
      <c r="H355" s="243">
        <v>0</v>
      </c>
      <c r="I355" s="243">
        <v>0</v>
      </c>
      <c r="J355" s="208">
        <v>0</v>
      </c>
      <c r="K355" s="244">
        <f t="shared" si="133"/>
        <v>0</v>
      </c>
      <c r="L355" s="243">
        <v>0</v>
      </c>
      <c r="M355" s="243">
        <v>0</v>
      </c>
      <c r="N355" s="243">
        <v>0</v>
      </c>
      <c r="O355" s="73">
        <v>0</v>
      </c>
      <c r="P355" s="243">
        <f t="shared" si="136"/>
        <v>0</v>
      </c>
      <c r="Q355" s="243">
        <v>0</v>
      </c>
      <c r="R355" s="243">
        <v>0</v>
      </c>
      <c r="S355" s="245">
        <v>0</v>
      </c>
      <c r="T355" s="73">
        <v>0</v>
      </c>
      <c r="U355" s="243">
        <f t="shared" si="137"/>
        <v>0</v>
      </c>
      <c r="V355" s="243">
        <v>0</v>
      </c>
      <c r="W355" s="243">
        <v>0</v>
      </c>
      <c r="X355" s="245">
        <v>0</v>
      </c>
      <c r="Y355" s="73">
        <f>ROUND(1.815,2)</f>
        <v>1.82</v>
      </c>
      <c r="Z355" s="243">
        <f t="shared" si="138"/>
        <v>454</v>
      </c>
      <c r="AA355" s="243">
        <v>0</v>
      </c>
      <c r="AB355" s="243">
        <v>0</v>
      </c>
      <c r="AC355" s="245">
        <v>454</v>
      </c>
      <c r="AD355" s="18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</row>
    <row r="356" spans="1:43" s="17" customFormat="1" ht="24" customHeight="1" outlineLevel="1" x14ac:dyDescent="0.25">
      <c r="A356" s="78" t="s">
        <v>577</v>
      </c>
      <c r="B356" s="66" t="s">
        <v>332</v>
      </c>
      <c r="C356" s="226">
        <f t="shared" si="134"/>
        <v>1</v>
      </c>
      <c r="D356" s="243">
        <f t="shared" si="132"/>
        <v>250</v>
      </c>
      <c r="E356" s="208">
        <v>0</v>
      </c>
      <c r="F356" s="244">
        <f t="shared" si="135"/>
        <v>0</v>
      </c>
      <c r="G356" s="243">
        <v>0</v>
      </c>
      <c r="H356" s="243">
        <v>0</v>
      </c>
      <c r="I356" s="243">
        <v>0</v>
      </c>
      <c r="J356" s="208">
        <v>0</v>
      </c>
      <c r="K356" s="244">
        <f t="shared" si="133"/>
        <v>0</v>
      </c>
      <c r="L356" s="243">
        <v>0</v>
      </c>
      <c r="M356" s="243">
        <v>0</v>
      </c>
      <c r="N356" s="243">
        <v>0</v>
      </c>
      <c r="O356" s="73">
        <v>0</v>
      </c>
      <c r="P356" s="243">
        <f t="shared" si="136"/>
        <v>0</v>
      </c>
      <c r="Q356" s="243">
        <v>0</v>
      </c>
      <c r="R356" s="243">
        <v>0</v>
      </c>
      <c r="S356" s="245">
        <v>0</v>
      </c>
      <c r="T356" s="73">
        <v>0</v>
      </c>
      <c r="U356" s="243">
        <f t="shared" si="137"/>
        <v>0</v>
      </c>
      <c r="V356" s="243">
        <v>0</v>
      </c>
      <c r="W356" s="243">
        <v>0</v>
      </c>
      <c r="X356" s="245">
        <v>0</v>
      </c>
      <c r="Y356" s="73">
        <v>1</v>
      </c>
      <c r="Z356" s="243">
        <f t="shared" si="138"/>
        <v>250</v>
      </c>
      <c r="AA356" s="243">
        <v>0</v>
      </c>
      <c r="AB356" s="243">
        <v>0</v>
      </c>
      <c r="AC356" s="245">
        <v>250</v>
      </c>
      <c r="AD356" s="18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</row>
    <row r="357" spans="1:43" s="17" customFormat="1" ht="25.95" customHeight="1" outlineLevel="1" x14ac:dyDescent="0.25">
      <c r="A357" s="78" t="s">
        <v>578</v>
      </c>
      <c r="B357" s="66" t="s">
        <v>333</v>
      </c>
      <c r="C357" s="226">
        <f t="shared" si="134"/>
        <v>3.1</v>
      </c>
      <c r="D357" s="243">
        <f t="shared" si="132"/>
        <v>774</v>
      </c>
      <c r="E357" s="208">
        <v>0</v>
      </c>
      <c r="F357" s="244">
        <f t="shared" si="135"/>
        <v>0</v>
      </c>
      <c r="G357" s="243">
        <v>0</v>
      </c>
      <c r="H357" s="243">
        <v>0</v>
      </c>
      <c r="I357" s="243">
        <v>0</v>
      </c>
      <c r="J357" s="208">
        <v>0</v>
      </c>
      <c r="K357" s="244">
        <f t="shared" si="133"/>
        <v>0</v>
      </c>
      <c r="L357" s="243">
        <v>0</v>
      </c>
      <c r="M357" s="243">
        <v>0</v>
      </c>
      <c r="N357" s="243">
        <v>0</v>
      </c>
      <c r="O357" s="73">
        <v>0</v>
      </c>
      <c r="P357" s="243">
        <f t="shared" si="136"/>
        <v>0</v>
      </c>
      <c r="Q357" s="243">
        <v>0</v>
      </c>
      <c r="R357" s="243">
        <v>0</v>
      </c>
      <c r="S357" s="245">
        <v>0</v>
      </c>
      <c r="T357" s="73">
        <v>0</v>
      </c>
      <c r="U357" s="243">
        <f t="shared" si="137"/>
        <v>0</v>
      </c>
      <c r="V357" s="243">
        <v>0</v>
      </c>
      <c r="W357" s="243">
        <v>0</v>
      </c>
      <c r="X357" s="245">
        <v>0</v>
      </c>
      <c r="Y357" s="73">
        <f>ROUND(3.095,2)</f>
        <v>3.1</v>
      </c>
      <c r="Z357" s="243">
        <f t="shared" si="138"/>
        <v>774</v>
      </c>
      <c r="AA357" s="243">
        <v>0</v>
      </c>
      <c r="AB357" s="243">
        <v>0</v>
      </c>
      <c r="AC357" s="245">
        <v>774</v>
      </c>
      <c r="AD357" s="18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</row>
    <row r="358" spans="1:43" s="17" customFormat="1" ht="28.2" customHeight="1" outlineLevel="1" x14ac:dyDescent="0.25">
      <c r="A358" s="78" t="s">
        <v>579</v>
      </c>
      <c r="B358" s="66" t="s">
        <v>334</v>
      </c>
      <c r="C358" s="226">
        <f t="shared" si="134"/>
        <v>2.16</v>
      </c>
      <c r="D358" s="243">
        <f t="shared" si="132"/>
        <v>540</v>
      </c>
      <c r="E358" s="208">
        <v>0</v>
      </c>
      <c r="F358" s="244">
        <f t="shared" si="135"/>
        <v>0</v>
      </c>
      <c r="G358" s="243">
        <v>0</v>
      </c>
      <c r="H358" s="243">
        <v>0</v>
      </c>
      <c r="I358" s="243">
        <v>0</v>
      </c>
      <c r="J358" s="208">
        <v>0</v>
      </c>
      <c r="K358" s="244">
        <f t="shared" si="133"/>
        <v>0</v>
      </c>
      <c r="L358" s="243">
        <v>0</v>
      </c>
      <c r="M358" s="243">
        <v>0</v>
      </c>
      <c r="N358" s="243">
        <v>0</v>
      </c>
      <c r="O358" s="73">
        <v>0</v>
      </c>
      <c r="P358" s="243">
        <f t="shared" si="136"/>
        <v>0</v>
      </c>
      <c r="Q358" s="243">
        <v>0</v>
      </c>
      <c r="R358" s="243">
        <v>0</v>
      </c>
      <c r="S358" s="245">
        <v>0</v>
      </c>
      <c r="T358" s="73">
        <v>0</v>
      </c>
      <c r="U358" s="243">
        <f t="shared" si="137"/>
        <v>0</v>
      </c>
      <c r="V358" s="243">
        <v>0</v>
      </c>
      <c r="W358" s="243">
        <v>0</v>
      </c>
      <c r="X358" s="245">
        <v>0</v>
      </c>
      <c r="Y358" s="73">
        <v>2.16</v>
      </c>
      <c r="Z358" s="243">
        <f t="shared" si="138"/>
        <v>540</v>
      </c>
      <c r="AA358" s="243">
        <v>0</v>
      </c>
      <c r="AB358" s="243">
        <v>0</v>
      </c>
      <c r="AC358" s="245">
        <v>540</v>
      </c>
      <c r="AD358" s="18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</row>
    <row r="359" spans="1:43" s="17" customFormat="1" ht="31.95" customHeight="1" outlineLevel="1" x14ac:dyDescent="0.25">
      <c r="A359" s="78" t="s">
        <v>580</v>
      </c>
      <c r="B359" s="66" t="s">
        <v>335</v>
      </c>
      <c r="C359" s="226">
        <f t="shared" si="134"/>
        <v>1.9</v>
      </c>
      <c r="D359" s="243">
        <f t="shared" si="132"/>
        <v>475</v>
      </c>
      <c r="E359" s="208">
        <v>0</v>
      </c>
      <c r="F359" s="244">
        <f t="shared" si="135"/>
        <v>0</v>
      </c>
      <c r="G359" s="243">
        <v>0</v>
      </c>
      <c r="H359" s="243">
        <v>0</v>
      </c>
      <c r="I359" s="243">
        <v>0</v>
      </c>
      <c r="J359" s="208">
        <v>0</v>
      </c>
      <c r="K359" s="244">
        <f t="shared" si="133"/>
        <v>0</v>
      </c>
      <c r="L359" s="243">
        <v>0</v>
      </c>
      <c r="M359" s="243">
        <v>0</v>
      </c>
      <c r="N359" s="243">
        <v>0</v>
      </c>
      <c r="O359" s="73">
        <v>0</v>
      </c>
      <c r="P359" s="243">
        <f t="shared" si="136"/>
        <v>0</v>
      </c>
      <c r="Q359" s="243">
        <v>0</v>
      </c>
      <c r="R359" s="243">
        <v>0</v>
      </c>
      <c r="S359" s="245">
        <v>0</v>
      </c>
      <c r="T359" s="73">
        <v>0</v>
      </c>
      <c r="U359" s="243">
        <f t="shared" si="137"/>
        <v>0</v>
      </c>
      <c r="V359" s="243">
        <v>0</v>
      </c>
      <c r="W359" s="243">
        <v>0</v>
      </c>
      <c r="X359" s="245">
        <v>0</v>
      </c>
      <c r="Y359" s="73">
        <v>1.9</v>
      </c>
      <c r="Z359" s="243">
        <f t="shared" si="138"/>
        <v>475</v>
      </c>
      <c r="AA359" s="243">
        <v>0</v>
      </c>
      <c r="AB359" s="243">
        <v>0</v>
      </c>
      <c r="AC359" s="245">
        <v>475</v>
      </c>
      <c r="AD359" s="18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</row>
    <row r="360" spans="1:43" s="17" customFormat="1" ht="30" customHeight="1" outlineLevel="1" x14ac:dyDescent="0.25">
      <c r="A360" s="78" t="s">
        <v>581</v>
      </c>
      <c r="B360" s="66" t="s">
        <v>452</v>
      </c>
      <c r="C360" s="226">
        <f t="shared" si="134"/>
        <v>1.35</v>
      </c>
      <c r="D360" s="243">
        <f t="shared" si="132"/>
        <v>338</v>
      </c>
      <c r="E360" s="208">
        <v>0</v>
      </c>
      <c r="F360" s="244">
        <f t="shared" si="135"/>
        <v>0</v>
      </c>
      <c r="G360" s="243">
        <v>0</v>
      </c>
      <c r="H360" s="243">
        <v>0</v>
      </c>
      <c r="I360" s="243">
        <v>0</v>
      </c>
      <c r="J360" s="208">
        <v>0</v>
      </c>
      <c r="K360" s="244">
        <f t="shared" si="133"/>
        <v>0</v>
      </c>
      <c r="L360" s="243">
        <v>0</v>
      </c>
      <c r="M360" s="243">
        <v>0</v>
      </c>
      <c r="N360" s="243">
        <v>0</v>
      </c>
      <c r="O360" s="73">
        <v>0</v>
      </c>
      <c r="P360" s="243">
        <f t="shared" si="136"/>
        <v>0</v>
      </c>
      <c r="Q360" s="243">
        <v>0</v>
      </c>
      <c r="R360" s="243">
        <v>0</v>
      </c>
      <c r="S360" s="245">
        <v>0</v>
      </c>
      <c r="T360" s="73">
        <v>0</v>
      </c>
      <c r="U360" s="243">
        <f t="shared" si="137"/>
        <v>0</v>
      </c>
      <c r="V360" s="243">
        <v>0</v>
      </c>
      <c r="W360" s="243">
        <v>0</v>
      </c>
      <c r="X360" s="245">
        <v>0</v>
      </c>
      <c r="Y360" s="73">
        <v>1.35</v>
      </c>
      <c r="Z360" s="243">
        <f t="shared" si="138"/>
        <v>338</v>
      </c>
      <c r="AA360" s="243">
        <v>0</v>
      </c>
      <c r="AB360" s="243">
        <v>0</v>
      </c>
      <c r="AC360" s="245">
        <v>338</v>
      </c>
      <c r="AD360" s="18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</row>
    <row r="361" spans="1:43" s="17" customFormat="1" ht="33" customHeight="1" outlineLevel="1" x14ac:dyDescent="0.25">
      <c r="A361" s="78" t="s">
        <v>582</v>
      </c>
      <c r="B361" s="66" t="s">
        <v>336</v>
      </c>
      <c r="C361" s="226">
        <f t="shared" si="134"/>
        <v>1.48</v>
      </c>
      <c r="D361" s="243">
        <f t="shared" si="132"/>
        <v>369</v>
      </c>
      <c r="E361" s="208">
        <v>0</v>
      </c>
      <c r="F361" s="244">
        <f t="shared" si="135"/>
        <v>0</v>
      </c>
      <c r="G361" s="243">
        <v>0</v>
      </c>
      <c r="H361" s="243">
        <v>0</v>
      </c>
      <c r="I361" s="243">
        <v>0</v>
      </c>
      <c r="J361" s="208">
        <v>0</v>
      </c>
      <c r="K361" s="244">
        <f t="shared" si="133"/>
        <v>0</v>
      </c>
      <c r="L361" s="243">
        <v>0</v>
      </c>
      <c r="M361" s="243">
        <v>0</v>
      </c>
      <c r="N361" s="243">
        <v>0</v>
      </c>
      <c r="O361" s="73">
        <v>0</v>
      </c>
      <c r="P361" s="243">
        <f t="shared" si="136"/>
        <v>0</v>
      </c>
      <c r="Q361" s="243">
        <v>0</v>
      </c>
      <c r="R361" s="243">
        <v>0</v>
      </c>
      <c r="S361" s="245">
        <v>0</v>
      </c>
      <c r="T361" s="73">
        <v>0</v>
      </c>
      <c r="U361" s="243">
        <f t="shared" si="137"/>
        <v>0</v>
      </c>
      <c r="V361" s="243">
        <v>0</v>
      </c>
      <c r="W361" s="243">
        <v>0</v>
      </c>
      <c r="X361" s="245">
        <v>0</v>
      </c>
      <c r="Y361" s="73">
        <f>ROUND(1.475,2)</f>
        <v>1.48</v>
      </c>
      <c r="Z361" s="243">
        <f t="shared" si="138"/>
        <v>369</v>
      </c>
      <c r="AA361" s="243">
        <v>0</v>
      </c>
      <c r="AB361" s="243">
        <v>0</v>
      </c>
      <c r="AC361" s="245">
        <v>369</v>
      </c>
      <c r="AD361" s="18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</row>
    <row r="362" spans="1:43" s="17" customFormat="1" ht="34.950000000000003" customHeight="1" outlineLevel="1" x14ac:dyDescent="0.25">
      <c r="A362" s="78" t="s">
        <v>583</v>
      </c>
      <c r="B362" s="66" t="s">
        <v>453</v>
      </c>
      <c r="C362" s="226">
        <f t="shared" si="134"/>
        <v>0.65</v>
      </c>
      <c r="D362" s="243">
        <f t="shared" si="132"/>
        <v>163</v>
      </c>
      <c r="E362" s="208">
        <v>0</v>
      </c>
      <c r="F362" s="244">
        <f t="shared" si="135"/>
        <v>0</v>
      </c>
      <c r="G362" s="243">
        <v>0</v>
      </c>
      <c r="H362" s="243">
        <v>0</v>
      </c>
      <c r="I362" s="243">
        <v>0</v>
      </c>
      <c r="J362" s="208">
        <v>0</v>
      </c>
      <c r="K362" s="244">
        <f t="shared" si="133"/>
        <v>0</v>
      </c>
      <c r="L362" s="243">
        <v>0</v>
      </c>
      <c r="M362" s="243">
        <v>0</v>
      </c>
      <c r="N362" s="243">
        <v>0</v>
      </c>
      <c r="O362" s="73">
        <v>0</v>
      </c>
      <c r="P362" s="243">
        <f t="shared" si="136"/>
        <v>0</v>
      </c>
      <c r="Q362" s="243">
        <v>0</v>
      </c>
      <c r="R362" s="243">
        <v>0</v>
      </c>
      <c r="S362" s="245">
        <v>0</v>
      </c>
      <c r="T362" s="73">
        <v>0</v>
      </c>
      <c r="U362" s="243">
        <f t="shared" si="137"/>
        <v>0</v>
      </c>
      <c r="V362" s="243">
        <v>0</v>
      </c>
      <c r="W362" s="243">
        <v>0</v>
      </c>
      <c r="X362" s="245">
        <v>0</v>
      </c>
      <c r="Y362" s="73">
        <v>0.65</v>
      </c>
      <c r="Z362" s="243">
        <f t="shared" si="138"/>
        <v>163</v>
      </c>
      <c r="AA362" s="243">
        <v>0</v>
      </c>
      <c r="AB362" s="243">
        <v>0</v>
      </c>
      <c r="AC362" s="245">
        <v>163</v>
      </c>
      <c r="AD362" s="18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</row>
    <row r="363" spans="1:43" s="17" customFormat="1" ht="25.95" customHeight="1" outlineLevel="1" x14ac:dyDescent="0.25">
      <c r="A363" s="78" t="s">
        <v>584</v>
      </c>
      <c r="B363" s="66" t="s">
        <v>337</v>
      </c>
      <c r="C363" s="226">
        <f t="shared" si="134"/>
        <v>2.59</v>
      </c>
      <c r="D363" s="243">
        <f t="shared" si="132"/>
        <v>648</v>
      </c>
      <c r="E363" s="208">
        <v>0</v>
      </c>
      <c r="F363" s="244">
        <f t="shared" si="135"/>
        <v>0</v>
      </c>
      <c r="G363" s="243">
        <v>0</v>
      </c>
      <c r="H363" s="243">
        <v>0</v>
      </c>
      <c r="I363" s="243">
        <v>0</v>
      </c>
      <c r="J363" s="208">
        <v>0</v>
      </c>
      <c r="K363" s="244">
        <f t="shared" si="133"/>
        <v>0</v>
      </c>
      <c r="L363" s="243">
        <v>0</v>
      </c>
      <c r="M363" s="243">
        <v>0</v>
      </c>
      <c r="N363" s="243">
        <v>0</v>
      </c>
      <c r="O363" s="73">
        <v>0</v>
      </c>
      <c r="P363" s="243">
        <f t="shared" si="136"/>
        <v>0</v>
      </c>
      <c r="Q363" s="243">
        <v>0</v>
      </c>
      <c r="R363" s="243">
        <v>0</v>
      </c>
      <c r="S363" s="245">
        <v>0</v>
      </c>
      <c r="T363" s="73">
        <v>0</v>
      </c>
      <c r="U363" s="243">
        <f t="shared" si="137"/>
        <v>0</v>
      </c>
      <c r="V363" s="243">
        <v>0</v>
      </c>
      <c r="W363" s="243">
        <v>0</v>
      </c>
      <c r="X363" s="245">
        <v>0</v>
      </c>
      <c r="Y363" s="73">
        <v>2.59</v>
      </c>
      <c r="Z363" s="243">
        <f t="shared" si="138"/>
        <v>648</v>
      </c>
      <c r="AA363" s="243">
        <v>0</v>
      </c>
      <c r="AB363" s="243">
        <v>0</v>
      </c>
      <c r="AC363" s="245">
        <v>648</v>
      </c>
      <c r="AD363" s="18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</row>
    <row r="364" spans="1:43" s="17" customFormat="1" ht="24" customHeight="1" outlineLevel="1" x14ac:dyDescent="0.25">
      <c r="A364" s="78" t="s">
        <v>585</v>
      </c>
      <c r="B364" s="66" t="s">
        <v>338</v>
      </c>
      <c r="C364" s="226">
        <f t="shared" si="134"/>
        <v>1.8</v>
      </c>
      <c r="D364" s="243">
        <f t="shared" si="132"/>
        <v>449</v>
      </c>
      <c r="E364" s="208">
        <v>0</v>
      </c>
      <c r="F364" s="244">
        <f t="shared" si="135"/>
        <v>0</v>
      </c>
      <c r="G364" s="243">
        <v>0</v>
      </c>
      <c r="H364" s="243">
        <v>0</v>
      </c>
      <c r="I364" s="243">
        <v>0</v>
      </c>
      <c r="J364" s="208">
        <v>0</v>
      </c>
      <c r="K364" s="244">
        <f t="shared" si="133"/>
        <v>0</v>
      </c>
      <c r="L364" s="243">
        <v>0</v>
      </c>
      <c r="M364" s="243">
        <v>0</v>
      </c>
      <c r="N364" s="243">
        <v>0</v>
      </c>
      <c r="O364" s="73">
        <v>0</v>
      </c>
      <c r="P364" s="243">
        <f t="shared" si="136"/>
        <v>0</v>
      </c>
      <c r="Q364" s="243">
        <v>0</v>
      </c>
      <c r="R364" s="243">
        <v>0</v>
      </c>
      <c r="S364" s="245">
        <v>0</v>
      </c>
      <c r="T364" s="73">
        <v>0</v>
      </c>
      <c r="U364" s="243">
        <f t="shared" si="137"/>
        <v>0</v>
      </c>
      <c r="V364" s="243">
        <v>0</v>
      </c>
      <c r="W364" s="243">
        <v>0</v>
      </c>
      <c r="X364" s="245">
        <v>0</v>
      </c>
      <c r="Y364" s="73">
        <f>ROUND(1.795,2)</f>
        <v>1.8</v>
      </c>
      <c r="Z364" s="243">
        <f t="shared" si="138"/>
        <v>449</v>
      </c>
      <c r="AA364" s="243">
        <v>0</v>
      </c>
      <c r="AB364" s="243">
        <v>0</v>
      </c>
      <c r="AC364" s="245">
        <v>449</v>
      </c>
      <c r="AD364" s="18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</row>
    <row r="365" spans="1:43" s="17" customFormat="1" ht="22.95" customHeight="1" outlineLevel="1" x14ac:dyDescent="0.25">
      <c r="A365" s="78" t="s">
        <v>586</v>
      </c>
      <c r="B365" s="66" t="s">
        <v>454</v>
      </c>
      <c r="C365" s="226">
        <f t="shared" si="134"/>
        <v>0.5</v>
      </c>
      <c r="D365" s="243">
        <f t="shared" si="132"/>
        <v>125</v>
      </c>
      <c r="E365" s="208">
        <v>0</v>
      </c>
      <c r="F365" s="244">
        <f t="shared" si="135"/>
        <v>0</v>
      </c>
      <c r="G365" s="243">
        <v>0</v>
      </c>
      <c r="H365" s="243">
        <v>0</v>
      </c>
      <c r="I365" s="243">
        <v>0</v>
      </c>
      <c r="J365" s="208">
        <v>0</v>
      </c>
      <c r="K365" s="244">
        <f t="shared" si="133"/>
        <v>0</v>
      </c>
      <c r="L365" s="243">
        <v>0</v>
      </c>
      <c r="M365" s="243">
        <v>0</v>
      </c>
      <c r="N365" s="243">
        <v>0</v>
      </c>
      <c r="O365" s="73">
        <v>0</v>
      </c>
      <c r="P365" s="243">
        <f t="shared" si="136"/>
        <v>0</v>
      </c>
      <c r="Q365" s="243">
        <v>0</v>
      </c>
      <c r="R365" s="243">
        <v>0</v>
      </c>
      <c r="S365" s="245">
        <v>0</v>
      </c>
      <c r="T365" s="73">
        <v>0</v>
      </c>
      <c r="U365" s="243">
        <f t="shared" si="137"/>
        <v>0</v>
      </c>
      <c r="V365" s="243">
        <v>0</v>
      </c>
      <c r="W365" s="243">
        <v>0</v>
      </c>
      <c r="X365" s="245">
        <v>0</v>
      </c>
      <c r="Y365" s="73">
        <v>0.5</v>
      </c>
      <c r="Z365" s="243">
        <f t="shared" si="138"/>
        <v>125</v>
      </c>
      <c r="AA365" s="243">
        <v>0</v>
      </c>
      <c r="AB365" s="243">
        <v>0</v>
      </c>
      <c r="AC365" s="245">
        <v>125</v>
      </c>
      <c r="AD365" s="18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</row>
    <row r="366" spans="1:43" s="17" customFormat="1" ht="32.4" customHeight="1" outlineLevel="1" x14ac:dyDescent="0.25">
      <c r="A366" s="78" t="s">
        <v>587</v>
      </c>
      <c r="B366" s="66" t="s">
        <v>339</v>
      </c>
      <c r="C366" s="226">
        <f t="shared" si="134"/>
        <v>0.57000000000000006</v>
      </c>
      <c r="D366" s="243">
        <f t="shared" si="132"/>
        <v>143</v>
      </c>
      <c r="E366" s="208">
        <v>0</v>
      </c>
      <c r="F366" s="244">
        <f t="shared" si="135"/>
        <v>0</v>
      </c>
      <c r="G366" s="243">
        <v>0</v>
      </c>
      <c r="H366" s="243">
        <v>0</v>
      </c>
      <c r="I366" s="243">
        <v>0</v>
      </c>
      <c r="J366" s="208">
        <v>0</v>
      </c>
      <c r="K366" s="244">
        <f t="shared" si="133"/>
        <v>0</v>
      </c>
      <c r="L366" s="243">
        <v>0</v>
      </c>
      <c r="M366" s="243">
        <v>0</v>
      </c>
      <c r="N366" s="243">
        <v>0</v>
      </c>
      <c r="O366" s="73">
        <v>0</v>
      </c>
      <c r="P366" s="243">
        <f t="shared" si="136"/>
        <v>0</v>
      </c>
      <c r="Q366" s="243">
        <v>0</v>
      </c>
      <c r="R366" s="243">
        <v>0</v>
      </c>
      <c r="S366" s="245">
        <v>0</v>
      </c>
      <c r="T366" s="73">
        <v>0</v>
      </c>
      <c r="U366" s="243">
        <f t="shared" si="137"/>
        <v>0</v>
      </c>
      <c r="V366" s="243">
        <v>0</v>
      </c>
      <c r="W366" s="243">
        <v>0</v>
      </c>
      <c r="X366" s="245">
        <v>0</v>
      </c>
      <c r="Y366" s="73">
        <v>0.57000000000000006</v>
      </c>
      <c r="Z366" s="243">
        <f t="shared" si="138"/>
        <v>143</v>
      </c>
      <c r="AA366" s="243">
        <v>0</v>
      </c>
      <c r="AB366" s="243">
        <v>0</v>
      </c>
      <c r="AC366" s="245">
        <v>143</v>
      </c>
      <c r="AD366" s="18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</row>
    <row r="367" spans="1:43" s="17" customFormat="1" ht="28.95" customHeight="1" outlineLevel="1" x14ac:dyDescent="0.25">
      <c r="A367" s="78" t="s">
        <v>588</v>
      </c>
      <c r="B367" s="66" t="s">
        <v>340</v>
      </c>
      <c r="C367" s="226">
        <f t="shared" si="134"/>
        <v>4.74</v>
      </c>
      <c r="D367" s="243">
        <f t="shared" si="132"/>
        <v>1184</v>
      </c>
      <c r="E367" s="208">
        <v>0</v>
      </c>
      <c r="F367" s="244">
        <f t="shared" si="135"/>
        <v>0</v>
      </c>
      <c r="G367" s="243">
        <v>0</v>
      </c>
      <c r="H367" s="243">
        <v>0</v>
      </c>
      <c r="I367" s="243">
        <v>0</v>
      </c>
      <c r="J367" s="208">
        <v>0</v>
      </c>
      <c r="K367" s="244">
        <f t="shared" si="133"/>
        <v>0</v>
      </c>
      <c r="L367" s="243">
        <v>0</v>
      </c>
      <c r="M367" s="243">
        <v>0</v>
      </c>
      <c r="N367" s="243">
        <v>0</v>
      </c>
      <c r="O367" s="73">
        <v>0</v>
      </c>
      <c r="P367" s="243">
        <f t="shared" si="136"/>
        <v>0</v>
      </c>
      <c r="Q367" s="243">
        <v>0</v>
      </c>
      <c r="R367" s="243">
        <v>0</v>
      </c>
      <c r="S367" s="245">
        <v>0</v>
      </c>
      <c r="T367" s="73">
        <v>0</v>
      </c>
      <c r="U367" s="243">
        <f t="shared" si="137"/>
        <v>0</v>
      </c>
      <c r="V367" s="243">
        <v>0</v>
      </c>
      <c r="W367" s="243">
        <v>0</v>
      </c>
      <c r="X367" s="245">
        <v>0</v>
      </c>
      <c r="Y367" s="73">
        <f>ROUND(4.735,2)</f>
        <v>4.74</v>
      </c>
      <c r="Z367" s="243">
        <f t="shared" si="138"/>
        <v>1184</v>
      </c>
      <c r="AA367" s="243">
        <v>0</v>
      </c>
      <c r="AB367" s="243">
        <v>0</v>
      </c>
      <c r="AC367" s="245">
        <v>1184</v>
      </c>
      <c r="AD367" s="18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</row>
    <row r="368" spans="1:43" s="17" customFormat="1" ht="28.95" customHeight="1" outlineLevel="1" x14ac:dyDescent="0.25">
      <c r="A368" s="78" t="s">
        <v>589</v>
      </c>
      <c r="B368" s="66" t="s">
        <v>341</v>
      </c>
      <c r="C368" s="226">
        <f t="shared" si="134"/>
        <v>0.79</v>
      </c>
      <c r="D368" s="243">
        <f t="shared" si="132"/>
        <v>196</v>
      </c>
      <c r="E368" s="208">
        <v>0</v>
      </c>
      <c r="F368" s="244">
        <f t="shared" si="135"/>
        <v>0</v>
      </c>
      <c r="G368" s="243">
        <v>0</v>
      </c>
      <c r="H368" s="243">
        <v>0</v>
      </c>
      <c r="I368" s="243">
        <v>0</v>
      </c>
      <c r="J368" s="208">
        <v>0</v>
      </c>
      <c r="K368" s="244">
        <f t="shared" si="133"/>
        <v>0</v>
      </c>
      <c r="L368" s="243">
        <v>0</v>
      </c>
      <c r="M368" s="243">
        <v>0</v>
      </c>
      <c r="N368" s="243">
        <v>0</v>
      </c>
      <c r="O368" s="73">
        <v>0</v>
      </c>
      <c r="P368" s="243">
        <f t="shared" si="136"/>
        <v>0</v>
      </c>
      <c r="Q368" s="243">
        <v>0</v>
      </c>
      <c r="R368" s="243">
        <v>0</v>
      </c>
      <c r="S368" s="245">
        <v>0</v>
      </c>
      <c r="T368" s="73">
        <v>0</v>
      </c>
      <c r="U368" s="243">
        <f t="shared" si="137"/>
        <v>0</v>
      </c>
      <c r="V368" s="243">
        <v>0</v>
      </c>
      <c r="W368" s="243">
        <v>0</v>
      </c>
      <c r="X368" s="245">
        <v>0</v>
      </c>
      <c r="Y368" s="73">
        <f>ROUND(0.785,2)</f>
        <v>0.79</v>
      </c>
      <c r="Z368" s="243">
        <f t="shared" si="138"/>
        <v>196</v>
      </c>
      <c r="AA368" s="243">
        <v>0</v>
      </c>
      <c r="AB368" s="243">
        <v>0</v>
      </c>
      <c r="AC368" s="245">
        <v>196</v>
      </c>
      <c r="AD368" s="18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</row>
    <row r="369" spans="1:43" s="17" customFormat="1" ht="41.4" customHeight="1" outlineLevel="1" x14ac:dyDescent="0.25">
      <c r="A369" s="78" t="s">
        <v>590</v>
      </c>
      <c r="B369" s="66" t="s">
        <v>342</v>
      </c>
      <c r="C369" s="226">
        <f t="shared" si="134"/>
        <v>0.35000000000000003</v>
      </c>
      <c r="D369" s="243">
        <f t="shared" si="132"/>
        <v>88</v>
      </c>
      <c r="E369" s="208">
        <v>0</v>
      </c>
      <c r="F369" s="244">
        <f t="shared" si="135"/>
        <v>0</v>
      </c>
      <c r="G369" s="243">
        <v>0</v>
      </c>
      <c r="H369" s="243">
        <v>0</v>
      </c>
      <c r="I369" s="243">
        <v>0</v>
      </c>
      <c r="J369" s="208">
        <v>0</v>
      </c>
      <c r="K369" s="244">
        <f t="shared" si="133"/>
        <v>0</v>
      </c>
      <c r="L369" s="243">
        <v>0</v>
      </c>
      <c r="M369" s="243">
        <v>0</v>
      </c>
      <c r="N369" s="243">
        <v>0</v>
      </c>
      <c r="O369" s="73">
        <v>0</v>
      </c>
      <c r="P369" s="243">
        <f t="shared" si="136"/>
        <v>0</v>
      </c>
      <c r="Q369" s="243">
        <v>0</v>
      </c>
      <c r="R369" s="243">
        <v>0</v>
      </c>
      <c r="S369" s="245">
        <v>0</v>
      </c>
      <c r="T369" s="73">
        <v>0</v>
      </c>
      <c r="U369" s="243">
        <f t="shared" si="137"/>
        <v>0</v>
      </c>
      <c r="V369" s="243">
        <v>0</v>
      </c>
      <c r="W369" s="243">
        <v>0</v>
      </c>
      <c r="X369" s="245">
        <v>0</v>
      </c>
      <c r="Y369" s="73">
        <v>0.35000000000000003</v>
      </c>
      <c r="Z369" s="243">
        <f t="shared" si="138"/>
        <v>88</v>
      </c>
      <c r="AA369" s="243">
        <v>0</v>
      </c>
      <c r="AB369" s="243">
        <v>0</v>
      </c>
      <c r="AC369" s="245">
        <v>88</v>
      </c>
      <c r="AD369" s="18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</row>
    <row r="370" spans="1:43" s="17" customFormat="1" ht="21.6" customHeight="1" outlineLevel="1" x14ac:dyDescent="0.25">
      <c r="A370" s="78" t="s">
        <v>591</v>
      </c>
      <c r="B370" s="66" t="s">
        <v>343</v>
      </c>
      <c r="C370" s="226">
        <f t="shared" si="134"/>
        <v>0.35000000000000003</v>
      </c>
      <c r="D370" s="243">
        <f t="shared" si="132"/>
        <v>88</v>
      </c>
      <c r="E370" s="208">
        <v>0</v>
      </c>
      <c r="F370" s="244">
        <f t="shared" si="135"/>
        <v>0</v>
      </c>
      <c r="G370" s="243">
        <v>0</v>
      </c>
      <c r="H370" s="243">
        <v>0</v>
      </c>
      <c r="I370" s="243">
        <v>0</v>
      </c>
      <c r="J370" s="208">
        <v>0</v>
      </c>
      <c r="K370" s="244">
        <f t="shared" si="133"/>
        <v>0</v>
      </c>
      <c r="L370" s="243">
        <v>0</v>
      </c>
      <c r="M370" s="243">
        <v>0</v>
      </c>
      <c r="N370" s="243">
        <v>0</v>
      </c>
      <c r="O370" s="73">
        <v>0</v>
      </c>
      <c r="P370" s="243">
        <f t="shared" si="136"/>
        <v>0</v>
      </c>
      <c r="Q370" s="243">
        <v>0</v>
      </c>
      <c r="R370" s="243">
        <v>0</v>
      </c>
      <c r="S370" s="245">
        <v>0</v>
      </c>
      <c r="T370" s="73">
        <v>0</v>
      </c>
      <c r="U370" s="243">
        <f t="shared" si="137"/>
        <v>0</v>
      </c>
      <c r="V370" s="243">
        <v>0</v>
      </c>
      <c r="W370" s="243">
        <v>0</v>
      </c>
      <c r="X370" s="245">
        <v>0</v>
      </c>
      <c r="Y370" s="73">
        <v>0.35000000000000003</v>
      </c>
      <c r="Z370" s="243">
        <f t="shared" si="138"/>
        <v>88</v>
      </c>
      <c r="AA370" s="243">
        <v>0</v>
      </c>
      <c r="AB370" s="243">
        <v>0</v>
      </c>
      <c r="AC370" s="245">
        <v>88</v>
      </c>
      <c r="AD370" s="18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</row>
    <row r="371" spans="1:43" s="17" customFormat="1" ht="24" customHeight="1" outlineLevel="1" x14ac:dyDescent="0.25">
      <c r="A371" s="78" t="s">
        <v>592</v>
      </c>
      <c r="B371" s="66" t="s">
        <v>344</v>
      </c>
      <c r="C371" s="226">
        <f t="shared" si="134"/>
        <v>1.7799999999999998</v>
      </c>
      <c r="D371" s="243">
        <f t="shared" si="132"/>
        <v>444.99999999999994</v>
      </c>
      <c r="E371" s="208">
        <v>0</v>
      </c>
      <c r="F371" s="244">
        <f t="shared" si="135"/>
        <v>0</v>
      </c>
      <c r="G371" s="243">
        <v>0</v>
      </c>
      <c r="H371" s="243">
        <v>0</v>
      </c>
      <c r="I371" s="243">
        <v>0</v>
      </c>
      <c r="J371" s="208">
        <v>0</v>
      </c>
      <c r="K371" s="244">
        <f t="shared" si="133"/>
        <v>0</v>
      </c>
      <c r="L371" s="243">
        <v>0</v>
      </c>
      <c r="M371" s="243">
        <v>0</v>
      </c>
      <c r="N371" s="243">
        <v>0</v>
      </c>
      <c r="O371" s="73">
        <v>0</v>
      </c>
      <c r="P371" s="243">
        <f t="shared" si="136"/>
        <v>0</v>
      </c>
      <c r="Q371" s="243">
        <v>0</v>
      </c>
      <c r="R371" s="243">
        <v>0</v>
      </c>
      <c r="S371" s="245">
        <v>0</v>
      </c>
      <c r="T371" s="73">
        <v>0</v>
      </c>
      <c r="U371" s="243">
        <f t="shared" si="137"/>
        <v>0</v>
      </c>
      <c r="V371" s="243">
        <v>0</v>
      </c>
      <c r="W371" s="243">
        <v>0</v>
      </c>
      <c r="X371" s="245">
        <v>0</v>
      </c>
      <c r="Y371" s="73">
        <v>1.7799999999999998</v>
      </c>
      <c r="Z371" s="243">
        <f t="shared" si="138"/>
        <v>444.99999999999994</v>
      </c>
      <c r="AA371" s="243">
        <v>0</v>
      </c>
      <c r="AB371" s="243">
        <v>0</v>
      </c>
      <c r="AC371" s="245">
        <v>444.99999999999994</v>
      </c>
      <c r="AD371" s="18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</row>
    <row r="372" spans="1:43" s="17" customFormat="1" ht="46.95" customHeight="1" outlineLevel="1" x14ac:dyDescent="0.25">
      <c r="A372" s="78" t="s">
        <v>593</v>
      </c>
      <c r="B372" s="66" t="s">
        <v>345</v>
      </c>
      <c r="C372" s="226">
        <f t="shared" si="134"/>
        <v>0.35000000000000003</v>
      </c>
      <c r="D372" s="243">
        <f t="shared" si="132"/>
        <v>88</v>
      </c>
      <c r="E372" s="208">
        <v>0</v>
      </c>
      <c r="F372" s="244">
        <f t="shared" si="135"/>
        <v>0</v>
      </c>
      <c r="G372" s="243">
        <v>0</v>
      </c>
      <c r="H372" s="243">
        <v>0</v>
      </c>
      <c r="I372" s="243">
        <v>0</v>
      </c>
      <c r="J372" s="208">
        <v>0</v>
      </c>
      <c r="K372" s="244">
        <f t="shared" si="133"/>
        <v>0</v>
      </c>
      <c r="L372" s="243">
        <v>0</v>
      </c>
      <c r="M372" s="243">
        <v>0</v>
      </c>
      <c r="N372" s="243">
        <v>0</v>
      </c>
      <c r="O372" s="73">
        <v>0</v>
      </c>
      <c r="P372" s="243">
        <f t="shared" si="136"/>
        <v>0</v>
      </c>
      <c r="Q372" s="243">
        <v>0</v>
      </c>
      <c r="R372" s="243">
        <v>0</v>
      </c>
      <c r="S372" s="245">
        <v>0</v>
      </c>
      <c r="T372" s="73">
        <v>0</v>
      </c>
      <c r="U372" s="243">
        <f t="shared" si="137"/>
        <v>0</v>
      </c>
      <c r="V372" s="243">
        <v>0</v>
      </c>
      <c r="W372" s="243">
        <v>0</v>
      </c>
      <c r="X372" s="245">
        <v>0</v>
      </c>
      <c r="Y372" s="73">
        <v>0.35000000000000003</v>
      </c>
      <c r="Z372" s="243">
        <f t="shared" si="138"/>
        <v>88</v>
      </c>
      <c r="AA372" s="243">
        <v>0</v>
      </c>
      <c r="AB372" s="243">
        <v>0</v>
      </c>
      <c r="AC372" s="245">
        <v>88</v>
      </c>
      <c r="AD372" s="18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</row>
    <row r="373" spans="1:43" s="17" customFormat="1" ht="46.95" customHeight="1" outlineLevel="1" x14ac:dyDescent="0.25">
      <c r="A373" s="78" t="s">
        <v>594</v>
      </c>
      <c r="B373" s="66" t="s">
        <v>346</v>
      </c>
      <c r="C373" s="226">
        <f t="shared" si="134"/>
        <v>0.6</v>
      </c>
      <c r="D373" s="243">
        <f t="shared" si="132"/>
        <v>150</v>
      </c>
      <c r="E373" s="208">
        <v>0</v>
      </c>
      <c r="F373" s="244">
        <f t="shared" si="135"/>
        <v>0</v>
      </c>
      <c r="G373" s="243">
        <v>0</v>
      </c>
      <c r="H373" s="243">
        <v>0</v>
      </c>
      <c r="I373" s="243">
        <v>0</v>
      </c>
      <c r="J373" s="208">
        <v>0</v>
      </c>
      <c r="K373" s="244">
        <f t="shared" si="133"/>
        <v>0</v>
      </c>
      <c r="L373" s="243">
        <v>0</v>
      </c>
      <c r="M373" s="243">
        <v>0</v>
      </c>
      <c r="N373" s="243">
        <v>0</v>
      </c>
      <c r="O373" s="73">
        <v>0</v>
      </c>
      <c r="P373" s="243">
        <f t="shared" si="136"/>
        <v>0</v>
      </c>
      <c r="Q373" s="243">
        <v>0</v>
      </c>
      <c r="R373" s="243">
        <v>0</v>
      </c>
      <c r="S373" s="245">
        <v>0</v>
      </c>
      <c r="T373" s="73">
        <v>0</v>
      </c>
      <c r="U373" s="243">
        <f t="shared" si="137"/>
        <v>0</v>
      </c>
      <c r="V373" s="243">
        <v>0</v>
      </c>
      <c r="W373" s="243">
        <v>0</v>
      </c>
      <c r="X373" s="245">
        <v>0</v>
      </c>
      <c r="Y373" s="73">
        <v>0.6</v>
      </c>
      <c r="Z373" s="243">
        <f t="shared" si="138"/>
        <v>150</v>
      </c>
      <c r="AA373" s="243">
        <v>0</v>
      </c>
      <c r="AB373" s="243">
        <v>0</v>
      </c>
      <c r="AC373" s="245">
        <v>150</v>
      </c>
      <c r="AD373" s="18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</row>
    <row r="374" spans="1:43" s="17" customFormat="1" ht="46.95" customHeight="1" outlineLevel="1" x14ac:dyDescent="0.25">
      <c r="A374" s="78" t="s">
        <v>595</v>
      </c>
      <c r="B374" s="66" t="s">
        <v>347</v>
      </c>
      <c r="C374" s="226">
        <f t="shared" si="134"/>
        <v>1.43</v>
      </c>
      <c r="D374" s="243">
        <f t="shared" si="132"/>
        <v>356</v>
      </c>
      <c r="E374" s="208">
        <v>0</v>
      </c>
      <c r="F374" s="244">
        <f t="shared" si="135"/>
        <v>0</v>
      </c>
      <c r="G374" s="243">
        <v>0</v>
      </c>
      <c r="H374" s="243">
        <v>0</v>
      </c>
      <c r="I374" s="243">
        <v>0</v>
      </c>
      <c r="J374" s="208">
        <v>0</v>
      </c>
      <c r="K374" s="244">
        <f t="shared" si="133"/>
        <v>0</v>
      </c>
      <c r="L374" s="243">
        <v>0</v>
      </c>
      <c r="M374" s="243">
        <v>0</v>
      </c>
      <c r="N374" s="243">
        <v>0</v>
      </c>
      <c r="O374" s="73">
        <v>0</v>
      </c>
      <c r="P374" s="243">
        <f t="shared" si="136"/>
        <v>0</v>
      </c>
      <c r="Q374" s="243">
        <v>0</v>
      </c>
      <c r="R374" s="243">
        <v>0</v>
      </c>
      <c r="S374" s="245">
        <v>0</v>
      </c>
      <c r="T374" s="73">
        <v>0</v>
      </c>
      <c r="U374" s="243">
        <f t="shared" si="137"/>
        <v>0</v>
      </c>
      <c r="V374" s="243">
        <v>0</v>
      </c>
      <c r="W374" s="243">
        <v>0</v>
      </c>
      <c r="X374" s="245">
        <v>0</v>
      </c>
      <c r="Y374" s="73">
        <f>ROUND(1.425,2)</f>
        <v>1.43</v>
      </c>
      <c r="Z374" s="243">
        <f t="shared" si="138"/>
        <v>356</v>
      </c>
      <c r="AA374" s="243">
        <v>0</v>
      </c>
      <c r="AB374" s="243">
        <v>0</v>
      </c>
      <c r="AC374" s="245">
        <v>356</v>
      </c>
      <c r="AD374" s="18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</row>
    <row r="375" spans="1:43" s="17" customFormat="1" ht="26.4" customHeight="1" outlineLevel="1" x14ac:dyDescent="0.25">
      <c r="A375" s="78" t="s">
        <v>596</v>
      </c>
      <c r="B375" s="66" t="s">
        <v>348</v>
      </c>
      <c r="C375" s="226">
        <f t="shared" si="134"/>
        <v>0.56000000000000005</v>
      </c>
      <c r="D375" s="243">
        <f t="shared" si="132"/>
        <v>139</v>
      </c>
      <c r="E375" s="208">
        <v>0</v>
      </c>
      <c r="F375" s="244">
        <f t="shared" si="135"/>
        <v>0</v>
      </c>
      <c r="G375" s="243">
        <v>0</v>
      </c>
      <c r="H375" s="243">
        <v>0</v>
      </c>
      <c r="I375" s="243">
        <v>0</v>
      </c>
      <c r="J375" s="208">
        <v>0</v>
      </c>
      <c r="K375" s="244">
        <f t="shared" si="133"/>
        <v>0</v>
      </c>
      <c r="L375" s="243">
        <v>0</v>
      </c>
      <c r="M375" s="243">
        <v>0</v>
      </c>
      <c r="N375" s="243">
        <v>0</v>
      </c>
      <c r="O375" s="73">
        <v>0</v>
      </c>
      <c r="P375" s="243">
        <f t="shared" si="136"/>
        <v>0</v>
      </c>
      <c r="Q375" s="243">
        <v>0</v>
      </c>
      <c r="R375" s="243">
        <v>0</v>
      </c>
      <c r="S375" s="245">
        <v>0</v>
      </c>
      <c r="T375" s="73">
        <v>0</v>
      </c>
      <c r="U375" s="243">
        <f t="shared" si="137"/>
        <v>0</v>
      </c>
      <c r="V375" s="243">
        <v>0</v>
      </c>
      <c r="W375" s="243">
        <v>0</v>
      </c>
      <c r="X375" s="245">
        <v>0</v>
      </c>
      <c r="Y375" s="73">
        <f>ROUND(0.555,2)</f>
        <v>0.56000000000000005</v>
      </c>
      <c r="Z375" s="243">
        <f t="shared" si="138"/>
        <v>139</v>
      </c>
      <c r="AA375" s="243">
        <v>0</v>
      </c>
      <c r="AB375" s="243">
        <v>0</v>
      </c>
      <c r="AC375" s="245">
        <v>139</v>
      </c>
      <c r="AD375" s="18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</row>
    <row r="376" spans="1:43" s="17" customFormat="1" ht="24" customHeight="1" outlineLevel="1" x14ac:dyDescent="0.25">
      <c r="A376" s="78" t="s">
        <v>597</v>
      </c>
      <c r="B376" s="66" t="s">
        <v>464</v>
      </c>
      <c r="C376" s="226">
        <f t="shared" si="134"/>
        <v>1.5</v>
      </c>
      <c r="D376" s="243">
        <f t="shared" ref="D376:D440" si="139">F376+K376+P376+U376+Z376</f>
        <v>375</v>
      </c>
      <c r="E376" s="208">
        <v>0</v>
      </c>
      <c r="F376" s="244">
        <f t="shared" si="135"/>
        <v>0</v>
      </c>
      <c r="G376" s="243">
        <v>0</v>
      </c>
      <c r="H376" s="243">
        <v>0</v>
      </c>
      <c r="I376" s="243">
        <v>0</v>
      </c>
      <c r="J376" s="208">
        <v>0</v>
      </c>
      <c r="K376" s="244">
        <f t="shared" ref="K376:K440" si="140">SUM(L376:N376)</f>
        <v>0</v>
      </c>
      <c r="L376" s="243">
        <v>0</v>
      </c>
      <c r="M376" s="243">
        <v>0</v>
      </c>
      <c r="N376" s="243">
        <v>0</v>
      </c>
      <c r="O376" s="73">
        <v>0</v>
      </c>
      <c r="P376" s="243">
        <f t="shared" si="136"/>
        <v>0</v>
      </c>
      <c r="Q376" s="243">
        <v>0</v>
      </c>
      <c r="R376" s="243">
        <v>0</v>
      </c>
      <c r="S376" s="245">
        <v>0</v>
      </c>
      <c r="T376" s="73">
        <v>0</v>
      </c>
      <c r="U376" s="243">
        <f t="shared" si="137"/>
        <v>0</v>
      </c>
      <c r="V376" s="243">
        <v>0</v>
      </c>
      <c r="W376" s="243">
        <v>0</v>
      </c>
      <c r="X376" s="245">
        <v>0</v>
      </c>
      <c r="Y376" s="73">
        <v>1.5</v>
      </c>
      <c r="Z376" s="243">
        <f t="shared" si="138"/>
        <v>375</v>
      </c>
      <c r="AA376" s="243">
        <v>0</v>
      </c>
      <c r="AB376" s="243">
        <v>0</v>
      </c>
      <c r="AC376" s="245">
        <v>375</v>
      </c>
      <c r="AD376" s="18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</row>
    <row r="377" spans="1:43" s="17" customFormat="1" ht="23.4" customHeight="1" outlineLevel="1" x14ac:dyDescent="0.25">
      <c r="A377" s="78" t="s">
        <v>598</v>
      </c>
      <c r="B377" s="66" t="s">
        <v>349</v>
      </c>
      <c r="C377" s="226">
        <f t="shared" ref="C377:C404" si="141">E377+J377+O377+T377+Y377</f>
        <v>0.81</v>
      </c>
      <c r="D377" s="243">
        <f t="shared" si="139"/>
        <v>203</v>
      </c>
      <c r="E377" s="208">
        <v>0</v>
      </c>
      <c r="F377" s="244">
        <f t="shared" ref="F377:F441" si="142">G377+H377+I377</f>
        <v>0</v>
      </c>
      <c r="G377" s="243">
        <v>0</v>
      </c>
      <c r="H377" s="243">
        <v>0</v>
      </c>
      <c r="I377" s="243">
        <v>0</v>
      </c>
      <c r="J377" s="208">
        <v>0</v>
      </c>
      <c r="K377" s="244">
        <f t="shared" si="140"/>
        <v>0</v>
      </c>
      <c r="L377" s="243">
        <v>0</v>
      </c>
      <c r="M377" s="243">
        <v>0</v>
      </c>
      <c r="N377" s="243">
        <v>0</v>
      </c>
      <c r="O377" s="73">
        <v>0</v>
      </c>
      <c r="P377" s="243">
        <f t="shared" ref="P377:P441" si="143">Q377+R377+S377</f>
        <v>0</v>
      </c>
      <c r="Q377" s="243">
        <v>0</v>
      </c>
      <c r="R377" s="243">
        <v>0</v>
      </c>
      <c r="S377" s="245">
        <v>0</v>
      </c>
      <c r="T377" s="73">
        <v>0</v>
      </c>
      <c r="U377" s="243">
        <f t="shared" ref="U377:U441" si="144">V377+W377+X377</f>
        <v>0</v>
      </c>
      <c r="V377" s="243">
        <v>0</v>
      </c>
      <c r="W377" s="243">
        <v>0</v>
      </c>
      <c r="X377" s="245">
        <v>0</v>
      </c>
      <c r="Y377" s="73">
        <v>0.81</v>
      </c>
      <c r="Z377" s="243">
        <f t="shared" ref="Z377:Z441" si="145">AA377+AB377+AC377</f>
        <v>203</v>
      </c>
      <c r="AA377" s="243">
        <v>0</v>
      </c>
      <c r="AB377" s="243">
        <v>0</v>
      </c>
      <c r="AC377" s="245">
        <v>203</v>
      </c>
      <c r="AD377" s="18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</row>
    <row r="378" spans="1:43" s="17" customFormat="1" ht="27" customHeight="1" outlineLevel="1" x14ac:dyDescent="0.25">
      <c r="A378" s="79"/>
      <c r="B378" s="67" t="s">
        <v>468</v>
      </c>
      <c r="C378" s="74">
        <f>SUM(C379:C380)</f>
        <v>12.05</v>
      </c>
      <c r="D378" s="246">
        <f>SUM(D379:D380)</f>
        <v>3615</v>
      </c>
      <c r="E378" s="74">
        <f t="shared" ref="E378:O378" si="146">SUM(E379:E380)</f>
        <v>0</v>
      </c>
      <c r="F378" s="246">
        <f t="shared" si="146"/>
        <v>0</v>
      </c>
      <c r="G378" s="246">
        <f t="shared" si="146"/>
        <v>0</v>
      </c>
      <c r="H378" s="246">
        <f t="shared" si="146"/>
        <v>0</v>
      </c>
      <c r="I378" s="246">
        <f t="shared" si="146"/>
        <v>0</v>
      </c>
      <c r="J378" s="74">
        <f t="shared" si="146"/>
        <v>0</v>
      </c>
      <c r="K378" s="246">
        <f t="shared" si="140"/>
        <v>0</v>
      </c>
      <c r="L378" s="246">
        <f t="shared" si="146"/>
        <v>0</v>
      </c>
      <c r="M378" s="246">
        <f t="shared" si="146"/>
        <v>0</v>
      </c>
      <c r="N378" s="246">
        <f t="shared" si="146"/>
        <v>0</v>
      </c>
      <c r="O378" s="74">
        <f t="shared" si="146"/>
        <v>0</v>
      </c>
      <c r="P378" s="243">
        <f t="shared" si="143"/>
        <v>0</v>
      </c>
      <c r="Q378" s="246">
        <f>SUM(Q379:Q380)</f>
        <v>0</v>
      </c>
      <c r="R378" s="246">
        <f>SUM(R379:R380)</f>
        <v>0</v>
      </c>
      <c r="S378" s="246">
        <f>SUM(S379:S380)</f>
        <v>0</v>
      </c>
      <c r="T378" s="74">
        <f>SUM(T379:T380)</f>
        <v>12.05</v>
      </c>
      <c r="U378" s="243">
        <f t="shared" si="144"/>
        <v>3615</v>
      </c>
      <c r="V378" s="246">
        <f t="shared" ref="V378:AC378" si="147">SUM(V379:V380)</f>
        <v>0</v>
      </c>
      <c r="W378" s="246">
        <f t="shared" si="147"/>
        <v>0</v>
      </c>
      <c r="X378" s="246">
        <f t="shared" si="147"/>
        <v>3615</v>
      </c>
      <c r="Y378" s="74">
        <f t="shared" si="147"/>
        <v>0</v>
      </c>
      <c r="Z378" s="243">
        <f t="shared" si="147"/>
        <v>0</v>
      </c>
      <c r="AA378" s="247">
        <f t="shared" si="147"/>
        <v>0</v>
      </c>
      <c r="AB378" s="247">
        <f t="shared" si="147"/>
        <v>0</v>
      </c>
      <c r="AC378" s="246">
        <f t="shared" si="147"/>
        <v>0</v>
      </c>
      <c r="AD378" s="18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</row>
    <row r="379" spans="1:43" s="17" customFormat="1" ht="25.2" customHeight="1" outlineLevel="1" x14ac:dyDescent="0.25">
      <c r="A379" s="78" t="s">
        <v>599</v>
      </c>
      <c r="B379" s="66" t="s">
        <v>445</v>
      </c>
      <c r="C379" s="226">
        <f t="shared" si="141"/>
        <v>7</v>
      </c>
      <c r="D379" s="243">
        <f>F379+K379+P379+U379+Z379</f>
        <v>2100</v>
      </c>
      <c r="E379" s="208">
        <v>0</v>
      </c>
      <c r="F379" s="244">
        <f t="shared" si="142"/>
        <v>0</v>
      </c>
      <c r="G379" s="243">
        <v>0</v>
      </c>
      <c r="H379" s="243">
        <v>0</v>
      </c>
      <c r="I379" s="243">
        <v>0</v>
      </c>
      <c r="J379" s="208">
        <v>0</v>
      </c>
      <c r="K379" s="244">
        <f t="shared" si="140"/>
        <v>0</v>
      </c>
      <c r="L379" s="243">
        <v>0</v>
      </c>
      <c r="M379" s="243">
        <v>0</v>
      </c>
      <c r="N379" s="243">
        <v>0</v>
      </c>
      <c r="O379" s="73">
        <v>0</v>
      </c>
      <c r="P379" s="243">
        <f t="shared" si="143"/>
        <v>0</v>
      </c>
      <c r="Q379" s="243">
        <v>0</v>
      </c>
      <c r="R379" s="243">
        <v>0</v>
      </c>
      <c r="S379" s="245">
        <v>0</v>
      </c>
      <c r="T379" s="73">
        <v>7</v>
      </c>
      <c r="U379" s="243">
        <f t="shared" si="144"/>
        <v>2100</v>
      </c>
      <c r="V379" s="243">
        <v>0</v>
      </c>
      <c r="W379" s="243">
        <v>0</v>
      </c>
      <c r="X379" s="245">
        <v>2100</v>
      </c>
      <c r="Y379" s="73">
        <v>0</v>
      </c>
      <c r="Z379" s="243">
        <f t="shared" si="145"/>
        <v>0</v>
      </c>
      <c r="AA379" s="243">
        <v>0</v>
      </c>
      <c r="AB379" s="243">
        <v>0</v>
      </c>
      <c r="AC379" s="245">
        <v>0</v>
      </c>
      <c r="AD379" s="18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</row>
    <row r="380" spans="1:43" s="17" customFormat="1" ht="34.950000000000003" customHeight="1" outlineLevel="1" x14ac:dyDescent="0.25">
      <c r="A380" s="78" t="s">
        <v>600</v>
      </c>
      <c r="B380" s="66" t="s">
        <v>455</v>
      </c>
      <c r="C380" s="226">
        <f t="shared" si="141"/>
        <v>5.05</v>
      </c>
      <c r="D380" s="243">
        <f t="shared" si="139"/>
        <v>1515</v>
      </c>
      <c r="E380" s="208">
        <v>0</v>
      </c>
      <c r="F380" s="244">
        <f t="shared" si="142"/>
        <v>0</v>
      </c>
      <c r="G380" s="243">
        <v>0</v>
      </c>
      <c r="H380" s="243">
        <v>0</v>
      </c>
      <c r="I380" s="243">
        <v>0</v>
      </c>
      <c r="J380" s="208">
        <v>0</v>
      </c>
      <c r="K380" s="244">
        <f t="shared" si="140"/>
        <v>0</v>
      </c>
      <c r="L380" s="243">
        <v>0</v>
      </c>
      <c r="M380" s="243">
        <v>0</v>
      </c>
      <c r="N380" s="243">
        <v>0</v>
      </c>
      <c r="O380" s="73">
        <v>0</v>
      </c>
      <c r="P380" s="243">
        <f t="shared" si="143"/>
        <v>0</v>
      </c>
      <c r="Q380" s="243">
        <v>0</v>
      </c>
      <c r="R380" s="243">
        <v>0</v>
      </c>
      <c r="S380" s="245">
        <v>0</v>
      </c>
      <c r="T380" s="73">
        <v>5.05</v>
      </c>
      <c r="U380" s="243">
        <f t="shared" si="144"/>
        <v>1515</v>
      </c>
      <c r="V380" s="243">
        <v>0</v>
      </c>
      <c r="W380" s="243">
        <v>0</v>
      </c>
      <c r="X380" s="245">
        <v>1515</v>
      </c>
      <c r="Y380" s="73">
        <v>0</v>
      </c>
      <c r="Z380" s="243">
        <f t="shared" si="145"/>
        <v>0</v>
      </c>
      <c r="AA380" s="243">
        <v>0</v>
      </c>
      <c r="AB380" s="243">
        <v>0</v>
      </c>
      <c r="AC380" s="245">
        <v>0</v>
      </c>
      <c r="AD380" s="18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</row>
    <row r="381" spans="1:43" s="17" customFormat="1" ht="32.4" customHeight="1" outlineLevel="1" x14ac:dyDescent="0.25">
      <c r="A381" s="79"/>
      <c r="B381" s="67" t="s">
        <v>446</v>
      </c>
      <c r="C381" s="74">
        <f>SUM(C382:C405)</f>
        <v>71.970000000000027</v>
      </c>
      <c r="D381" s="312">
        <f>SUM(D382:D405)</f>
        <v>16906.7</v>
      </c>
      <c r="E381" s="74">
        <f>SUM(E382:E405)</f>
        <v>14.67</v>
      </c>
      <c r="F381" s="312">
        <f t="shared" ref="F381:AC381" si="148">SUM(F382:F405)</f>
        <v>2575.1999999999998</v>
      </c>
      <c r="G381" s="312">
        <f t="shared" si="148"/>
        <v>0</v>
      </c>
      <c r="H381" s="312">
        <f t="shared" si="148"/>
        <v>0</v>
      </c>
      <c r="I381" s="312">
        <f t="shared" si="148"/>
        <v>2575.1999999999998</v>
      </c>
      <c r="J381" s="74">
        <f t="shared" si="148"/>
        <v>0</v>
      </c>
      <c r="K381" s="312">
        <f t="shared" si="148"/>
        <v>0</v>
      </c>
      <c r="L381" s="312">
        <f t="shared" si="148"/>
        <v>0</v>
      </c>
      <c r="M381" s="312">
        <f t="shared" si="148"/>
        <v>0</v>
      </c>
      <c r="N381" s="312">
        <f t="shared" si="148"/>
        <v>0</v>
      </c>
      <c r="O381" s="74">
        <f t="shared" si="148"/>
        <v>0</v>
      </c>
      <c r="P381" s="312">
        <f t="shared" si="148"/>
        <v>0</v>
      </c>
      <c r="Q381" s="312">
        <f t="shared" si="148"/>
        <v>0</v>
      </c>
      <c r="R381" s="312">
        <f t="shared" si="148"/>
        <v>0</v>
      </c>
      <c r="S381" s="312">
        <f t="shared" si="148"/>
        <v>0</v>
      </c>
      <c r="T381" s="74">
        <f t="shared" si="148"/>
        <v>57.300000000000011</v>
      </c>
      <c r="U381" s="312">
        <f t="shared" si="148"/>
        <v>14331.5</v>
      </c>
      <c r="V381" s="312">
        <f t="shared" si="148"/>
        <v>0</v>
      </c>
      <c r="W381" s="312">
        <f t="shared" si="148"/>
        <v>0</v>
      </c>
      <c r="X381" s="312">
        <f t="shared" si="148"/>
        <v>14331.5</v>
      </c>
      <c r="Y381" s="74">
        <f t="shared" si="148"/>
        <v>0</v>
      </c>
      <c r="Z381" s="312">
        <f t="shared" si="148"/>
        <v>0</v>
      </c>
      <c r="AA381" s="312">
        <f t="shared" si="148"/>
        <v>0</v>
      </c>
      <c r="AB381" s="312">
        <f t="shared" si="148"/>
        <v>0</v>
      </c>
      <c r="AC381" s="312">
        <f t="shared" si="148"/>
        <v>0</v>
      </c>
      <c r="AD381" s="18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</row>
    <row r="382" spans="1:43" s="324" customFormat="1" ht="42.75" customHeight="1" outlineLevel="1" x14ac:dyDescent="0.25">
      <c r="A382" s="314" t="s">
        <v>601</v>
      </c>
      <c r="B382" s="315" t="s">
        <v>1239</v>
      </c>
      <c r="C382" s="316">
        <f t="shared" si="141"/>
        <v>8.24</v>
      </c>
      <c r="D382" s="325">
        <f t="shared" si="139"/>
        <v>1446.2</v>
      </c>
      <c r="E382" s="318">
        <v>8.24</v>
      </c>
      <c r="F382" s="326">
        <f t="shared" si="142"/>
        <v>1446.2</v>
      </c>
      <c r="G382" s="317">
        <v>0</v>
      </c>
      <c r="H382" s="317">
        <v>0</v>
      </c>
      <c r="I382" s="325">
        <v>1446.2</v>
      </c>
      <c r="J382" s="318">
        <v>0</v>
      </c>
      <c r="K382" s="319">
        <f t="shared" si="140"/>
        <v>0</v>
      </c>
      <c r="L382" s="317">
        <v>0</v>
      </c>
      <c r="M382" s="317">
        <v>0</v>
      </c>
      <c r="N382" s="317">
        <v>0</v>
      </c>
      <c r="O382" s="320">
        <v>0</v>
      </c>
      <c r="P382" s="317">
        <f t="shared" si="143"/>
        <v>0</v>
      </c>
      <c r="Q382" s="317">
        <v>0</v>
      </c>
      <c r="R382" s="317">
        <v>0</v>
      </c>
      <c r="S382" s="321">
        <v>0</v>
      </c>
      <c r="T382" s="320">
        <v>0</v>
      </c>
      <c r="U382" s="317">
        <f t="shared" si="144"/>
        <v>0</v>
      </c>
      <c r="V382" s="317">
        <v>0</v>
      </c>
      <c r="W382" s="317">
        <v>0</v>
      </c>
      <c r="X382" s="321">
        <v>0</v>
      </c>
      <c r="Y382" s="320">
        <v>0</v>
      </c>
      <c r="Z382" s="317">
        <f t="shared" si="145"/>
        <v>0</v>
      </c>
      <c r="AA382" s="317">
        <v>0</v>
      </c>
      <c r="AB382" s="317">
        <v>0</v>
      </c>
      <c r="AC382" s="321">
        <v>0</v>
      </c>
      <c r="AD382" s="322"/>
      <c r="AE382" s="323"/>
      <c r="AF382" s="323"/>
      <c r="AG382" s="323"/>
      <c r="AH382" s="323"/>
      <c r="AI382" s="323"/>
      <c r="AJ382" s="323"/>
      <c r="AK382" s="323"/>
      <c r="AL382" s="323"/>
      <c r="AM382" s="323"/>
      <c r="AN382" s="323"/>
      <c r="AO382" s="323"/>
      <c r="AP382" s="323"/>
      <c r="AQ382" s="323"/>
    </row>
    <row r="383" spans="1:43" s="17" customFormat="1" ht="44.4" customHeight="1" outlineLevel="1" x14ac:dyDescent="0.25">
      <c r="A383" s="78" t="s">
        <v>602</v>
      </c>
      <c r="B383" s="66" t="s">
        <v>350</v>
      </c>
      <c r="C383" s="226">
        <f t="shared" si="141"/>
        <v>4</v>
      </c>
      <c r="D383" s="243">
        <f t="shared" si="139"/>
        <v>1000</v>
      </c>
      <c r="E383" s="208">
        <v>0</v>
      </c>
      <c r="F383" s="244">
        <f t="shared" si="142"/>
        <v>0</v>
      </c>
      <c r="G383" s="243">
        <v>0</v>
      </c>
      <c r="H383" s="243">
        <v>0</v>
      </c>
      <c r="I383" s="243">
        <v>0</v>
      </c>
      <c r="J383" s="208">
        <v>0</v>
      </c>
      <c r="K383" s="244">
        <f t="shared" si="140"/>
        <v>0</v>
      </c>
      <c r="L383" s="243">
        <v>0</v>
      </c>
      <c r="M383" s="243">
        <v>0</v>
      </c>
      <c r="N383" s="243">
        <v>0</v>
      </c>
      <c r="O383" s="73">
        <v>0</v>
      </c>
      <c r="P383" s="243">
        <f t="shared" si="143"/>
        <v>0</v>
      </c>
      <c r="Q383" s="243">
        <v>0</v>
      </c>
      <c r="R383" s="243">
        <v>0</v>
      </c>
      <c r="S383" s="245">
        <v>0</v>
      </c>
      <c r="T383" s="73">
        <v>4</v>
      </c>
      <c r="U383" s="243">
        <f t="shared" si="144"/>
        <v>1000</v>
      </c>
      <c r="V383" s="243">
        <v>0</v>
      </c>
      <c r="W383" s="243">
        <v>0</v>
      </c>
      <c r="X383" s="245">
        <v>1000</v>
      </c>
      <c r="Y383" s="73">
        <v>0</v>
      </c>
      <c r="Z383" s="243">
        <f t="shared" si="145"/>
        <v>0</v>
      </c>
      <c r="AA383" s="243">
        <v>0</v>
      </c>
      <c r="AB383" s="243">
        <v>0</v>
      </c>
      <c r="AC383" s="245">
        <v>0</v>
      </c>
      <c r="AD383" s="18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</row>
    <row r="384" spans="1:43" s="17" customFormat="1" ht="31.95" customHeight="1" outlineLevel="1" x14ac:dyDescent="0.25">
      <c r="A384" s="78" t="s">
        <v>603</v>
      </c>
      <c r="B384" s="66" t="s">
        <v>351</v>
      </c>
      <c r="C384" s="226">
        <f t="shared" si="141"/>
        <v>4.1499999999999995</v>
      </c>
      <c r="D384" s="243">
        <f t="shared" si="139"/>
        <v>1038</v>
      </c>
      <c r="E384" s="208">
        <v>0</v>
      </c>
      <c r="F384" s="244">
        <f t="shared" si="142"/>
        <v>0</v>
      </c>
      <c r="G384" s="243">
        <v>0</v>
      </c>
      <c r="H384" s="243">
        <v>0</v>
      </c>
      <c r="I384" s="243">
        <v>0</v>
      </c>
      <c r="J384" s="208">
        <v>0</v>
      </c>
      <c r="K384" s="244">
        <f t="shared" si="140"/>
        <v>0</v>
      </c>
      <c r="L384" s="243">
        <v>0</v>
      </c>
      <c r="M384" s="243">
        <v>0</v>
      </c>
      <c r="N384" s="243">
        <v>0</v>
      </c>
      <c r="O384" s="73">
        <v>0</v>
      </c>
      <c r="P384" s="243">
        <f t="shared" si="143"/>
        <v>0</v>
      </c>
      <c r="Q384" s="243">
        <v>0</v>
      </c>
      <c r="R384" s="243">
        <v>0</v>
      </c>
      <c r="S384" s="245">
        <v>0</v>
      </c>
      <c r="T384" s="73">
        <v>4.1499999999999995</v>
      </c>
      <c r="U384" s="243">
        <f t="shared" si="144"/>
        <v>1038</v>
      </c>
      <c r="V384" s="243">
        <v>0</v>
      </c>
      <c r="W384" s="243">
        <v>0</v>
      </c>
      <c r="X384" s="245">
        <v>1038</v>
      </c>
      <c r="Y384" s="73">
        <v>0</v>
      </c>
      <c r="Z384" s="243">
        <f t="shared" si="145"/>
        <v>0</v>
      </c>
      <c r="AA384" s="243">
        <v>0</v>
      </c>
      <c r="AB384" s="243">
        <v>0</v>
      </c>
      <c r="AC384" s="245">
        <v>0</v>
      </c>
      <c r="AD384" s="18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</row>
    <row r="385" spans="1:43" s="17" customFormat="1" ht="24" customHeight="1" outlineLevel="1" x14ac:dyDescent="0.25">
      <c r="A385" s="78" t="s">
        <v>604</v>
      </c>
      <c r="B385" s="66" t="s">
        <v>352</v>
      </c>
      <c r="C385" s="226">
        <f t="shared" si="141"/>
        <v>3.8</v>
      </c>
      <c r="D385" s="243">
        <f t="shared" si="139"/>
        <v>950</v>
      </c>
      <c r="E385" s="208">
        <v>0</v>
      </c>
      <c r="F385" s="244">
        <f t="shared" si="142"/>
        <v>0</v>
      </c>
      <c r="G385" s="243">
        <v>0</v>
      </c>
      <c r="H385" s="243">
        <v>0</v>
      </c>
      <c r="I385" s="243">
        <v>0</v>
      </c>
      <c r="J385" s="208">
        <v>0</v>
      </c>
      <c r="K385" s="244">
        <f t="shared" si="140"/>
        <v>0</v>
      </c>
      <c r="L385" s="243">
        <v>0</v>
      </c>
      <c r="M385" s="243">
        <v>0</v>
      </c>
      <c r="N385" s="243">
        <v>0</v>
      </c>
      <c r="O385" s="73">
        <v>0</v>
      </c>
      <c r="P385" s="243">
        <f t="shared" si="143"/>
        <v>0</v>
      </c>
      <c r="Q385" s="243">
        <v>0</v>
      </c>
      <c r="R385" s="243">
        <v>0</v>
      </c>
      <c r="S385" s="245">
        <v>0</v>
      </c>
      <c r="T385" s="73">
        <v>3.8</v>
      </c>
      <c r="U385" s="243">
        <f t="shared" si="144"/>
        <v>950</v>
      </c>
      <c r="V385" s="243">
        <v>0</v>
      </c>
      <c r="W385" s="243">
        <v>0</v>
      </c>
      <c r="X385" s="245">
        <v>950</v>
      </c>
      <c r="Y385" s="73">
        <v>0</v>
      </c>
      <c r="Z385" s="243">
        <f t="shared" si="145"/>
        <v>0</v>
      </c>
      <c r="AA385" s="243">
        <v>0</v>
      </c>
      <c r="AB385" s="243">
        <v>0</v>
      </c>
      <c r="AC385" s="245">
        <v>0</v>
      </c>
      <c r="AD385" s="18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</row>
    <row r="386" spans="1:43" s="17" customFormat="1" ht="26.4" customHeight="1" outlineLevel="1" x14ac:dyDescent="0.25">
      <c r="A386" s="78" t="s">
        <v>605</v>
      </c>
      <c r="B386" s="66" t="s">
        <v>353</v>
      </c>
      <c r="C386" s="226">
        <f t="shared" si="141"/>
        <v>2.0499999999999998</v>
      </c>
      <c r="D386" s="243">
        <f t="shared" si="139"/>
        <v>513</v>
      </c>
      <c r="E386" s="208">
        <v>0</v>
      </c>
      <c r="F386" s="244">
        <f t="shared" si="142"/>
        <v>0</v>
      </c>
      <c r="G386" s="243">
        <v>0</v>
      </c>
      <c r="H386" s="243">
        <v>0</v>
      </c>
      <c r="I386" s="243">
        <v>0</v>
      </c>
      <c r="J386" s="208">
        <v>0</v>
      </c>
      <c r="K386" s="244">
        <f t="shared" si="140"/>
        <v>0</v>
      </c>
      <c r="L386" s="243">
        <v>0</v>
      </c>
      <c r="M386" s="243">
        <v>0</v>
      </c>
      <c r="N386" s="243">
        <v>0</v>
      </c>
      <c r="O386" s="73">
        <v>0</v>
      </c>
      <c r="P386" s="243">
        <f t="shared" si="143"/>
        <v>0</v>
      </c>
      <c r="Q386" s="243">
        <v>0</v>
      </c>
      <c r="R386" s="243">
        <v>0</v>
      </c>
      <c r="S386" s="245">
        <v>0</v>
      </c>
      <c r="T386" s="73">
        <v>2.0499999999999998</v>
      </c>
      <c r="U386" s="243">
        <f t="shared" si="144"/>
        <v>513</v>
      </c>
      <c r="V386" s="243">
        <v>0</v>
      </c>
      <c r="W386" s="243">
        <v>0</v>
      </c>
      <c r="X386" s="245">
        <v>513</v>
      </c>
      <c r="Y386" s="73">
        <v>0</v>
      </c>
      <c r="Z386" s="243">
        <f t="shared" si="145"/>
        <v>0</v>
      </c>
      <c r="AA386" s="243">
        <v>0</v>
      </c>
      <c r="AB386" s="243">
        <v>0</v>
      </c>
      <c r="AC386" s="245">
        <v>0</v>
      </c>
      <c r="AD386" s="18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</row>
    <row r="387" spans="1:43" s="17" customFormat="1" ht="27" customHeight="1" outlineLevel="1" x14ac:dyDescent="0.25">
      <c r="A387" s="78" t="s">
        <v>606</v>
      </c>
      <c r="B387" s="66" t="s">
        <v>853</v>
      </c>
      <c r="C387" s="226">
        <f t="shared" si="141"/>
        <v>2.9499999999999997</v>
      </c>
      <c r="D387" s="243">
        <f t="shared" si="139"/>
        <v>738</v>
      </c>
      <c r="E387" s="208">
        <v>0</v>
      </c>
      <c r="F387" s="244">
        <f t="shared" si="142"/>
        <v>0</v>
      </c>
      <c r="G387" s="243">
        <v>0</v>
      </c>
      <c r="H387" s="243">
        <v>0</v>
      </c>
      <c r="I387" s="243">
        <v>0</v>
      </c>
      <c r="J387" s="208">
        <v>0</v>
      </c>
      <c r="K387" s="244">
        <f t="shared" si="140"/>
        <v>0</v>
      </c>
      <c r="L387" s="243">
        <v>0</v>
      </c>
      <c r="M387" s="243">
        <v>0</v>
      </c>
      <c r="N387" s="243">
        <v>0</v>
      </c>
      <c r="O387" s="73">
        <v>0</v>
      </c>
      <c r="P387" s="243">
        <f t="shared" si="143"/>
        <v>0</v>
      </c>
      <c r="Q387" s="243">
        <v>0</v>
      </c>
      <c r="R387" s="243">
        <v>0</v>
      </c>
      <c r="S387" s="245">
        <v>0</v>
      </c>
      <c r="T387" s="73">
        <v>2.9499999999999997</v>
      </c>
      <c r="U387" s="243">
        <f t="shared" si="144"/>
        <v>738</v>
      </c>
      <c r="V387" s="243">
        <v>0</v>
      </c>
      <c r="W387" s="243">
        <v>0</v>
      </c>
      <c r="X387" s="245">
        <v>738</v>
      </c>
      <c r="Y387" s="73">
        <v>0</v>
      </c>
      <c r="Z387" s="243">
        <f t="shared" si="145"/>
        <v>0</v>
      </c>
      <c r="AA387" s="243">
        <v>0</v>
      </c>
      <c r="AB387" s="243">
        <v>0</v>
      </c>
      <c r="AC387" s="245">
        <v>0</v>
      </c>
      <c r="AD387" s="18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</row>
    <row r="388" spans="1:43" s="17" customFormat="1" ht="24" customHeight="1" outlineLevel="1" x14ac:dyDescent="0.25">
      <c r="A388" s="78" t="s">
        <v>607</v>
      </c>
      <c r="B388" s="66" t="s">
        <v>854</v>
      </c>
      <c r="C388" s="226">
        <f t="shared" si="141"/>
        <v>5.6499999999999995</v>
      </c>
      <c r="D388" s="243">
        <f t="shared" si="139"/>
        <v>1413</v>
      </c>
      <c r="E388" s="208">
        <v>0</v>
      </c>
      <c r="F388" s="244">
        <f t="shared" si="142"/>
        <v>0</v>
      </c>
      <c r="G388" s="243">
        <v>0</v>
      </c>
      <c r="H388" s="243">
        <v>0</v>
      </c>
      <c r="I388" s="243">
        <v>0</v>
      </c>
      <c r="J388" s="208">
        <v>0</v>
      </c>
      <c r="K388" s="244">
        <f t="shared" si="140"/>
        <v>0</v>
      </c>
      <c r="L388" s="243">
        <v>0</v>
      </c>
      <c r="M388" s="243">
        <v>0</v>
      </c>
      <c r="N388" s="243">
        <v>0</v>
      </c>
      <c r="O388" s="73">
        <v>0</v>
      </c>
      <c r="P388" s="243">
        <f t="shared" si="143"/>
        <v>0</v>
      </c>
      <c r="Q388" s="243">
        <v>0</v>
      </c>
      <c r="R388" s="243">
        <v>0</v>
      </c>
      <c r="S388" s="245">
        <v>0</v>
      </c>
      <c r="T388" s="73">
        <v>5.6499999999999995</v>
      </c>
      <c r="U388" s="243">
        <f t="shared" si="144"/>
        <v>1413</v>
      </c>
      <c r="V388" s="243">
        <v>0</v>
      </c>
      <c r="W388" s="243">
        <v>0</v>
      </c>
      <c r="X388" s="245">
        <v>1413</v>
      </c>
      <c r="Y388" s="73">
        <v>0</v>
      </c>
      <c r="Z388" s="243">
        <f t="shared" si="145"/>
        <v>0</v>
      </c>
      <c r="AA388" s="243">
        <v>0</v>
      </c>
      <c r="AB388" s="243">
        <v>0</v>
      </c>
      <c r="AC388" s="245">
        <v>0</v>
      </c>
      <c r="AD388" s="18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</row>
    <row r="389" spans="1:43" s="17" customFormat="1" ht="28.2" customHeight="1" outlineLevel="1" x14ac:dyDescent="0.25">
      <c r="A389" s="78" t="s">
        <v>608</v>
      </c>
      <c r="B389" s="66" t="s">
        <v>855</v>
      </c>
      <c r="C389" s="226">
        <f t="shared" si="141"/>
        <v>3.35</v>
      </c>
      <c r="D389" s="243">
        <f t="shared" si="139"/>
        <v>838</v>
      </c>
      <c r="E389" s="208">
        <v>0</v>
      </c>
      <c r="F389" s="244">
        <f t="shared" si="142"/>
        <v>0</v>
      </c>
      <c r="G389" s="243">
        <v>0</v>
      </c>
      <c r="H389" s="243">
        <v>0</v>
      </c>
      <c r="I389" s="243">
        <v>0</v>
      </c>
      <c r="J389" s="208">
        <v>0</v>
      </c>
      <c r="K389" s="244">
        <f t="shared" si="140"/>
        <v>0</v>
      </c>
      <c r="L389" s="243">
        <v>0</v>
      </c>
      <c r="M389" s="243">
        <v>0</v>
      </c>
      <c r="N389" s="243">
        <v>0</v>
      </c>
      <c r="O389" s="73">
        <v>0</v>
      </c>
      <c r="P389" s="243">
        <f t="shared" si="143"/>
        <v>0</v>
      </c>
      <c r="Q389" s="243">
        <v>0</v>
      </c>
      <c r="R389" s="243">
        <v>0</v>
      </c>
      <c r="S389" s="245">
        <v>0</v>
      </c>
      <c r="T389" s="73">
        <v>3.35</v>
      </c>
      <c r="U389" s="243">
        <f t="shared" si="144"/>
        <v>838</v>
      </c>
      <c r="V389" s="243">
        <v>0</v>
      </c>
      <c r="W389" s="243">
        <v>0</v>
      </c>
      <c r="X389" s="245">
        <v>838</v>
      </c>
      <c r="Y389" s="73">
        <v>0</v>
      </c>
      <c r="Z389" s="243">
        <f t="shared" si="145"/>
        <v>0</v>
      </c>
      <c r="AA389" s="243">
        <v>0</v>
      </c>
      <c r="AB389" s="243">
        <v>0</v>
      </c>
      <c r="AC389" s="245">
        <v>0</v>
      </c>
      <c r="AD389" s="18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</row>
    <row r="390" spans="1:43" s="17" customFormat="1" ht="23.4" customHeight="1" outlineLevel="1" x14ac:dyDescent="0.25">
      <c r="A390" s="78" t="s">
        <v>609</v>
      </c>
      <c r="B390" s="66" t="s">
        <v>354</v>
      </c>
      <c r="C390" s="226">
        <f t="shared" si="141"/>
        <v>2.9499999999999997</v>
      </c>
      <c r="D390" s="243">
        <f t="shared" si="139"/>
        <v>738</v>
      </c>
      <c r="E390" s="208">
        <v>0</v>
      </c>
      <c r="F390" s="244">
        <f t="shared" si="142"/>
        <v>0</v>
      </c>
      <c r="G390" s="243">
        <v>0</v>
      </c>
      <c r="H390" s="243">
        <v>0</v>
      </c>
      <c r="I390" s="243">
        <v>0</v>
      </c>
      <c r="J390" s="208">
        <v>0</v>
      </c>
      <c r="K390" s="244">
        <f t="shared" si="140"/>
        <v>0</v>
      </c>
      <c r="L390" s="243">
        <v>0</v>
      </c>
      <c r="M390" s="243">
        <v>0</v>
      </c>
      <c r="N390" s="243">
        <v>0</v>
      </c>
      <c r="O390" s="73">
        <v>0</v>
      </c>
      <c r="P390" s="243">
        <f t="shared" si="143"/>
        <v>0</v>
      </c>
      <c r="Q390" s="243">
        <v>0</v>
      </c>
      <c r="R390" s="243">
        <v>0</v>
      </c>
      <c r="S390" s="245">
        <v>0</v>
      </c>
      <c r="T390" s="73">
        <v>2.9499999999999997</v>
      </c>
      <c r="U390" s="243">
        <f t="shared" si="144"/>
        <v>738</v>
      </c>
      <c r="V390" s="243">
        <v>0</v>
      </c>
      <c r="W390" s="243">
        <v>0</v>
      </c>
      <c r="X390" s="245">
        <v>738</v>
      </c>
      <c r="Y390" s="73">
        <v>0</v>
      </c>
      <c r="Z390" s="243">
        <f t="shared" si="145"/>
        <v>0</v>
      </c>
      <c r="AA390" s="243">
        <v>0</v>
      </c>
      <c r="AB390" s="243">
        <v>0</v>
      </c>
      <c r="AC390" s="245">
        <v>0</v>
      </c>
      <c r="AD390" s="18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</row>
    <row r="391" spans="1:43" s="17" customFormat="1" ht="24" customHeight="1" outlineLevel="1" x14ac:dyDescent="0.25">
      <c r="A391" s="78" t="s">
        <v>610</v>
      </c>
      <c r="B391" s="66" t="s">
        <v>355</v>
      </c>
      <c r="C391" s="226">
        <f t="shared" si="141"/>
        <v>1.6</v>
      </c>
      <c r="D391" s="243">
        <f t="shared" si="139"/>
        <v>400</v>
      </c>
      <c r="E391" s="208">
        <v>0</v>
      </c>
      <c r="F391" s="244">
        <f t="shared" si="142"/>
        <v>0</v>
      </c>
      <c r="G391" s="243">
        <v>0</v>
      </c>
      <c r="H391" s="243">
        <v>0</v>
      </c>
      <c r="I391" s="243">
        <v>0</v>
      </c>
      <c r="J391" s="208">
        <v>0</v>
      </c>
      <c r="K391" s="244">
        <f t="shared" si="140"/>
        <v>0</v>
      </c>
      <c r="L391" s="243">
        <v>0</v>
      </c>
      <c r="M391" s="243">
        <v>0</v>
      </c>
      <c r="N391" s="243">
        <v>0</v>
      </c>
      <c r="O391" s="73">
        <v>0</v>
      </c>
      <c r="P391" s="243">
        <f t="shared" si="143"/>
        <v>0</v>
      </c>
      <c r="Q391" s="243">
        <v>0</v>
      </c>
      <c r="R391" s="243">
        <v>0</v>
      </c>
      <c r="S391" s="245">
        <v>0</v>
      </c>
      <c r="T391" s="73">
        <v>1.6</v>
      </c>
      <c r="U391" s="243">
        <f t="shared" si="144"/>
        <v>400</v>
      </c>
      <c r="V391" s="243">
        <v>0</v>
      </c>
      <c r="W391" s="243">
        <v>0</v>
      </c>
      <c r="X391" s="245">
        <v>400</v>
      </c>
      <c r="Y391" s="73">
        <v>0</v>
      </c>
      <c r="Z391" s="243">
        <f t="shared" si="145"/>
        <v>0</v>
      </c>
      <c r="AA391" s="243">
        <v>0</v>
      </c>
      <c r="AB391" s="243">
        <v>0</v>
      </c>
      <c r="AC391" s="245">
        <v>0</v>
      </c>
      <c r="AD391" s="18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</row>
    <row r="392" spans="1:43" s="17" customFormat="1" ht="22.95" customHeight="1" outlineLevel="1" x14ac:dyDescent="0.25">
      <c r="A392" s="78" t="s">
        <v>611</v>
      </c>
      <c r="B392" s="66" t="s">
        <v>356</v>
      </c>
      <c r="C392" s="226">
        <f t="shared" si="141"/>
        <v>1.6</v>
      </c>
      <c r="D392" s="243">
        <f t="shared" si="139"/>
        <v>400</v>
      </c>
      <c r="E392" s="208">
        <v>0</v>
      </c>
      <c r="F392" s="244">
        <f t="shared" si="142"/>
        <v>0</v>
      </c>
      <c r="G392" s="243">
        <v>0</v>
      </c>
      <c r="H392" s="243">
        <v>0</v>
      </c>
      <c r="I392" s="243">
        <v>0</v>
      </c>
      <c r="J392" s="208">
        <v>0</v>
      </c>
      <c r="K392" s="244">
        <f t="shared" si="140"/>
        <v>0</v>
      </c>
      <c r="L392" s="243">
        <v>0</v>
      </c>
      <c r="M392" s="243">
        <v>0</v>
      </c>
      <c r="N392" s="243">
        <v>0</v>
      </c>
      <c r="O392" s="73">
        <v>0</v>
      </c>
      <c r="P392" s="243">
        <f t="shared" si="143"/>
        <v>0</v>
      </c>
      <c r="Q392" s="243">
        <v>0</v>
      </c>
      <c r="R392" s="243">
        <v>0</v>
      </c>
      <c r="S392" s="245">
        <v>0</v>
      </c>
      <c r="T392" s="73">
        <v>1.6</v>
      </c>
      <c r="U392" s="243">
        <f t="shared" si="144"/>
        <v>400</v>
      </c>
      <c r="V392" s="243">
        <v>0</v>
      </c>
      <c r="W392" s="243">
        <v>0</v>
      </c>
      <c r="X392" s="245">
        <v>400</v>
      </c>
      <c r="Y392" s="73">
        <v>0</v>
      </c>
      <c r="Z392" s="243">
        <f t="shared" si="145"/>
        <v>0</v>
      </c>
      <c r="AA392" s="243">
        <v>0</v>
      </c>
      <c r="AB392" s="243">
        <v>0</v>
      </c>
      <c r="AC392" s="245">
        <v>0</v>
      </c>
      <c r="AD392" s="18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</row>
    <row r="393" spans="1:43" s="17" customFormat="1" ht="22.95" customHeight="1" outlineLevel="1" x14ac:dyDescent="0.25">
      <c r="A393" s="78" t="s">
        <v>612</v>
      </c>
      <c r="B393" s="66" t="s">
        <v>856</v>
      </c>
      <c r="C393" s="226">
        <f t="shared" si="141"/>
        <v>1.6</v>
      </c>
      <c r="D393" s="243">
        <f t="shared" si="139"/>
        <v>400</v>
      </c>
      <c r="E393" s="208">
        <v>0</v>
      </c>
      <c r="F393" s="244">
        <f t="shared" si="142"/>
        <v>0</v>
      </c>
      <c r="G393" s="243">
        <v>0</v>
      </c>
      <c r="H393" s="243">
        <v>0</v>
      </c>
      <c r="I393" s="243">
        <v>0</v>
      </c>
      <c r="J393" s="208">
        <v>0</v>
      </c>
      <c r="K393" s="244">
        <f t="shared" si="140"/>
        <v>0</v>
      </c>
      <c r="L393" s="243">
        <v>0</v>
      </c>
      <c r="M393" s="243">
        <v>0</v>
      </c>
      <c r="N393" s="243">
        <v>0</v>
      </c>
      <c r="O393" s="73">
        <v>0</v>
      </c>
      <c r="P393" s="243">
        <f t="shared" si="143"/>
        <v>0</v>
      </c>
      <c r="Q393" s="243">
        <v>0</v>
      </c>
      <c r="R393" s="243">
        <v>0</v>
      </c>
      <c r="S393" s="245">
        <v>0</v>
      </c>
      <c r="T393" s="73">
        <v>1.6</v>
      </c>
      <c r="U393" s="243">
        <f t="shared" si="144"/>
        <v>400</v>
      </c>
      <c r="V393" s="243">
        <v>0</v>
      </c>
      <c r="W393" s="243">
        <v>0</v>
      </c>
      <c r="X393" s="245">
        <v>400</v>
      </c>
      <c r="Y393" s="73">
        <v>0</v>
      </c>
      <c r="Z393" s="243">
        <f t="shared" si="145"/>
        <v>0</v>
      </c>
      <c r="AA393" s="243">
        <v>0</v>
      </c>
      <c r="AB393" s="243">
        <v>0</v>
      </c>
      <c r="AC393" s="245">
        <v>0</v>
      </c>
      <c r="AD393" s="18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</row>
    <row r="394" spans="1:43" s="17" customFormat="1" ht="22.2" customHeight="1" outlineLevel="1" x14ac:dyDescent="0.25">
      <c r="A394" s="78" t="s">
        <v>613</v>
      </c>
      <c r="B394" s="66" t="s">
        <v>357</v>
      </c>
      <c r="C394" s="226">
        <f t="shared" si="141"/>
        <v>1.75</v>
      </c>
      <c r="D394" s="243">
        <f t="shared" si="139"/>
        <v>438</v>
      </c>
      <c r="E394" s="208">
        <v>0</v>
      </c>
      <c r="F394" s="244">
        <f t="shared" si="142"/>
        <v>0</v>
      </c>
      <c r="G394" s="243">
        <v>0</v>
      </c>
      <c r="H394" s="243">
        <v>0</v>
      </c>
      <c r="I394" s="243">
        <v>0</v>
      </c>
      <c r="J394" s="208">
        <v>0</v>
      </c>
      <c r="K394" s="244">
        <f t="shared" si="140"/>
        <v>0</v>
      </c>
      <c r="L394" s="243">
        <v>0</v>
      </c>
      <c r="M394" s="243">
        <v>0</v>
      </c>
      <c r="N394" s="243">
        <v>0</v>
      </c>
      <c r="O394" s="73">
        <v>0</v>
      </c>
      <c r="P394" s="243">
        <f t="shared" si="143"/>
        <v>0</v>
      </c>
      <c r="Q394" s="243">
        <v>0</v>
      </c>
      <c r="R394" s="243">
        <v>0</v>
      </c>
      <c r="S394" s="245">
        <v>0</v>
      </c>
      <c r="T394" s="73">
        <v>1.75</v>
      </c>
      <c r="U394" s="243">
        <f t="shared" si="144"/>
        <v>438</v>
      </c>
      <c r="V394" s="243">
        <v>0</v>
      </c>
      <c r="W394" s="243">
        <v>0</v>
      </c>
      <c r="X394" s="245">
        <v>438</v>
      </c>
      <c r="Y394" s="73">
        <v>0</v>
      </c>
      <c r="Z394" s="243">
        <f t="shared" si="145"/>
        <v>0</v>
      </c>
      <c r="AA394" s="243">
        <v>0</v>
      </c>
      <c r="AB394" s="243">
        <v>0</v>
      </c>
      <c r="AC394" s="245">
        <v>0</v>
      </c>
      <c r="AD394" s="18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</row>
    <row r="395" spans="1:43" s="17" customFormat="1" ht="22.2" customHeight="1" outlineLevel="1" x14ac:dyDescent="0.25">
      <c r="A395" s="78" t="s">
        <v>614</v>
      </c>
      <c r="B395" s="66" t="s">
        <v>358</v>
      </c>
      <c r="C395" s="226">
        <f t="shared" si="141"/>
        <v>2.9499999999999997</v>
      </c>
      <c r="D395" s="243">
        <f t="shared" si="139"/>
        <v>738</v>
      </c>
      <c r="E395" s="208">
        <v>0</v>
      </c>
      <c r="F395" s="244">
        <f t="shared" si="142"/>
        <v>0</v>
      </c>
      <c r="G395" s="243">
        <v>0</v>
      </c>
      <c r="H395" s="243">
        <v>0</v>
      </c>
      <c r="I395" s="243">
        <v>0</v>
      </c>
      <c r="J395" s="208">
        <v>0</v>
      </c>
      <c r="K395" s="244">
        <f t="shared" si="140"/>
        <v>0</v>
      </c>
      <c r="L395" s="243">
        <v>0</v>
      </c>
      <c r="M395" s="243">
        <v>0</v>
      </c>
      <c r="N395" s="243">
        <v>0</v>
      </c>
      <c r="O395" s="73">
        <v>0</v>
      </c>
      <c r="P395" s="243">
        <f t="shared" si="143"/>
        <v>0</v>
      </c>
      <c r="Q395" s="243">
        <v>0</v>
      </c>
      <c r="R395" s="243">
        <v>0</v>
      </c>
      <c r="S395" s="245">
        <v>0</v>
      </c>
      <c r="T395" s="73">
        <v>2.9499999999999997</v>
      </c>
      <c r="U395" s="243">
        <f t="shared" si="144"/>
        <v>738</v>
      </c>
      <c r="V395" s="243">
        <v>0</v>
      </c>
      <c r="W395" s="243">
        <v>0</v>
      </c>
      <c r="X395" s="245">
        <v>738</v>
      </c>
      <c r="Y395" s="73">
        <v>0</v>
      </c>
      <c r="Z395" s="243">
        <f t="shared" si="145"/>
        <v>0</v>
      </c>
      <c r="AA395" s="243">
        <v>0</v>
      </c>
      <c r="AB395" s="243">
        <v>0</v>
      </c>
      <c r="AC395" s="245">
        <v>0</v>
      </c>
      <c r="AD395" s="18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</row>
    <row r="396" spans="1:43" s="17" customFormat="1" ht="22.2" customHeight="1" outlineLevel="1" x14ac:dyDescent="0.25">
      <c r="A396" s="78" t="s">
        <v>615</v>
      </c>
      <c r="B396" s="66" t="s">
        <v>359</v>
      </c>
      <c r="C396" s="226">
        <f t="shared" si="141"/>
        <v>1.05</v>
      </c>
      <c r="D396" s="243">
        <f t="shared" si="139"/>
        <v>263</v>
      </c>
      <c r="E396" s="208">
        <v>0</v>
      </c>
      <c r="F396" s="244">
        <f t="shared" si="142"/>
        <v>0</v>
      </c>
      <c r="G396" s="243">
        <v>0</v>
      </c>
      <c r="H396" s="243">
        <v>0</v>
      </c>
      <c r="I396" s="243">
        <v>0</v>
      </c>
      <c r="J396" s="208">
        <v>0</v>
      </c>
      <c r="K396" s="244">
        <f t="shared" si="140"/>
        <v>0</v>
      </c>
      <c r="L396" s="243">
        <v>0</v>
      </c>
      <c r="M396" s="243">
        <v>0</v>
      </c>
      <c r="N396" s="243">
        <v>0</v>
      </c>
      <c r="O396" s="73">
        <v>0</v>
      </c>
      <c r="P396" s="243">
        <f t="shared" si="143"/>
        <v>0</v>
      </c>
      <c r="Q396" s="243">
        <v>0</v>
      </c>
      <c r="R396" s="243">
        <v>0</v>
      </c>
      <c r="S396" s="245">
        <v>0</v>
      </c>
      <c r="T396" s="73">
        <v>1.05</v>
      </c>
      <c r="U396" s="243">
        <f t="shared" si="144"/>
        <v>263</v>
      </c>
      <c r="V396" s="243">
        <v>0</v>
      </c>
      <c r="W396" s="243">
        <v>0</v>
      </c>
      <c r="X396" s="245">
        <v>263</v>
      </c>
      <c r="Y396" s="73">
        <v>0</v>
      </c>
      <c r="Z396" s="243">
        <f t="shared" si="145"/>
        <v>0</v>
      </c>
      <c r="AA396" s="243">
        <v>0</v>
      </c>
      <c r="AB396" s="243">
        <v>0</v>
      </c>
      <c r="AC396" s="245">
        <v>0</v>
      </c>
      <c r="AD396" s="18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</row>
    <row r="397" spans="1:43" s="17" customFormat="1" ht="22.2" customHeight="1" outlineLevel="1" x14ac:dyDescent="0.25">
      <c r="A397" s="78" t="s">
        <v>616</v>
      </c>
      <c r="B397" s="66" t="s">
        <v>360</v>
      </c>
      <c r="C397" s="226">
        <f t="shared" si="141"/>
        <v>1.1000000000000001</v>
      </c>
      <c r="D397" s="243">
        <f t="shared" si="139"/>
        <v>275</v>
      </c>
      <c r="E397" s="208">
        <v>0</v>
      </c>
      <c r="F397" s="244">
        <f t="shared" si="142"/>
        <v>0</v>
      </c>
      <c r="G397" s="243">
        <v>0</v>
      </c>
      <c r="H397" s="243">
        <v>0</v>
      </c>
      <c r="I397" s="243">
        <v>0</v>
      </c>
      <c r="J397" s="208">
        <v>0</v>
      </c>
      <c r="K397" s="244">
        <f t="shared" si="140"/>
        <v>0</v>
      </c>
      <c r="L397" s="243">
        <v>0</v>
      </c>
      <c r="M397" s="243">
        <v>0</v>
      </c>
      <c r="N397" s="243">
        <v>0</v>
      </c>
      <c r="O397" s="73">
        <v>0</v>
      </c>
      <c r="P397" s="243">
        <f t="shared" si="143"/>
        <v>0</v>
      </c>
      <c r="Q397" s="243">
        <v>0</v>
      </c>
      <c r="R397" s="243">
        <v>0</v>
      </c>
      <c r="S397" s="245">
        <v>0</v>
      </c>
      <c r="T397" s="73">
        <v>1.1000000000000001</v>
      </c>
      <c r="U397" s="243">
        <f t="shared" si="144"/>
        <v>275</v>
      </c>
      <c r="V397" s="243">
        <v>0</v>
      </c>
      <c r="W397" s="243">
        <v>0</v>
      </c>
      <c r="X397" s="245">
        <v>275</v>
      </c>
      <c r="Y397" s="73">
        <v>0</v>
      </c>
      <c r="Z397" s="243">
        <f t="shared" si="145"/>
        <v>0</v>
      </c>
      <c r="AA397" s="243">
        <v>0</v>
      </c>
      <c r="AB397" s="243">
        <v>0</v>
      </c>
      <c r="AC397" s="245">
        <v>0</v>
      </c>
      <c r="AD397" s="18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</row>
    <row r="398" spans="1:43" s="17" customFormat="1" ht="22.95" customHeight="1" outlineLevel="1" x14ac:dyDescent="0.25">
      <c r="A398" s="78" t="s">
        <v>617</v>
      </c>
      <c r="B398" s="66" t="s">
        <v>361</v>
      </c>
      <c r="C398" s="226">
        <f t="shared" si="141"/>
        <v>1.1000000000000001</v>
      </c>
      <c r="D398" s="243">
        <f t="shared" si="139"/>
        <v>275</v>
      </c>
      <c r="E398" s="208">
        <v>0</v>
      </c>
      <c r="F398" s="244">
        <f t="shared" si="142"/>
        <v>0</v>
      </c>
      <c r="G398" s="243">
        <v>0</v>
      </c>
      <c r="H398" s="243">
        <v>0</v>
      </c>
      <c r="I398" s="243">
        <v>0</v>
      </c>
      <c r="J398" s="208">
        <v>0</v>
      </c>
      <c r="K398" s="244">
        <f t="shared" si="140"/>
        <v>0</v>
      </c>
      <c r="L398" s="243">
        <v>0</v>
      </c>
      <c r="M398" s="243">
        <v>0</v>
      </c>
      <c r="N398" s="243">
        <v>0</v>
      </c>
      <c r="O398" s="73">
        <v>0</v>
      </c>
      <c r="P398" s="243">
        <f t="shared" si="143"/>
        <v>0</v>
      </c>
      <c r="Q398" s="243">
        <v>0</v>
      </c>
      <c r="R398" s="243">
        <v>0</v>
      </c>
      <c r="S398" s="245">
        <v>0</v>
      </c>
      <c r="T398" s="73">
        <v>1.1000000000000001</v>
      </c>
      <c r="U398" s="243">
        <f t="shared" si="144"/>
        <v>275</v>
      </c>
      <c r="V398" s="243">
        <v>0</v>
      </c>
      <c r="W398" s="243">
        <v>0</v>
      </c>
      <c r="X398" s="245">
        <v>275</v>
      </c>
      <c r="Y398" s="73">
        <v>0</v>
      </c>
      <c r="Z398" s="243">
        <f t="shared" si="145"/>
        <v>0</v>
      </c>
      <c r="AA398" s="243">
        <v>0</v>
      </c>
      <c r="AB398" s="243">
        <v>0</v>
      </c>
      <c r="AC398" s="245">
        <v>0</v>
      </c>
      <c r="AD398" s="18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</row>
    <row r="399" spans="1:43" s="17" customFormat="1" ht="24.6" customHeight="1" outlineLevel="1" x14ac:dyDescent="0.25">
      <c r="A399" s="78" t="s">
        <v>618</v>
      </c>
      <c r="B399" s="66" t="s">
        <v>362</v>
      </c>
      <c r="C399" s="226">
        <f t="shared" si="141"/>
        <v>2.9499999999999997</v>
      </c>
      <c r="D399" s="243">
        <f t="shared" si="139"/>
        <v>738</v>
      </c>
      <c r="E399" s="208">
        <v>0</v>
      </c>
      <c r="F399" s="244">
        <f t="shared" si="142"/>
        <v>0</v>
      </c>
      <c r="G399" s="243">
        <v>0</v>
      </c>
      <c r="H399" s="243">
        <v>0</v>
      </c>
      <c r="I399" s="243">
        <v>0</v>
      </c>
      <c r="J399" s="208">
        <v>0</v>
      </c>
      <c r="K399" s="244">
        <f t="shared" si="140"/>
        <v>0</v>
      </c>
      <c r="L399" s="243">
        <v>0</v>
      </c>
      <c r="M399" s="243">
        <v>0</v>
      </c>
      <c r="N399" s="243">
        <v>0</v>
      </c>
      <c r="O399" s="73">
        <v>0</v>
      </c>
      <c r="P399" s="243">
        <f t="shared" si="143"/>
        <v>0</v>
      </c>
      <c r="Q399" s="243">
        <v>0</v>
      </c>
      <c r="R399" s="243">
        <v>0</v>
      </c>
      <c r="S399" s="245">
        <v>0</v>
      </c>
      <c r="T399" s="73">
        <v>2.9499999999999997</v>
      </c>
      <c r="U399" s="243">
        <f t="shared" si="144"/>
        <v>738</v>
      </c>
      <c r="V399" s="243">
        <v>0</v>
      </c>
      <c r="W399" s="243">
        <v>0</v>
      </c>
      <c r="X399" s="245">
        <v>738</v>
      </c>
      <c r="Y399" s="73">
        <v>0</v>
      </c>
      <c r="Z399" s="243">
        <f t="shared" si="145"/>
        <v>0</v>
      </c>
      <c r="AA399" s="243">
        <v>0</v>
      </c>
      <c r="AB399" s="243">
        <v>0</v>
      </c>
      <c r="AC399" s="245">
        <v>0</v>
      </c>
      <c r="AD399" s="18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</row>
    <row r="400" spans="1:43" s="17" customFormat="1" ht="23.4" customHeight="1" outlineLevel="1" x14ac:dyDescent="0.25">
      <c r="A400" s="78" t="s">
        <v>619</v>
      </c>
      <c r="B400" s="66" t="s">
        <v>363</v>
      </c>
      <c r="C400" s="226">
        <f t="shared" si="141"/>
        <v>2.9499999999999997</v>
      </c>
      <c r="D400" s="243">
        <f t="shared" si="139"/>
        <v>738</v>
      </c>
      <c r="E400" s="208">
        <v>0</v>
      </c>
      <c r="F400" s="244">
        <f t="shared" si="142"/>
        <v>0</v>
      </c>
      <c r="G400" s="243">
        <v>0</v>
      </c>
      <c r="H400" s="243">
        <v>0</v>
      </c>
      <c r="I400" s="243">
        <v>0</v>
      </c>
      <c r="J400" s="208">
        <v>0</v>
      </c>
      <c r="K400" s="244">
        <f t="shared" si="140"/>
        <v>0</v>
      </c>
      <c r="L400" s="243">
        <v>0</v>
      </c>
      <c r="M400" s="243">
        <v>0</v>
      </c>
      <c r="N400" s="243">
        <v>0</v>
      </c>
      <c r="O400" s="73">
        <v>0</v>
      </c>
      <c r="P400" s="243">
        <f t="shared" si="143"/>
        <v>0</v>
      </c>
      <c r="Q400" s="243">
        <v>0</v>
      </c>
      <c r="R400" s="243">
        <v>0</v>
      </c>
      <c r="S400" s="245">
        <v>0</v>
      </c>
      <c r="T400" s="73">
        <v>2.9499999999999997</v>
      </c>
      <c r="U400" s="243">
        <f t="shared" si="144"/>
        <v>738</v>
      </c>
      <c r="V400" s="243">
        <v>0</v>
      </c>
      <c r="W400" s="243">
        <v>0</v>
      </c>
      <c r="X400" s="245">
        <v>738</v>
      </c>
      <c r="Y400" s="73">
        <v>0</v>
      </c>
      <c r="Z400" s="243">
        <f t="shared" si="145"/>
        <v>0</v>
      </c>
      <c r="AA400" s="243">
        <v>0</v>
      </c>
      <c r="AB400" s="243">
        <v>0</v>
      </c>
      <c r="AC400" s="245">
        <v>0</v>
      </c>
      <c r="AD400" s="18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</row>
    <row r="401" spans="1:43" s="17" customFormat="1" ht="22.2" customHeight="1" outlineLevel="1" x14ac:dyDescent="0.25">
      <c r="A401" s="78" t="s">
        <v>620</v>
      </c>
      <c r="B401" s="66" t="s">
        <v>857</v>
      </c>
      <c r="C401" s="226">
        <f t="shared" si="141"/>
        <v>3.35</v>
      </c>
      <c r="D401" s="243">
        <f t="shared" si="139"/>
        <v>838</v>
      </c>
      <c r="E401" s="208">
        <v>0</v>
      </c>
      <c r="F401" s="244">
        <f t="shared" si="142"/>
        <v>0</v>
      </c>
      <c r="G401" s="243">
        <v>0</v>
      </c>
      <c r="H401" s="243">
        <v>0</v>
      </c>
      <c r="I401" s="243">
        <v>0</v>
      </c>
      <c r="J401" s="208">
        <v>0</v>
      </c>
      <c r="K401" s="244">
        <f t="shared" si="140"/>
        <v>0</v>
      </c>
      <c r="L401" s="243">
        <v>0</v>
      </c>
      <c r="M401" s="243">
        <v>0</v>
      </c>
      <c r="N401" s="243">
        <v>0</v>
      </c>
      <c r="O401" s="73">
        <v>0</v>
      </c>
      <c r="P401" s="243">
        <f t="shared" si="143"/>
        <v>0</v>
      </c>
      <c r="Q401" s="243">
        <v>0</v>
      </c>
      <c r="R401" s="243">
        <v>0</v>
      </c>
      <c r="S401" s="245">
        <v>0</v>
      </c>
      <c r="T401" s="73">
        <v>3.35</v>
      </c>
      <c r="U401" s="243">
        <f t="shared" si="144"/>
        <v>838</v>
      </c>
      <c r="V401" s="243">
        <v>0</v>
      </c>
      <c r="W401" s="243">
        <v>0</v>
      </c>
      <c r="X401" s="245">
        <v>838</v>
      </c>
      <c r="Y401" s="73">
        <v>0</v>
      </c>
      <c r="Z401" s="243">
        <f t="shared" si="145"/>
        <v>0</v>
      </c>
      <c r="AA401" s="243">
        <v>0</v>
      </c>
      <c r="AB401" s="243">
        <v>0</v>
      </c>
      <c r="AC401" s="245">
        <v>0</v>
      </c>
      <c r="AD401" s="18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</row>
    <row r="402" spans="1:43" s="17" customFormat="1" ht="22.2" customHeight="1" outlineLevel="1" x14ac:dyDescent="0.25">
      <c r="A402" s="78" t="s">
        <v>621</v>
      </c>
      <c r="B402" s="66" t="s">
        <v>364</v>
      </c>
      <c r="C402" s="226">
        <f t="shared" si="141"/>
        <v>3.9000000000000004</v>
      </c>
      <c r="D402" s="243">
        <f t="shared" si="139"/>
        <v>975.00000000000011</v>
      </c>
      <c r="E402" s="208">
        <v>0</v>
      </c>
      <c r="F402" s="244">
        <f t="shared" si="142"/>
        <v>0</v>
      </c>
      <c r="G402" s="243">
        <v>0</v>
      </c>
      <c r="H402" s="243">
        <v>0</v>
      </c>
      <c r="I402" s="243">
        <v>0</v>
      </c>
      <c r="J402" s="208">
        <v>0</v>
      </c>
      <c r="K402" s="244">
        <f t="shared" si="140"/>
        <v>0</v>
      </c>
      <c r="L402" s="243">
        <v>0</v>
      </c>
      <c r="M402" s="243">
        <v>0</v>
      </c>
      <c r="N402" s="243">
        <v>0</v>
      </c>
      <c r="O402" s="73">
        <v>0</v>
      </c>
      <c r="P402" s="243">
        <f t="shared" si="143"/>
        <v>0</v>
      </c>
      <c r="Q402" s="243">
        <v>0</v>
      </c>
      <c r="R402" s="243">
        <v>0</v>
      </c>
      <c r="S402" s="245">
        <v>0</v>
      </c>
      <c r="T402" s="73">
        <v>3.9000000000000004</v>
      </c>
      <c r="U402" s="243">
        <f t="shared" si="144"/>
        <v>975.00000000000011</v>
      </c>
      <c r="V402" s="243">
        <v>0</v>
      </c>
      <c r="W402" s="243">
        <v>0</v>
      </c>
      <c r="X402" s="245">
        <v>975.00000000000011</v>
      </c>
      <c r="Y402" s="73">
        <v>0</v>
      </c>
      <c r="Z402" s="243">
        <f t="shared" si="145"/>
        <v>0</v>
      </c>
      <c r="AA402" s="243">
        <v>0</v>
      </c>
      <c r="AB402" s="243">
        <v>0</v>
      </c>
      <c r="AC402" s="245">
        <v>0</v>
      </c>
      <c r="AD402" s="18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</row>
    <row r="403" spans="1:43" s="17" customFormat="1" ht="46.95" customHeight="1" outlineLevel="1" x14ac:dyDescent="0.25">
      <c r="A403" s="78" t="s">
        <v>622</v>
      </c>
      <c r="B403" s="66" t="s">
        <v>465</v>
      </c>
      <c r="C403" s="226">
        <f t="shared" si="141"/>
        <v>1.25</v>
      </c>
      <c r="D403" s="243">
        <f t="shared" si="139"/>
        <v>313</v>
      </c>
      <c r="E403" s="208">
        <v>0</v>
      </c>
      <c r="F403" s="244">
        <f t="shared" si="142"/>
        <v>0</v>
      </c>
      <c r="G403" s="243">
        <v>0</v>
      </c>
      <c r="H403" s="243">
        <v>0</v>
      </c>
      <c r="I403" s="243">
        <v>0</v>
      </c>
      <c r="J403" s="208">
        <v>0</v>
      </c>
      <c r="K403" s="244">
        <f t="shared" si="140"/>
        <v>0</v>
      </c>
      <c r="L403" s="243">
        <v>0</v>
      </c>
      <c r="M403" s="243">
        <v>0</v>
      </c>
      <c r="N403" s="243">
        <v>0</v>
      </c>
      <c r="O403" s="73">
        <v>0</v>
      </c>
      <c r="P403" s="243">
        <f t="shared" si="143"/>
        <v>0</v>
      </c>
      <c r="Q403" s="243">
        <v>0</v>
      </c>
      <c r="R403" s="243">
        <v>0</v>
      </c>
      <c r="S403" s="245">
        <v>0</v>
      </c>
      <c r="T403" s="73">
        <v>1.25</v>
      </c>
      <c r="U403" s="243">
        <f t="shared" si="144"/>
        <v>313</v>
      </c>
      <c r="V403" s="243">
        <v>0</v>
      </c>
      <c r="W403" s="243">
        <v>0</v>
      </c>
      <c r="X403" s="245">
        <v>313</v>
      </c>
      <c r="Y403" s="73">
        <v>0</v>
      </c>
      <c r="Z403" s="243">
        <f t="shared" si="145"/>
        <v>0</v>
      </c>
      <c r="AA403" s="243">
        <v>0</v>
      </c>
      <c r="AB403" s="243">
        <v>0</v>
      </c>
      <c r="AC403" s="245">
        <v>0</v>
      </c>
      <c r="AD403" s="18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</row>
    <row r="404" spans="1:43" s="17" customFormat="1" ht="46.95" customHeight="1" outlineLevel="1" x14ac:dyDescent="0.25">
      <c r="A404" s="78" t="s">
        <v>623</v>
      </c>
      <c r="B404" s="66" t="s">
        <v>466</v>
      </c>
      <c r="C404" s="226">
        <f t="shared" si="141"/>
        <v>1.25</v>
      </c>
      <c r="D404" s="243">
        <f t="shared" si="139"/>
        <v>312.5</v>
      </c>
      <c r="E404" s="208">
        <v>0</v>
      </c>
      <c r="F404" s="244">
        <f t="shared" si="142"/>
        <v>0</v>
      </c>
      <c r="G404" s="243">
        <v>0</v>
      </c>
      <c r="H404" s="243">
        <v>0</v>
      </c>
      <c r="I404" s="243">
        <v>0</v>
      </c>
      <c r="J404" s="208">
        <v>0</v>
      </c>
      <c r="K404" s="244">
        <f t="shared" si="140"/>
        <v>0</v>
      </c>
      <c r="L404" s="243">
        <v>0</v>
      </c>
      <c r="M404" s="243">
        <v>0</v>
      </c>
      <c r="N404" s="243">
        <v>0</v>
      </c>
      <c r="O404" s="73">
        <v>0</v>
      </c>
      <c r="P404" s="243">
        <f t="shared" si="143"/>
        <v>0</v>
      </c>
      <c r="Q404" s="243">
        <v>0</v>
      </c>
      <c r="R404" s="243">
        <v>0</v>
      </c>
      <c r="S404" s="245">
        <v>0</v>
      </c>
      <c r="T404" s="73">
        <v>1.25</v>
      </c>
      <c r="U404" s="243">
        <f t="shared" si="144"/>
        <v>312.5</v>
      </c>
      <c r="V404" s="243">
        <v>0</v>
      </c>
      <c r="W404" s="243">
        <v>0</v>
      </c>
      <c r="X404" s="245">
        <v>312.5</v>
      </c>
      <c r="Y404" s="73">
        <v>0</v>
      </c>
      <c r="Z404" s="243">
        <f t="shared" si="145"/>
        <v>0</v>
      </c>
      <c r="AA404" s="243">
        <v>0</v>
      </c>
      <c r="AB404" s="243">
        <v>0</v>
      </c>
      <c r="AC404" s="245">
        <v>0</v>
      </c>
      <c r="AD404" s="18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</row>
    <row r="405" spans="1:43" s="324" customFormat="1" ht="46.95" customHeight="1" outlineLevel="1" x14ac:dyDescent="0.25">
      <c r="A405" s="314" t="s">
        <v>1241</v>
      </c>
      <c r="B405" s="315" t="s">
        <v>1240</v>
      </c>
      <c r="C405" s="316">
        <f t="shared" ref="C405" si="149">E405+J405+O405+T405+Y405</f>
        <v>6.43</v>
      </c>
      <c r="D405" s="317">
        <f t="shared" ref="D405" si="150">F405+K405+P405+U405+Z405</f>
        <v>1129</v>
      </c>
      <c r="E405" s="318">
        <v>6.43</v>
      </c>
      <c r="F405" s="319">
        <f>G405+H405+I405</f>
        <v>1129</v>
      </c>
      <c r="G405" s="317">
        <v>0</v>
      </c>
      <c r="H405" s="317">
        <v>0</v>
      </c>
      <c r="I405" s="317">
        <v>1129</v>
      </c>
      <c r="J405" s="318">
        <v>0</v>
      </c>
      <c r="K405" s="319">
        <f t="shared" ref="K405" si="151">SUM(L405:N405)</f>
        <v>0</v>
      </c>
      <c r="L405" s="317">
        <v>0</v>
      </c>
      <c r="M405" s="317">
        <v>0</v>
      </c>
      <c r="N405" s="317">
        <v>0</v>
      </c>
      <c r="O405" s="320">
        <v>0</v>
      </c>
      <c r="P405" s="317">
        <f t="shared" ref="P405" si="152">Q405+R405+S405</f>
        <v>0</v>
      </c>
      <c r="Q405" s="317">
        <v>0</v>
      </c>
      <c r="R405" s="317">
        <v>0</v>
      </c>
      <c r="S405" s="321">
        <v>0</v>
      </c>
      <c r="T405" s="320">
        <v>0</v>
      </c>
      <c r="U405" s="317">
        <f t="shared" ref="U405" si="153">V405+W405+X405</f>
        <v>0</v>
      </c>
      <c r="V405" s="317">
        <v>0</v>
      </c>
      <c r="W405" s="317">
        <v>0</v>
      </c>
      <c r="X405" s="321">
        <v>0</v>
      </c>
      <c r="Y405" s="320">
        <v>0</v>
      </c>
      <c r="Z405" s="317">
        <f t="shared" ref="Z405" si="154">AA405+AB405+AC405</f>
        <v>0</v>
      </c>
      <c r="AA405" s="317">
        <v>0</v>
      </c>
      <c r="AB405" s="317">
        <v>0</v>
      </c>
      <c r="AC405" s="321">
        <v>0</v>
      </c>
      <c r="AD405" s="322"/>
      <c r="AE405" s="323"/>
      <c r="AF405" s="323"/>
      <c r="AG405" s="323"/>
      <c r="AH405" s="323"/>
      <c r="AI405" s="323"/>
      <c r="AJ405" s="323"/>
      <c r="AK405" s="323"/>
      <c r="AL405" s="323"/>
      <c r="AM405" s="323"/>
      <c r="AN405" s="323"/>
      <c r="AO405" s="323"/>
      <c r="AP405" s="323"/>
      <c r="AQ405" s="323"/>
    </row>
    <row r="406" spans="1:43" s="80" customFormat="1" ht="25.95" customHeight="1" x14ac:dyDescent="0.25">
      <c r="A406" s="79"/>
      <c r="B406" s="67" t="s">
        <v>463</v>
      </c>
      <c r="C406" s="74">
        <f t="shared" ref="C406:J406" si="155">SUM(C248,C381,C378)</f>
        <v>334.74000000000007</v>
      </c>
      <c r="D406" s="246">
        <f t="shared" si="155"/>
        <v>83154.7</v>
      </c>
      <c r="E406" s="74">
        <f t="shared" si="155"/>
        <v>14.67</v>
      </c>
      <c r="F406" s="246">
        <f t="shared" si="155"/>
        <v>2575.1999999999998</v>
      </c>
      <c r="G406" s="246">
        <f t="shared" si="155"/>
        <v>0</v>
      </c>
      <c r="H406" s="246">
        <f t="shared" si="155"/>
        <v>0</v>
      </c>
      <c r="I406" s="246">
        <f>SUM(I248,I381,I378)</f>
        <v>2575.1999999999998</v>
      </c>
      <c r="J406" s="74">
        <f t="shared" si="155"/>
        <v>0</v>
      </c>
      <c r="K406" s="246">
        <f t="shared" si="140"/>
        <v>0</v>
      </c>
      <c r="L406" s="246">
        <f>SUM(L248,L381,L378)</f>
        <v>0</v>
      </c>
      <c r="M406" s="246">
        <f>SUM(M248,M381,M378)</f>
        <v>0</v>
      </c>
      <c r="N406" s="246">
        <f>SUM(N248,N381,N378)</f>
        <v>0</v>
      </c>
      <c r="O406" s="74">
        <f>SUM(O248,O381,O378)</f>
        <v>0</v>
      </c>
      <c r="P406" s="246">
        <f t="shared" si="143"/>
        <v>0</v>
      </c>
      <c r="Q406" s="246">
        <f>SUM(Q248,Q381,Q378)</f>
        <v>0</v>
      </c>
      <c r="R406" s="246">
        <f>SUM(R248,R381,R378)</f>
        <v>0</v>
      </c>
      <c r="S406" s="246">
        <f>SUM(S248,S381,S378)</f>
        <v>0</v>
      </c>
      <c r="T406" s="74">
        <f>SUM(T248,T381,T378)</f>
        <v>184.53000000000003</v>
      </c>
      <c r="U406" s="246">
        <f t="shared" si="144"/>
        <v>46719.5</v>
      </c>
      <c r="V406" s="246">
        <f t="shared" ref="V406:AC406" si="156">SUM(V248,V381,V378)</f>
        <v>0</v>
      </c>
      <c r="W406" s="246">
        <f t="shared" si="156"/>
        <v>0</v>
      </c>
      <c r="X406" s="246">
        <f t="shared" si="156"/>
        <v>46719.5</v>
      </c>
      <c r="Y406" s="74">
        <f t="shared" si="156"/>
        <v>135.53999999999996</v>
      </c>
      <c r="Z406" s="246">
        <f t="shared" si="156"/>
        <v>33860</v>
      </c>
      <c r="AA406" s="247">
        <f t="shared" si="156"/>
        <v>0</v>
      </c>
      <c r="AB406" s="247">
        <f t="shared" si="156"/>
        <v>0</v>
      </c>
      <c r="AC406" s="246">
        <f t="shared" si="156"/>
        <v>33860</v>
      </c>
      <c r="AD406" s="224"/>
    </row>
    <row r="407" spans="1:43" s="17" customFormat="1" ht="24" customHeight="1" x14ac:dyDescent="0.25">
      <c r="A407" s="81" t="s">
        <v>470</v>
      </c>
      <c r="B407" s="68" t="s">
        <v>365</v>
      </c>
      <c r="C407" s="72"/>
      <c r="D407" s="243"/>
      <c r="E407" s="208"/>
      <c r="F407" s="244"/>
      <c r="G407" s="249"/>
      <c r="H407" s="249"/>
      <c r="I407" s="249"/>
      <c r="J407" s="99"/>
      <c r="K407" s="244">
        <f t="shared" si="140"/>
        <v>0</v>
      </c>
      <c r="L407" s="249"/>
      <c r="M407" s="249"/>
      <c r="N407" s="249"/>
      <c r="O407" s="72"/>
      <c r="P407" s="243"/>
      <c r="Q407" s="249"/>
      <c r="R407" s="249"/>
      <c r="S407" s="248"/>
      <c r="T407" s="72"/>
      <c r="U407" s="243"/>
      <c r="V407" s="249"/>
      <c r="W407" s="249"/>
      <c r="X407" s="248"/>
      <c r="Y407" s="72"/>
      <c r="Z407" s="243"/>
      <c r="AA407" s="243"/>
      <c r="AB407" s="243"/>
      <c r="AC407" s="248"/>
      <c r="AD407" s="18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</row>
    <row r="408" spans="1:43" s="17" customFormat="1" ht="34.200000000000003" customHeight="1" outlineLevel="1" x14ac:dyDescent="0.25">
      <c r="A408" s="79"/>
      <c r="B408" s="69" t="s">
        <v>460</v>
      </c>
      <c r="C408" s="71">
        <f>SUM(C409:C413)</f>
        <v>14.030000000000001</v>
      </c>
      <c r="D408" s="241">
        <f t="shared" ref="D408:AC408" si="157">SUM(D409:D413)</f>
        <v>4348</v>
      </c>
      <c r="E408" s="71">
        <f t="shared" si="157"/>
        <v>0</v>
      </c>
      <c r="F408" s="241">
        <f t="shared" si="157"/>
        <v>0</v>
      </c>
      <c r="G408" s="241">
        <f t="shared" si="157"/>
        <v>0</v>
      </c>
      <c r="H408" s="241">
        <f t="shared" si="157"/>
        <v>0</v>
      </c>
      <c r="I408" s="241">
        <f t="shared" si="157"/>
        <v>0</v>
      </c>
      <c r="J408" s="71">
        <f t="shared" si="157"/>
        <v>0</v>
      </c>
      <c r="K408" s="241">
        <f t="shared" si="140"/>
        <v>0</v>
      </c>
      <c r="L408" s="241">
        <f t="shared" si="157"/>
        <v>0</v>
      </c>
      <c r="M408" s="241">
        <f t="shared" si="157"/>
        <v>0</v>
      </c>
      <c r="N408" s="241">
        <f t="shared" si="157"/>
        <v>0</v>
      </c>
      <c r="O408" s="71">
        <f t="shared" si="157"/>
        <v>0</v>
      </c>
      <c r="P408" s="243">
        <f t="shared" si="143"/>
        <v>0</v>
      </c>
      <c r="Q408" s="241">
        <f t="shared" si="157"/>
        <v>0</v>
      </c>
      <c r="R408" s="241">
        <f t="shared" si="157"/>
        <v>0</v>
      </c>
      <c r="S408" s="241">
        <f t="shared" si="157"/>
        <v>0</v>
      </c>
      <c r="T408" s="71">
        <f t="shared" si="157"/>
        <v>14.030000000000001</v>
      </c>
      <c r="U408" s="243">
        <f t="shared" si="144"/>
        <v>4348</v>
      </c>
      <c r="V408" s="241">
        <f t="shared" si="157"/>
        <v>0</v>
      </c>
      <c r="W408" s="241">
        <f t="shared" si="157"/>
        <v>0</v>
      </c>
      <c r="X408" s="241">
        <f t="shared" si="157"/>
        <v>4348</v>
      </c>
      <c r="Y408" s="71">
        <f t="shared" si="157"/>
        <v>0</v>
      </c>
      <c r="Z408" s="243">
        <f t="shared" si="157"/>
        <v>0</v>
      </c>
      <c r="AA408" s="245">
        <f t="shared" si="157"/>
        <v>0</v>
      </c>
      <c r="AB408" s="245">
        <f t="shared" si="157"/>
        <v>0</v>
      </c>
      <c r="AC408" s="241">
        <f t="shared" si="157"/>
        <v>0</v>
      </c>
      <c r="AD408" s="18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</row>
    <row r="409" spans="1:43" s="17" customFormat="1" ht="27" customHeight="1" outlineLevel="1" x14ac:dyDescent="0.25">
      <c r="A409" s="78" t="s">
        <v>624</v>
      </c>
      <c r="B409" s="32" t="s">
        <v>367</v>
      </c>
      <c r="C409" s="226">
        <f t="shared" ref="C409:C474" si="158">E409+J409+O409+T409+Y409</f>
        <v>4.2300000000000004</v>
      </c>
      <c r="D409" s="243">
        <f t="shared" si="139"/>
        <v>1310</v>
      </c>
      <c r="E409" s="208">
        <v>0</v>
      </c>
      <c r="F409" s="244">
        <f t="shared" si="142"/>
        <v>0</v>
      </c>
      <c r="G409" s="243">
        <v>0</v>
      </c>
      <c r="H409" s="243">
        <v>0</v>
      </c>
      <c r="I409" s="243">
        <v>0</v>
      </c>
      <c r="J409" s="208">
        <v>0</v>
      </c>
      <c r="K409" s="244">
        <f t="shared" si="140"/>
        <v>0</v>
      </c>
      <c r="L409" s="243">
        <v>0</v>
      </c>
      <c r="M409" s="243">
        <v>0</v>
      </c>
      <c r="N409" s="243">
        <v>0</v>
      </c>
      <c r="O409" s="73">
        <v>0</v>
      </c>
      <c r="P409" s="243">
        <f t="shared" si="143"/>
        <v>0</v>
      </c>
      <c r="Q409" s="243">
        <v>0</v>
      </c>
      <c r="R409" s="243">
        <v>0</v>
      </c>
      <c r="S409" s="245">
        <v>0</v>
      </c>
      <c r="T409" s="73">
        <f>ROUND(4.225,2)</f>
        <v>4.2300000000000004</v>
      </c>
      <c r="U409" s="243">
        <f t="shared" si="144"/>
        <v>1310</v>
      </c>
      <c r="V409" s="243">
        <v>0</v>
      </c>
      <c r="W409" s="243">
        <v>0</v>
      </c>
      <c r="X409" s="245">
        <v>1310</v>
      </c>
      <c r="Y409" s="73">
        <v>0</v>
      </c>
      <c r="Z409" s="243">
        <f t="shared" si="145"/>
        <v>0</v>
      </c>
      <c r="AA409" s="243">
        <v>0</v>
      </c>
      <c r="AB409" s="243">
        <v>0</v>
      </c>
      <c r="AC409" s="245">
        <v>0</v>
      </c>
      <c r="AD409" s="18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</row>
    <row r="410" spans="1:43" s="17" customFormat="1" ht="37.950000000000003" customHeight="1" outlineLevel="1" x14ac:dyDescent="0.25">
      <c r="A410" s="78" t="s">
        <v>625</v>
      </c>
      <c r="B410" s="32" t="s">
        <v>368</v>
      </c>
      <c r="C410" s="226">
        <f t="shared" si="158"/>
        <v>1</v>
      </c>
      <c r="D410" s="243">
        <f t="shared" si="139"/>
        <v>310</v>
      </c>
      <c r="E410" s="208">
        <v>0</v>
      </c>
      <c r="F410" s="244">
        <f t="shared" si="142"/>
        <v>0</v>
      </c>
      <c r="G410" s="243">
        <v>0</v>
      </c>
      <c r="H410" s="243">
        <v>0</v>
      </c>
      <c r="I410" s="243">
        <v>0</v>
      </c>
      <c r="J410" s="208">
        <v>0</v>
      </c>
      <c r="K410" s="244">
        <f t="shared" si="140"/>
        <v>0</v>
      </c>
      <c r="L410" s="243">
        <v>0</v>
      </c>
      <c r="M410" s="243">
        <v>0</v>
      </c>
      <c r="N410" s="243">
        <v>0</v>
      </c>
      <c r="O410" s="73">
        <v>0</v>
      </c>
      <c r="P410" s="243">
        <f t="shared" si="143"/>
        <v>0</v>
      </c>
      <c r="Q410" s="243">
        <v>0</v>
      </c>
      <c r="R410" s="243">
        <v>0</v>
      </c>
      <c r="S410" s="245">
        <v>0</v>
      </c>
      <c r="T410" s="73">
        <v>1</v>
      </c>
      <c r="U410" s="243">
        <f t="shared" si="144"/>
        <v>310</v>
      </c>
      <c r="V410" s="243">
        <v>0</v>
      </c>
      <c r="W410" s="243">
        <v>0</v>
      </c>
      <c r="X410" s="245">
        <v>310</v>
      </c>
      <c r="Y410" s="73">
        <v>0</v>
      </c>
      <c r="Z410" s="243">
        <f t="shared" si="145"/>
        <v>0</v>
      </c>
      <c r="AA410" s="243">
        <v>0</v>
      </c>
      <c r="AB410" s="243">
        <v>0</v>
      </c>
      <c r="AC410" s="245">
        <v>0</v>
      </c>
      <c r="AD410" s="18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</row>
    <row r="411" spans="1:43" s="17" customFormat="1" ht="46.95" customHeight="1" outlineLevel="1" x14ac:dyDescent="0.25">
      <c r="A411" s="78" t="s">
        <v>626</v>
      </c>
      <c r="B411" s="32" t="s">
        <v>431</v>
      </c>
      <c r="C411" s="226">
        <f t="shared" si="158"/>
        <v>1</v>
      </c>
      <c r="D411" s="243">
        <f t="shared" si="139"/>
        <v>310</v>
      </c>
      <c r="E411" s="208">
        <v>0</v>
      </c>
      <c r="F411" s="244">
        <f t="shared" si="142"/>
        <v>0</v>
      </c>
      <c r="G411" s="243">
        <v>0</v>
      </c>
      <c r="H411" s="243">
        <v>0</v>
      </c>
      <c r="I411" s="243">
        <v>0</v>
      </c>
      <c r="J411" s="208">
        <v>0</v>
      </c>
      <c r="K411" s="244">
        <f t="shared" si="140"/>
        <v>0</v>
      </c>
      <c r="L411" s="243">
        <v>0</v>
      </c>
      <c r="M411" s="243">
        <v>0</v>
      </c>
      <c r="N411" s="243">
        <v>0</v>
      </c>
      <c r="O411" s="73">
        <v>0</v>
      </c>
      <c r="P411" s="243">
        <f t="shared" si="143"/>
        <v>0</v>
      </c>
      <c r="Q411" s="243">
        <v>0</v>
      </c>
      <c r="R411" s="243">
        <v>0</v>
      </c>
      <c r="S411" s="245">
        <v>0</v>
      </c>
      <c r="T411" s="73">
        <v>1</v>
      </c>
      <c r="U411" s="243">
        <f t="shared" si="144"/>
        <v>310</v>
      </c>
      <c r="V411" s="243">
        <v>0</v>
      </c>
      <c r="W411" s="243">
        <v>0</v>
      </c>
      <c r="X411" s="245">
        <v>310</v>
      </c>
      <c r="Y411" s="73">
        <v>0</v>
      </c>
      <c r="Z411" s="243">
        <f t="shared" si="145"/>
        <v>0</v>
      </c>
      <c r="AA411" s="243">
        <v>0</v>
      </c>
      <c r="AB411" s="243">
        <v>0</v>
      </c>
      <c r="AC411" s="245">
        <v>0</v>
      </c>
      <c r="AD411" s="18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</row>
    <row r="412" spans="1:43" s="17" customFormat="1" ht="28.2" customHeight="1" outlineLevel="1" x14ac:dyDescent="0.25">
      <c r="A412" s="78" t="s">
        <v>627</v>
      </c>
      <c r="B412" s="32" t="s">
        <v>432</v>
      </c>
      <c r="C412" s="226">
        <f t="shared" si="158"/>
        <v>3.3000000000000003</v>
      </c>
      <c r="D412" s="243">
        <f t="shared" si="139"/>
        <v>1023.0000000000001</v>
      </c>
      <c r="E412" s="208">
        <v>0</v>
      </c>
      <c r="F412" s="244">
        <f t="shared" si="142"/>
        <v>0</v>
      </c>
      <c r="G412" s="243">
        <v>0</v>
      </c>
      <c r="H412" s="243">
        <v>0</v>
      </c>
      <c r="I412" s="243">
        <v>0</v>
      </c>
      <c r="J412" s="208">
        <v>0</v>
      </c>
      <c r="K412" s="244">
        <f t="shared" si="140"/>
        <v>0</v>
      </c>
      <c r="L412" s="243">
        <v>0</v>
      </c>
      <c r="M412" s="243">
        <v>0</v>
      </c>
      <c r="N412" s="243">
        <v>0</v>
      </c>
      <c r="O412" s="73">
        <v>0</v>
      </c>
      <c r="P412" s="243">
        <f t="shared" si="143"/>
        <v>0</v>
      </c>
      <c r="Q412" s="243">
        <v>0</v>
      </c>
      <c r="R412" s="243">
        <v>0</v>
      </c>
      <c r="S412" s="245">
        <v>0</v>
      </c>
      <c r="T412" s="73">
        <v>3.3000000000000003</v>
      </c>
      <c r="U412" s="243">
        <f t="shared" si="144"/>
        <v>1023.0000000000001</v>
      </c>
      <c r="V412" s="243">
        <v>0</v>
      </c>
      <c r="W412" s="243">
        <v>0</v>
      </c>
      <c r="X412" s="245">
        <v>1023.0000000000001</v>
      </c>
      <c r="Y412" s="73">
        <v>0</v>
      </c>
      <c r="Z412" s="243">
        <f t="shared" si="145"/>
        <v>0</v>
      </c>
      <c r="AA412" s="243">
        <v>0</v>
      </c>
      <c r="AB412" s="243">
        <v>0</v>
      </c>
      <c r="AC412" s="245">
        <v>0</v>
      </c>
      <c r="AD412" s="18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</row>
    <row r="413" spans="1:43" s="17" customFormat="1" ht="28.2" customHeight="1" outlineLevel="1" x14ac:dyDescent="0.25">
      <c r="A413" s="78" t="s">
        <v>628</v>
      </c>
      <c r="B413" s="32" t="s">
        <v>462</v>
      </c>
      <c r="C413" s="226">
        <f t="shared" si="158"/>
        <v>4.5</v>
      </c>
      <c r="D413" s="243">
        <f t="shared" si="139"/>
        <v>1395</v>
      </c>
      <c r="E413" s="208">
        <v>0</v>
      </c>
      <c r="F413" s="244">
        <f t="shared" si="142"/>
        <v>0</v>
      </c>
      <c r="G413" s="243">
        <v>0</v>
      </c>
      <c r="H413" s="243">
        <v>0</v>
      </c>
      <c r="I413" s="243">
        <v>0</v>
      </c>
      <c r="J413" s="208">
        <v>0</v>
      </c>
      <c r="K413" s="244">
        <f t="shared" si="140"/>
        <v>0</v>
      </c>
      <c r="L413" s="243">
        <v>0</v>
      </c>
      <c r="M413" s="243">
        <v>0</v>
      </c>
      <c r="N413" s="243">
        <v>0</v>
      </c>
      <c r="O413" s="73">
        <v>0</v>
      </c>
      <c r="P413" s="243">
        <f t="shared" si="143"/>
        <v>0</v>
      </c>
      <c r="Q413" s="243">
        <v>0</v>
      </c>
      <c r="R413" s="243">
        <v>0</v>
      </c>
      <c r="S413" s="245">
        <v>0</v>
      </c>
      <c r="T413" s="73">
        <v>4.5</v>
      </c>
      <c r="U413" s="243">
        <f t="shared" si="144"/>
        <v>1395</v>
      </c>
      <c r="V413" s="243">
        <v>0</v>
      </c>
      <c r="W413" s="243">
        <v>0</v>
      </c>
      <c r="X413" s="245">
        <v>1395</v>
      </c>
      <c r="Y413" s="73">
        <v>0</v>
      </c>
      <c r="Z413" s="243">
        <f t="shared" si="145"/>
        <v>0</v>
      </c>
      <c r="AA413" s="243">
        <v>0</v>
      </c>
      <c r="AB413" s="243">
        <v>0</v>
      </c>
      <c r="AC413" s="245">
        <v>0</v>
      </c>
      <c r="AD413" s="18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</row>
    <row r="414" spans="1:43" s="17" customFormat="1" ht="28.95" customHeight="1" outlineLevel="1" x14ac:dyDescent="0.25">
      <c r="A414" s="78"/>
      <c r="B414" s="69" t="s">
        <v>459</v>
      </c>
      <c r="C414" s="71">
        <f>SUM(C415:C420)</f>
        <v>22.95</v>
      </c>
      <c r="D414" s="241">
        <f t="shared" ref="D414:AC414" si="159">SUM(D415:D420)</f>
        <v>7344</v>
      </c>
      <c r="E414" s="71">
        <f t="shared" si="159"/>
        <v>0</v>
      </c>
      <c r="F414" s="241">
        <f t="shared" si="159"/>
        <v>0</v>
      </c>
      <c r="G414" s="241">
        <f t="shared" si="159"/>
        <v>0</v>
      </c>
      <c r="H414" s="241">
        <f t="shared" si="159"/>
        <v>0</v>
      </c>
      <c r="I414" s="241">
        <f t="shared" si="159"/>
        <v>0</v>
      </c>
      <c r="J414" s="71">
        <f t="shared" si="159"/>
        <v>0</v>
      </c>
      <c r="K414" s="241">
        <f t="shared" si="140"/>
        <v>0</v>
      </c>
      <c r="L414" s="241">
        <f t="shared" si="159"/>
        <v>0</v>
      </c>
      <c r="M414" s="241">
        <f t="shared" si="159"/>
        <v>0</v>
      </c>
      <c r="N414" s="241">
        <f t="shared" si="159"/>
        <v>0</v>
      </c>
      <c r="O414" s="71">
        <f t="shared" si="159"/>
        <v>0</v>
      </c>
      <c r="P414" s="243">
        <f t="shared" si="143"/>
        <v>0</v>
      </c>
      <c r="Q414" s="241">
        <f>SUM(Q415:Q420)</f>
        <v>0</v>
      </c>
      <c r="R414" s="241">
        <f>SUM(R415:R420)</f>
        <v>0</v>
      </c>
      <c r="S414" s="241">
        <f t="shared" si="159"/>
        <v>0</v>
      </c>
      <c r="T414" s="71">
        <f t="shared" si="159"/>
        <v>22.95</v>
      </c>
      <c r="U414" s="243">
        <f t="shared" si="144"/>
        <v>7344</v>
      </c>
      <c r="V414" s="241">
        <f t="shared" si="159"/>
        <v>0</v>
      </c>
      <c r="W414" s="241">
        <f t="shared" si="159"/>
        <v>0</v>
      </c>
      <c r="X414" s="241">
        <f t="shared" si="159"/>
        <v>7344</v>
      </c>
      <c r="Y414" s="71">
        <f t="shared" si="159"/>
        <v>0</v>
      </c>
      <c r="Z414" s="243">
        <f t="shared" si="159"/>
        <v>0</v>
      </c>
      <c r="AA414" s="245">
        <f t="shared" si="159"/>
        <v>0</v>
      </c>
      <c r="AB414" s="245">
        <f t="shared" si="159"/>
        <v>0</v>
      </c>
      <c r="AC414" s="241">
        <f t="shared" si="159"/>
        <v>0</v>
      </c>
      <c r="AD414" s="18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</row>
    <row r="415" spans="1:43" s="17" customFormat="1" ht="27" customHeight="1" outlineLevel="1" x14ac:dyDescent="0.25">
      <c r="A415" s="78" t="s">
        <v>629</v>
      </c>
      <c r="B415" s="32" t="s">
        <v>458</v>
      </c>
      <c r="C415" s="226">
        <f t="shared" si="158"/>
        <v>2.15</v>
      </c>
      <c r="D415" s="243">
        <f t="shared" si="139"/>
        <v>688</v>
      </c>
      <c r="E415" s="208">
        <v>0</v>
      </c>
      <c r="F415" s="244">
        <f t="shared" si="142"/>
        <v>0</v>
      </c>
      <c r="G415" s="243">
        <v>0</v>
      </c>
      <c r="H415" s="243">
        <v>0</v>
      </c>
      <c r="I415" s="243">
        <v>0</v>
      </c>
      <c r="J415" s="208">
        <v>0</v>
      </c>
      <c r="K415" s="244">
        <f t="shared" si="140"/>
        <v>0</v>
      </c>
      <c r="L415" s="243">
        <v>0</v>
      </c>
      <c r="M415" s="243">
        <v>0</v>
      </c>
      <c r="N415" s="243">
        <v>0</v>
      </c>
      <c r="O415" s="73">
        <v>0</v>
      </c>
      <c r="P415" s="243">
        <f t="shared" ref="P415:P420" si="160">Q415+R415+S415</f>
        <v>0</v>
      </c>
      <c r="Q415" s="243">
        <v>0</v>
      </c>
      <c r="R415" s="243">
        <v>0</v>
      </c>
      <c r="S415" s="245">
        <v>0</v>
      </c>
      <c r="T415" s="73">
        <v>2.15</v>
      </c>
      <c r="U415" s="243">
        <f t="shared" si="144"/>
        <v>688</v>
      </c>
      <c r="V415" s="243">
        <v>0</v>
      </c>
      <c r="W415" s="243">
        <v>0</v>
      </c>
      <c r="X415" s="245">
        <v>688</v>
      </c>
      <c r="Y415" s="73">
        <v>0</v>
      </c>
      <c r="Z415" s="243">
        <f t="shared" si="145"/>
        <v>0</v>
      </c>
      <c r="AA415" s="243">
        <v>0</v>
      </c>
      <c r="AB415" s="243">
        <v>0</v>
      </c>
      <c r="AC415" s="245">
        <v>0</v>
      </c>
      <c r="AD415" s="18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</row>
    <row r="416" spans="1:43" s="17" customFormat="1" ht="22.2" customHeight="1" outlineLevel="1" x14ac:dyDescent="0.25">
      <c r="A416" s="78" t="s">
        <v>630</v>
      </c>
      <c r="B416" s="32" t="s">
        <v>369</v>
      </c>
      <c r="C416" s="226">
        <f t="shared" si="158"/>
        <v>7</v>
      </c>
      <c r="D416" s="243">
        <f t="shared" si="139"/>
        <v>2240</v>
      </c>
      <c r="E416" s="208">
        <v>0</v>
      </c>
      <c r="F416" s="244">
        <f t="shared" si="142"/>
        <v>0</v>
      </c>
      <c r="G416" s="243">
        <v>0</v>
      </c>
      <c r="H416" s="243">
        <v>0</v>
      </c>
      <c r="I416" s="243">
        <v>0</v>
      </c>
      <c r="J416" s="208">
        <v>0</v>
      </c>
      <c r="K416" s="244">
        <f t="shared" si="140"/>
        <v>0</v>
      </c>
      <c r="L416" s="243">
        <v>0</v>
      </c>
      <c r="M416" s="243">
        <v>0</v>
      </c>
      <c r="N416" s="243">
        <v>0</v>
      </c>
      <c r="O416" s="73">
        <v>0</v>
      </c>
      <c r="P416" s="243">
        <f t="shared" si="160"/>
        <v>0</v>
      </c>
      <c r="Q416" s="243">
        <v>0</v>
      </c>
      <c r="R416" s="243">
        <v>0</v>
      </c>
      <c r="S416" s="245">
        <v>0</v>
      </c>
      <c r="T416" s="73">
        <v>7</v>
      </c>
      <c r="U416" s="243">
        <f t="shared" si="144"/>
        <v>2240</v>
      </c>
      <c r="V416" s="243">
        <v>0</v>
      </c>
      <c r="W416" s="243">
        <v>0</v>
      </c>
      <c r="X416" s="245">
        <v>2240</v>
      </c>
      <c r="Y416" s="73">
        <v>0</v>
      </c>
      <c r="Z416" s="243">
        <f t="shared" si="145"/>
        <v>0</v>
      </c>
      <c r="AA416" s="243">
        <v>0</v>
      </c>
      <c r="AB416" s="243">
        <v>0</v>
      </c>
      <c r="AC416" s="245">
        <v>0</v>
      </c>
      <c r="AD416" s="18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</row>
    <row r="417" spans="1:43" s="17" customFormat="1" ht="26.4" customHeight="1" outlineLevel="1" x14ac:dyDescent="0.25">
      <c r="A417" s="78" t="s">
        <v>631</v>
      </c>
      <c r="B417" s="32" t="s">
        <v>370</v>
      </c>
      <c r="C417" s="226">
        <f t="shared" si="158"/>
        <v>3.75</v>
      </c>
      <c r="D417" s="243">
        <f t="shared" si="139"/>
        <v>1200</v>
      </c>
      <c r="E417" s="208">
        <v>0</v>
      </c>
      <c r="F417" s="244">
        <f t="shared" si="142"/>
        <v>0</v>
      </c>
      <c r="G417" s="243">
        <v>0</v>
      </c>
      <c r="H417" s="243">
        <v>0</v>
      </c>
      <c r="I417" s="243">
        <v>0</v>
      </c>
      <c r="J417" s="208">
        <v>0</v>
      </c>
      <c r="K417" s="244">
        <f t="shared" si="140"/>
        <v>0</v>
      </c>
      <c r="L417" s="243">
        <v>0</v>
      </c>
      <c r="M417" s="243">
        <v>0</v>
      </c>
      <c r="N417" s="243">
        <v>0</v>
      </c>
      <c r="O417" s="73">
        <v>0</v>
      </c>
      <c r="P417" s="243">
        <f t="shared" si="160"/>
        <v>0</v>
      </c>
      <c r="Q417" s="243">
        <v>0</v>
      </c>
      <c r="R417" s="243">
        <v>0</v>
      </c>
      <c r="S417" s="245">
        <v>0</v>
      </c>
      <c r="T417" s="73">
        <v>3.75</v>
      </c>
      <c r="U417" s="243">
        <f t="shared" si="144"/>
        <v>1200</v>
      </c>
      <c r="V417" s="243">
        <v>0</v>
      </c>
      <c r="W417" s="243">
        <v>0</v>
      </c>
      <c r="X417" s="245">
        <v>1200</v>
      </c>
      <c r="Y417" s="73">
        <v>0</v>
      </c>
      <c r="Z417" s="243">
        <f t="shared" si="145"/>
        <v>0</v>
      </c>
      <c r="AA417" s="243">
        <v>0</v>
      </c>
      <c r="AB417" s="243">
        <v>0</v>
      </c>
      <c r="AC417" s="245">
        <v>0</v>
      </c>
      <c r="AD417" s="18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</row>
    <row r="418" spans="1:43" s="17" customFormat="1" ht="21" customHeight="1" outlineLevel="1" x14ac:dyDescent="0.25">
      <c r="A418" s="78" t="s">
        <v>632</v>
      </c>
      <c r="B418" s="32" t="s">
        <v>371</v>
      </c>
      <c r="C418" s="226">
        <f t="shared" si="158"/>
        <v>4</v>
      </c>
      <c r="D418" s="243">
        <f t="shared" si="139"/>
        <v>1280</v>
      </c>
      <c r="E418" s="208">
        <v>0</v>
      </c>
      <c r="F418" s="244">
        <f t="shared" si="142"/>
        <v>0</v>
      </c>
      <c r="G418" s="243">
        <v>0</v>
      </c>
      <c r="H418" s="243">
        <v>0</v>
      </c>
      <c r="I418" s="243">
        <v>0</v>
      </c>
      <c r="J418" s="208">
        <v>0</v>
      </c>
      <c r="K418" s="244">
        <f t="shared" si="140"/>
        <v>0</v>
      </c>
      <c r="L418" s="243">
        <v>0</v>
      </c>
      <c r="M418" s="243">
        <v>0</v>
      </c>
      <c r="N418" s="243">
        <v>0</v>
      </c>
      <c r="O418" s="73">
        <v>0</v>
      </c>
      <c r="P418" s="243">
        <f t="shared" si="160"/>
        <v>0</v>
      </c>
      <c r="Q418" s="243">
        <v>0</v>
      </c>
      <c r="R418" s="243">
        <v>0</v>
      </c>
      <c r="S418" s="245">
        <v>0</v>
      </c>
      <c r="T418" s="73">
        <v>4</v>
      </c>
      <c r="U418" s="243">
        <f t="shared" si="144"/>
        <v>1280</v>
      </c>
      <c r="V418" s="243">
        <v>0</v>
      </c>
      <c r="W418" s="243">
        <v>0</v>
      </c>
      <c r="X418" s="245">
        <v>1280</v>
      </c>
      <c r="Y418" s="73">
        <v>0</v>
      </c>
      <c r="Z418" s="243">
        <f t="shared" si="145"/>
        <v>0</v>
      </c>
      <c r="AA418" s="243">
        <v>0</v>
      </c>
      <c r="AB418" s="243">
        <v>0</v>
      </c>
      <c r="AC418" s="245">
        <v>0</v>
      </c>
      <c r="AD418" s="18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</row>
    <row r="419" spans="1:43" s="17" customFormat="1" ht="24" customHeight="1" outlineLevel="1" x14ac:dyDescent="0.25">
      <c r="A419" s="78" t="s">
        <v>633</v>
      </c>
      <c r="B419" s="32" t="s">
        <v>372</v>
      </c>
      <c r="C419" s="226">
        <f t="shared" si="158"/>
        <v>3.55</v>
      </c>
      <c r="D419" s="243">
        <f t="shared" si="139"/>
        <v>1136</v>
      </c>
      <c r="E419" s="208">
        <v>0</v>
      </c>
      <c r="F419" s="244">
        <f t="shared" si="142"/>
        <v>0</v>
      </c>
      <c r="G419" s="243">
        <v>0</v>
      </c>
      <c r="H419" s="243">
        <v>0</v>
      </c>
      <c r="I419" s="243">
        <v>0</v>
      </c>
      <c r="J419" s="208">
        <v>0</v>
      </c>
      <c r="K419" s="244">
        <f t="shared" si="140"/>
        <v>0</v>
      </c>
      <c r="L419" s="243">
        <v>0</v>
      </c>
      <c r="M419" s="243">
        <v>0</v>
      </c>
      <c r="N419" s="243">
        <v>0</v>
      </c>
      <c r="O419" s="73">
        <v>0</v>
      </c>
      <c r="P419" s="243">
        <f t="shared" si="160"/>
        <v>0</v>
      </c>
      <c r="Q419" s="243">
        <v>0</v>
      </c>
      <c r="R419" s="243">
        <v>0</v>
      </c>
      <c r="S419" s="245">
        <v>0</v>
      </c>
      <c r="T419" s="73">
        <v>3.55</v>
      </c>
      <c r="U419" s="243">
        <f t="shared" si="144"/>
        <v>1136</v>
      </c>
      <c r="V419" s="243">
        <v>0</v>
      </c>
      <c r="W419" s="243">
        <v>0</v>
      </c>
      <c r="X419" s="245">
        <v>1136</v>
      </c>
      <c r="Y419" s="73">
        <v>0</v>
      </c>
      <c r="Z419" s="243">
        <f t="shared" si="145"/>
        <v>0</v>
      </c>
      <c r="AA419" s="243">
        <v>0</v>
      </c>
      <c r="AB419" s="243">
        <v>0</v>
      </c>
      <c r="AC419" s="245">
        <v>0</v>
      </c>
      <c r="AD419" s="18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</row>
    <row r="420" spans="1:43" s="17" customFormat="1" ht="23.4" customHeight="1" outlineLevel="1" x14ac:dyDescent="0.25">
      <c r="A420" s="78" t="s">
        <v>634</v>
      </c>
      <c r="B420" s="32" t="s">
        <v>373</v>
      </c>
      <c r="C420" s="226">
        <f t="shared" si="158"/>
        <v>2.5</v>
      </c>
      <c r="D420" s="243">
        <f t="shared" si="139"/>
        <v>800</v>
      </c>
      <c r="E420" s="208">
        <v>0</v>
      </c>
      <c r="F420" s="244">
        <f t="shared" si="142"/>
        <v>0</v>
      </c>
      <c r="G420" s="243">
        <v>0</v>
      </c>
      <c r="H420" s="243">
        <v>0</v>
      </c>
      <c r="I420" s="243">
        <v>0</v>
      </c>
      <c r="J420" s="208">
        <v>0</v>
      </c>
      <c r="K420" s="244">
        <f t="shared" si="140"/>
        <v>0</v>
      </c>
      <c r="L420" s="243">
        <v>0</v>
      </c>
      <c r="M420" s="243">
        <v>0</v>
      </c>
      <c r="N420" s="243">
        <v>0</v>
      </c>
      <c r="O420" s="73">
        <v>0</v>
      </c>
      <c r="P420" s="243">
        <f t="shared" si="160"/>
        <v>0</v>
      </c>
      <c r="Q420" s="243">
        <v>0</v>
      </c>
      <c r="R420" s="243">
        <v>0</v>
      </c>
      <c r="S420" s="245">
        <v>0</v>
      </c>
      <c r="T420" s="73">
        <v>2.5</v>
      </c>
      <c r="U420" s="243">
        <f t="shared" si="144"/>
        <v>800</v>
      </c>
      <c r="V420" s="243">
        <v>0</v>
      </c>
      <c r="W420" s="243">
        <v>0</v>
      </c>
      <c r="X420" s="245">
        <v>800</v>
      </c>
      <c r="Y420" s="73">
        <v>0</v>
      </c>
      <c r="Z420" s="243">
        <f t="shared" si="145"/>
        <v>0</v>
      </c>
      <c r="AA420" s="243">
        <v>0</v>
      </c>
      <c r="AB420" s="243">
        <v>0</v>
      </c>
      <c r="AC420" s="245">
        <v>0</v>
      </c>
      <c r="AD420" s="18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</row>
    <row r="421" spans="1:43" s="17" customFormat="1" ht="28.2" customHeight="1" outlineLevel="1" x14ac:dyDescent="0.25">
      <c r="A421" s="79"/>
      <c r="B421" s="67" t="s">
        <v>457</v>
      </c>
      <c r="C421" s="71">
        <f>SUM(C422:C471)</f>
        <v>81.280000000000015</v>
      </c>
      <c r="D421" s="241">
        <f t="shared" ref="D421:AC421" si="161">SUM(D422:D471)</f>
        <v>24367</v>
      </c>
      <c r="E421" s="71">
        <f t="shared" si="161"/>
        <v>0</v>
      </c>
      <c r="F421" s="241">
        <f t="shared" si="161"/>
        <v>0</v>
      </c>
      <c r="G421" s="241">
        <f t="shared" si="161"/>
        <v>0</v>
      </c>
      <c r="H421" s="241">
        <f t="shared" si="161"/>
        <v>0</v>
      </c>
      <c r="I421" s="241">
        <f t="shared" si="161"/>
        <v>0</v>
      </c>
      <c r="J421" s="71">
        <f t="shared" si="161"/>
        <v>0</v>
      </c>
      <c r="K421" s="241">
        <f t="shared" si="140"/>
        <v>0</v>
      </c>
      <c r="L421" s="241">
        <f t="shared" si="161"/>
        <v>0</v>
      </c>
      <c r="M421" s="241">
        <f t="shared" si="161"/>
        <v>0</v>
      </c>
      <c r="N421" s="241">
        <f t="shared" si="161"/>
        <v>0</v>
      </c>
      <c r="O421" s="71">
        <f t="shared" si="161"/>
        <v>0</v>
      </c>
      <c r="P421" s="243">
        <f t="shared" si="143"/>
        <v>0</v>
      </c>
      <c r="Q421" s="241">
        <f t="shared" si="161"/>
        <v>0</v>
      </c>
      <c r="R421" s="241">
        <f t="shared" si="161"/>
        <v>0</v>
      </c>
      <c r="S421" s="241">
        <v>0</v>
      </c>
      <c r="T421" s="71">
        <f t="shared" si="161"/>
        <v>81.280000000000015</v>
      </c>
      <c r="U421" s="243">
        <f t="shared" si="144"/>
        <v>24367</v>
      </c>
      <c r="V421" s="241">
        <f t="shared" si="161"/>
        <v>0</v>
      </c>
      <c r="W421" s="241">
        <f t="shared" si="161"/>
        <v>0</v>
      </c>
      <c r="X421" s="241">
        <f t="shared" si="161"/>
        <v>24367</v>
      </c>
      <c r="Y421" s="71">
        <f t="shared" si="161"/>
        <v>0</v>
      </c>
      <c r="Z421" s="243">
        <f t="shared" si="161"/>
        <v>0</v>
      </c>
      <c r="AA421" s="245">
        <f t="shared" si="161"/>
        <v>0</v>
      </c>
      <c r="AB421" s="245">
        <f t="shared" si="161"/>
        <v>0</v>
      </c>
      <c r="AC421" s="241">
        <f t="shared" si="161"/>
        <v>0</v>
      </c>
      <c r="AD421" s="18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</row>
    <row r="422" spans="1:43" s="17" customFormat="1" ht="33" customHeight="1" outlineLevel="1" x14ac:dyDescent="0.25">
      <c r="A422" s="78" t="s">
        <v>635</v>
      </c>
      <c r="B422" s="32" t="s">
        <v>366</v>
      </c>
      <c r="C422" s="226">
        <f t="shared" si="158"/>
        <v>4.66</v>
      </c>
      <c r="D422" s="243">
        <f t="shared" si="139"/>
        <v>1398</v>
      </c>
      <c r="E422" s="208">
        <v>0</v>
      </c>
      <c r="F422" s="244">
        <f t="shared" si="142"/>
        <v>0</v>
      </c>
      <c r="G422" s="243">
        <v>0</v>
      </c>
      <c r="H422" s="243">
        <v>0</v>
      </c>
      <c r="I422" s="243">
        <v>0</v>
      </c>
      <c r="J422" s="208">
        <v>0</v>
      </c>
      <c r="K422" s="244">
        <f t="shared" si="140"/>
        <v>0</v>
      </c>
      <c r="L422" s="243">
        <v>0</v>
      </c>
      <c r="M422" s="243">
        <v>0</v>
      </c>
      <c r="N422" s="243">
        <v>0</v>
      </c>
      <c r="O422" s="73">
        <v>0</v>
      </c>
      <c r="P422" s="243">
        <f t="shared" si="143"/>
        <v>0</v>
      </c>
      <c r="Q422" s="243">
        <v>0</v>
      </c>
      <c r="R422" s="243">
        <v>0</v>
      </c>
      <c r="S422" s="245">
        <v>0</v>
      </c>
      <c r="T422" s="73">
        <v>4.66</v>
      </c>
      <c r="U422" s="243">
        <f t="shared" si="144"/>
        <v>1398</v>
      </c>
      <c r="V422" s="243">
        <v>0</v>
      </c>
      <c r="W422" s="243">
        <v>0</v>
      </c>
      <c r="X422" s="245">
        <v>1398</v>
      </c>
      <c r="Y422" s="73">
        <v>0</v>
      </c>
      <c r="Z422" s="243">
        <f t="shared" si="145"/>
        <v>0</v>
      </c>
      <c r="AA422" s="243">
        <v>0</v>
      </c>
      <c r="AB422" s="243">
        <v>0</v>
      </c>
      <c r="AC422" s="245">
        <v>0</v>
      </c>
      <c r="AD422" s="18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</row>
    <row r="423" spans="1:43" s="17" customFormat="1" ht="36" customHeight="1" outlineLevel="1" x14ac:dyDescent="0.25">
      <c r="A423" s="78" t="s">
        <v>636</v>
      </c>
      <c r="B423" s="32" t="s">
        <v>375</v>
      </c>
      <c r="C423" s="226">
        <f t="shared" si="158"/>
        <v>1.35</v>
      </c>
      <c r="D423" s="243">
        <f t="shared" si="139"/>
        <v>405</v>
      </c>
      <c r="E423" s="208">
        <v>0</v>
      </c>
      <c r="F423" s="244">
        <f t="shared" si="142"/>
        <v>0</v>
      </c>
      <c r="G423" s="243">
        <v>0</v>
      </c>
      <c r="H423" s="243">
        <v>0</v>
      </c>
      <c r="I423" s="243">
        <v>0</v>
      </c>
      <c r="J423" s="208">
        <v>0</v>
      </c>
      <c r="K423" s="244">
        <f t="shared" si="140"/>
        <v>0</v>
      </c>
      <c r="L423" s="243">
        <v>0</v>
      </c>
      <c r="M423" s="243">
        <v>0</v>
      </c>
      <c r="N423" s="243">
        <v>0</v>
      </c>
      <c r="O423" s="73">
        <v>0</v>
      </c>
      <c r="P423" s="243">
        <f t="shared" si="143"/>
        <v>0</v>
      </c>
      <c r="Q423" s="243">
        <v>0</v>
      </c>
      <c r="R423" s="243">
        <v>0</v>
      </c>
      <c r="S423" s="245">
        <v>0</v>
      </c>
      <c r="T423" s="73">
        <v>1.35</v>
      </c>
      <c r="U423" s="243">
        <f t="shared" si="144"/>
        <v>405</v>
      </c>
      <c r="V423" s="243">
        <v>0</v>
      </c>
      <c r="W423" s="243">
        <v>0</v>
      </c>
      <c r="X423" s="245">
        <v>405</v>
      </c>
      <c r="Y423" s="73">
        <v>0</v>
      </c>
      <c r="Z423" s="243">
        <f t="shared" si="145"/>
        <v>0</v>
      </c>
      <c r="AA423" s="243">
        <v>0</v>
      </c>
      <c r="AB423" s="243">
        <v>0</v>
      </c>
      <c r="AC423" s="245">
        <v>0</v>
      </c>
      <c r="AD423" s="18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</row>
    <row r="424" spans="1:43" s="17" customFormat="1" ht="36" customHeight="1" outlineLevel="1" x14ac:dyDescent="0.25">
      <c r="A424" s="78" t="s">
        <v>637</v>
      </c>
      <c r="B424" s="32" t="s">
        <v>376</v>
      </c>
      <c r="C424" s="226">
        <f t="shared" si="158"/>
        <v>0.4</v>
      </c>
      <c r="D424" s="243">
        <f t="shared" si="139"/>
        <v>120</v>
      </c>
      <c r="E424" s="208">
        <v>0</v>
      </c>
      <c r="F424" s="244">
        <f t="shared" si="142"/>
        <v>0</v>
      </c>
      <c r="G424" s="243">
        <v>0</v>
      </c>
      <c r="H424" s="243">
        <v>0</v>
      </c>
      <c r="I424" s="243">
        <v>0</v>
      </c>
      <c r="J424" s="208">
        <v>0</v>
      </c>
      <c r="K424" s="244">
        <f t="shared" si="140"/>
        <v>0</v>
      </c>
      <c r="L424" s="243">
        <v>0</v>
      </c>
      <c r="M424" s="243">
        <v>0</v>
      </c>
      <c r="N424" s="243">
        <v>0</v>
      </c>
      <c r="O424" s="73">
        <v>0</v>
      </c>
      <c r="P424" s="243">
        <f t="shared" si="143"/>
        <v>0</v>
      </c>
      <c r="Q424" s="243">
        <v>0</v>
      </c>
      <c r="R424" s="243">
        <v>0</v>
      </c>
      <c r="S424" s="245">
        <v>0</v>
      </c>
      <c r="T424" s="73">
        <v>0.4</v>
      </c>
      <c r="U424" s="243">
        <f t="shared" si="144"/>
        <v>120</v>
      </c>
      <c r="V424" s="243">
        <v>0</v>
      </c>
      <c r="W424" s="243">
        <v>0</v>
      </c>
      <c r="X424" s="245">
        <v>120</v>
      </c>
      <c r="Y424" s="73">
        <v>0</v>
      </c>
      <c r="Z424" s="243">
        <f t="shared" si="145"/>
        <v>0</v>
      </c>
      <c r="AA424" s="243">
        <v>0</v>
      </c>
      <c r="AB424" s="243">
        <v>0</v>
      </c>
      <c r="AC424" s="245">
        <v>0</v>
      </c>
      <c r="AD424" s="18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</row>
    <row r="425" spans="1:43" s="17" customFormat="1" ht="35.4" customHeight="1" outlineLevel="1" x14ac:dyDescent="0.25">
      <c r="A425" s="78" t="s">
        <v>638</v>
      </c>
      <c r="B425" s="66" t="s">
        <v>377</v>
      </c>
      <c r="C425" s="226">
        <f t="shared" si="158"/>
        <v>0.56000000000000005</v>
      </c>
      <c r="D425" s="243">
        <f t="shared" si="139"/>
        <v>168.00000000000003</v>
      </c>
      <c r="E425" s="208">
        <v>0</v>
      </c>
      <c r="F425" s="244">
        <f t="shared" si="142"/>
        <v>0</v>
      </c>
      <c r="G425" s="243">
        <v>0</v>
      </c>
      <c r="H425" s="243">
        <v>0</v>
      </c>
      <c r="I425" s="243">
        <v>0</v>
      </c>
      <c r="J425" s="208">
        <v>0</v>
      </c>
      <c r="K425" s="244">
        <f t="shared" si="140"/>
        <v>0</v>
      </c>
      <c r="L425" s="243">
        <v>0</v>
      </c>
      <c r="M425" s="243">
        <v>0</v>
      </c>
      <c r="N425" s="243">
        <v>0</v>
      </c>
      <c r="O425" s="73">
        <v>0</v>
      </c>
      <c r="P425" s="243">
        <f t="shared" si="143"/>
        <v>0</v>
      </c>
      <c r="Q425" s="243">
        <v>0</v>
      </c>
      <c r="R425" s="243">
        <v>0</v>
      </c>
      <c r="S425" s="245">
        <v>0</v>
      </c>
      <c r="T425" s="73">
        <v>0.56000000000000005</v>
      </c>
      <c r="U425" s="243">
        <f t="shared" si="144"/>
        <v>168.00000000000003</v>
      </c>
      <c r="V425" s="243">
        <v>0</v>
      </c>
      <c r="W425" s="243">
        <v>0</v>
      </c>
      <c r="X425" s="245">
        <v>168.00000000000003</v>
      </c>
      <c r="Y425" s="73">
        <v>0</v>
      </c>
      <c r="Z425" s="243">
        <f t="shared" si="145"/>
        <v>0</v>
      </c>
      <c r="AA425" s="243">
        <v>0</v>
      </c>
      <c r="AB425" s="243">
        <v>0</v>
      </c>
      <c r="AC425" s="245">
        <v>0</v>
      </c>
      <c r="AD425" s="18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</row>
    <row r="426" spans="1:43" s="17" customFormat="1" ht="28.2" customHeight="1" outlineLevel="1" x14ac:dyDescent="0.25">
      <c r="A426" s="78" t="s">
        <v>639</v>
      </c>
      <c r="B426" s="66" t="s">
        <v>456</v>
      </c>
      <c r="C426" s="226">
        <f t="shared" si="158"/>
        <v>1.45</v>
      </c>
      <c r="D426" s="243">
        <f t="shared" si="139"/>
        <v>435</v>
      </c>
      <c r="E426" s="208">
        <v>0</v>
      </c>
      <c r="F426" s="244">
        <f t="shared" si="142"/>
        <v>0</v>
      </c>
      <c r="G426" s="243">
        <v>0</v>
      </c>
      <c r="H426" s="243">
        <v>0</v>
      </c>
      <c r="I426" s="243">
        <v>0</v>
      </c>
      <c r="J426" s="208">
        <v>0</v>
      </c>
      <c r="K426" s="244">
        <f t="shared" si="140"/>
        <v>0</v>
      </c>
      <c r="L426" s="243">
        <v>0</v>
      </c>
      <c r="M426" s="243">
        <v>0</v>
      </c>
      <c r="N426" s="243">
        <v>0</v>
      </c>
      <c r="O426" s="73">
        <v>0</v>
      </c>
      <c r="P426" s="243">
        <f t="shared" si="143"/>
        <v>0</v>
      </c>
      <c r="Q426" s="243">
        <v>0</v>
      </c>
      <c r="R426" s="243">
        <v>0</v>
      </c>
      <c r="S426" s="245">
        <v>0</v>
      </c>
      <c r="T426" s="73">
        <v>1.45</v>
      </c>
      <c r="U426" s="243">
        <f t="shared" si="144"/>
        <v>435</v>
      </c>
      <c r="V426" s="243">
        <v>0</v>
      </c>
      <c r="W426" s="243">
        <v>0</v>
      </c>
      <c r="X426" s="245">
        <v>435</v>
      </c>
      <c r="Y426" s="73">
        <v>0</v>
      </c>
      <c r="Z426" s="243">
        <f t="shared" si="145"/>
        <v>0</v>
      </c>
      <c r="AA426" s="243">
        <v>0</v>
      </c>
      <c r="AB426" s="243">
        <v>0</v>
      </c>
      <c r="AC426" s="245">
        <v>0</v>
      </c>
      <c r="AD426" s="18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</row>
    <row r="427" spans="1:43" s="17" customFormat="1" ht="26.4" customHeight="1" outlineLevel="1" x14ac:dyDescent="0.25">
      <c r="A427" s="78" t="s">
        <v>640</v>
      </c>
      <c r="B427" s="66" t="s">
        <v>379</v>
      </c>
      <c r="C427" s="226">
        <f t="shared" si="158"/>
        <v>4.62</v>
      </c>
      <c r="D427" s="243">
        <f t="shared" si="139"/>
        <v>1386</v>
      </c>
      <c r="E427" s="208">
        <v>0</v>
      </c>
      <c r="F427" s="244">
        <f t="shared" si="142"/>
        <v>0</v>
      </c>
      <c r="G427" s="243">
        <v>0</v>
      </c>
      <c r="H427" s="243">
        <v>0</v>
      </c>
      <c r="I427" s="243">
        <v>0</v>
      </c>
      <c r="J427" s="208">
        <v>0</v>
      </c>
      <c r="K427" s="244">
        <f t="shared" si="140"/>
        <v>0</v>
      </c>
      <c r="L427" s="243">
        <v>0</v>
      </c>
      <c r="M427" s="243">
        <v>0</v>
      </c>
      <c r="N427" s="243">
        <v>0</v>
      </c>
      <c r="O427" s="73">
        <v>0</v>
      </c>
      <c r="P427" s="243">
        <f t="shared" si="143"/>
        <v>0</v>
      </c>
      <c r="Q427" s="243">
        <v>0</v>
      </c>
      <c r="R427" s="243">
        <v>0</v>
      </c>
      <c r="S427" s="245">
        <v>0</v>
      </c>
      <c r="T427" s="73">
        <v>4.62</v>
      </c>
      <c r="U427" s="243">
        <f t="shared" si="144"/>
        <v>1386</v>
      </c>
      <c r="V427" s="243">
        <v>0</v>
      </c>
      <c r="W427" s="243">
        <v>0</v>
      </c>
      <c r="X427" s="245">
        <v>1386</v>
      </c>
      <c r="Y427" s="73">
        <v>0</v>
      </c>
      <c r="Z427" s="243">
        <f t="shared" si="145"/>
        <v>0</v>
      </c>
      <c r="AA427" s="243">
        <v>0</v>
      </c>
      <c r="AB427" s="243">
        <v>0</v>
      </c>
      <c r="AC427" s="245">
        <v>0</v>
      </c>
      <c r="AD427" s="18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</row>
    <row r="428" spans="1:43" s="17" customFormat="1" ht="25.95" customHeight="1" outlineLevel="1" x14ac:dyDescent="0.25">
      <c r="A428" s="78" t="s">
        <v>641</v>
      </c>
      <c r="B428" s="66" t="s">
        <v>380</v>
      </c>
      <c r="C428" s="226">
        <f t="shared" si="158"/>
        <v>1.23</v>
      </c>
      <c r="D428" s="243">
        <f t="shared" si="139"/>
        <v>369</v>
      </c>
      <c r="E428" s="208">
        <v>0</v>
      </c>
      <c r="F428" s="244">
        <f t="shared" si="142"/>
        <v>0</v>
      </c>
      <c r="G428" s="243">
        <v>0</v>
      </c>
      <c r="H428" s="243">
        <v>0</v>
      </c>
      <c r="I428" s="243">
        <v>0</v>
      </c>
      <c r="J428" s="208">
        <v>0</v>
      </c>
      <c r="K428" s="244">
        <f t="shared" si="140"/>
        <v>0</v>
      </c>
      <c r="L428" s="243">
        <v>0</v>
      </c>
      <c r="M428" s="243">
        <v>0</v>
      </c>
      <c r="N428" s="243">
        <v>0</v>
      </c>
      <c r="O428" s="73">
        <v>0</v>
      </c>
      <c r="P428" s="243">
        <f t="shared" si="143"/>
        <v>0</v>
      </c>
      <c r="Q428" s="243">
        <v>0</v>
      </c>
      <c r="R428" s="243">
        <v>0</v>
      </c>
      <c r="S428" s="245">
        <v>0</v>
      </c>
      <c r="T428" s="73">
        <v>1.23</v>
      </c>
      <c r="U428" s="243">
        <f t="shared" si="144"/>
        <v>369</v>
      </c>
      <c r="V428" s="243">
        <v>0</v>
      </c>
      <c r="W428" s="243">
        <v>0</v>
      </c>
      <c r="X428" s="245">
        <v>369</v>
      </c>
      <c r="Y428" s="73">
        <v>0</v>
      </c>
      <c r="Z428" s="243">
        <f t="shared" si="145"/>
        <v>0</v>
      </c>
      <c r="AA428" s="243">
        <v>0</v>
      </c>
      <c r="AB428" s="243">
        <v>0</v>
      </c>
      <c r="AC428" s="245">
        <v>0</v>
      </c>
      <c r="AD428" s="18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</row>
    <row r="429" spans="1:43" s="17" customFormat="1" ht="31.2" customHeight="1" outlineLevel="1" x14ac:dyDescent="0.25">
      <c r="A429" s="78" t="s">
        <v>642</v>
      </c>
      <c r="B429" s="66" t="s">
        <v>381</v>
      </c>
      <c r="C429" s="226">
        <f t="shared" si="158"/>
        <v>1.9300000000000002</v>
      </c>
      <c r="D429" s="243">
        <f t="shared" si="139"/>
        <v>579</v>
      </c>
      <c r="E429" s="208">
        <v>0</v>
      </c>
      <c r="F429" s="244">
        <f t="shared" si="142"/>
        <v>0</v>
      </c>
      <c r="G429" s="243">
        <v>0</v>
      </c>
      <c r="H429" s="243">
        <v>0</v>
      </c>
      <c r="I429" s="243">
        <v>0</v>
      </c>
      <c r="J429" s="208">
        <v>0</v>
      </c>
      <c r="K429" s="244">
        <f t="shared" si="140"/>
        <v>0</v>
      </c>
      <c r="L429" s="243">
        <v>0</v>
      </c>
      <c r="M429" s="243">
        <v>0</v>
      </c>
      <c r="N429" s="243">
        <v>0</v>
      </c>
      <c r="O429" s="73">
        <v>0</v>
      </c>
      <c r="P429" s="243">
        <f t="shared" si="143"/>
        <v>0</v>
      </c>
      <c r="Q429" s="243">
        <v>0</v>
      </c>
      <c r="R429" s="243">
        <v>0</v>
      </c>
      <c r="S429" s="245">
        <v>0</v>
      </c>
      <c r="T429" s="73">
        <v>1.9300000000000002</v>
      </c>
      <c r="U429" s="243">
        <f t="shared" si="144"/>
        <v>579</v>
      </c>
      <c r="V429" s="243">
        <v>0</v>
      </c>
      <c r="W429" s="243">
        <v>0</v>
      </c>
      <c r="X429" s="245">
        <v>579</v>
      </c>
      <c r="Y429" s="73">
        <v>0</v>
      </c>
      <c r="Z429" s="243">
        <f t="shared" si="145"/>
        <v>0</v>
      </c>
      <c r="AA429" s="243">
        <v>0</v>
      </c>
      <c r="AB429" s="243">
        <v>0</v>
      </c>
      <c r="AC429" s="245">
        <v>0</v>
      </c>
      <c r="AD429" s="18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</row>
    <row r="430" spans="1:43" s="17" customFormat="1" ht="37.950000000000003" customHeight="1" outlineLevel="1" x14ac:dyDescent="0.25">
      <c r="A430" s="78" t="s">
        <v>643</v>
      </c>
      <c r="B430" s="66" t="s">
        <v>467</v>
      </c>
      <c r="C430" s="226">
        <f t="shared" si="158"/>
        <v>1.82</v>
      </c>
      <c r="D430" s="243">
        <f t="shared" si="139"/>
        <v>545</v>
      </c>
      <c r="E430" s="208">
        <v>0</v>
      </c>
      <c r="F430" s="244">
        <f t="shared" si="142"/>
        <v>0</v>
      </c>
      <c r="G430" s="243">
        <v>0</v>
      </c>
      <c r="H430" s="243">
        <v>0</v>
      </c>
      <c r="I430" s="243">
        <v>0</v>
      </c>
      <c r="J430" s="208">
        <v>0</v>
      </c>
      <c r="K430" s="244">
        <f t="shared" si="140"/>
        <v>0</v>
      </c>
      <c r="L430" s="243">
        <v>0</v>
      </c>
      <c r="M430" s="243">
        <v>0</v>
      </c>
      <c r="N430" s="243">
        <v>0</v>
      </c>
      <c r="O430" s="73">
        <v>0</v>
      </c>
      <c r="P430" s="243">
        <f t="shared" si="143"/>
        <v>0</v>
      </c>
      <c r="Q430" s="243">
        <v>0</v>
      </c>
      <c r="R430" s="243">
        <v>0</v>
      </c>
      <c r="S430" s="245">
        <v>0</v>
      </c>
      <c r="T430" s="73">
        <v>1.82</v>
      </c>
      <c r="U430" s="243">
        <f t="shared" si="144"/>
        <v>545</v>
      </c>
      <c r="V430" s="243">
        <v>0</v>
      </c>
      <c r="W430" s="243">
        <v>0</v>
      </c>
      <c r="X430" s="245">
        <v>545</v>
      </c>
      <c r="Y430" s="73">
        <v>0</v>
      </c>
      <c r="Z430" s="243">
        <f t="shared" si="145"/>
        <v>0</v>
      </c>
      <c r="AA430" s="243">
        <v>0</v>
      </c>
      <c r="AB430" s="243">
        <v>0</v>
      </c>
      <c r="AC430" s="245">
        <v>0</v>
      </c>
      <c r="AD430" s="18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</row>
    <row r="431" spans="1:43" s="17" customFormat="1" ht="25.2" customHeight="1" outlineLevel="1" x14ac:dyDescent="0.25">
      <c r="A431" s="78" t="s">
        <v>644</v>
      </c>
      <c r="B431" s="66" t="s">
        <v>382</v>
      </c>
      <c r="C431" s="226">
        <f t="shared" si="158"/>
        <v>1.6900000000000002</v>
      </c>
      <c r="D431" s="243">
        <f t="shared" si="139"/>
        <v>507.00000000000006</v>
      </c>
      <c r="E431" s="208">
        <v>0</v>
      </c>
      <c r="F431" s="244">
        <f t="shared" si="142"/>
        <v>0</v>
      </c>
      <c r="G431" s="243">
        <v>0</v>
      </c>
      <c r="H431" s="243">
        <v>0</v>
      </c>
      <c r="I431" s="243">
        <v>0</v>
      </c>
      <c r="J431" s="208">
        <v>0</v>
      </c>
      <c r="K431" s="244">
        <f t="shared" si="140"/>
        <v>0</v>
      </c>
      <c r="L431" s="243">
        <v>0</v>
      </c>
      <c r="M431" s="243">
        <v>0</v>
      </c>
      <c r="N431" s="243">
        <v>0</v>
      </c>
      <c r="O431" s="73">
        <v>0</v>
      </c>
      <c r="P431" s="243">
        <f t="shared" si="143"/>
        <v>0</v>
      </c>
      <c r="Q431" s="243">
        <v>0</v>
      </c>
      <c r="R431" s="243">
        <v>0</v>
      </c>
      <c r="S431" s="245">
        <v>0</v>
      </c>
      <c r="T431" s="73">
        <v>1.6900000000000002</v>
      </c>
      <c r="U431" s="243">
        <f t="shared" si="144"/>
        <v>507.00000000000006</v>
      </c>
      <c r="V431" s="243">
        <v>0</v>
      </c>
      <c r="W431" s="243">
        <v>0</v>
      </c>
      <c r="X431" s="245">
        <v>507.00000000000006</v>
      </c>
      <c r="Y431" s="73">
        <v>0</v>
      </c>
      <c r="Z431" s="243">
        <f t="shared" si="145"/>
        <v>0</v>
      </c>
      <c r="AA431" s="243">
        <v>0</v>
      </c>
      <c r="AB431" s="243">
        <v>0</v>
      </c>
      <c r="AC431" s="245">
        <v>0</v>
      </c>
      <c r="AD431" s="18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</row>
    <row r="432" spans="1:43" s="17" customFormat="1" ht="28.2" customHeight="1" outlineLevel="1" x14ac:dyDescent="0.25">
      <c r="A432" s="78" t="s">
        <v>645</v>
      </c>
      <c r="B432" s="66" t="s">
        <v>383</v>
      </c>
      <c r="C432" s="226">
        <f t="shared" si="158"/>
        <v>1.1000000000000001</v>
      </c>
      <c r="D432" s="243">
        <f t="shared" si="139"/>
        <v>330</v>
      </c>
      <c r="E432" s="208">
        <v>0</v>
      </c>
      <c r="F432" s="244">
        <f t="shared" si="142"/>
        <v>0</v>
      </c>
      <c r="G432" s="243">
        <v>0</v>
      </c>
      <c r="H432" s="243">
        <v>0</v>
      </c>
      <c r="I432" s="243">
        <v>0</v>
      </c>
      <c r="J432" s="208">
        <v>0</v>
      </c>
      <c r="K432" s="244">
        <f t="shared" si="140"/>
        <v>0</v>
      </c>
      <c r="L432" s="243">
        <v>0</v>
      </c>
      <c r="M432" s="243">
        <v>0</v>
      </c>
      <c r="N432" s="243">
        <v>0</v>
      </c>
      <c r="O432" s="73">
        <v>0</v>
      </c>
      <c r="P432" s="243">
        <f t="shared" si="143"/>
        <v>0</v>
      </c>
      <c r="Q432" s="243">
        <v>0</v>
      </c>
      <c r="R432" s="243">
        <v>0</v>
      </c>
      <c r="S432" s="245">
        <v>0</v>
      </c>
      <c r="T432" s="73">
        <v>1.1000000000000001</v>
      </c>
      <c r="U432" s="243">
        <f t="shared" si="144"/>
        <v>330</v>
      </c>
      <c r="V432" s="243">
        <v>0</v>
      </c>
      <c r="W432" s="243">
        <v>0</v>
      </c>
      <c r="X432" s="245">
        <v>330</v>
      </c>
      <c r="Y432" s="73">
        <v>0</v>
      </c>
      <c r="Z432" s="243">
        <f t="shared" si="145"/>
        <v>0</v>
      </c>
      <c r="AA432" s="243">
        <v>0</v>
      </c>
      <c r="AB432" s="243">
        <v>0</v>
      </c>
      <c r="AC432" s="245">
        <v>0</v>
      </c>
      <c r="AD432" s="18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</row>
    <row r="433" spans="1:43" s="17" customFormat="1" ht="24" customHeight="1" outlineLevel="1" x14ac:dyDescent="0.25">
      <c r="A433" s="78" t="s">
        <v>646</v>
      </c>
      <c r="B433" s="66" t="s">
        <v>384</v>
      </c>
      <c r="C433" s="226">
        <f t="shared" si="158"/>
        <v>0.35000000000000003</v>
      </c>
      <c r="D433" s="243">
        <f t="shared" si="139"/>
        <v>105.00000000000001</v>
      </c>
      <c r="E433" s="208">
        <v>0</v>
      </c>
      <c r="F433" s="244">
        <f t="shared" si="142"/>
        <v>0</v>
      </c>
      <c r="G433" s="243">
        <v>0</v>
      </c>
      <c r="H433" s="243">
        <v>0</v>
      </c>
      <c r="I433" s="243">
        <v>0</v>
      </c>
      <c r="J433" s="208">
        <v>0</v>
      </c>
      <c r="K433" s="244">
        <f t="shared" si="140"/>
        <v>0</v>
      </c>
      <c r="L433" s="243">
        <v>0</v>
      </c>
      <c r="M433" s="243">
        <v>0</v>
      </c>
      <c r="N433" s="243">
        <v>0</v>
      </c>
      <c r="O433" s="73">
        <v>0</v>
      </c>
      <c r="P433" s="243">
        <f t="shared" si="143"/>
        <v>0</v>
      </c>
      <c r="Q433" s="243">
        <v>0</v>
      </c>
      <c r="R433" s="243">
        <v>0</v>
      </c>
      <c r="S433" s="245">
        <v>0</v>
      </c>
      <c r="T433" s="73">
        <v>0.35000000000000003</v>
      </c>
      <c r="U433" s="243">
        <f t="shared" si="144"/>
        <v>105.00000000000001</v>
      </c>
      <c r="V433" s="243">
        <v>0</v>
      </c>
      <c r="W433" s="243">
        <v>0</v>
      </c>
      <c r="X433" s="245">
        <v>105.00000000000001</v>
      </c>
      <c r="Y433" s="73">
        <v>0</v>
      </c>
      <c r="Z433" s="243">
        <f t="shared" si="145"/>
        <v>0</v>
      </c>
      <c r="AA433" s="243">
        <v>0</v>
      </c>
      <c r="AB433" s="243">
        <v>0</v>
      </c>
      <c r="AC433" s="245">
        <v>0</v>
      </c>
      <c r="AD433" s="18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</row>
    <row r="434" spans="1:43" s="17" customFormat="1" ht="25.2" customHeight="1" outlineLevel="1" x14ac:dyDescent="0.25">
      <c r="A434" s="78" t="s">
        <v>647</v>
      </c>
      <c r="B434" s="66" t="s">
        <v>385</v>
      </c>
      <c r="C434" s="226">
        <f t="shared" si="158"/>
        <v>3.87</v>
      </c>
      <c r="D434" s="243">
        <f t="shared" si="139"/>
        <v>1161</v>
      </c>
      <c r="E434" s="208">
        <v>0</v>
      </c>
      <c r="F434" s="244">
        <f t="shared" si="142"/>
        <v>0</v>
      </c>
      <c r="G434" s="243">
        <v>0</v>
      </c>
      <c r="H434" s="243">
        <v>0</v>
      </c>
      <c r="I434" s="243">
        <v>0</v>
      </c>
      <c r="J434" s="208">
        <v>0</v>
      </c>
      <c r="K434" s="244">
        <f t="shared" si="140"/>
        <v>0</v>
      </c>
      <c r="L434" s="243">
        <v>0</v>
      </c>
      <c r="M434" s="243">
        <v>0</v>
      </c>
      <c r="N434" s="243">
        <v>0</v>
      </c>
      <c r="O434" s="73">
        <v>0</v>
      </c>
      <c r="P434" s="243">
        <f t="shared" si="143"/>
        <v>0</v>
      </c>
      <c r="Q434" s="243">
        <v>0</v>
      </c>
      <c r="R434" s="243">
        <v>0</v>
      </c>
      <c r="S434" s="245">
        <v>0</v>
      </c>
      <c r="T434" s="73">
        <v>3.87</v>
      </c>
      <c r="U434" s="243">
        <f t="shared" si="144"/>
        <v>1161</v>
      </c>
      <c r="V434" s="243">
        <v>0</v>
      </c>
      <c r="W434" s="243">
        <v>0</v>
      </c>
      <c r="X434" s="245">
        <v>1161</v>
      </c>
      <c r="Y434" s="73">
        <v>0</v>
      </c>
      <c r="Z434" s="243">
        <f t="shared" si="145"/>
        <v>0</v>
      </c>
      <c r="AA434" s="243">
        <v>0</v>
      </c>
      <c r="AB434" s="243">
        <v>0</v>
      </c>
      <c r="AC434" s="245">
        <v>0</v>
      </c>
      <c r="AD434" s="18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</row>
    <row r="435" spans="1:43" s="17" customFormat="1" ht="21" customHeight="1" outlineLevel="1" x14ac:dyDescent="0.25">
      <c r="A435" s="78" t="s">
        <v>648</v>
      </c>
      <c r="B435" s="66" t="s">
        <v>386</v>
      </c>
      <c r="C435" s="226">
        <f t="shared" si="158"/>
        <v>1.61</v>
      </c>
      <c r="D435" s="243">
        <f t="shared" si="139"/>
        <v>482</v>
      </c>
      <c r="E435" s="208">
        <v>0</v>
      </c>
      <c r="F435" s="244">
        <f t="shared" si="142"/>
        <v>0</v>
      </c>
      <c r="G435" s="243">
        <v>0</v>
      </c>
      <c r="H435" s="243">
        <v>0</v>
      </c>
      <c r="I435" s="243">
        <v>0</v>
      </c>
      <c r="J435" s="208">
        <v>0</v>
      </c>
      <c r="K435" s="244">
        <f t="shared" si="140"/>
        <v>0</v>
      </c>
      <c r="L435" s="243">
        <v>0</v>
      </c>
      <c r="M435" s="243">
        <v>0</v>
      </c>
      <c r="N435" s="243">
        <v>0</v>
      </c>
      <c r="O435" s="73">
        <v>0</v>
      </c>
      <c r="P435" s="243">
        <f t="shared" si="143"/>
        <v>0</v>
      </c>
      <c r="Q435" s="243">
        <v>0</v>
      </c>
      <c r="R435" s="243">
        <v>0</v>
      </c>
      <c r="S435" s="245">
        <v>0</v>
      </c>
      <c r="T435" s="73">
        <v>1.61</v>
      </c>
      <c r="U435" s="243">
        <f t="shared" si="144"/>
        <v>482</v>
      </c>
      <c r="V435" s="243">
        <v>0</v>
      </c>
      <c r="W435" s="243">
        <v>0</v>
      </c>
      <c r="X435" s="245">
        <v>482</v>
      </c>
      <c r="Y435" s="73">
        <v>0</v>
      </c>
      <c r="Z435" s="243">
        <f t="shared" si="145"/>
        <v>0</v>
      </c>
      <c r="AA435" s="243">
        <v>0</v>
      </c>
      <c r="AB435" s="243">
        <v>0</v>
      </c>
      <c r="AC435" s="245">
        <v>0</v>
      </c>
      <c r="AD435" s="18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</row>
    <row r="436" spans="1:43" s="17" customFormat="1" ht="25.2" customHeight="1" outlineLevel="1" x14ac:dyDescent="0.25">
      <c r="A436" s="78" t="s">
        <v>649</v>
      </c>
      <c r="B436" s="66" t="s">
        <v>389</v>
      </c>
      <c r="C436" s="226">
        <f t="shared" si="158"/>
        <v>3.05</v>
      </c>
      <c r="D436" s="243">
        <f t="shared" si="139"/>
        <v>915</v>
      </c>
      <c r="E436" s="208">
        <v>0</v>
      </c>
      <c r="F436" s="244">
        <f t="shared" si="142"/>
        <v>0</v>
      </c>
      <c r="G436" s="243">
        <v>0</v>
      </c>
      <c r="H436" s="243">
        <v>0</v>
      </c>
      <c r="I436" s="243">
        <v>0</v>
      </c>
      <c r="J436" s="208">
        <v>0</v>
      </c>
      <c r="K436" s="244">
        <f t="shared" si="140"/>
        <v>0</v>
      </c>
      <c r="L436" s="243">
        <v>0</v>
      </c>
      <c r="M436" s="243">
        <v>0</v>
      </c>
      <c r="N436" s="243">
        <v>0</v>
      </c>
      <c r="O436" s="73">
        <v>0</v>
      </c>
      <c r="P436" s="243">
        <f t="shared" si="143"/>
        <v>0</v>
      </c>
      <c r="Q436" s="243">
        <v>0</v>
      </c>
      <c r="R436" s="243">
        <v>0</v>
      </c>
      <c r="S436" s="245">
        <v>0</v>
      </c>
      <c r="T436" s="73">
        <v>3.05</v>
      </c>
      <c r="U436" s="243">
        <f t="shared" si="144"/>
        <v>915</v>
      </c>
      <c r="V436" s="243">
        <v>0</v>
      </c>
      <c r="W436" s="243">
        <v>0</v>
      </c>
      <c r="X436" s="245">
        <v>915</v>
      </c>
      <c r="Y436" s="73">
        <v>0</v>
      </c>
      <c r="Z436" s="243">
        <f t="shared" si="145"/>
        <v>0</v>
      </c>
      <c r="AA436" s="243">
        <v>0</v>
      </c>
      <c r="AB436" s="243">
        <v>0</v>
      </c>
      <c r="AC436" s="245">
        <v>0</v>
      </c>
      <c r="AD436" s="18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</row>
    <row r="437" spans="1:43" s="17" customFormat="1" ht="25.2" customHeight="1" outlineLevel="1" x14ac:dyDescent="0.25">
      <c r="A437" s="78" t="s">
        <v>650</v>
      </c>
      <c r="B437" s="66" t="s">
        <v>391</v>
      </c>
      <c r="C437" s="226">
        <f t="shared" si="158"/>
        <v>1.5</v>
      </c>
      <c r="D437" s="243">
        <f t="shared" si="139"/>
        <v>450</v>
      </c>
      <c r="E437" s="208">
        <v>0</v>
      </c>
      <c r="F437" s="244">
        <f t="shared" si="142"/>
        <v>0</v>
      </c>
      <c r="G437" s="243">
        <v>0</v>
      </c>
      <c r="H437" s="243">
        <v>0</v>
      </c>
      <c r="I437" s="243">
        <v>0</v>
      </c>
      <c r="J437" s="208">
        <v>0</v>
      </c>
      <c r="K437" s="244">
        <f t="shared" si="140"/>
        <v>0</v>
      </c>
      <c r="L437" s="243">
        <v>0</v>
      </c>
      <c r="M437" s="243">
        <v>0</v>
      </c>
      <c r="N437" s="243">
        <v>0</v>
      </c>
      <c r="O437" s="73">
        <v>0</v>
      </c>
      <c r="P437" s="243">
        <f t="shared" si="143"/>
        <v>0</v>
      </c>
      <c r="Q437" s="243">
        <v>0</v>
      </c>
      <c r="R437" s="243">
        <v>0</v>
      </c>
      <c r="S437" s="245">
        <v>0</v>
      </c>
      <c r="T437" s="73">
        <v>1.5</v>
      </c>
      <c r="U437" s="243">
        <f t="shared" si="144"/>
        <v>450</v>
      </c>
      <c r="V437" s="243">
        <v>0</v>
      </c>
      <c r="W437" s="243">
        <v>0</v>
      </c>
      <c r="X437" s="245">
        <v>450</v>
      </c>
      <c r="Y437" s="73">
        <v>0</v>
      </c>
      <c r="Z437" s="243">
        <f t="shared" si="145"/>
        <v>0</v>
      </c>
      <c r="AA437" s="243">
        <v>0</v>
      </c>
      <c r="AB437" s="243">
        <v>0</v>
      </c>
      <c r="AC437" s="245">
        <v>0</v>
      </c>
      <c r="AD437" s="18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</row>
    <row r="438" spans="1:43" s="17" customFormat="1" ht="23.4" customHeight="1" outlineLevel="1" x14ac:dyDescent="0.25">
      <c r="A438" s="78" t="s">
        <v>651</v>
      </c>
      <c r="B438" s="66" t="s">
        <v>392</v>
      </c>
      <c r="C438" s="226">
        <f t="shared" si="158"/>
        <v>2.6100000000000003</v>
      </c>
      <c r="D438" s="243">
        <f t="shared" si="139"/>
        <v>783.00000000000011</v>
      </c>
      <c r="E438" s="208">
        <v>0</v>
      </c>
      <c r="F438" s="244">
        <f t="shared" si="142"/>
        <v>0</v>
      </c>
      <c r="G438" s="243">
        <v>0</v>
      </c>
      <c r="H438" s="243">
        <v>0</v>
      </c>
      <c r="I438" s="243">
        <v>0</v>
      </c>
      <c r="J438" s="208">
        <v>0</v>
      </c>
      <c r="K438" s="244">
        <f t="shared" si="140"/>
        <v>0</v>
      </c>
      <c r="L438" s="243">
        <v>0</v>
      </c>
      <c r="M438" s="243">
        <v>0</v>
      </c>
      <c r="N438" s="243">
        <v>0</v>
      </c>
      <c r="O438" s="73">
        <v>0</v>
      </c>
      <c r="P438" s="243">
        <f t="shared" si="143"/>
        <v>0</v>
      </c>
      <c r="Q438" s="243">
        <v>0</v>
      </c>
      <c r="R438" s="243">
        <v>0</v>
      </c>
      <c r="S438" s="245">
        <v>0</v>
      </c>
      <c r="T438" s="73">
        <v>2.6100000000000003</v>
      </c>
      <c r="U438" s="243">
        <f t="shared" si="144"/>
        <v>783.00000000000011</v>
      </c>
      <c r="V438" s="243">
        <v>0</v>
      </c>
      <c r="W438" s="243">
        <v>0</v>
      </c>
      <c r="X438" s="245">
        <v>783.00000000000011</v>
      </c>
      <c r="Y438" s="73">
        <v>0</v>
      </c>
      <c r="Z438" s="243">
        <f t="shared" si="145"/>
        <v>0</v>
      </c>
      <c r="AA438" s="243">
        <v>0</v>
      </c>
      <c r="AB438" s="243">
        <v>0</v>
      </c>
      <c r="AC438" s="245">
        <v>0</v>
      </c>
      <c r="AD438" s="18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</row>
    <row r="439" spans="1:43" s="17" customFormat="1" ht="22.95" customHeight="1" outlineLevel="1" x14ac:dyDescent="0.25">
      <c r="A439" s="78" t="s">
        <v>652</v>
      </c>
      <c r="B439" s="66" t="s">
        <v>393</v>
      </c>
      <c r="C439" s="226">
        <f t="shared" si="158"/>
        <v>1.34</v>
      </c>
      <c r="D439" s="243">
        <f t="shared" si="139"/>
        <v>402</v>
      </c>
      <c r="E439" s="208">
        <v>0</v>
      </c>
      <c r="F439" s="244">
        <f t="shared" si="142"/>
        <v>0</v>
      </c>
      <c r="G439" s="243">
        <v>0</v>
      </c>
      <c r="H439" s="243">
        <v>0</v>
      </c>
      <c r="I439" s="243">
        <v>0</v>
      </c>
      <c r="J439" s="208">
        <v>0</v>
      </c>
      <c r="K439" s="244">
        <f t="shared" si="140"/>
        <v>0</v>
      </c>
      <c r="L439" s="243">
        <v>0</v>
      </c>
      <c r="M439" s="243">
        <v>0</v>
      </c>
      <c r="N439" s="243">
        <v>0</v>
      </c>
      <c r="O439" s="73">
        <v>0</v>
      </c>
      <c r="P439" s="243">
        <f t="shared" si="143"/>
        <v>0</v>
      </c>
      <c r="Q439" s="243">
        <v>0</v>
      </c>
      <c r="R439" s="243">
        <v>0</v>
      </c>
      <c r="S439" s="245">
        <v>0</v>
      </c>
      <c r="T439" s="73">
        <v>1.34</v>
      </c>
      <c r="U439" s="243">
        <f t="shared" si="144"/>
        <v>402</v>
      </c>
      <c r="V439" s="243">
        <v>0</v>
      </c>
      <c r="W439" s="243">
        <v>0</v>
      </c>
      <c r="X439" s="245">
        <v>402</v>
      </c>
      <c r="Y439" s="73">
        <v>0</v>
      </c>
      <c r="Z439" s="243">
        <f t="shared" si="145"/>
        <v>0</v>
      </c>
      <c r="AA439" s="243">
        <v>0</v>
      </c>
      <c r="AB439" s="243">
        <v>0</v>
      </c>
      <c r="AC439" s="245">
        <v>0</v>
      </c>
      <c r="AD439" s="18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</row>
    <row r="440" spans="1:43" s="17" customFormat="1" ht="33" customHeight="1" outlineLevel="1" x14ac:dyDescent="0.25">
      <c r="A440" s="78" t="s">
        <v>653</v>
      </c>
      <c r="B440" s="66" t="s">
        <v>394</v>
      </c>
      <c r="C440" s="226">
        <f t="shared" si="158"/>
        <v>0.61</v>
      </c>
      <c r="D440" s="243">
        <f t="shared" si="139"/>
        <v>182</v>
      </c>
      <c r="E440" s="208">
        <v>0</v>
      </c>
      <c r="F440" s="244">
        <f t="shared" si="142"/>
        <v>0</v>
      </c>
      <c r="G440" s="243">
        <v>0</v>
      </c>
      <c r="H440" s="243">
        <v>0</v>
      </c>
      <c r="I440" s="243">
        <v>0</v>
      </c>
      <c r="J440" s="208">
        <v>0</v>
      </c>
      <c r="K440" s="244">
        <f t="shared" si="140"/>
        <v>0</v>
      </c>
      <c r="L440" s="243">
        <v>0</v>
      </c>
      <c r="M440" s="243">
        <v>0</v>
      </c>
      <c r="N440" s="243">
        <v>0</v>
      </c>
      <c r="O440" s="73">
        <v>0</v>
      </c>
      <c r="P440" s="243">
        <f t="shared" si="143"/>
        <v>0</v>
      </c>
      <c r="Q440" s="243">
        <v>0</v>
      </c>
      <c r="R440" s="243">
        <v>0</v>
      </c>
      <c r="S440" s="245">
        <v>0</v>
      </c>
      <c r="T440" s="73">
        <v>0.61</v>
      </c>
      <c r="U440" s="243">
        <f t="shared" si="144"/>
        <v>182</v>
      </c>
      <c r="V440" s="243">
        <v>0</v>
      </c>
      <c r="W440" s="243">
        <v>0</v>
      </c>
      <c r="X440" s="245">
        <v>182</v>
      </c>
      <c r="Y440" s="73">
        <v>0</v>
      </c>
      <c r="Z440" s="243">
        <f t="shared" si="145"/>
        <v>0</v>
      </c>
      <c r="AA440" s="243">
        <v>0</v>
      </c>
      <c r="AB440" s="243">
        <v>0</v>
      </c>
      <c r="AC440" s="245">
        <v>0</v>
      </c>
      <c r="AD440" s="18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</row>
    <row r="441" spans="1:43" s="17" customFormat="1" ht="33" customHeight="1" outlineLevel="1" x14ac:dyDescent="0.25">
      <c r="A441" s="78" t="s">
        <v>654</v>
      </c>
      <c r="B441" s="66" t="s">
        <v>395</v>
      </c>
      <c r="C441" s="226">
        <f t="shared" si="158"/>
        <v>0.44</v>
      </c>
      <c r="D441" s="243">
        <f t="shared" ref="D441:D493" si="162">F441+K441+P441+U441+Z441</f>
        <v>131</v>
      </c>
      <c r="E441" s="208">
        <v>0</v>
      </c>
      <c r="F441" s="244">
        <f t="shared" si="142"/>
        <v>0</v>
      </c>
      <c r="G441" s="243">
        <v>0</v>
      </c>
      <c r="H441" s="243">
        <v>0</v>
      </c>
      <c r="I441" s="243">
        <v>0</v>
      </c>
      <c r="J441" s="208">
        <v>0</v>
      </c>
      <c r="K441" s="244">
        <f t="shared" ref="K441:K493" si="163">SUM(L441:N441)</f>
        <v>0</v>
      </c>
      <c r="L441" s="243">
        <v>0</v>
      </c>
      <c r="M441" s="243">
        <v>0</v>
      </c>
      <c r="N441" s="243">
        <v>0</v>
      </c>
      <c r="O441" s="73">
        <v>0</v>
      </c>
      <c r="P441" s="243">
        <f t="shared" si="143"/>
        <v>0</v>
      </c>
      <c r="Q441" s="243">
        <v>0</v>
      </c>
      <c r="R441" s="243">
        <v>0</v>
      </c>
      <c r="S441" s="245">
        <v>0</v>
      </c>
      <c r="T441" s="73">
        <v>0.44</v>
      </c>
      <c r="U441" s="243">
        <f t="shared" si="144"/>
        <v>131</v>
      </c>
      <c r="V441" s="243">
        <v>0</v>
      </c>
      <c r="W441" s="243">
        <v>0</v>
      </c>
      <c r="X441" s="245">
        <v>131</v>
      </c>
      <c r="Y441" s="73">
        <v>0</v>
      </c>
      <c r="Z441" s="243">
        <f t="shared" si="145"/>
        <v>0</v>
      </c>
      <c r="AA441" s="243">
        <v>0</v>
      </c>
      <c r="AB441" s="243">
        <v>0</v>
      </c>
      <c r="AC441" s="245">
        <v>0</v>
      </c>
      <c r="AD441" s="18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</row>
    <row r="442" spans="1:43" s="17" customFormat="1" ht="31.95" customHeight="1" outlineLevel="1" x14ac:dyDescent="0.25">
      <c r="A442" s="78" t="s">
        <v>655</v>
      </c>
      <c r="B442" s="66" t="s">
        <v>396</v>
      </c>
      <c r="C442" s="226">
        <f t="shared" si="158"/>
        <v>0.4</v>
      </c>
      <c r="D442" s="243">
        <f t="shared" si="162"/>
        <v>119</v>
      </c>
      <c r="E442" s="208">
        <v>0</v>
      </c>
      <c r="F442" s="244">
        <f t="shared" ref="F442:F493" si="164">G442+H442+I442</f>
        <v>0</v>
      </c>
      <c r="G442" s="243">
        <v>0</v>
      </c>
      <c r="H442" s="243">
        <v>0</v>
      </c>
      <c r="I442" s="243">
        <v>0</v>
      </c>
      <c r="J442" s="208">
        <v>0</v>
      </c>
      <c r="K442" s="244">
        <f t="shared" si="163"/>
        <v>0</v>
      </c>
      <c r="L442" s="243">
        <v>0</v>
      </c>
      <c r="M442" s="243">
        <v>0</v>
      </c>
      <c r="N442" s="243">
        <v>0</v>
      </c>
      <c r="O442" s="73">
        <v>0</v>
      </c>
      <c r="P442" s="243">
        <f t="shared" ref="P442:P493" si="165">Q442+R442+S442</f>
        <v>0</v>
      </c>
      <c r="Q442" s="243">
        <v>0</v>
      </c>
      <c r="R442" s="243">
        <v>0</v>
      </c>
      <c r="S442" s="245">
        <v>0</v>
      </c>
      <c r="T442" s="73">
        <v>0.4</v>
      </c>
      <c r="U442" s="243">
        <f t="shared" ref="U442:U493" si="166">V442+W442+X442</f>
        <v>119</v>
      </c>
      <c r="V442" s="243">
        <v>0</v>
      </c>
      <c r="W442" s="243">
        <v>0</v>
      </c>
      <c r="X442" s="245">
        <v>119</v>
      </c>
      <c r="Y442" s="73">
        <v>0</v>
      </c>
      <c r="Z442" s="243">
        <f t="shared" ref="Z442:Z493" si="167">AA442+AB442+AC442</f>
        <v>0</v>
      </c>
      <c r="AA442" s="243">
        <v>0</v>
      </c>
      <c r="AB442" s="243">
        <v>0</v>
      </c>
      <c r="AC442" s="245">
        <v>0</v>
      </c>
      <c r="AD442" s="18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</row>
    <row r="443" spans="1:43" s="17" customFormat="1" ht="30" customHeight="1" outlineLevel="1" x14ac:dyDescent="0.25">
      <c r="A443" s="78" t="s">
        <v>656</v>
      </c>
      <c r="B443" s="66" t="s">
        <v>397</v>
      </c>
      <c r="C443" s="226">
        <f t="shared" si="158"/>
        <v>0.71</v>
      </c>
      <c r="D443" s="243">
        <f t="shared" si="162"/>
        <v>212</v>
      </c>
      <c r="E443" s="208">
        <v>0</v>
      </c>
      <c r="F443" s="244">
        <f t="shared" si="164"/>
        <v>0</v>
      </c>
      <c r="G443" s="243">
        <v>0</v>
      </c>
      <c r="H443" s="243">
        <v>0</v>
      </c>
      <c r="I443" s="243">
        <v>0</v>
      </c>
      <c r="J443" s="208">
        <v>0</v>
      </c>
      <c r="K443" s="244">
        <f t="shared" si="163"/>
        <v>0</v>
      </c>
      <c r="L443" s="243">
        <v>0</v>
      </c>
      <c r="M443" s="243">
        <v>0</v>
      </c>
      <c r="N443" s="243">
        <v>0</v>
      </c>
      <c r="O443" s="73">
        <v>0</v>
      </c>
      <c r="P443" s="243">
        <f t="shared" si="165"/>
        <v>0</v>
      </c>
      <c r="Q443" s="243">
        <v>0</v>
      </c>
      <c r="R443" s="243">
        <v>0</v>
      </c>
      <c r="S443" s="245">
        <v>0</v>
      </c>
      <c r="T443" s="73">
        <v>0.71</v>
      </c>
      <c r="U443" s="243">
        <f t="shared" si="166"/>
        <v>212</v>
      </c>
      <c r="V443" s="243">
        <v>0</v>
      </c>
      <c r="W443" s="243">
        <v>0</v>
      </c>
      <c r="X443" s="245">
        <v>212</v>
      </c>
      <c r="Y443" s="73">
        <v>0</v>
      </c>
      <c r="Z443" s="243">
        <f t="shared" si="167"/>
        <v>0</v>
      </c>
      <c r="AA443" s="243">
        <v>0</v>
      </c>
      <c r="AB443" s="243">
        <v>0</v>
      </c>
      <c r="AC443" s="245">
        <v>0</v>
      </c>
      <c r="AD443" s="18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</row>
    <row r="444" spans="1:43" s="17" customFormat="1" ht="26.4" customHeight="1" outlineLevel="1" x14ac:dyDescent="0.25">
      <c r="A444" s="78" t="s">
        <v>657</v>
      </c>
      <c r="B444" s="66" t="s">
        <v>398</v>
      </c>
      <c r="C444" s="226">
        <f t="shared" si="158"/>
        <v>1.2</v>
      </c>
      <c r="D444" s="243">
        <f t="shared" si="162"/>
        <v>360</v>
      </c>
      <c r="E444" s="208">
        <v>0</v>
      </c>
      <c r="F444" s="244">
        <f t="shared" si="164"/>
        <v>0</v>
      </c>
      <c r="G444" s="243">
        <v>0</v>
      </c>
      <c r="H444" s="243">
        <v>0</v>
      </c>
      <c r="I444" s="243">
        <v>0</v>
      </c>
      <c r="J444" s="208">
        <v>0</v>
      </c>
      <c r="K444" s="244">
        <f t="shared" si="163"/>
        <v>0</v>
      </c>
      <c r="L444" s="243">
        <v>0</v>
      </c>
      <c r="M444" s="243">
        <v>0</v>
      </c>
      <c r="N444" s="243">
        <v>0</v>
      </c>
      <c r="O444" s="73">
        <v>0</v>
      </c>
      <c r="P444" s="243">
        <f t="shared" si="165"/>
        <v>0</v>
      </c>
      <c r="Q444" s="243">
        <v>0</v>
      </c>
      <c r="R444" s="243">
        <v>0</v>
      </c>
      <c r="S444" s="245">
        <v>0</v>
      </c>
      <c r="T444" s="73">
        <v>1.2</v>
      </c>
      <c r="U444" s="243">
        <f t="shared" si="166"/>
        <v>360</v>
      </c>
      <c r="V444" s="243">
        <v>0</v>
      </c>
      <c r="W444" s="243">
        <v>0</v>
      </c>
      <c r="X444" s="245">
        <v>360</v>
      </c>
      <c r="Y444" s="73">
        <v>0</v>
      </c>
      <c r="Z444" s="243">
        <f t="shared" si="167"/>
        <v>0</v>
      </c>
      <c r="AA444" s="243">
        <v>0</v>
      </c>
      <c r="AB444" s="243">
        <v>0</v>
      </c>
      <c r="AC444" s="245">
        <v>0</v>
      </c>
      <c r="AD444" s="18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</row>
    <row r="445" spans="1:43" s="17" customFormat="1" ht="27" customHeight="1" outlineLevel="1" x14ac:dyDescent="0.25">
      <c r="A445" s="78" t="s">
        <v>658</v>
      </c>
      <c r="B445" s="66" t="s">
        <v>399</v>
      </c>
      <c r="C445" s="226">
        <f t="shared" si="158"/>
        <v>1.24</v>
      </c>
      <c r="D445" s="243">
        <f t="shared" si="162"/>
        <v>372</v>
      </c>
      <c r="E445" s="208">
        <v>0</v>
      </c>
      <c r="F445" s="244">
        <f t="shared" si="164"/>
        <v>0</v>
      </c>
      <c r="G445" s="243">
        <v>0</v>
      </c>
      <c r="H445" s="243">
        <v>0</v>
      </c>
      <c r="I445" s="243">
        <v>0</v>
      </c>
      <c r="J445" s="208">
        <v>0</v>
      </c>
      <c r="K445" s="244">
        <f t="shared" si="163"/>
        <v>0</v>
      </c>
      <c r="L445" s="243">
        <v>0</v>
      </c>
      <c r="M445" s="243">
        <v>0</v>
      </c>
      <c r="N445" s="243">
        <v>0</v>
      </c>
      <c r="O445" s="73">
        <v>0</v>
      </c>
      <c r="P445" s="243">
        <f t="shared" si="165"/>
        <v>0</v>
      </c>
      <c r="Q445" s="243">
        <v>0</v>
      </c>
      <c r="R445" s="243">
        <v>0</v>
      </c>
      <c r="S445" s="245">
        <v>0</v>
      </c>
      <c r="T445" s="73">
        <v>1.24</v>
      </c>
      <c r="U445" s="243">
        <f t="shared" si="166"/>
        <v>372</v>
      </c>
      <c r="V445" s="243">
        <v>0</v>
      </c>
      <c r="W445" s="243">
        <v>0</v>
      </c>
      <c r="X445" s="245">
        <v>372</v>
      </c>
      <c r="Y445" s="73">
        <v>0</v>
      </c>
      <c r="Z445" s="243">
        <f t="shared" si="167"/>
        <v>0</v>
      </c>
      <c r="AA445" s="243">
        <v>0</v>
      </c>
      <c r="AB445" s="243">
        <v>0</v>
      </c>
      <c r="AC445" s="245">
        <v>0</v>
      </c>
      <c r="AD445" s="18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</row>
    <row r="446" spans="1:43" s="17" customFormat="1" ht="35.4" customHeight="1" outlineLevel="1" x14ac:dyDescent="0.25">
      <c r="A446" s="78" t="s">
        <v>659</v>
      </c>
      <c r="B446" s="66" t="s">
        <v>400</v>
      </c>
      <c r="C446" s="226">
        <f t="shared" si="158"/>
        <v>1.19</v>
      </c>
      <c r="D446" s="243">
        <f t="shared" si="162"/>
        <v>357</v>
      </c>
      <c r="E446" s="208">
        <v>0</v>
      </c>
      <c r="F446" s="244">
        <f t="shared" si="164"/>
        <v>0</v>
      </c>
      <c r="G446" s="243">
        <v>0</v>
      </c>
      <c r="H446" s="243">
        <v>0</v>
      </c>
      <c r="I446" s="243">
        <v>0</v>
      </c>
      <c r="J446" s="208">
        <v>0</v>
      </c>
      <c r="K446" s="244">
        <f t="shared" si="163"/>
        <v>0</v>
      </c>
      <c r="L446" s="243">
        <v>0</v>
      </c>
      <c r="M446" s="243">
        <v>0</v>
      </c>
      <c r="N446" s="243">
        <v>0</v>
      </c>
      <c r="O446" s="73">
        <v>0</v>
      </c>
      <c r="P446" s="243">
        <f t="shared" si="165"/>
        <v>0</v>
      </c>
      <c r="Q446" s="243">
        <v>0</v>
      </c>
      <c r="R446" s="243">
        <v>0</v>
      </c>
      <c r="S446" s="245">
        <v>0</v>
      </c>
      <c r="T446" s="73">
        <v>1.19</v>
      </c>
      <c r="U446" s="243">
        <f t="shared" si="166"/>
        <v>357</v>
      </c>
      <c r="V446" s="243">
        <v>0</v>
      </c>
      <c r="W446" s="243">
        <v>0</v>
      </c>
      <c r="X446" s="245">
        <v>357</v>
      </c>
      <c r="Y446" s="73">
        <v>0</v>
      </c>
      <c r="Z446" s="243">
        <f t="shared" si="167"/>
        <v>0</v>
      </c>
      <c r="AA446" s="243">
        <v>0</v>
      </c>
      <c r="AB446" s="243">
        <v>0</v>
      </c>
      <c r="AC446" s="245">
        <v>0</v>
      </c>
      <c r="AD446" s="18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</row>
    <row r="447" spans="1:43" s="17" customFormat="1" ht="23.4" customHeight="1" outlineLevel="1" x14ac:dyDescent="0.25">
      <c r="A447" s="78" t="s">
        <v>660</v>
      </c>
      <c r="B447" s="66" t="s">
        <v>401</v>
      </c>
      <c r="C447" s="226">
        <f t="shared" si="158"/>
        <v>3.03</v>
      </c>
      <c r="D447" s="243">
        <f t="shared" si="162"/>
        <v>908.99999999999989</v>
      </c>
      <c r="E447" s="208">
        <v>0</v>
      </c>
      <c r="F447" s="244">
        <f t="shared" si="164"/>
        <v>0</v>
      </c>
      <c r="G447" s="243">
        <v>0</v>
      </c>
      <c r="H447" s="243">
        <v>0</v>
      </c>
      <c r="I447" s="243">
        <v>0</v>
      </c>
      <c r="J447" s="208">
        <v>0</v>
      </c>
      <c r="K447" s="244">
        <f t="shared" si="163"/>
        <v>0</v>
      </c>
      <c r="L447" s="243">
        <v>0</v>
      </c>
      <c r="M447" s="243">
        <v>0</v>
      </c>
      <c r="N447" s="243">
        <v>0</v>
      </c>
      <c r="O447" s="73">
        <v>0</v>
      </c>
      <c r="P447" s="243">
        <f t="shared" si="165"/>
        <v>0</v>
      </c>
      <c r="Q447" s="243">
        <v>0</v>
      </c>
      <c r="R447" s="243">
        <v>0</v>
      </c>
      <c r="S447" s="245">
        <v>0</v>
      </c>
      <c r="T447" s="73">
        <v>3.03</v>
      </c>
      <c r="U447" s="243">
        <f t="shared" si="166"/>
        <v>908.99999999999989</v>
      </c>
      <c r="V447" s="243">
        <v>0</v>
      </c>
      <c r="W447" s="243">
        <v>0</v>
      </c>
      <c r="X447" s="245">
        <v>908.99999999999989</v>
      </c>
      <c r="Y447" s="73">
        <v>0</v>
      </c>
      <c r="Z447" s="243">
        <f t="shared" si="167"/>
        <v>0</v>
      </c>
      <c r="AA447" s="243">
        <v>0</v>
      </c>
      <c r="AB447" s="243">
        <v>0</v>
      </c>
      <c r="AC447" s="245">
        <v>0</v>
      </c>
      <c r="AD447" s="18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</row>
    <row r="448" spans="1:43" s="17" customFormat="1" ht="29.4" customHeight="1" outlineLevel="1" x14ac:dyDescent="0.25">
      <c r="A448" s="78" t="s">
        <v>661</v>
      </c>
      <c r="B448" s="66" t="s">
        <v>402</v>
      </c>
      <c r="C448" s="226">
        <f t="shared" si="158"/>
        <v>3.16</v>
      </c>
      <c r="D448" s="243">
        <f t="shared" si="162"/>
        <v>947</v>
      </c>
      <c r="E448" s="208">
        <v>0</v>
      </c>
      <c r="F448" s="244">
        <f t="shared" si="164"/>
        <v>0</v>
      </c>
      <c r="G448" s="243">
        <v>0</v>
      </c>
      <c r="H448" s="243">
        <v>0</v>
      </c>
      <c r="I448" s="243">
        <v>0</v>
      </c>
      <c r="J448" s="208">
        <v>0</v>
      </c>
      <c r="K448" s="244">
        <f t="shared" si="163"/>
        <v>0</v>
      </c>
      <c r="L448" s="243">
        <v>0</v>
      </c>
      <c r="M448" s="243">
        <v>0</v>
      </c>
      <c r="N448" s="243">
        <v>0</v>
      </c>
      <c r="O448" s="73">
        <v>0</v>
      </c>
      <c r="P448" s="243">
        <f t="shared" si="165"/>
        <v>0</v>
      </c>
      <c r="Q448" s="243">
        <v>0</v>
      </c>
      <c r="R448" s="243">
        <v>0</v>
      </c>
      <c r="S448" s="245">
        <v>0</v>
      </c>
      <c r="T448" s="73">
        <v>3.16</v>
      </c>
      <c r="U448" s="243">
        <f t="shared" si="166"/>
        <v>947</v>
      </c>
      <c r="V448" s="243">
        <v>0</v>
      </c>
      <c r="W448" s="243">
        <v>0</v>
      </c>
      <c r="X448" s="245">
        <v>947</v>
      </c>
      <c r="Y448" s="73">
        <v>0</v>
      </c>
      <c r="Z448" s="243">
        <f t="shared" si="167"/>
        <v>0</v>
      </c>
      <c r="AA448" s="243">
        <v>0</v>
      </c>
      <c r="AB448" s="243">
        <v>0</v>
      </c>
      <c r="AC448" s="245">
        <v>0</v>
      </c>
      <c r="AD448" s="18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</row>
    <row r="449" spans="1:43" s="17" customFormat="1" ht="27" customHeight="1" outlineLevel="1" x14ac:dyDescent="0.25">
      <c r="A449" s="78" t="s">
        <v>662</v>
      </c>
      <c r="B449" s="66" t="s">
        <v>403</v>
      </c>
      <c r="C449" s="226">
        <f t="shared" si="158"/>
        <v>1.79</v>
      </c>
      <c r="D449" s="243">
        <f t="shared" si="162"/>
        <v>536</v>
      </c>
      <c r="E449" s="208">
        <v>0</v>
      </c>
      <c r="F449" s="244">
        <f t="shared" si="164"/>
        <v>0</v>
      </c>
      <c r="G449" s="243">
        <v>0</v>
      </c>
      <c r="H449" s="243">
        <v>0</v>
      </c>
      <c r="I449" s="243">
        <v>0</v>
      </c>
      <c r="J449" s="208">
        <v>0</v>
      </c>
      <c r="K449" s="244">
        <f t="shared" si="163"/>
        <v>0</v>
      </c>
      <c r="L449" s="243">
        <v>0</v>
      </c>
      <c r="M449" s="243">
        <v>0</v>
      </c>
      <c r="N449" s="243">
        <v>0</v>
      </c>
      <c r="O449" s="73">
        <v>0</v>
      </c>
      <c r="P449" s="243">
        <f t="shared" si="165"/>
        <v>0</v>
      </c>
      <c r="Q449" s="243">
        <v>0</v>
      </c>
      <c r="R449" s="243">
        <v>0</v>
      </c>
      <c r="S449" s="245">
        <v>0</v>
      </c>
      <c r="T449" s="73">
        <v>1.79</v>
      </c>
      <c r="U449" s="243">
        <f t="shared" si="166"/>
        <v>536</v>
      </c>
      <c r="V449" s="243">
        <v>0</v>
      </c>
      <c r="W449" s="243">
        <v>0</v>
      </c>
      <c r="X449" s="245">
        <v>536</v>
      </c>
      <c r="Y449" s="73">
        <v>0</v>
      </c>
      <c r="Z449" s="243">
        <f t="shared" si="167"/>
        <v>0</v>
      </c>
      <c r="AA449" s="243">
        <v>0</v>
      </c>
      <c r="AB449" s="243">
        <v>0</v>
      </c>
      <c r="AC449" s="245">
        <v>0</v>
      </c>
      <c r="AD449" s="18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</row>
    <row r="450" spans="1:43" s="17" customFormat="1" ht="28.2" customHeight="1" outlineLevel="1" x14ac:dyDescent="0.25">
      <c r="A450" s="78" t="s">
        <v>663</v>
      </c>
      <c r="B450" s="66" t="s">
        <v>404</v>
      </c>
      <c r="C450" s="226">
        <f t="shared" si="158"/>
        <v>0.82</v>
      </c>
      <c r="D450" s="243">
        <f t="shared" si="162"/>
        <v>245</v>
      </c>
      <c r="E450" s="208">
        <v>0</v>
      </c>
      <c r="F450" s="244">
        <f t="shared" si="164"/>
        <v>0</v>
      </c>
      <c r="G450" s="243">
        <v>0</v>
      </c>
      <c r="H450" s="243">
        <v>0</v>
      </c>
      <c r="I450" s="243">
        <v>0</v>
      </c>
      <c r="J450" s="208">
        <v>0</v>
      </c>
      <c r="K450" s="244">
        <f t="shared" si="163"/>
        <v>0</v>
      </c>
      <c r="L450" s="243">
        <v>0</v>
      </c>
      <c r="M450" s="243">
        <v>0</v>
      </c>
      <c r="N450" s="243">
        <v>0</v>
      </c>
      <c r="O450" s="73">
        <v>0</v>
      </c>
      <c r="P450" s="243">
        <f t="shared" si="165"/>
        <v>0</v>
      </c>
      <c r="Q450" s="243">
        <v>0</v>
      </c>
      <c r="R450" s="243">
        <v>0</v>
      </c>
      <c r="S450" s="245">
        <v>0</v>
      </c>
      <c r="T450" s="73">
        <v>0.82</v>
      </c>
      <c r="U450" s="243">
        <f t="shared" si="166"/>
        <v>245</v>
      </c>
      <c r="V450" s="243">
        <v>0</v>
      </c>
      <c r="W450" s="243">
        <v>0</v>
      </c>
      <c r="X450" s="245">
        <v>245</v>
      </c>
      <c r="Y450" s="73">
        <v>0</v>
      </c>
      <c r="Z450" s="243">
        <f t="shared" si="167"/>
        <v>0</v>
      </c>
      <c r="AA450" s="243">
        <v>0</v>
      </c>
      <c r="AB450" s="243">
        <v>0</v>
      </c>
      <c r="AC450" s="245">
        <v>0</v>
      </c>
      <c r="AD450" s="18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</row>
    <row r="451" spans="1:43" s="17" customFormat="1" ht="25.2" customHeight="1" outlineLevel="1" x14ac:dyDescent="0.25">
      <c r="A451" s="78" t="s">
        <v>664</v>
      </c>
      <c r="B451" s="66" t="s">
        <v>405</v>
      </c>
      <c r="C451" s="226">
        <f t="shared" si="158"/>
        <v>0.75</v>
      </c>
      <c r="D451" s="243">
        <f t="shared" si="162"/>
        <v>225</v>
      </c>
      <c r="E451" s="208">
        <v>0</v>
      </c>
      <c r="F451" s="244">
        <f t="shared" si="164"/>
        <v>0</v>
      </c>
      <c r="G451" s="243">
        <v>0</v>
      </c>
      <c r="H451" s="243">
        <v>0</v>
      </c>
      <c r="I451" s="243">
        <v>0</v>
      </c>
      <c r="J451" s="208">
        <v>0</v>
      </c>
      <c r="K451" s="244">
        <f t="shared" si="163"/>
        <v>0</v>
      </c>
      <c r="L451" s="243">
        <v>0</v>
      </c>
      <c r="M451" s="243">
        <v>0</v>
      </c>
      <c r="N451" s="243">
        <v>0</v>
      </c>
      <c r="O451" s="73">
        <v>0</v>
      </c>
      <c r="P451" s="243">
        <f t="shared" si="165"/>
        <v>0</v>
      </c>
      <c r="Q451" s="243">
        <v>0</v>
      </c>
      <c r="R451" s="243">
        <v>0</v>
      </c>
      <c r="S451" s="245">
        <v>0</v>
      </c>
      <c r="T451" s="73">
        <v>0.75</v>
      </c>
      <c r="U451" s="243">
        <f t="shared" si="166"/>
        <v>225</v>
      </c>
      <c r="V451" s="243">
        <v>0</v>
      </c>
      <c r="W451" s="243">
        <v>0</v>
      </c>
      <c r="X451" s="245">
        <v>225</v>
      </c>
      <c r="Y451" s="73">
        <v>0</v>
      </c>
      <c r="Z451" s="243">
        <f t="shared" si="167"/>
        <v>0</v>
      </c>
      <c r="AA451" s="243">
        <v>0</v>
      </c>
      <c r="AB451" s="243">
        <v>0</v>
      </c>
      <c r="AC451" s="245">
        <v>0</v>
      </c>
      <c r="AD451" s="18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</row>
    <row r="452" spans="1:43" s="17" customFormat="1" ht="28.95" customHeight="1" outlineLevel="1" x14ac:dyDescent="0.25">
      <c r="A452" s="78" t="s">
        <v>665</v>
      </c>
      <c r="B452" s="66" t="s">
        <v>406</v>
      </c>
      <c r="C452" s="226">
        <f t="shared" si="158"/>
        <v>1.06</v>
      </c>
      <c r="D452" s="243">
        <f t="shared" si="162"/>
        <v>318</v>
      </c>
      <c r="E452" s="208">
        <v>0</v>
      </c>
      <c r="F452" s="244">
        <f t="shared" si="164"/>
        <v>0</v>
      </c>
      <c r="G452" s="243">
        <v>0</v>
      </c>
      <c r="H452" s="243">
        <v>0</v>
      </c>
      <c r="I452" s="243">
        <v>0</v>
      </c>
      <c r="J452" s="208">
        <v>0</v>
      </c>
      <c r="K452" s="244">
        <f t="shared" si="163"/>
        <v>0</v>
      </c>
      <c r="L452" s="243">
        <v>0</v>
      </c>
      <c r="M452" s="243">
        <v>0</v>
      </c>
      <c r="N452" s="243">
        <v>0</v>
      </c>
      <c r="O452" s="73">
        <v>0</v>
      </c>
      <c r="P452" s="243">
        <f t="shared" si="165"/>
        <v>0</v>
      </c>
      <c r="Q452" s="243">
        <v>0</v>
      </c>
      <c r="R452" s="243">
        <v>0</v>
      </c>
      <c r="S452" s="245">
        <v>0</v>
      </c>
      <c r="T452" s="73">
        <v>1.06</v>
      </c>
      <c r="U452" s="243">
        <f t="shared" si="166"/>
        <v>318</v>
      </c>
      <c r="V452" s="243">
        <v>0</v>
      </c>
      <c r="W452" s="243">
        <v>0</v>
      </c>
      <c r="X452" s="245">
        <v>318</v>
      </c>
      <c r="Y452" s="73">
        <v>0</v>
      </c>
      <c r="Z452" s="243">
        <f t="shared" si="167"/>
        <v>0</v>
      </c>
      <c r="AA452" s="243">
        <v>0</v>
      </c>
      <c r="AB452" s="243">
        <v>0</v>
      </c>
      <c r="AC452" s="245">
        <v>0</v>
      </c>
      <c r="AD452" s="18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</row>
    <row r="453" spans="1:43" s="17" customFormat="1" ht="26.4" customHeight="1" outlineLevel="1" x14ac:dyDescent="0.25">
      <c r="A453" s="78" t="s">
        <v>666</v>
      </c>
      <c r="B453" s="66" t="s">
        <v>407</v>
      </c>
      <c r="C453" s="226">
        <f t="shared" si="158"/>
        <v>3.68</v>
      </c>
      <c r="D453" s="243">
        <f t="shared" si="162"/>
        <v>1103</v>
      </c>
      <c r="E453" s="208">
        <v>0</v>
      </c>
      <c r="F453" s="244">
        <f t="shared" si="164"/>
        <v>0</v>
      </c>
      <c r="G453" s="243">
        <v>0</v>
      </c>
      <c r="H453" s="243">
        <v>0</v>
      </c>
      <c r="I453" s="243">
        <v>0</v>
      </c>
      <c r="J453" s="208">
        <v>0</v>
      </c>
      <c r="K453" s="244">
        <f t="shared" si="163"/>
        <v>0</v>
      </c>
      <c r="L453" s="243">
        <v>0</v>
      </c>
      <c r="M453" s="243">
        <v>0</v>
      </c>
      <c r="N453" s="243">
        <v>0</v>
      </c>
      <c r="O453" s="73">
        <v>0</v>
      </c>
      <c r="P453" s="243">
        <f t="shared" si="165"/>
        <v>0</v>
      </c>
      <c r="Q453" s="243">
        <v>0</v>
      </c>
      <c r="R453" s="243">
        <v>0</v>
      </c>
      <c r="S453" s="245">
        <v>0</v>
      </c>
      <c r="T453" s="73">
        <v>3.68</v>
      </c>
      <c r="U453" s="243">
        <f t="shared" si="166"/>
        <v>1103</v>
      </c>
      <c r="V453" s="243">
        <v>0</v>
      </c>
      <c r="W453" s="243">
        <v>0</v>
      </c>
      <c r="X453" s="245">
        <v>1103</v>
      </c>
      <c r="Y453" s="73">
        <v>0</v>
      </c>
      <c r="Z453" s="243">
        <f t="shared" si="167"/>
        <v>0</v>
      </c>
      <c r="AA453" s="243">
        <v>0</v>
      </c>
      <c r="AB453" s="243">
        <v>0</v>
      </c>
      <c r="AC453" s="245">
        <v>0</v>
      </c>
      <c r="AD453" s="18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</row>
    <row r="454" spans="1:43" s="17" customFormat="1" ht="25.95" customHeight="1" outlineLevel="1" x14ac:dyDescent="0.25">
      <c r="A454" s="78" t="s">
        <v>667</v>
      </c>
      <c r="B454" s="66" t="s">
        <v>415</v>
      </c>
      <c r="C454" s="226">
        <f t="shared" si="158"/>
        <v>1.59</v>
      </c>
      <c r="D454" s="243">
        <f t="shared" si="162"/>
        <v>477</v>
      </c>
      <c r="E454" s="208">
        <v>0</v>
      </c>
      <c r="F454" s="244">
        <f t="shared" si="164"/>
        <v>0</v>
      </c>
      <c r="G454" s="243">
        <v>0</v>
      </c>
      <c r="H454" s="243">
        <v>0</v>
      </c>
      <c r="I454" s="243">
        <v>0</v>
      </c>
      <c r="J454" s="208">
        <v>0</v>
      </c>
      <c r="K454" s="244">
        <f t="shared" si="163"/>
        <v>0</v>
      </c>
      <c r="L454" s="243">
        <v>0</v>
      </c>
      <c r="M454" s="243">
        <v>0</v>
      </c>
      <c r="N454" s="243">
        <v>0</v>
      </c>
      <c r="O454" s="73">
        <v>0</v>
      </c>
      <c r="P454" s="243">
        <f t="shared" si="165"/>
        <v>0</v>
      </c>
      <c r="Q454" s="243">
        <v>0</v>
      </c>
      <c r="R454" s="243">
        <v>0</v>
      </c>
      <c r="S454" s="245">
        <v>0</v>
      </c>
      <c r="T454" s="73">
        <v>1.59</v>
      </c>
      <c r="U454" s="243">
        <f t="shared" si="166"/>
        <v>477</v>
      </c>
      <c r="V454" s="243">
        <v>0</v>
      </c>
      <c r="W454" s="243">
        <v>0</v>
      </c>
      <c r="X454" s="245">
        <v>477</v>
      </c>
      <c r="Y454" s="73">
        <v>0</v>
      </c>
      <c r="Z454" s="243">
        <f t="shared" si="167"/>
        <v>0</v>
      </c>
      <c r="AA454" s="243">
        <v>0</v>
      </c>
      <c r="AB454" s="243">
        <v>0</v>
      </c>
      <c r="AC454" s="245">
        <v>0</v>
      </c>
      <c r="AD454" s="18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</row>
    <row r="455" spans="1:43" s="17" customFormat="1" ht="28.95" customHeight="1" outlineLevel="1" x14ac:dyDescent="0.25">
      <c r="A455" s="78" t="s">
        <v>668</v>
      </c>
      <c r="B455" s="66" t="s">
        <v>416</v>
      </c>
      <c r="C455" s="226">
        <f t="shared" si="158"/>
        <v>1.39</v>
      </c>
      <c r="D455" s="243">
        <f t="shared" si="162"/>
        <v>416</v>
      </c>
      <c r="E455" s="208">
        <v>0</v>
      </c>
      <c r="F455" s="244">
        <f t="shared" si="164"/>
        <v>0</v>
      </c>
      <c r="G455" s="243">
        <v>0</v>
      </c>
      <c r="H455" s="243">
        <v>0</v>
      </c>
      <c r="I455" s="243">
        <v>0</v>
      </c>
      <c r="J455" s="208">
        <v>0</v>
      </c>
      <c r="K455" s="244">
        <f t="shared" si="163"/>
        <v>0</v>
      </c>
      <c r="L455" s="243">
        <v>0</v>
      </c>
      <c r="M455" s="243">
        <v>0</v>
      </c>
      <c r="N455" s="243">
        <v>0</v>
      </c>
      <c r="O455" s="73">
        <v>0</v>
      </c>
      <c r="P455" s="243">
        <f t="shared" si="165"/>
        <v>0</v>
      </c>
      <c r="Q455" s="243">
        <v>0</v>
      </c>
      <c r="R455" s="243">
        <v>0</v>
      </c>
      <c r="S455" s="245">
        <v>0</v>
      </c>
      <c r="T455" s="73">
        <v>1.39</v>
      </c>
      <c r="U455" s="243">
        <f t="shared" si="166"/>
        <v>416</v>
      </c>
      <c r="V455" s="243">
        <v>0</v>
      </c>
      <c r="W455" s="243">
        <v>0</v>
      </c>
      <c r="X455" s="245">
        <v>416</v>
      </c>
      <c r="Y455" s="73">
        <v>0</v>
      </c>
      <c r="Z455" s="243">
        <f t="shared" si="167"/>
        <v>0</v>
      </c>
      <c r="AA455" s="243">
        <v>0</v>
      </c>
      <c r="AB455" s="243">
        <v>0</v>
      </c>
      <c r="AC455" s="245">
        <v>0</v>
      </c>
      <c r="AD455" s="18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</row>
    <row r="456" spans="1:43" s="17" customFormat="1" ht="26.4" customHeight="1" outlineLevel="1" x14ac:dyDescent="0.25">
      <c r="A456" s="78" t="s">
        <v>669</v>
      </c>
      <c r="B456" s="66" t="s">
        <v>417</v>
      </c>
      <c r="C456" s="226">
        <f t="shared" si="158"/>
        <v>1.9</v>
      </c>
      <c r="D456" s="243">
        <f t="shared" si="162"/>
        <v>570</v>
      </c>
      <c r="E456" s="208">
        <v>0</v>
      </c>
      <c r="F456" s="244">
        <f t="shared" si="164"/>
        <v>0</v>
      </c>
      <c r="G456" s="243">
        <v>0</v>
      </c>
      <c r="H456" s="243">
        <v>0</v>
      </c>
      <c r="I456" s="243">
        <v>0</v>
      </c>
      <c r="J456" s="208">
        <v>0</v>
      </c>
      <c r="K456" s="244">
        <f t="shared" si="163"/>
        <v>0</v>
      </c>
      <c r="L456" s="243">
        <v>0</v>
      </c>
      <c r="M456" s="243">
        <v>0</v>
      </c>
      <c r="N456" s="243">
        <v>0</v>
      </c>
      <c r="O456" s="73">
        <v>0</v>
      </c>
      <c r="P456" s="243">
        <f t="shared" si="165"/>
        <v>0</v>
      </c>
      <c r="Q456" s="243">
        <v>0</v>
      </c>
      <c r="R456" s="243">
        <v>0</v>
      </c>
      <c r="S456" s="245">
        <v>0</v>
      </c>
      <c r="T456" s="73">
        <v>1.9</v>
      </c>
      <c r="U456" s="243">
        <f t="shared" si="166"/>
        <v>570</v>
      </c>
      <c r="V456" s="243">
        <v>0</v>
      </c>
      <c r="W456" s="243">
        <v>0</v>
      </c>
      <c r="X456" s="245">
        <v>570</v>
      </c>
      <c r="Y456" s="73">
        <v>0</v>
      </c>
      <c r="Z456" s="243">
        <f t="shared" si="167"/>
        <v>0</v>
      </c>
      <c r="AA456" s="243">
        <v>0</v>
      </c>
      <c r="AB456" s="243">
        <v>0</v>
      </c>
      <c r="AC456" s="245">
        <v>0</v>
      </c>
      <c r="AD456" s="18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</row>
    <row r="457" spans="1:43" s="17" customFormat="1" ht="33" customHeight="1" outlineLevel="1" x14ac:dyDescent="0.25">
      <c r="A457" s="78" t="s">
        <v>670</v>
      </c>
      <c r="B457" s="66" t="s">
        <v>418</v>
      </c>
      <c r="C457" s="226">
        <f t="shared" si="158"/>
        <v>0.95</v>
      </c>
      <c r="D457" s="243">
        <f t="shared" si="162"/>
        <v>285</v>
      </c>
      <c r="E457" s="208">
        <v>0</v>
      </c>
      <c r="F457" s="244">
        <f t="shared" si="164"/>
        <v>0</v>
      </c>
      <c r="G457" s="243">
        <v>0</v>
      </c>
      <c r="H457" s="243">
        <v>0</v>
      </c>
      <c r="I457" s="243">
        <v>0</v>
      </c>
      <c r="J457" s="208">
        <v>0</v>
      </c>
      <c r="K457" s="244">
        <f t="shared" si="163"/>
        <v>0</v>
      </c>
      <c r="L457" s="243">
        <v>0</v>
      </c>
      <c r="M457" s="243">
        <v>0</v>
      </c>
      <c r="N457" s="243">
        <v>0</v>
      </c>
      <c r="O457" s="73">
        <v>0</v>
      </c>
      <c r="P457" s="243">
        <f t="shared" si="165"/>
        <v>0</v>
      </c>
      <c r="Q457" s="243">
        <v>0</v>
      </c>
      <c r="R457" s="243">
        <v>0</v>
      </c>
      <c r="S457" s="245">
        <v>0</v>
      </c>
      <c r="T457" s="73">
        <v>0.95</v>
      </c>
      <c r="U457" s="243">
        <f t="shared" si="166"/>
        <v>285</v>
      </c>
      <c r="V457" s="243">
        <v>0</v>
      </c>
      <c r="W457" s="243">
        <v>0</v>
      </c>
      <c r="X457" s="245">
        <v>285</v>
      </c>
      <c r="Y457" s="73">
        <v>0</v>
      </c>
      <c r="Z457" s="243">
        <f t="shared" si="167"/>
        <v>0</v>
      </c>
      <c r="AA457" s="243">
        <v>0</v>
      </c>
      <c r="AB457" s="243">
        <v>0</v>
      </c>
      <c r="AC457" s="245">
        <v>0</v>
      </c>
      <c r="AD457" s="18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</row>
    <row r="458" spans="1:43" s="17" customFormat="1" ht="32.4" customHeight="1" outlineLevel="1" x14ac:dyDescent="0.25">
      <c r="A458" s="78" t="s">
        <v>671</v>
      </c>
      <c r="B458" s="66" t="s">
        <v>419</v>
      </c>
      <c r="C458" s="226">
        <f t="shared" si="158"/>
        <v>1.85</v>
      </c>
      <c r="D458" s="243">
        <f t="shared" si="162"/>
        <v>555</v>
      </c>
      <c r="E458" s="208">
        <v>0</v>
      </c>
      <c r="F458" s="244">
        <f t="shared" si="164"/>
        <v>0</v>
      </c>
      <c r="G458" s="243">
        <v>0</v>
      </c>
      <c r="H458" s="243">
        <v>0</v>
      </c>
      <c r="I458" s="243">
        <v>0</v>
      </c>
      <c r="J458" s="208">
        <v>0</v>
      </c>
      <c r="K458" s="244">
        <f t="shared" si="163"/>
        <v>0</v>
      </c>
      <c r="L458" s="243">
        <v>0</v>
      </c>
      <c r="M458" s="243">
        <v>0</v>
      </c>
      <c r="N458" s="243">
        <v>0</v>
      </c>
      <c r="O458" s="73">
        <v>0</v>
      </c>
      <c r="P458" s="243">
        <f t="shared" si="165"/>
        <v>0</v>
      </c>
      <c r="Q458" s="243">
        <v>0</v>
      </c>
      <c r="R458" s="243">
        <v>0</v>
      </c>
      <c r="S458" s="245">
        <v>0</v>
      </c>
      <c r="T458" s="73">
        <v>1.85</v>
      </c>
      <c r="U458" s="243">
        <f t="shared" si="166"/>
        <v>555</v>
      </c>
      <c r="V458" s="243">
        <v>0</v>
      </c>
      <c r="W458" s="243">
        <v>0</v>
      </c>
      <c r="X458" s="245">
        <v>555</v>
      </c>
      <c r="Y458" s="73">
        <v>0</v>
      </c>
      <c r="Z458" s="243">
        <f t="shared" si="167"/>
        <v>0</v>
      </c>
      <c r="AA458" s="243">
        <v>0</v>
      </c>
      <c r="AB458" s="243">
        <v>0</v>
      </c>
      <c r="AC458" s="245">
        <v>0</v>
      </c>
      <c r="AD458" s="18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</row>
    <row r="459" spans="1:43" s="17" customFormat="1" ht="30.6" customHeight="1" outlineLevel="1" x14ac:dyDescent="0.25">
      <c r="A459" s="78" t="s">
        <v>672</v>
      </c>
      <c r="B459" s="66" t="s">
        <v>420</v>
      </c>
      <c r="C459" s="226">
        <f t="shared" si="158"/>
        <v>0.89999999999999991</v>
      </c>
      <c r="D459" s="243">
        <f t="shared" si="162"/>
        <v>270</v>
      </c>
      <c r="E459" s="208">
        <v>0</v>
      </c>
      <c r="F459" s="244">
        <f t="shared" si="164"/>
        <v>0</v>
      </c>
      <c r="G459" s="243">
        <v>0</v>
      </c>
      <c r="H459" s="243">
        <v>0</v>
      </c>
      <c r="I459" s="243">
        <v>0</v>
      </c>
      <c r="J459" s="208">
        <v>0</v>
      </c>
      <c r="K459" s="244">
        <f t="shared" si="163"/>
        <v>0</v>
      </c>
      <c r="L459" s="243">
        <v>0</v>
      </c>
      <c r="M459" s="243">
        <v>0</v>
      </c>
      <c r="N459" s="243">
        <v>0</v>
      </c>
      <c r="O459" s="73">
        <v>0</v>
      </c>
      <c r="P459" s="243">
        <f t="shared" si="165"/>
        <v>0</v>
      </c>
      <c r="Q459" s="243">
        <v>0</v>
      </c>
      <c r="R459" s="243">
        <v>0</v>
      </c>
      <c r="S459" s="245">
        <v>0</v>
      </c>
      <c r="T459" s="73">
        <v>0.89999999999999991</v>
      </c>
      <c r="U459" s="243">
        <f t="shared" si="166"/>
        <v>270</v>
      </c>
      <c r="V459" s="243">
        <v>0</v>
      </c>
      <c r="W459" s="243">
        <v>0</v>
      </c>
      <c r="X459" s="245">
        <v>270</v>
      </c>
      <c r="Y459" s="73">
        <v>0</v>
      </c>
      <c r="Z459" s="243">
        <f t="shared" si="167"/>
        <v>0</v>
      </c>
      <c r="AA459" s="243">
        <v>0</v>
      </c>
      <c r="AB459" s="243">
        <v>0</v>
      </c>
      <c r="AC459" s="245">
        <v>0</v>
      </c>
      <c r="AD459" s="18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</row>
    <row r="460" spans="1:43" s="17" customFormat="1" ht="22.2" customHeight="1" outlineLevel="1" x14ac:dyDescent="0.25">
      <c r="A460" s="78" t="s">
        <v>673</v>
      </c>
      <c r="B460" s="66" t="s">
        <v>421</v>
      </c>
      <c r="C460" s="226">
        <f t="shared" si="158"/>
        <v>1.7999999999999998</v>
      </c>
      <c r="D460" s="243">
        <f t="shared" si="162"/>
        <v>540</v>
      </c>
      <c r="E460" s="208">
        <v>0</v>
      </c>
      <c r="F460" s="244">
        <f t="shared" si="164"/>
        <v>0</v>
      </c>
      <c r="G460" s="243">
        <v>0</v>
      </c>
      <c r="H460" s="243">
        <v>0</v>
      </c>
      <c r="I460" s="243">
        <v>0</v>
      </c>
      <c r="J460" s="208">
        <v>0</v>
      </c>
      <c r="K460" s="244">
        <f t="shared" si="163"/>
        <v>0</v>
      </c>
      <c r="L460" s="243">
        <v>0</v>
      </c>
      <c r="M460" s="243">
        <v>0</v>
      </c>
      <c r="N460" s="243">
        <v>0</v>
      </c>
      <c r="O460" s="73">
        <v>0</v>
      </c>
      <c r="P460" s="243">
        <f t="shared" si="165"/>
        <v>0</v>
      </c>
      <c r="Q460" s="243">
        <v>0</v>
      </c>
      <c r="R460" s="243">
        <v>0</v>
      </c>
      <c r="S460" s="245">
        <v>0</v>
      </c>
      <c r="T460" s="73">
        <v>1.7999999999999998</v>
      </c>
      <c r="U460" s="243">
        <f t="shared" si="166"/>
        <v>540</v>
      </c>
      <c r="V460" s="243">
        <v>0</v>
      </c>
      <c r="W460" s="243">
        <v>0</v>
      </c>
      <c r="X460" s="245">
        <v>540</v>
      </c>
      <c r="Y460" s="73">
        <v>0</v>
      </c>
      <c r="Z460" s="243">
        <f t="shared" si="167"/>
        <v>0</v>
      </c>
      <c r="AA460" s="243">
        <v>0</v>
      </c>
      <c r="AB460" s="243">
        <v>0</v>
      </c>
      <c r="AC460" s="245">
        <v>0</v>
      </c>
      <c r="AD460" s="18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</row>
    <row r="461" spans="1:43" s="17" customFormat="1" ht="22.2" customHeight="1" outlineLevel="1" x14ac:dyDescent="0.25">
      <c r="A461" s="78" t="s">
        <v>674</v>
      </c>
      <c r="B461" s="66" t="s">
        <v>422</v>
      </c>
      <c r="C461" s="226">
        <f t="shared" si="158"/>
        <v>1.28</v>
      </c>
      <c r="D461" s="243">
        <f t="shared" si="162"/>
        <v>383</v>
      </c>
      <c r="E461" s="208">
        <v>0</v>
      </c>
      <c r="F461" s="244">
        <f t="shared" si="164"/>
        <v>0</v>
      </c>
      <c r="G461" s="243">
        <v>0</v>
      </c>
      <c r="H461" s="243">
        <v>0</v>
      </c>
      <c r="I461" s="243">
        <v>0</v>
      </c>
      <c r="J461" s="208">
        <v>0</v>
      </c>
      <c r="K461" s="244">
        <f t="shared" si="163"/>
        <v>0</v>
      </c>
      <c r="L461" s="243">
        <v>0</v>
      </c>
      <c r="M461" s="243">
        <v>0</v>
      </c>
      <c r="N461" s="243">
        <v>0</v>
      </c>
      <c r="O461" s="73">
        <v>0</v>
      </c>
      <c r="P461" s="243">
        <f t="shared" si="165"/>
        <v>0</v>
      </c>
      <c r="Q461" s="243">
        <v>0</v>
      </c>
      <c r="R461" s="243">
        <v>0</v>
      </c>
      <c r="S461" s="245">
        <v>0</v>
      </c>
      <c r="T461" s="73">
        <v>1.28</v>
      </c>
      <c r="U461" s="243">
        <f t="shared" si="166"/>
        <v>383</v>
      </c>
      <c r="V461" s="243">
        <v>0</v>
      </c>
      <c r="W461" s="243">
        <v>0</v>
      </c>
      <c r="X461" s="245">
        <v>383</v>
      </c>
      <c r="Y461" s="73">
        <v>0</v>
      </c>
      <c r="Z461" s="243">
        <f t="shared" si="167"/>
        <v>0</v>
      </c>
      <c r="AA461" s="243">
        <v>0</v>
      </c>
      <c r="AB461" s="243">
        <v>0</v>
      </c>
      <c r="AC461" s="245">
        <v>0</v>
      </c>
      <c r="AD461" s="18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</row>
    <row r="462" spans="1:43" s="17" customFormat="1" ht="19.95" customHeight="1" outlineLevel="1" x14ac:dyDescent="0.25">
      <c r="A462" s="78" t="s">
        <v>675</v>
      </c>
      <c r="B462" s="66" t="s">
        <v>423</v>
      </c>
      <c r="C462" s="226">
        <f t="shared" si="158"/>
        <v>1.0900000000000001</v>
      </c>
      <c r="D462" s="243">
        <f t="shared" si="162"/>
        <v>326</v>
      </c>
      <c r="E462" s="208">
        <v>0</v>
      </c>
      <c r="F462" s="244">
        <f t="shared" si="164"/>
        <v>0</v>
      </c>
      <c r="G462" s="243">
        <v>0</v>
      </c>
      <c r="H462" s="243">
        <v>0</v>
      </c>
      <c r="I462" s="243">
        <v>0</v>
      </c>
      <c r="J462" s="208">
        <v>0</v>
      </c>
      <c r="K462" s="244">
        <f t="shared" si="163"/>
        <v>0</v>
      </c>
      <c r="L462" s="243">
        <v>0</v>
      </c>
      <c r="M462" s="243">
        <v>0</v>
      </c>
      <c r="N462" s="243">
        <v>0</v>
      </c>
      <c r="O462" s="73">
        <v>0</v>
      </c>
      <c r="P462" s="243">
        <f t="shared" si="165"/>
        <v>0</v>
      </c>
      <c r="Q462" s="243">
        <v>0</v>
      </c>
      <c r="R462" s="243">
        <v>0</v>
      </c>
      <c r="S462" s="245">
        <v>0</v>
      </c>
      <c r="T462" s="73">
        <v>1.0900000000000001</v>
      </c>
      <c r="U462" s="243">
        <f t="shared" si="166"/>
        <v>326</v>
      </c>
      <c r="V462" s="243">
        <v>0</v>
      </c>
      <c r="W462" s="243">
        <v>0</v>
      </c>
      <c r="X462" s="245">
        <v>326</v>
      </c>
      <c r="Y462" s="73">
        <v>0</v>
      </c>
      <c r="Z462" s="243">
        <f t="shared" si="167"/>
        <v>0</v>
      </c>
      <c r="AA462" s="243">
        <v>0</v>
      </c>
      <c r="AB462" s="243">
        <v>0</v>
      </c>
      <c r="AC462" s="245">
        <v>0</v>
      </c>
      <c r="AD462" s="18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</row>
    <row r="463" spans="1:43" s="17" customFormat="1" ht="25.2" customHeight="1" outlineLevel="1" x14ac:dyDescent="0.25">
      <c r="A463" s="78" t="s">
        <v>676</v>
      </c>
      <c r="B463" s="66" t="s">
        <v>424</v>
      </c>
      <c r="C463" s="226">
        <f t="shared" si="158"/>
        <v>0.82</v>
      </c>
      <c r="D463" s="243">
        <f t="shared" si="162"/>
        <v>245</v>
      </c>
      <c r="E463" s="208">
        <v>0</v>
      </c>
      <c r="F463" s="244">
        <f t="shared" si="164"/>
        <v>0</v>
      </c>
      <c r="G463" s="243">
        <v>0</v>
      </c>
      <c r="H463" s="243">
        <v>0</v>
      </c>
      <c r="I463" s="243">
        <v>0</v>
      </c>
      <c r="J463" s="208">
        <v>0</v>
      </c>
      <c r="K463" s="244">
        <f t="shared" si="163"/>
        <v>0</v>
      </c>
      <c r="L463" s="243">
        <v>0</v>
      </c>
      <c r="M463" s="243">
        <v>0</v>
      </c>
      <c r="N463" s="243">
        <v>0</v>
      </c>
      <c r="O463" s="73">
        <v>0</v>
      </c>
      <c r="P463" s="243">
        <f t="shared" si="165"/>
        <v>0</v>
      </c>
      <c r="Q463" s="243">
        <v>0</v>
      </c>
      <c r="R463" s="243">
        <v>0</v>
      </c>
      <c r="S463" s="245">
        <v>0</v>
      </c>
      <c r="T463" s="73">
        <v>0.82</v>
      </c>
      <c r="U463" s="243">
        <f t="shared" si="166"/>
        <v>245</v>
      </c>
      <c r="V463" s="243">
        <v>0</v>
      </c>
      <c r="W463" s="243">
        <v>0</v>
      </c>
      <c r="X463" s="245">
        <v>245</v>
      </c>
      <c r="Y463" s="73">
        <v>0</v>
      </c>
      <c r="Z463" s="243">
        <f t="shared" si="167"/>
        <v>0</v>
      </c>
      <c r="AA463" s="243">
        <v>0</v>
      </c>
      <c r="AB463" s="243">
        <v>0</v>
      </c>
      <c r="AC463" s="245">
        <v>0</v>
      </c>
      <c r="AD463" s="18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</row>
    <row r="464" spans="1:43" s="17" customFormat="1" ht="36" customHeight="1" outlineLevel="1" x14ac:dyDescent="0.25">
      <c r="A464" s="78" t="s">
        <v>677</v>
      </c>
      <c r="B464" s="66" t="s">
        <v>425</v>
      </c>
      <c r="C464" s="226">
        <f t="shared" si="158"/>
        <v>0.59</v>
      </c>
      <c r="D464" s="243">
        <f t="shared" si="162"/>
        <v>176</v>
      </c>
      <c r="E464" s="208">
        <v>0</v>
      </c>
      <c r="F464" s="244">
        <f t="shared" si="164"/>
        <v>0</v>
      </c>
      <c r="G464" s="243">
        <v>0</v>
      </c>
      <c r="H464" s="243">
        <v>0</v>
      </c>
      <c r="I464" s="243">
        <v>0</v>
      </c>
      <c r="J464" s="208">
        <v>0</v>
      </c>
      <c r="K464" s="244">
        <f t="shared" si="163"/>
        <v>0</v>
      </c>
      <c r="L464" s="243">
        <v>0</v>
      </c>
      <c r="M464" s="243">
        <v>0</v>
      </c>
      <c r="N464" s="243">
        <v>0</v>
      </c>
      <c r="O464" s="73">
        <v>0</v>
      </c>
      <c r="P464" s="243">
        <f t="shared" si="165"/>
        <v>0</v>
      </c>
      <c r="Q464" s="243">
        <v>0</v>
      </c>
      <c r="R464" s="243">
        <v>0</v>
      </c>
      <c r="S464" s="245">
        <v>0</v>
      </c>
      <c r="T464" s="73">
        <v>0.59</v>
      </c>
      <c r="U464" s="243">
        <f t="shared" si="166"/>
        <v>176</v>
      </c>
      <c r="V464" s="243">
        <v>0</v>
      </c>
      <c r="W464" s="243">
        <v>0</v>
      </c>
      <c r="X464" s="245">
        <v>176</v>
      </c>
      <c r="Y464" s="73">
        <v>0</v>
      </c>
      <c r="Z464" s="243">
        <f t="shared" si="167"/>
        <v>0</v>
      </c>
      <c r="AA464" s="243">
        <v>0</v>
      </c>
      <c r="AB464" s="243">
        <v>0</v>
      </c>
      <c r="AC464" s="245">
        <v>0</v>
      </c>
      <c r="AD464" s="18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</row>
    <row r="465" spans="1:43" s="17" customFormat="1" ht="21.6" customHeight="1" outlineLevel="1" x14ac:dyDescent="0.25">
      <c r="A465" s="78" t="s">
        <v>678</v>
      </c>
      <c r="B465" s="66" t="s">
        <v>426</v>
      </c>
      <c r="C465" s="226">
        <f t="shared" si="158"/>
        <v>2.1800000000000002</v>
      </c>
      <c r="D465" s="243">
        <f t="shared" si="162"/>
        <v>653</v>
      </c>
      <c r="E465" s="208">
        <v>0</v>
      </c>
      <c r="F465" s="244">
        <f t="shared" si="164"/>
        <v>0</v>
      </c>
      <c r="G465" s="243">
        <v>0</v>
      </c>
      <c r="H465" s="243">
        <v>0</v>
      </c>
      <c r="I465" s="243">
        <v>0</v>
      </c>
      <c r="J465" s="208">
        <v>0</v>
      </c>
      <c r="K465" s="244">
        <f t="shared" si="163"/>
        <v>0</v>
      </c>
      <c r="L465" s="243">
        <v>0</v>
      </c>
      <c r="M465" s="243">
        <v>0</v>
      </c>
      <c r="N465" s="243">
        <v>0</v>
      </c>
      <c r="O465" s="73">
        <v>0</v>
      </c>
      <c r="P465" s="243">
        <f t="shared" si="165"/>
        <v>0</v>
      </c>
      <c r="Q465" s="243">
        <v>0</v>
      </c>
      <c r="R465" s="243">
        <v>0</v>
      </c>
      <c r="S465" s="245">
        <v>0</v>
      </c>
      <c r="T465" s="73">
        <v>2.1800000000000002</v>
      </c>
      <c r="U465" s="243">
        <f t="shared" si="166"/>
        <v>653</v>
      </c>
      <c r="V465" s="243">
        <v>0</v>
      </c>
      <c r="W465" s="243">
        <v>0</v>
      </c>
      <c r="X465" s="245">
        <v>653</v>
      </c>
      <c r="Y465" s="73">
        <v>0</v>
      </c>
      <c r="Z465" s="243">
        <f t="shared" si="167"/>
        <v>0</v>
      </c>
      <c r="AA465" s="243">
        <v>0</v>
      </c>
      <c r="AB465" s="243">
        <v>0</v>
      </c>
      <c r="AC465" s="245">
        <v>0</v>
      </c>
      <c r="AD465" s="18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</row>
    <row r="466" spans="1:43" s="17" customFormat="1" ht="22.95" customHeight="1" outlineLevel="1" x14ac:dyDescent="0.25">
      <c r="A466" s="78" t="s">
        <v>679</v>
      </c>
      <c r="B466" s="66" t="s">
        <v>427</v>
      </c>
      <c r="C466" s="226">
        <f t="shared" si="158"/>
        <v>1.92</v>
      </c>
      <c r="D466" s="243">
        <f t="shared" si="162"/>
        <v>576</v>
      </c>
      <c r="E466" s="208">
        <v>0</v>
      </c>
      <c r="F466" s="244">
        <f t="shared" si="164"/>
        <v>0</v>
      </c>
      <c r="G466" s="243">
        <v>0</v>
      </c>
      <c r="H466" s="243">
        <v>0</v>
      </c>
      <c r="I466" s="243">
        <v>0</v>
      </c>
      <c r="J466" s="208">
        <v>0</v>
      </c>
      <c r="K466" s="244">
        <f t="shared" si="163"/>
        <v>0</v>
      </c>
      <c r="L466" s="243">
        <v>0</v>
      </c>
      <c r="M466" s="243">
        <v>0</v>
      </c>
      <c r="N466" s="243">
        <v>0</v>
      </c>
      <c r="O466" s="73">
        <v>0</v>
      </c>
      <c r="P466" s="243">
        <f t="shared" si="165"/>
        <v>0</v>
      </c>
      <c r="Q466" s="243">
        <v>0</v>
      </c>
      <c r="R466" s="243">
        <v>0</v>
      </c>
      <c r="S466" s="245">
        <v>0</v>
      </c>
      <c r="T466" s="73">
        <v>1.92</v>
      </c>
      <c r="U466" s="243">
        <f t="shared" si="166"/>
        <v>576</v>
      </c>
      <c r="V466" s="243">
        <v>0</v>
      </c>
      <c r="W466" s="243">
        <v>0</v>
      </c>
      <c r="X466" s="245">
        <v>576</v>
      </c>
      <c r="Y466" s="73">
        <v>0</v>
      </c>
      <c r="Z466" s="243">
        <f t="shared" si="167"/>
        <v>0</v>
      </c>
      <c r="AA466" s="243">
        <v>0</v>
      </c>
      <c r="AB466" s="243">
        <v>0</v>
      </c>
      <c r="AC466" s="245">
        <v>0</v>
      </c>
      <c r="AD466" s="18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</row>
    <row r="467" spans="1:43" s="17" customFormat="1" ht="24" customHeight="1" outlineLevel="1" x14ac:dyDescent="0.25">
      <c r="A467" s="78" t="s">
        <v>680</v>
      </c>
      <c r="B467" s="66" t="s">
        <v>428</v>
      </c>
      <c r="C467" s="226">
        <f t="shared" si="158"/>
        <v>1.45</v>
      </c>
      <c r="D467" s="243">
        <f t="shared" si="162"/>
        <v>435</v>
      </c>
      <c r="E467" s="208">
        <v>0</v>
      </c>
      <c r="F467" s="244">
        <f t="shared" si="164"/>
        <v>0</v>
      </c>
      <c r="G467" s="243">
        <v>0</v>
      </c>
      <c r="H467" s="243">
        <v>0</v>
      </c>
      <c r="I467" s="243">
        <v>0</v>
      </c>
      <c r="J467" s="208">
        <v>0</v>
      </c>
      <c r="K467" s="244">
        <f t="shared" si="163"/>
        <v>0</v>
      </c>
      <c r="L467" s="243">
        <v>0</v>
      </c>
      <c r="M467" s="243">
        <v>0</v>
      </c>
      <c r="N467" s="243">
        <v>0</v>
      </c>
      <c r="O467" s="73">
        <v>0</v>
      </c>
      <c r="P467" s="243">
        <f t="shared" si="165"/>
        <v>0</v>
      </c>
      <c r="Q467" s="243">
        <v>0</v>
      </c>
      <c r="R467" s="243">
        <v>0</v>
      </c>
      <c r="S467" s="245">
        <v>0</v>
      </c>
      <c r="T467" s="73">
        <v>1.45</v>
      </c>
      <c r="U467" s="243">
        <f t="shared" si="166"/>
        <v>435</v>
      </c>
      <c r="V467" s="243">
        <v>0</v>
      </c>
      <c r="W467" s="243">
        <v>0</v>
      </c>
      <c r="X467" s="245">
        <v>435</v>
      </c>
      <c r="Y467" s="73">
        <v>0</v>
      </c>
      <c r="Z467" s="243">
        <f t="shared" si="167"/>
        <v>0</v>
      </c>
      <c r="AA467" s="243">
        <v>0</v>
      </c>
      <c r="AB467" s="243">
        <v>0</v>
      </c>
      <c r="AC467" s="245">
        <v>0</v>
      </c>
      <c r="AD467" s="18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</row>
    <row r="468" spans="1:43" s="17" customFormat="1" ht="26.4" customHeight="1" outlineLevel="1" x14ac:dyDescent="0.25">
      <c r="A468" s="78" t="s">
        <v>681</v>
      </c>
      <c r="B468" s="66" t="s">
        <v>429</v>
      </c>
      <c r="C468" s="226">
        <f t="shared" si="158"/>
        <v>0.66</v>
      </c>
      <c r="D468" s="243">
        <f t="shared" si="162"/>
        <v>197</v>
      </c>
      <c r="E468" s="208">
        <v>0</v>
      </c>
      <c r="F468" s="244">
        <f t="shared" si="164"/>
        <v>0</v>
      </c>
      <c r="G468" s="243">
        <v>0</v>
      </c>
      <c r="H468" s="243">
        <v>0</v>
      </c>
      <c r="I468" s="243">
        <v>0</v>
      </c>
      <c r="J468" s="208">
        <v>0</v>
      </c>
      <c r="K468" s="244">
        <f t="shared" si="163"/>
        <v>0</v>
      </c>
      <c r="L468" s="243">
        <v>0</v>
      </c>
      <c r="M468" s="243">
        <v>0</v>
      </c>
      <c r="N468" s="243">
        <v>0</v>
      </c>
      <c r="O468" s="73">
        <v>0</v>
      </c>
      <c r="P468" s="243">
        <f t="shared" si="165"/>
        <v>0</v>
      </c>
      <c r="Q468" s="243">
        <v>0</v>
      </c>
      <c r="R468" s="243">
        <v>0</v>
      </c>
      <c r="S468" s="245">
        <v>0</v>
      </c>
      <c r="T468" s="73">
        <v>0.66</v>
      </c>
      <c r="U468" s="243">
        <f t="shared" si="166"/>
        <v>197</v>
      </c>
      <c r="V468" s="243">
        <v>0</v>
      </c>
      <c r="W468" s="243">
        <v>0</v>
      </c>
      <c r="X468" s="245">
        <v>197</v>
      </c>
      <c r="Y468" s="73">
        <v>0</v>
      </c>
      <c r="Z468" s="243">
        <f t="shared" si="167"/>
        <v>0</v>
      </c>
      <c r="AA468" s="243">
        <v>0</v>
      </c>
      <c r="AB468" s="243">
        <v>0</v>
      </c>
      <c r="AC468" s="245">
        <v>0</v>
      </c>
      <c r="AD468" s="18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</row>
    <row r="469" spans="1:43" s="17" customFormat="1" ht="28.95" customHeight="1" outlineLevel="1" x14ac:dyDescent="0.25">
      <c r="A469" s="78" t="s">
        <v>682</v>
      </c>
      <c r="B469" s="66" t="s">
        <v>430</v>
      </c>
      <c r="C469" s="226">
        <f t="shared" si="158"/>
        <v>1.02</v>
      </c>
      <c r="D469" s="243">
        <f t="shared" si="162"/>
        <v>306</v>
      </c>
      <c r="E469" s="208">
        <v>0</v>
      </c>
      <c r="F469" s="244">
        <f t="shared" si="164"/>
        <v>0</v>
      </c>
      <c r="G469" s="243">
        <v>0</v>
      </c>
      <c r="H469" s="243">
        <v>0</v>
      </c>
      <c r="I469" s="243">
        <v>0</v>
      </c>
      <c r="J469" s="208">
        <v>0</v>
      </c>
      <c r="K469" s="244">
        <f t="shared" si="163"/>
        <v>0</v>
      </c>
      <c r="L469" s="243">
        <v>0</v>
      </c>
      <c r="M469" s="243">
        <v>0</v>
      </c>
      <c r="N469" s="243">
        <v>0</v>
      </c>
      <c r="O469" s="73">
        <v>0</v>
      </c>
      <c r="P469" s="243">
        <f t="shared" si="165"/>
        <v>0</v>
      </c>
      <c r="Q469" s="243">
        <v>0</v>
      </c>
      <c r="R469" s="243">
        <v>0</v>
      </c>
      <c r="S469" s="245">
        <v>0</v>
      </c>
      <c r="T469" s="73">
        <v>1.02</v>
      </c>
      <c r="U469" s="243">
        <f t="shared" si="166"/>
        <v>306</v>
      </c>
      <c r="V469" s="243">
        <v>0</v>
      </c>
      <c r="W469" s="243">
        <v>0</v>
      </c>
      <c r="X469" s="245">
        <v>306</v>
      </c>
      <c r="Y469" s="73">
        <v>0</v>
      </c>
      <c r="Z469" s="243">
        <f t="shared" si="167"/>
        <v>0</v>
      </c>
      <c r="AA469" s="243">
        <v>0</v>
      </c>
      <c r="AB469" s="243">
        <v>0</v>
      </c>
      <c r="AC469" s="245">
        <v>0</v>
      </c>
      <c r="AD469" s="18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</row>
    <row r="470" spans="1:43" s="17" customFormat="1" ht="28.95" customHeight="1" outlineLevel="1" x14ac:dyDescent="0.25">
      <c r="A470" s="78" t="s">
        <v>683</v>
      </c>
      <c r="B470" s="66" t="s">
        <v>433</v>
      </c>
      <c r="C470" s="226">
        <f t="shared" si="158"/>
        <v>2.8000000000000003</v>
      </c>
      <c r="D470" s="243">
        <f t="shared" si="162"/>
        <v>840.00000000000011</v>
      </c>
      <c r="E470" s="208">
        <v>0</v>
      </c>
      <c r="F470" s="244">
        <f t="shared" si="164"/>
        <v>0</v>
      </c>
      <c r="G470" s="243">
        <v>0</v>
      </c>
      <c r="H470" s="243">
        <v>0</v>
      </c>
      <c r="I470" s="243">
        <v>0</v>
      </c>
      <c r="J470" s="208">
        <v>0</v>
      </c>
      <c r="K470" s="244">
        <f t="shared" si="163"/>
        <v>0</v>
      </c>
      <c r="L470" s="243">
        <v>0</v>
      </c>
      <c r="M470" s="243">
        <v>0</v>
      </c>
      <c r="N470" s="243">
        <v>0</v>
      </c>
      <c r="O470" s="73">
        <v>0</v>
      </c>
      <c r="P470" s="243">
        <f t="shared" si="165"/>
        <v>0</v>
      </c>
      <c r="Q470" s="243">
        <v>0</v>
      </c>
      <c r="R470" s="243">
        <v>0</v>
      </c>
      <c r="S470" s="245">
        <v>0</v>
      </c>
      <c r="T470" s="73">
        <v>2.8000000000000003</v>
      </c>
      <c r="U470" s="243">
        <f t="shared" si="166"/>
        <v>840.00000000000011</v>
      </c>
      <c r="V470" s="243">
        <v>0</v>
      </c>
      <c r="W470" s="243">
        <v>0</v>
      </c>
      <c r="X470" s="245">
        <v>840.00000000000011</v>
      </c>
      <c r="Y470" s="73">
        <v>0</v>
      </c>
      <c r="Z470" s="243">
        <f t="shared" si="167"/>
        <v>0</v>
      </c>
      <c r="AA470" s="243">
        <v>0</v>
      </c>
      <c r="AB470" s="243">
        <v>0</v>
      </c>
      <c r="AC470" s="245">
        <v>0</v>
      </c>
      <c r="AD470" s="18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</row>
    <row r="471" spans="1:43" s="17" customFormat="1" ht="28.2" customHeight="1" outlineLevel="1" x14ac:dyDescent="0.25">
      <c r="A471" s="78" t="s">
        <v>684</v>
      </c>
      <c r="B471" s="66" t="s">
        <v>434</v>
      </c>
      <c r="C471" s="226">
        <f t="shared" si="158"/>
        <v>1.87</v>
      </c>
      <c r="D471" s="243">
        <f t="shared" si="162"/>
        <v>561</v>
      </c>
      <c r="E471" s="208">
        <v>0</v>
      </c>
      <c r="F471" s="244">
        <f t="shared" si="164"/>
        <v>0</v>
      </c>
      <c r="G471" s="243">
        <v>0</v>
      </c>
      <c r="H471" s="243">
        <v>0</v>
      </c>
      <c r="I471" s="243">
        <v>0</v>
      </c>
      <c r="J471" s="208">
        <v>0</v>
      </c>
      <c r="K471" s="244">
        <f t="shared" si="163"/>
        <v>0</v>
      </c>
      <c r="L471" s="243">
        <v>0</v>
      </c>
      <c r="M471" s="243">
        <v>0</v>
      </c>
      <c r="N471" s="243">
        <v>0</v>
      </c>
      <c r="O471" s="73">
        <v>0</v>
      </c>
      <c r="P471" s="243">
        <f t="shared" si="165"/>
        <v>0</v>
      </c>
      <c r="Q471" s="243">
        <v>0</v>
      </c>
      <c r="R471" s="243">
        <v>0</v>
      </c>
      <c r="S471" s="245">
        <v>0</v>
      </c>
      <c r="T471" s="73">
        <v>1.87</v>
      </c>
      <c r="U471" s="243">
        <f t="shared" si="166"/>
        <v>561</v>
      </c>
      <c r="V471" s="243">
        <v>0</v>
      </c>
      <c r="W471" s="243">
        <v>0</v>
      </c>
      <c r="X471" s="245">
        <v>561</v>
      </c>
      <c r="Y471" s="73">
        <v>0</v>
      </c>
      <c r="Z471" s="243">
        <f t="shared" si="167"/>
        <v>0</v>
      </c>
      <c r="AA471" s="243">
        <v>0</v>
      </c>
      <c r="AB471" s="243">
        <v>0</v>
      </c>
      <c r="AC471" s="245">
        <v>0</v>
      </c>
      <c r="AD471" s="18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</row>
    <row r="472" spans="1:43" s="17" customFormat="1" ht="34.200000000000003" customHeight="1" outlineLevel="1" x14ac:dyDescent="0.25">
      <c r="A472" s="79"/>
      <c r="B472" s="67" t="s">
        <v>461</v>
      </c>
      <c r="C472" s="74">
        <f>SUM(C473:C491)</f>
        <v>52.359999999999992</v>
      </c>
      <c r="D472" s="246">
        <f t="shared" ref="D472:AC472" si="168">SUM(D473:D491)</f>
        <v>13085</v>
      </c>
      <c r="E472" s="74">
        <f t="shared" si="168"/>
        <v>0</v>
      </c>
      <c r="F472" s="246">
        <f t="shared" si="168"/>
        <v>0</v>
      </c>
      <c r="G472" s="246">
        <f t="shared" si="168"/>
        <v>0</v>
      </c>
      <c r="H472" s="246">
        <f t="shared" si="168"/>
        <v>0</v>
      </c>
      <c r="I472" s="246">
        <f t="shared" si="168"/>
        <v>0</v>
      </c>
      <c r="J472" s="74">
        <f t="shared" si="168"/>
        <v>0</v>
      </c>
      <c r="K472" s="246">
        <f t="shared" si="163"/>
        <v>0</v>
      </c>
      <c r="L472" s="246">
        <f t="shared" si="168"/>
        <v>0</v>
      </c>
      <c r="M472" s="246">
        <f t="shared" si="168"/>
        <v>0</v>
      </c>
      <c r="N472" s="246">
        <f t="shared" si="168"/>
        <v>0</v>
      </c>
      <c r="O472" s="74">
        <f t="shared" si="168"/>
        <v>0</v>
      </c>
      <c r="P472" s="243">
        <f t="shared" si="165"/>
        <v>0</v>
      </c>
      <c r="Q472" s="246">
        <f t="shared" si="168"/>
        <v>0</v>
      </c>
      <c r="R472" s="246">
        <f t="shared" si="168"/>
        <v>0</v>
      </c>
      <c r="S472" s="246">
        <f t="shared" si="168"/>
        <v>0</v>
      </c>
      <c r="T472" s="74">
        <f t="shared" si="168"/>
        <v>16.729999999999997</v>
      </c>
      <c r="U472" s="243">
        <f t="shared" si="166"/>
        <v>4182</v>
      </c>
      <c r="V472" s="246">
        <f t="shared" si="168"/>
        <v>0</v>
      </c>
      <c r="W472" s="246">
        <f t="shared" si="168"/>
        <v>0</v>
      </c>
      <c r="X472" s="246">
        <f t="shared" si="168"/>
        <v>4182</v>
      </c>
      <c r="Y472" s="74">
        <f t="shared" si="168"/>
        <v>35.629999999999995</v>
      </c>
      <c r="Z472" s="243">
        <f t="shared" si="168"/>
        <v>8903</v>
      </c>
      <c r="AA472" s="247">
        <f t="shared" si="168"/>
        <v>0</v>
      </c>
      <c r="AB472" s="247">
        <f t="shared" si="168"/>
        <v>0</v>
      </c>
      <c r="AC472" s="246">
        <f t="shared" si="168"/>
        <v>8903</v>
      </c>
      <c r="AD472" s="18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</row>
    <row r="473" spans="1:43" s="17" customFormat="1" ht="25.95" customHeight="1" outlineLevel="1" x14ac:dyDescent="0.25">
      <c r="A473" s="78" t="s">
        <v>685</v>
      </c>
      <c r="B473" s="66" t="s">
        <v>435</v>
      </c>
      <c r="C473" s="226">
        <f t="shared" si="158"/>
        <v>4.04</v>
      </c>
      <c r="D473" s="243">
        <f t="shared" si="162"/>
        <v>1010</v>
      </c>
      <c r="E473" s="208">
        <v>0</v>
      </c>
      <c r="F473" s="244">
        <f t="shared" si="164"/>
        <v>0</v>
      </c>
      <c r="G473" s="243">
        <v>0</v>
      </c>
      <c r="H473" s="243">
        <v>0</v>
      </c>
      <c r="I473" s="243">
        <v>0</v>
      </c>
      <c r="J473" s="208">
        <v>0</v>
      </c>
      <c r="K473" s="244">
        <f t="shared" si="163"/>
        <v>0</v>
      </c>
      <c r="L473" s="243">
        <v>0</v>
      </c>
      <c r="M473" s="243">
        <v>0</v>
      </c>
      <c r="N473" s="243">
        <v>0</v>
      </c>
      <c r="O473" s="73">
        <v>0</v>
      </c>
      <c r="P473" s="243">
        <f t="shared" si="165"/>
        <v>0</v>
      </c>
      <c r="Q473" s="243">
        <v>0</v>
      </c>
      <c r="R473" s="243">
        <v>0</v>
      </c>
      <c r="S473" s="245">
        <v>0</v>
      </c>
      <c r="T473" s="73">
        <v>4.04</v>
      </c>
      <c r="U473" s="243">
        <f t="shared" si="166"/>
        <v>1010</v>
      </c>
      <c r="V473" s="243">
        <v>0</v>
      </c>
      <c r="W473" s="243">
        <v>0</v>
      </c>
      <c r="X473" s="245">
        <v>1010</v>
      </c>
      <c r="Y473" s="73">
        <v>0</v>
      </c>
      <c r="Z473" s="243">
        <f t="shared" si="167"/>
        <v>0</v>
      </c>
      <c r="AA473" s="243">
        <v>0</v>
      </c>
      <c r="AB473" s="243">
        <v>0</v>
      </c>
      <c r="AC473" s="245">
        <v>0</v>
      </c>
      <c r="AD473" s="18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</row>
    <row r="474" spans="1:43" s="17" customFormat="1" ht="25.2" customHeight="1" outlineLevel="1" x14ac:dyDescent="0.25">
      <c r="A474" s="78" t="s">
        <v>686</v>
      </c>
      <c r="B474" s="66" t="s">
        <v>436</v>
      </c>
      <c r="C474" s="226">
        <f t="shared" si="158"/>
        <v>4.09</v>
      </c>
      <c r="D474" s="243">
        <f t="shared" si="162"/>
        <v>1023</v>
      </c>
      <c r="E474" s="208">
        <v>0</v>
      </c>
      <c r="F474" s="244">
        <f t="shared" si="164"/>
        <v>0</v>
      </c>
      <c r="G474" s="243">
        <v>0</v>
      </c>
      <c r="H474" s="243">
        <v>0</v>
      </c>
      <c r="I474" s="243">
        <v>0</v>
      </c>
      <c r="J474" s="208">
        <v>0</v>
      </c>
      <c r="K474" s="244">
        <f t="shared" si="163"/>
        <v>0</v>
      </c>
      <c r="L474" s="243">
        <v>0</v>
      </c>
      <c r="M474" s="243">
        <v>0</v>
      </c>
      <c r="N474" s="243">
        <v>0</v>
      </c>
      <c r="O474" s="73">
        <v>0</v>
      </c>
      <c r="P474" s="243">
        <f t="shared" si="165"/>
        <v>0</v>
      </c>
      <c r="Q474" s="243">
        <v>0</v>
      </c>
      <c r="R474" s="243">
        <v>0</v>
      </c>
      <c r="S474" s="245">
        <v>0</v>
      </c>
      <c r="T474" s="73">
        <v>4.09</v>
      </c>
      <c r="U474" s="243">
        <f t="shared" si="166"/>
        <v>1023</v>
      </c>
      <c r="V474" s="243">
        <v>0</v>
      </c>
      <c r="W474" s="243">
        <v>0</v>
      </c>
      <c r="X474" s="245">
        <v>1023</v>
      </c>
      <c r="Y474" s="73">
        <v>0</v>
      </c>
      <c r="Z474" s="243">
        <f t="shared" si="167"/>
        <v>0</v>
      </c>
      <c r="AA474" s="243">
        <v>0</v>
      </c>
      <c r="AB474" s="243">
        <v>0</v>
      </c>
      <c r="AC474" s="245">
        <v>0</v>
      </c>
      <c r="AD474" s="18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</row>
    <row r="475" spans="1:43" s="17" customFormat="1" ht="25.95" customHeight="1" outlineLevel="1" x14ac:dyDescent="0.25">
      <c r="A475" s="78" t="s">
        <v>687</v>
      </c>
      <c r="B475" s="66" t="s">
        <v>437</v>
      </c>
      <c r="C475" s="226">
        <f t="shared" ref="C475:C493" si="169">E475+J475+O475+T475+Y475</f>
        <v>0.74</v>
      </c>
      <c r="D475" s="243">
        <f t="shared" si="162"/>
        <v>185</v>
      </c>
      <c r="E475" s="208">
        <v>0</v>
      </c>
      <c r="F475" s="244">
        <f t="shared" si="164"/>
        <v>0</v>
      </c>
      <c r="G475" s="243">
        <v>0</v>
      </c>
      <c r="H475" s="243">
        <v>0</v>
      </c>
      <c r="I475" s="243">
        <v>0</v>
      </c>
      <c r="J475" s="208">
        <v>0</v>
      </c>
      <c r="K475" s="244">
        <f t="shared" si="163"/>
        <v>0</v>
      </c>
      <c r="L475" s="243">
        <v>0</v>
      </c>
      <c r="M475" s="243">
        <v>0</v>
      </c>
      <c r="N475" s="243">
        <v>0</v>
      </c>
      <c r="O475" s="73">
        <v>0</v>
      </c>
      <c r="P475" s="243">
        <f t="shared" si="165"/>
        <v>0</v>
      </c>
      <c r="Q475" s="243">
        <v>0</v>
      </c>
      <c r="R475" s="243">
        <v>0</v>
      </c>
      <c r="S475" s="245">
        <v>0</v>
      </c>
      <c r="T475" s="73">
        <v>0.74</v>
      </c>
      <c r="U475" s="243">
        <f t="shared" si="166"/>
        <v>185</v>
      </c>
      <c r="V475" s="243">
        <v>0</v>
      </c>
      <c r="W475" s="243">
        <v>0</v>
      </c>
      <c r="X475" s="245">
        <v>185</v>
      </c>
      <c r="Y475" s="73">
        <v>0</v>
      </c>
      <c r="Z475" s="243">
        <f t="shared" si="167"/>
        <v>0</v>
      </c>
      <c r="AA475" s="243">
        <v>0</v>
      </c>
      <c r="AB475" s="243">
        <v>0</v>
      </c>
      <c r="AC475" s="245">
        <v>0</v>
      </c>
      <c r="AD475" s="18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</row>
    <row r="476" spans="1:43" s="17" customFormat="1" ht="25.2" customHeight="1" outlineLevel="1" x14ac:dyDescent="0.25">
      <c r="A476" s="78" t="s">
        <v>688</v>
      </c>
      <c r="B476" s="66" t="s">
        <v>438</v>
      </c>
      <c r="C476" s="226">
        <f t="shared" si="169"/>
        <v>2.2999999999999998</v>
      </c>
      <c r="D476" s="243">
        <f t="shared" si="162"/>
        <v>574</v>
      </c>
      <c r="E476" s="208">
        <v>0</v>
      </c>
      <c r="F476" s="244">
        <f t="shared" si="164"/>
        <v>0</v>
      </c>
      <c r="G476" s="243">
        <v>0</v>
      </c>
      <c r="H476" s="243">
        <v>0</v>
      </c>
      <c r="I476" s="243">
        <v>0</v>
      </c>
      <c r="J476" s="208">
        <v>0</v>
      </c>
      <c r="K476" s="244">
        <f t="shared" si="163"/>
        <v>0</v>
      </c>
      <c r="L476" s="243">
        <v>0</v>
      </c>
      <c r="M476" s="243">
        <v>0</v>
      </c>
      <c r="N476" s="243">
        <v>0</v>
      </c>
      <c r="O476" s="73">
        <v>0</v>
      </c>
      <c r="P476" s="243">
        <f t="shared" si="165"/>
        <v>0</v>
      </c>
      <c r="Q476" s="243">
        <v>0</v>
      </c>
      <c r="R476" s="243">
        <v>0</v>
      </c>
      <c r="S476" s="245">
        <v>0</v>
      </c>
      <c r="T476" s="73">
        <v>2.2999999999999998</v>
      </c>
      <c r="U476" s="243">
        <f t="shared" si="166"/>
        <v>574</v>
      </c>
      <c r="V476" s="243">
        <v>0</v>
      </c>
      <c r="W476" s="243">
        <v>0</v>
      </c>
      <c r="X476" s="245">
        <v>574</v>
      </c>
      <c r="Y476" s="73">
        <v>0</v>
      </c>
      <c r="Z476" s="243">
        <f t="shared" si="167"/>
        <v>0</v>
      </c>
      <c r="AA476" s="243">
        <v>0</v>
      </c>
      <c r="AB476" s="243">
        <v>0</v>
      </c>
      <c r="AC476" s="245">
        <v>0</v>
      </c>
      <c r="AD476" s="18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</row>
    <row r="477" spans="1:43" s="17" customFormat="1" ht="23.4" customHeight="1" outlineLevel="1" x14ac:dyDescent="0.25">
      <c r="A477" s="78" t="s">
        <v>689</v>
      </c>
      <c r="B477" s="66" t="s">
        <v>439</v>
      </c>
      <c r="C477" s="226">
        <f t="shared" si="169"/>
        <v>3.2</v>
      </c>
      <c r="D477" s="243">
        <f t="shared" si="162"/>
        <v>800</v>
      </c>
      <c r="E477" s="208">
        <v>0</v>
      </c>
      <c r="F477" s="244">
        <f t="shared" si="164"/>
        <v>0</v>
      </c>
      <c r="G477" s="243">
        <v>0</v>
      </c>
      <c r="H477" s="243">
        <v>0</v>
      </c>
      <c r="I477" s="243">
        <v>0</v>
      </c>
      <c r="J477" s="208">
        <v>0</v>
      </c>
      <c r="K477" s="244">
        <f t="shared" si="163"/>
        <v>0</v>
      </c>
      <c r="L477" s="243">
        <v>0</v>
      </c>
      <c r="M477" s="243">
        <v>0</v>
      </c>
      <c r="N477" s="243">
        <v>0</v>
      </c>
      <c r="O477" s="73">
        <v>0</v>
      </c>
      <c r="P477" s="243">
        <f t="shared" si="165"/>
        <v>0</v>
      </c>
      <c r="Q477" s="243">
        <v>0</v>
      </c>
      <c r="R477" s="243">
        <v>0</v>
      </c>
      <c r="S477" s="245">
        <v>0</v>
      </c>
      <c r="T477" s="73">
        <v>3.2</v>
      </c>
      <c r="U477" s="243">
        <f t="shared" si="166"/>
        <v>800</v>
      </c>
      <c r="V477" s="243">
        <v>0</v>
      </c>
      <c r="W477" s="243">
        <v>0</v>
      </c>
      <c r="X477" s="245">
        <v>800</v>
      </c>
      <c r="Y477" s="73">
        <v>0</v>
      </c>
      <c r="Z477" s="243">
        <f t="shared" si="167"/>
        <v>0</v>
      </c>
      <c r="AA477" s="243">
        <v>0</v>
      </c>
      <c r="AB477" s="243">
        <v>0</v>
      </c>
      <c r="AC477" s="245">
        <v>0</v>
      </c>
      <c r="AD477" s="18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</row>
    <row r="478" spans="1:43" s="17" customFormat="1" ht="24" customHeight="1" outlineLevel="1" x14ac:dyDescent="0.25">
      <c r="A478" s="78" t="s">
        <v>690</v>
      </c>
      <c r="B478" s="66" t="s">
        <v>440</v>
      </c>
      <c r="C478" s="226">
        <f t="shared" si="169"/>
        <v>1.06</v>
      </c>
      <c r="D478" s="243">
        <f t="shared" si="162"/>
        <v>265</v>
      </c>
      <c r="E478" s="208">
        <v>0</v>
      </c>
      <c r="F478" s="244">
        <f t="shared" si="164"/>
        <v>0</v>
      </c>
      <c r="G478" s="243">
        <v>0</v>
      </c>
      <c r="H478" s="243">
        <v>0</v>
      </c>
      <c r="I478" s="243">
        <v>0</v>
      </c>
      <c r="J478" s="208">
        <v>0</v>
      </c>
      <c r="K478" s="244">
        <f t="shared" si="163"/>
        <v>0</v>
      </c>
      <c r="L478" s="243">
        <v>0</v>
      </c>
      <c r="M478" s="243">
        <v>0</v>
      </c>
      <c r="N478" s="243">
        <v>0</v>
      </c>
      <c r="O478" s="73">
        <v>0</v>
      </c>
      <c r="P478" s="243">
        <f t="shared" si="165"/>
        <v>0</v>
      </c>
      <c r="Q478" s="243">
        <v>0</v>
      </c>
      <c r="R478" s="243">
        <v>0</v>
      </c>
      <c r="S478" s="245">
        <v>0</v>
      </c>
      <c r="T478" s="73">
        <v>1.06</v>
      </c>
      <c r="U478" s="243">
        <f t="shared" si="166"/>
        <v>265</v>
      </c>
      <c r="V478" s="243">
        <v>0</v>
      </c>
      <c r="W478" s="243">
        <v>0</v>
      </c>
      <c r="X478" s="245">
        <v>265</v>
      </c>
      <c r="Y478" s="73">
        <v>0</v>
      </c>
      <c r="Z478" s="243">
        <f t="shared" si="167"/>
        <v>0</v>
      </c>
      <c r="AA478" s="243">
        <v>0</v>
      </c>
      <c r="AB478" s="243">
        <v>0</v>
      </c>
      <c r="AC478" s="245">
        <v>0</v>
      </c>
      <c r="AD478" s="18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</row>
    <row r="479" spans="1:43" s="17" customFormat="1" ht="26.4" customHeight="1" outlineLevel="1" x14ac:dyDescent="0.25">
      <c r="A479" s="78" t="s">
        <v>691</v>
      </c>
      <c r="B479" s="66" t="s">
        <v>441</v>
      </c>
      <c r="C479" s="226">
        <f t="shared" si="169"/>
        <v>1.3</v>
      </c>
      <c r="D479" s="243">
        <f t="shared" si="162"/>
        <v>325</v>
      </c>
      <c r="E479" s="208">
        <v>0</v>
      </c>
      <c r="F479" s="244">
        <f t="shared" si="164"/>
        <v>0</v>
      </c>
      <c r="G479" s="243">
        <v>0</v>
      </c>
      <c r="H479" s="243">
        <v>0</v>
      </c>
      <c r="I479" s="243">
        <v>0</v>
      </c>
      <c r="J479" s="208">
        <v>0</v>
      </c>
      <c r="K479" s="244">
        <f t="shared" si="163"/>
        <v>0</v>
      </c>
      <c r="L479" s="243">
        <v>0</v>
      </c>
      <c r="M479" s="243">
        <v>0</v>
      </c>
      <c r="N479" s="243">
        <v>0</v>
      </c>
      <c r="O479" s="73">
        <v>0</v>
      </c>
      <c r="P479" s="243">
        <f t="shared" si="165"/>
        <v>0</v>
      </c>
      <c r="Q479" s="243">
        <v>0</v>
      </c>
      <c r="R479" s="243">
        <v>0</v>
      </c>
      <c r="S479" s="245">
        <v>0</v>
      </c>
      <c r="T479" s="73">
        <v>1.3</v>
      </c>
      <c r="U479" s="243">
        <f t="shared" si="166"/>
        <v>325</v>
      </c>
      <c r="V479" s="243">
        <v>0</v>
      </c>
      <c r="W479" s="243">
        <v>0</v>
      </c>
      <c r="X479" s="245">
        <v>325</v>
      </c>
      <c r="Y479" s="73">
        <v>0</v>
      </c>
      <c r="Z479" s="243">
        <f t="shared" si="167"/>
        <v>0</v>
      </c>
      <c r="AA479" s="243">
        <v>0</v>
      </c>
      <c r="AB479" s="243">
        <v>0</v>
      </c>
      <c r="AC479" s="245">
        <v>0</v>
      </c>
      <c r="AD479" s="18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</row>
    <row r="480" spans="1:43" s="17" customFormat="1" ht="45" customHeight="1" outlineLevel="1" x14ac:dyDescent="0.25">
      <c r="A480" s="78" t="s">
        <v>692</v>
      </c>
      <c r="B480" s="66" t="s">
        <v>378</v>
      </c>
      <c r="C480" s="226">
        <f t="shared" si="169"/>
        <v>2.4300000000000002</v>
      </c>
      <c r="D480" s="243">
        <f t="shared" si="162"/>
        <v>606</v>
      </c>
      <c r="E480" s="208">
        <v>0</v>
      </c>
      <c r="F480" s="244">
        <f t="shared" si="164"/>
        <v>0</v>
      </c>
      <c r="G480" s="243">
        <v>0</v>
      </c>
      <c r="H480" s="243">
        <v>0</v>
      </c>
      <c r="I480" s="243">
        <v>0</v>
      </c>
      <c r="J480" s="208">
        <v>0</v>
      </c>
      <c r="K480" s="244">
        <f t="shared" si="163"/>
        <v>0</v>
      </c>
      <c r="L480" s="243">
        <v>0</v>
      </c>
      <c r="M480" s="243">
        <v>0</v>
      </c>
      <c r="N480" s="243">
        <v>0</v>
      </c>
      <c r="O480" s="73">
        <v>0</v>
      </c>
      <c r="P480" s="243">
        <f t="shared" si="165"/>
        <v>0</v>
      </c>
      <c r="Q480" s="243">
        <v>0</v>
      </c>
      <c r="R480" s="243">
        <v>0</v>
      </c>
      <c r="S480" s="245">
        <v>0</v>
      </c>
      <c r="T480" s="73">
        <v>0</v>
      </c>
      <c r="U480" s="243">
        <f t="shared" si="166"/>
        <v>0</v>
      </c>
      <c r="V480" s="243">
        <v>0</v>
      </c>
      <c r="W480" s="243">
        <v>0</v>
      </c>
      <c r="X480" s="245">
        <v>0</v>
      </c>
      <c r="Y480" s="73">
        <f>ROUND(2.425,2)</f>
        <v>2.4300000000000002</v>
      </c>
      <c r="Z480" s="243">
        <f t="shared" si="167"/>
        <v>606</v>
      </c>
      <c r="AA480" s="243">
        <v>0</v>
      </c>
      <c r="AB480" s="243">
        <v>0</v>
      </c>
      <c r="AC480" s="245">
        <v>606</v>
      </c>
      <c r="AD480" s="18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</row>
    <row r="481" spans="1:43" s="17" customFormat="1" ht="24.6" customHeight="1" outlineLevel="1" x14ac:dyDescent="0.25">
      <c r="A481" s="78" t="s">
        <v>693</v>
      </c>
      <c r="B481" s="66" t="s">
        <v>414</v>
      </c>
      <c r="C481" s="226">
        <f t="shared" si="169"/>
        <v>3</v>
      </c>
      <c r="D481" s="243">
        <f t="shared" si="162"/>
        <v>749</v>
      </c>
      <c r="E481" s="208">
        <v>0</v>
      </c>
      <c r="F481" s="244">
        <f t="shared" si="164"/>
        <v>0</v>
      </c>
      <c r="G481" s="243">
        <v>0</v>
      </c>
      <c r="H481" s="243">
        <v>0</v>
      </c>
      <c r="I481" s="243">
        <v>0</v>
      </c>
      <c r="J481" s="208">
        <v>0</v>
      </c>
      <c r="K481" s="244">
        <f t="shared" si="163"/>
        <v>0</v>
      </c>
      <c r="L481" s="243">
        <v>0</v>
      </c>
      <c r="M481" s="243">
        <v>0</v>
      </c>
      <c r="N481" s="243">
        <v>0</v>
      </c>
      <c r="O481" s="73">
        <v>0</v>
      </c>
      <c r="P481" s="243">
        <f t="shared" si="165"/>
        <v>0</v>
      </c>
      <c r="Q481" s="243">
        <v>0</v>
      </c>
      <c r="R481" s="243">
        <v>0</v>
      </c>
      <c r="S481" s="245">
        <v>0</v>
      </c>
      <c r="T481" s="73">
        <v>0</v>
      </c>
      <c r="U481" s="243">
        <f t="shared" si="166"/>
        <v>0</v>
      </c>
      <c r="V481" s="243">
        <v>0</v>
      </c>
      <c r="W481" s="243">
        <v>0</v>
      </c>
      <c r="X481" s="245">
        <v>0</v>
      </c>
      <c r="Y481" s="73">
        <f>ROUND(2.995,2)</f>
        <v>3</v>
      </c>
      <c r="Z481" s="243">
        <f t="shared" si="167"/>
        <v>749</v>
      </c>
      <c r="AA481" s="243">
        <v>0</v>
      </c>
      <c r="AB481" s="243">
        <v>0</v>
      </c>
      <c r="AC481" s="245">
        <v>749</v>
      </c>
      <c r="AD481" s="18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</row>
    <row r="482" spans="1:43" s="17" customFormat="1" ht="32.4" customHeight="1" outlineLevel="1" x14ac:dyDescent="0.25">
      <c r="A482" s="78" t="s">
        <v>694</v>
      </c>
      <c r="B482" s="66" t="s">
        <v>408</v>
      </c>
      <c r="C482" s="226">
        <f t="shared" si="169"/>
        <v>3.29</v>
      </c>
      <c r="D482" s="243">
        <f t="shared" si="162"/>
        <v>823</v>
      </c>
      <c r="E482" s="208">
        <v>0</v>
      </c>
      <c r="F482" s="244">
        <f t="shared" si="164"/>
        <v>0</v>
      </c>
      <c r="G482" s="243">
        <v>0</v>
      </c>
      <c r="H482" s="243">
        <v>0</v>
      </c>
      <c r="I482" s="243">
        <v>0</v>
      </c>
      <c r="J482" s="208">
        <v>0</v>
      </c>
      <c r="K482" s="244">
        <f t="shared" si="163"/>
        <v>0</v>
      </c>
      <c r="L482" s="243">
        <v>0</v>
      </c>
      <c r="M482" s="243">
        <v>0</v>
      </c>
      <c r="N482" s="243">
        <v>0</v>
      </c>
      <c r="O482" s="73">
        <v>0</v>
      </c>
      <c r="P482" s="243">
        <f t="shared" si="165"/>
        <v>0</v>
      </c>
      <c r="Q482" s="243">
        <v>0</v>
      </c>
      <c r="R482" s="243">
        <v>0</v>
      </c>
      <c r="S482" s="245">
        <v>0</v>
      </c>
      <c r="T482" s="73">
        <v>0</v>
      </c>
      <c r="U482" s="243">
        <f t="shared" si="166"/>
        <v>0</v>
      </c>
      <c r="V482" s="243">
        <v>0</v>
      </c>
      <c r="W482" s="243">
        <v>0</v>
      </c>
      <c r="X482" s="245">
        <v>0</v>
      </c>
      <c r="Y482" s="73">
        <v>3.29</v>
      </c>
      <c r="Z482" s="243">
        <f t="shared" si="167"/>
        <v>823</v>
      </c>
      <c r="AA482" s="243">
        <v>0</v>
      </c>
      <c r="AB482" s="243">
        <v>0</v>
      </c>
      <c r="AC482" s="245">
        <v>823</v>
      </c>
      <c r="AD482" s="18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</row>
    <row r="483" spans="1:43" s="17" customFormat="1" ht="33" customHeight="1" outlineLevel="1" x14ac:dyDescent="0.25">
      <c r="A483" s="78" t="s">
        <v>695</v>
      </c>
      <c r="B483" s="66" t="s">
        <v>409</v>
      </c>
      <c r="C483" s="226">
        <f t="shared" si="169"/>
        <v>3.5</v>
      </c>
      <c r="D483" s="243">
        <f t="shared" si="162"/>
        <v>875</v>
      </c>
      <c r="E483" s="208">
        <v>0</v>
      </c>
      <c r="F483" s="244">
        <f t="shared" si="164"/>
        <v>0</v>
      </c>
      <c r="G483" s="243">
        <v>0</v>
      </c>
      <c r="H483" s="243">
        <v>0</v>
      </c>
      <c r="I483" s="243">
        <v>0</v>
      </c>
      <c r="J483" s="208">
        <v>0</v>
      </c>
      <c r="K483" s="244">
        <f t="shared" si="163"/>
        <v>0</v>
      </c>
      <c r="L483" s="243">
        <v>0</v>
      </c>
      <c r="M483" s="243">
        <v>0</v>
      </c>
      <c r="N483" s="243">
        <v>0</v>
      </c>
      <c r="O483" s="73">
        <v>0</v>
      </c>
      <c r="P483" s="243">
        <f t="shared" si="165"/>
        <v>0</v>
      </c>
      <c r="Q483" s="243">
        <v>0</v>
      </c>
      <c r="R483" s="243">
        <v>0</v>
      </c>
      <c r="S483" s="245">
        <v>0</v>
      </c>
      <c r="T483" s="73">
        <v>0</v>
      </c>
      <c r="U483" s="243">
        <f t="shared" si="166"/>
        <v>0</v>
      </c>
      <c r="V483" s="243">
        <v>0</v>
      </c>
      <c r="W483" s="243">
        <v>0</v>
      </c>
      <c r="X483" s="245">
        <v>0</v>
      </c>
      <c r="Y483" s="73">
        <v>3.5</v>
      </c>
      <c r="Z483" s="243">
        <f t="shared" si="167"/>
        <v>875</v>
      </c>
      <c r="AA483" s="243">
        <v>0</v>
      </c>
      <c r="AB483" s="243">
        <v>0</v>
      </c>
      <c r="AC483" s="245">
        <v>875</v>
      </c>
      <c r="AD483" s="18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</row>
    <row r="484" spans="1:43" s="17" customFormat="1" ht="27" customHeight="1" outlineLevel="1" x14ac:dyDescent="0.25">
      <c r="A484" s="78" t="s">
        <v>696</v>
      </c>
      <c r="B484" s="66" t="s">
        <v>410</v>
      </c>
      <c r="C484" s="226">
        <f t="shared" si="169"/>
        <v>3.2600000000000002</v>
      </c>
      <c r="D484" s="243">
        <f t="shared" si="162"/>
        <v>815.00000000000011</v>
      </c>
      <c r="E484" s="208">
        <v>0</v>
      </c>
      <c r="F484" s="244">
        <f t="shared" si="164"/>
        <v>0</v>
      </c>
      <c r="G484" s="243">
        <v>0</v>
      </c>
      <c r="H484" s="243">
        <v>0</v>
      </c>
      <c r="I484" s="243">
        <v>0</v>
      </c>
      <c r="J484" s="208">
        <v>0</v>
      </c>
      <c r="K484" s="244">
        <f t="shared" si="163"/>
        <v>0</v>
      </c>
      <c r="L484" s="243">
        <v>0</v>
      </c>
      <c r="M484" s="243">
        <v>0</v>
      </c>
      <c r="N484" s="243">
        <v>0</v>
      </c>
      <c r="O484" s="73">
        <v>0</v>
      </c>
      <c r="P484" s="243">
        <f t="shared" si="165"/>
        <v>0</v>
      </c>
      <c r="Q484" s="243">
        <v>0</v>
      </c>
      <c r="R484" s="243">
        <v>0</v>
      </c>
      <c r="S484" s="245">
        <v>0</v>
      </c>
      <c r="T484" s="73">
        <v>0</v>
      </c>
      <c r="U484" s="243">
        <f t="shared" si="166"/>
        <v>0</v>
      </c>
      <c r="V484" s="243">
        <v>0</v>
      </c>
      <c r="W484" s="243">
        <v>0</v>
      </c>
      <c r="X484" s="245">
        <v>0</v>
      </c>
      <c r="Y484" s="73">
        <v>3.2600000000000002</v>
      </c>
      <c r="Z484" s="243">
        <f t="shared" si="167"/>
        <v>815.00000000000011</v>
      </c>
      <c r="AA484" s="243">
        <v>0</v>
      </c>
      <c r="AB484" s="243">
        <v>0</v>
      </c>
      <c r="AC484" s="245">
        <v>815.00000000000011</v>
      </c>
      <c r="AD484" s="18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</row>
    <row r="485" spans="1:43" s="17" customFormat="1" ht="28.95" customHeight="1" outlineLevel="1" x14ac:dyDescent="0.25">
      <c r="A485" s="78" t="s">
        <v>697</v>
      </c>
      <c r="B485" s="66" t="s">
        <v>411</v>
      </c>
      <c r="C485" s="226">
        <f t="shared" si="169"/>
        <v>4</v>
      </c>
      <c r="D485" s="243">
        <f t="shared" si="162"/>
        <v>1000</v>
      </c>
      <c r="E485" s="208">
        <v>0</v>
      </c>
      <c r="F485" s="244">
        <f t="shared" si="164"/>
        <v>0</v>
      </c>
      <c r="G485" s="243">
        <v>0</v>
      </c>
      <c r="H485" s="243">
        <v>0</v>
      </c>
      <c r="I485" s="243">
        <v>0</v>
      </c>
      <c r="J485" s="208">
        <v>0</v>
      </c>
      <c r="K485" s="244">
        <f t="shared" si="163"/>
        <v>0</v>
      </c>
      <c r="L485" s="243">
        <v>0</v>
      </c>
      <c r="M485" s="243">
        <v>0</v>
      </c>
      <c r="N485" s="243">
        <v>0</v>
      </c>
      <c r="O485" s="73">
        <v>0</v>
      </c>
      <c r="P485" s="243">
        <f t="shared" si="165"/>
        <v>0</v>
      </c>
      <c r="Q485" s="243">
        <v>0</v>
      </c>
      <c r="R485" s="243">
        <v>0</v>
      </c>
      <c r="S485" s="245">
        <v>0</v>
      </c>
      <c r="T485" s="73">
        <v>0</v>
      </c>
      <c r="U485" s="243">
        <f t="shared" si="166"/>
        <v>0</v>
      </c>
      <c r="V485" s="243">
        <v>0</v>
      </c>
      <c r="W485" s="243">
        <v>0</v>
      </c>
      <c r="X485" s="245">
        <v>0</v>
      </c>
      <c r="Y485" s="73">
        <v>4</v>
      </c>
      <c r="Z485" s="243">
        <f t="shared" si="167"/>
        <v>1000</v>
      </c>
      <c r="AA485" s="243">
        <v>0</v>
      </c>
      <c r="AB485" s="243">
        <v>0</v>
      </c>
      <c r="AC485" s="245">
        <v>1000</v>
      </c>
      <c r="AD485" s="18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</row>
    <row r="486" spans="1:43" s="17" customFormat="1" ht="33" customHeight="1" outlineLevel="1" x14ac:dyDescent="0.25">
      <c r="A486" s="78" t="s">
        <v>698</v>
      </c>
      <c r="B486" s="66" t="s">
        <v>412</v>
      </c>
      <c r="C486" s="226">
        <f t="shared" si="169"/>
        <v>3.75</v>
      </c>
      <c r="D486" s="243">
        <f t="shared" si="162"/>
        <v>938</v>
      </c>
      <c r="E486" s="208">
        <v>0</v>
      </c>
      <c r="F486" s="244">
        <f t="shared" si="164"/>
        <v>0</v>
      </c>
      <c r="G486" s="243">
        <v>0</v>
      </c>
      <c r="H486" s="243">
        <v>0</v>
      </c>
      <c r="I486" s="243">
        <v>0</v>
      </c>
      <c r="J486" s="208">
        <v>0</v>
      </c>
      <c r="K486" s="244">
        <f t="shared" si="163"/>
        <v>0</v>
      </c>
      <c r="L486" s="243">
        <v>0</v>
      </c>
      <c r="M486" s="243">
        <v>0</v>
      </c>
      <c r="N486" s="243">
        <v>0</v>
      </c>
      <c r="O486" s="73">
        <v>0</v>
      </c>
      <c r="P486" s="243">
        <f t="shared" si="165"/>
        <v>0</v>
      </c>
      <c r="Q486" s="243">
        <v>0</v>
      </c>
      <c r="R486" s="243">
        <v>0</v>
      </c>
      <c r="S486" s="245">
        <v>0</v>
      </c>
      <c r="T486" s="73">
        <v>0</v>
      </c>
      <c r="U486" s="243">
        <f t="shared" si="166"/>
        <v>0</v>
      </c>
      <c r="V486" s="243">
        <v>0</v>
      </c>
      <c r="W486" s="243">
        <v>0</v>
      </c>
      <c r="X486" s="245">
        <v>0</v>
      </c>
      <c r="Y486" s="73">
        <v>3.75</v>
      </c>
      <c r="Z486" s="243">
        <f t="shared" si="167"/>
        <v>938</v>
      </c>
      <c r="AA486" s="243">
        <v>0</v>
      </c>
      <c r="AB486" s="243">
        <v>0</v>
      </c>
      <c r="AC486" s="245">
        <v>938</v>
      </c>
      <c r="AD486" s="18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</row>
    <row r="487" spans="1:43" s="17" customFormat="1" ht="25.2" customHeight="1" outlineLevel="1" x14ac:dyDescent="0.25">
      <c r="A487" s="78" t="s">
        <v>699</v>
      </c>
      <c r="B487" s="66" t="s">
        <v>413</v>
      </c>
      <c r="C487" s="226">
        <f t="shared" si="169"/>
        <v>3.95</v>
      </c>
      <c r="D487" s="243">
        <f t="shared" si="162"/>
        <v>986</v>
      </c>
      <c r="E487" s="208">
        <v>0</v>
      </c>
      <c r="F487" s="244">
        <f t="shared" si="164"/>
        <v>0</v>
      </c>
      <c r="G487" s="243">
        <v>0</v>
      </c>
      <c r="H487" s="243">
        <v>0</v>
      </c>
      <c r="I487" s="243">
        <v>0</v>
      </c>
      <c r="J487" s="208">
        <v>0</v>
      </c>
      <c r="K487" s="244">
        <f t="shared" si="163"/>
        <v>0</v>
      </c>
      <c r="L487" s="243">
        <v>0</v>
      </c>
      <c r="M487" s="243">
        <v>0</v>
      </c>
      <c r="N487" s="243">
        <v>0</v>
      </c>
      <c r="O487" s="73">
        <v>0</v>
      </c>
      <c r="P487" s="243">
        <f t="shared" si="165"/>
        <v>0</v>
      </c>
      <c r="Q487" s="243">
        <v>0</v>
      </c>
      <c r="R487" s="243">
        <v>0</v>
      </c>
      <c r="S487" s="245">
        <v>0</v>
      </c>
      <c r="T487" s="73">
        <v>0</v>
      </c>
      <c r="U487" s="243">
        <f t="shared" si="166"/>
        <v>0</v>
      </c>
      <c r="V487" s="243">
        <v>0</v>
      </c>
      <c r="W487" s="243">
        <v>0</v>
      </c>
      <c r="X487" s="245">
        <v>0</v>
      </c>
      <c r="Y487" s="73">
        <f>ROUND(3.945,2)</f>
        <v>3.95</v>
      </c>
      <c r="Z487" s="243">
        <f t="shared" si="167"/>
        <v>986</v>
      </c>
      <c r="AA487" s="243">
        <v>0</v>
      </c>
      <c r="AB487" s="243">
        <v>0</v>
      </c>
      <c r="AC487" s="245">
        <v>986</v>
      </c>
      <c r="AD487" s="18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</row>
    <row r="488" spans="1:43" s="17" customFormat="1" ht="27" customHeight="1" outlineLevel="1" x14ac:dyDescent="0.25">
      <c r="A488" s="78" t="s">
        <v>700</v>
      </c>
      <c r="B488" s="66" t="s">
        <v>390</v>
      </c>
      <c r="C488" s="226">
        <f t="shared" si="169"/>
        <v>0.92999999999999994</v>
      </c>
      <c r="D488" s="243">
        <f t="shared" si="162"/>
        <v>233</v>
      </c>
      <c r="E488" s="208">
        <v>0</v>
      </c>
      <c r="F488" s="244">
        <f t="shared" si="164"/>
        <v>0</v>
      </c>
      <c r="G488" s="243">
        <v>0</v>
      </c>
      <c r="H488" s="243">
        <v>0</v>
      </c>
      <c r="I488" s="243">
        <v>0</v>
      </c>
      <c r="J488" s="208">
        <v>0</v>
      </c>
      <c r="K488" s="244">
        <f t="shared" si="163"/>
        <v>0</v>
      </c>
      <c r="L488" s="243">
        <v>0</v>
      </c>
      <c r="M488" s="243">
        <v>0</v>
      </c>
      <c r="N488" s="243">
        <v>0</v>
      </c>
      <c r="O488" s="73">
        <v>0</v>
      </c>
      <c r="P488" s="243">
        <f t="shared" si="165"/>
        <v>0</v>
      </c>
      <c r="Q488" s="243">
        <v>0</v>
      </c>
      <c r="R488" s="243">
        <v>0</v>
      </c>
      <c r="S488" s="245">
        <v>0</v>
      </c>
      <c r="T488" s="73">
        <v>0</v>
      </c>
      <c r="U488" s="243">
        <f t="shared" si="166"/>
        <v>0</v>
      </c>
      <c r="V488" s="243">
        <v>0</v>
      </c>
      <c r="W488" s="243">
        <v>0</v>
      </c>
      <c r="X488" s="245">
        <v>0</v>
      </c>
      <c r="Y488" s="73">
        <v>0.92999999999999994</v>
      </c>
      <c r="Z488" s="243">
        <f t="shared" si="167"/>
        <v>233</v>
      </c>
      <c r="AA488" s="243">
        <v>0</v>
      </c>
      <c r="AB488" s="243">
        <v>0</v>
      </c>
      <c r="AC488" s="245">
        <v>233</v>
      </c>
      <c r="AD488" s="18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</row>
    <row r="489" spans="1:43" s="17" customFormat="1" ht="21" customHeight="1" outlineLevel="1" x14ac:dyDescent="0.25">
      <c r="A489" s="78" t="s">
        <v>701</v>
      </c>
      <c r="B489" s="66" t="s">
        <v>387</v>
      </c>
      <c r="C489" s="226">
        <f t="shared" si="169"/>
        <v>1.58</v>
      </c>
      <c r="D489" s="243">
        <f t="shared" si="162"/>
        <v>394</v>
      </c>
      <c r="E489" s="208">
        <v>0</v>
      </c>
      <c r="F489" s="244">
        <f t="shared" si="164"/>
        <v>0</v>
      </c>
      <c r="G489" s="243">
        <v>0</v>
      </c>
      <c r="H489" s="243">
        <v>0</v>
      </c>
      <c r="I489" s="243">
        <v>0</v>
      </c>
      <c r="J489" s="208">
        <v>0</v>
      </c>
      <c r="K489" s="244">
        <f t="shared" si="163"/>
        <v>0</v>
      </c>
      <c r="L489" s="243">
        <v>0</v>
      </c>
      <c r="M489" s="243">
        <v>0</v>
      </c>
      <c r="N489" s="243">
        <v>0</v>
      </c>
      <c r="O489" s="73">
        <v>0</v>
      </c>
      <c r="P489" s="243">
        <f t="shared" si="165"/>
        <v>0</v>
      </c>
      <c r="Q489" s="243">
        <v>0</v>
      </c>
      <c r="R489" s="243">
        <v>0</v>
      </c>
      <c r="S489" s="245">
        <v>0</v>
      </c>
      <c r="T489" s="73">
        <v>0</v>
      </c>
      <c r="U489" s="243">
        <f t="shared" si="166"/>
        <v>0</v>
      </c>
      <c r="V489" s="243">
        <v>0</v>
      </c>
      <c r="W489" s="243">
        <v>0</v>
      </c>
      <c r="X489" s="245">
        <v>0</v>
      </c>
      <c r="Y489" s="73">
        <f>ROUND(1.575,2)</f>
        <v>1.58</v>
      </c>
      <c r="Z489" s="243">
        <f t="shared" si="167"/>
        <v>394</v>
      </c>
      <c r="AA489" s="243">
        <v>0</v>
      </c>
      <c r="AB489" s="243">
        <v>0</v>
      </c>
      <c r="AC489" s="245">
        <v>394</v>
      </c>
      <c r="AD489" s="18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</row>
    <row r="490" spans="1:43" s="17" customFormat="1" ht="31.95" customHeight="1" outlineLevel="1" x14ac:dyDescent="0.25">
      <c r="A490" s="78" t="s">
        <v>702</v>
      </c>
      <c r="B490" s="66" t="s">
        <v>388</v>
      </c>
      <c r="C490" s="226">
        <f t="shared" si="169"/>
        <v>3.44</v>
      </c>
      <c r="D490" s="243">
        <f t="shared" si="162"/>
        <v>859</v>
      </c>
      <c r="E490" s="208">
        <v>0</v>
      </c>
      <c r="F490" s="244">
        <f t="shared" si="164"/>
        <v>0</v>
      </c>
      <c r="G490" s="243">
        <v>0</v>
      </c>
      <c r="H490" s="243">
        <v>0</v>
      </c>
      <c r="I490" s="243">
        <v>0</v>
      </c>
      <c r="J490" s="208">
        <v>0</v>
      </c>
      <c r="K490" s="244">
        <f t="shared" si="163"/>
        <v>0</v>
      </c>
      <c r="L490" s="243">
        <v>0</v>
      </c>
      <c r="M490" s="243">
        <v>0</v>
      </c>
      <c r="N490" s="243">
        <v>0</v>
      </c>
      <c r="O490" s="73">
        <v>0</v>
      </c>
      <c r="P490" s="243">
        <f t="shared" si="165"/>
        <v>0</v>
      </c>
      <c r="Q490" s="243">
        <v>0</v>
      </c>
      <c r="R490" s="243">
        <v>0</v>
      </c>
      <c r="S490" s="245">
        <v>0</v>
      </c>
      <c r="T490" s="73">
        <v>0</v>
      </c>
      <c r="U490" s="243">
        <f t="shared" si="166"/>
        <v>0</v>
      </c>
      <c r="V490" s="243">
        <v>0</v>
      </c>
      <c r="W490" s="243">
        <v>0</v>
      </c>
      <c r="X490" s="245">
        <v>0</v>
      </c>
      <c r="Y490" s="73">
        <f>ROUND(3.435,2)</f>
        <v>3.44</v>
      </c>
      <c r="Z490" s="243">
        <f t="shared" si="167"/>
        <v>859</v>
      </c>
      <c r="AA490" s="243">
        <v>0</v>
      </c>
      <c r="AB490" s="243">
        <v>0</v>
      </c>
      <c r="AC490" s="245">
        <v>859</v>
      </c>
      <c r="AD490" s="18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</row>
    <row r="491" spans="1:43" s="17" customFormat="1" ht="23.4" customHeight="1" outlineLevel="1" x14ac:dyDescent="0.25">
      <c r="A491" s="78" t="s">
        <v>703</v>
      </c>
      <c r="B491" s="70" t="s">
        <v>374</v>
      </c>
      <c r="C491" s="226">
        <f t="shared" si="169"/>
        <v>2.5</v>
      </c>
      <c r="D491" s="243">
        <f t="shared" si="162"/>
        <v>625</v>
      </c>
      <c r="E491" s="208">
        <v>0</v>
      </c>
      <c r="F491" s="244">
        <f t="shared" si="164"/>
        <v>0</v>
      </c>
      <c r="G491" s="243">
        <v>0</v>
      </c>
      <c r="H491" s="243">
        <v>0</v>
      </c>
      <c r="I491" s="243">
        <v>0</v>
      </c>
      <c r="J491" s="208">
        <v>0</v>
      </c>
      <c r="K491" s="244">
        <f t="shared" si="163"/>
        <v>0</v>
      </c>
      <c r="L491" s="243">
        <v>0</v>
      </c>
      <c r="M491" s="243">
        <v>0</v>
      </c>
      <c r="N491" s="243">
        <v>0</v>
      </c>
      <c r="O491" s="73">
        <v>0</v>
      </c>
      <c r="P491" s="243">
        <f t="shared" si="165"/>
        <v>0</v>
      </c>
      <c r="Q491" s="243">
        <v>0</v>
      </c>
      <c r="R491" s="243">
        <v>0</v>
      </c>
      <c r="S491" s="245">
        <v>0</v>
      </c>
      <c r="T491" s="73">
        <v>0</v>
      </c>
      <c r="U491" s="243">
        <f t="shared" si="166"/>
        <v>0</v>
      </c>
      <c r="V491" s="243">
        <v>0</v>
      </c>
      <c r="W491" s="243">
        <v>0</v>
      </c>
      <c r="X491" s="245">
        <v>0</v>
      </c>
      <c r="Y491" s="73">
        <v>2.5</v>
      </c>
      <c r="Z491" s="243">
        <f t="shared" si="167"/>
        <v>625</v>
      </c>
      <c r="AA491" s="243">
        <v>0</v>
      </c>
      <c r="AB491" s="243">
        <v>0</v>
      </c>
      <c r="AC491" s="245">
        <v>625</v>
      </c>
      <c r="AD491" s="18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</row>
    <row r="492" spans="1:43" s="17" customFormat="1" ht="32.4" customHeight="1" x14ac:dyDescent="0.25">
      <c r="A492" s="79"/>
      <c r="B492" s="98" t="s">
        <v>443</v>
      </c>
      <c r="C492" s="71">
        <f t="shared" ref="C492:J492" si="170">SUM(C472,C421,C414,C408)</f>
        <v>170.62</v>
      </c>
      <c r="D492" s="313">
        <f t="shared" si="170"/>
        <v>49144</v>
      </c>
      <c r="E492" s="71">
        <f t="shared" si="170"/>
        <v>0</v>
      </c>
      <c r="F492" s="313">
        <f t="shared" si="170"/>
        <v>0</v>
      </c>
      <c r="G492" s="313">
        <f t="shared" si="170"/>
        <v>0</v>
      </c>
      <c r="H492" s="313">
        <f t="shared" si="170"/>
        <v>0</v>
      </c>
      <c r="I492" s="313">
        <f t="shared" si="170"/>
        <v>0</v>
      </c>
      <c r="J492" s="71">
        <f t="shared" si="170"/>
        <v>0</v>
      </c>
      <c r="K492" s="313">
        <f t="shared" si="163"/>
        <v>0</v>
      </c>
      <c r="L492" s="313">
        <f>SUM(L472,L421,L414,L408)</f>
        <v>0</v>
      </c>
      <c r="M492" s="313">
        <f>SUM(M472,M421,M414,M408)</f>
        <v>0</v>
      </c>
      <c r="N492" s="313">
        <f>SUM(N472,N421,N414,N408)</f>
        <v>0</v>
      </c>
      <c r="O492" s="71">
        <f>SUM(O472,O421,O414,O408)</f>
        <v>0</v>
      </c>
      <c r="P492" s="313">
        <f t="shared" si="165"/>
        <v>0</v>
      </c>
      <c r="Q492" s="313">
        <f>SUM(Q472,Q421,Q414,Q408)</f>
        <v>0</v>
      </c>
      <c r="R492" s="313">
        <f>SUM(R472,R421,R414,R408)</f>
        <v>0</v>
      </c>
      <c r="S492" s="313">
        <f>SUM(S472,S421,S414,S408)</f>
        <v>0</v>
      </c>
      <c r="T492" s="71">
        <f>SUM(T472,T421,T414,T408)</f>
        <v>134.99</v>
      </c>
      <c r="U492" s="313">
        <f t="shared" si="166"/>
        <v>40241</v>
      </c>
      <c r="V492" s="313">
        <f t="shared" ref="V492:AC492" si="171">SUM(V472,V421,V414,V408)</f>
        <v>0</v>
      </c>
      <c r="W492" s="313">
        <f t="shared" si="171"/>
        <v>0</v>
      </c>
      <c r="X492" s="313">
        <f t="shared" si="171"/>
        <v>40241</v>
      </c>
      <c r="Y492" s="71">
        <f t="shared" si="171"/>
        <v>35.629999999999995</v>
      </c>
      <c r="Z492" s="313">
        <f t="shared" si="171"/>
        <v>8903</v>
      </c>
      <c r="AA492" s="313">
        <f t="shared" si="171"/>
        <v>0</v>
      </c>
      <c r="AB492" s="313">
        <f t="shared" si="171"/>
        <v>0</v>
      </c>
      <c r="AC492" s="313">
        <f t="shared" si="171"/>
        <v>8903</v>
      </c>
      <c r="AD492" s="18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</row>
    <row r="493" spans="1:43" s="17" customFormat="1" ht="126.75" hidden="1" customHeight="1" x14ac:dyDescent="0.25">
      <c r="A493" s="79"/>
      <c r="B493" s="66" t="s">
        <v>442</v>
      </c>
      <c r="C493" s="226">
        <f t="shared" si="169"/>
        <v>0</v>
      </c>
      <c r="D493" s="243">
        <f t="shared" si="162"/>
        <v>0</v>
      </c>
      <c r="E493" s="99"/>
      <c r="F493" s="244">
        <f t="shared" si="164"/>
        <v>0</v>
      </c>
      <c r="G493" s="249"/>
      <c r="H493" s="249"/>
      <c r="I493" s="249"/>
      <c r="J493" s="99"/>
      <c r="K493" s="244">
        <f t="shared" si="163"/>
        <v>0</v>
      </c>
      <c r="L493" s="249"/>
      <c r="M493" s="249"/>
      <c r="N493" s="249"/>
      <c r="O493" s="107">
        <v>0</v>
      </c>
      <c r="P493" s="244">
        <f t="shared" si="165"/>
        <v>0</v>
      </c>
      <c r="Q493" s="249"/>
      <c r="R493" s="249"/>
      <c r="S493" s="247">
        <v>0</v>
      </c>
      <c r="T493" s="107">
        <v>0</v>
      </c>
      <c r="U493" s="244">
        <f t="shared" si="166"/>
        <v>0</v>
      </c>
      <c r="V493" s="249"/>
      <c r="W493" s="249"/>
      <c r="X493" s="247">
        <v>0</v>
      </c>
      <c r="Y493" s="107">
        <v>0</v>
      </c>
      <c r="Z493" s="244">
        <f t="shared" si="167"/>
        <v>0</v>
      </c>
      <c r="AA493" s="243">
        <v>0</v>
      </c>
      <c r="AB493" s="243">
        <v>0</v>
      </c>
      <c r="AC493" s="247">
        <v>0</v>
      </c>
      <c r="AD493" s="18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</row>
    <row r="494" spans="1:43" s="17" customFormat="1" ht="57" customHeight="1" x14ac:dyDescent="0.25">
      <c r="A494" s="309"/>
      <c r="B494" s="97" t="s">
        <v>704</v>
      </c>
      <c r="C494" s="99">
        <f>C406+C492</f>
        <v>505.36000000000007</v>
      </c>
      <c r="D494" s="237">
        <f t="shared" ref="D494:H494" si="172">D406+D492</f>
        <v>132298.70000000001</v>
      </c>
      <c r="E494" s="99">
        <f t="shared" si="172"/>
        <v>14.67</v>
      </c>
      <c r="F494" s="237">
        <f t="shared" si="172"/>
        <v>2575.1999999999998</v>
      </c>
      <c r="G494" s="237">
        <f t="shared" si="172"/>
        <v>0</v>
      </c>
      <c r="H494" s="237">
        <f t="shared" si="172"/>
        <v>0</v>
      </c>
      <c r="I494" s="237">
        <f>I406+I492-0.2</f>
        <v>2575</v>
      </c>
      <c r="J494" s="99">
        <f>J406+J492</f>
        <v>0</v>
      </c>
      <c r="K494" s="237">
        <f t="shared" ref="K494:AC494" si="173">K406+K492</f>
        <v>0</v>
      </c>
      <c r="L494" s="237">
        <f t="shared" si="173"/>
        <v>0</v>
      </c>
      <c r="M494" s="237">
        <f t="shared" si="173"/>
        <v>0</v>
      </c>
      <c r="N494" s="237">
        <f t="shared" si="173"/>
        <v>0</v>
      </c>
      <c r="O494" s="99">
        <f t="shared" si="173"/>
        <v>0</v>
      </c>
      <c r="P494" s="237">
        <f t="shared" si="173"/>
        <v>0</v>
      </c>
      <c r="Q494" s="237">
        <f t="shared" si="173"/>
        <v>0</v>
      </c>
      <c r="R494" s="237">
        <f t="shared" si="173"/>
        <v>0</v>
      </c>
      <c r="S494" s="237">
        <f t="shared" si="173"/>
        <v>0</v>
      </c>
      <c r="T494" s="99">
        <f t="shared" si="173"/>
        <v>319.52000000000004</v>
      </c>
      <c r="U494" s="237">
        <f t="shared" si="173"/>
        <v>86960.5</v>
      </c>
      <c r="V494" s="237">
        <f t="shared" si="173"/>
        <v>0</v>
      </c>
      <c r="W494" s="237">
        <f t="shared" si="173"/>
        <v>0</v>
      </c>
      <c r="X494" s="237">
        <f t="shared" si="173"/>
        <v>86960.5</v>
      </c>
      <c r="Y494" s="99">
        <f t="shared" si="173"/>
        <v>171.16999999999996</v>
      </c>
      <c r="Z494" s="237">
        <f t="shared" si="173"/>
        <v>42763</v>
      </c>
      <c r="AA494" s="237">
        <f t="shared" si="173"/>
        <v>0</v>
      </c>
      <c r="AB494" s="237">
        <f t="shared" si="173"/>
        <v>0</v>
      </c>
      <c r="AC494" s="237">
        <f t="shared" si="173"/>
        <v>42763</v>
      </c>
      <c r="AD494" s="18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</row>
    <row r="495" spans="1:43" s="17" customFormat="1" ht="42" customHeight="1" x14ac:dyDescent="0.25">
      <c r="A495" s="444" t="s">
        <v>1234</v>
      </c>
      <c r="B495" s="445"/>
      <c r="C495" s="445"/>
      <c r="D495" s="445"/>
      <c r="E495" s="445"/>
      <c r="F495" s="445"/>
      <c r="G495" s="445"/>
      <c r="H495" s="445"/>
      <c r="I495" s="445"/>
      <c r="J495" s="445"/>
      <c r="K495" s="445"/>
      <c r="L495" s="445"/>
      <c r="M495" s="445"/>
      <c r="N495" s="445"/>
      <c r="O495" s="445"/>
      <c r="P495" s="445"/>
      <c r="Q495" s="445"/>
      <c r="R495" s="445"/>
      <c r="S495" s="445"/>
      <c r="T495" s="445"/>
      <c r="U495" s="445"/>
      <c r="V495" s="445"/>
      <c r="W495" s="445"/>
      <c r="X495" s="445"/>
      <c r="Y495" s="445"/>
      <c r="Z495" s="445"/>
      <c r="AA495" s="445"/>
      <c r="AB495" s="445"/>
      <c r="AC495" s="446"/>
      <c r="AD495" s="18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</row>
    <row r="496" spans="1:43" s="17" customFormat="1" ht="128.25" customHeight="1" x14ac:dyDescent="0.25">
      <c r="A496" s="79" t="s">
        <v>1233</v>
      </c>
      <c r="B496" s="70" t="s">
        <v>1232</v>
      </c>
      <c r="C496" s="208">
        <f t="shared" ref="C496" si="174">E496+J496+O496+T496+Y496</f>
        <v>0</v>
      </c>
      <c r="D496" s="24">
        <f t="shared" ref="D496" si="175">F496+K496+P496+U496+Z496</f>
        <v>131302</v>
      </c>
      <c r="E496" s="208">
        <v>0</v>
      </c>
      <c r="F496" s="243">
        <f t="shared" ref="F496" si="176">G496+H496+I496</f>
        <v>131302</v>
      </c>
      <c r="G496" s="243">
        <v>0</v>
      </c>
      <c r="H496" s="243">
        <v>125000</v>
      </c>
      <c r="I496" s="243">
        <v>6302</v>
      </c>
      <c r="J496" s="208">
        <v>0</v>
      </c>
      <c r="K496" s="243">
        <f t="shared" ref="K496" si="177">SUM(L496:N496)</f>
        <v>0</v>
      </c>
      <c r="L496" s="243">
        <v>0</v>
      </c>
      <c r="M496" s="243">
        <v>0</v>
      </c>
      <c r="N496" s="243">
        <v>0</v>
      </c>
      <c r="O496" s="208">
        <v>0</v>
      </c>
      <c r="P496" s="243">
        <f t="shared" ref="P496" si="178">Q496+R496+S496</f>
        <v>0</v>
      </c>
      <c r="Q496" s="243">
        <v>0</v>
      </c>
      <c r="R496" s="243">
        <v>0</v>
      </c>
      <c r="S496" s="243">
        <v>0</v>
      </c>
      <c r="T496" s="208">
        <v>0</v>
      </c>
      <c r="U496" s="243">
        <f t="shared" ref="U496" si="179">V496+W496+X496</f>
        <v>0</v>
      </c>
      <c r="V496" s="243">
        <v>0</v>
      </c>
      <c r="W496" s="243">
        <v>0</v>
      </c>
      <c r="X496" s="243">
        <v>0</v>
      </c>
      <c r="Y496" s="208">
        <v>0</v>
      </c>
      <c r="Z496" s="243">
        <f t="shared" ref="Z496" si="180">AA496+AB496+AC496</f>
        <v>0</v>
      </c>
      <c r="AA496" s="243">
        <v>0</v>
      </c>
      <c r="AB496" s="243">
        <v>0</v>
      </c>
      <c r="AC496" s="243">
        <v>0</v>
      </c>
      <c r="AD496" s="18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</row>
    <row r="497" spans="1:43" s="17" customFormat="1" ht="74.400000000000006" customHeight="1" x14ac:dyDescent="0.25">
      <c r="A497" s="309"/>
      <c r="B497" s="97" t="s">
        <v>1235</v>
      </c>
      <c r="C497" s="99">
        <f t="shared" ref="C497" si="181">E497+J497+O497+T497+Y497</f>
        <v>0</v>
      </c>
      <c r="D497" s="230">
        <f t="shared" ref="D497" si="182">F497+K497+P497+U497+Z497</f>
        <v>131302</v>
      </c>
      <c r="E497" s="99">
        <v>0</v>
      </c>
      <c r="F497" s="230">
        <f t="shared" ref="F497" si="183">G497+H497+I497</f>
        <v>131302</v>
      </c>
      <c r="G497" s="230">
        <v>0</v>
      </c>
      <c r="H497" s="230">
        <v>125000</v>
      </c>
      <c r="I497" s="230">
        <f>I496</f>
        <v>6302</v>
      </c>
      <c r="J497" s="99">
        <v>0</v>
      </c>
      <c r="K497" s="230">
        <f t="shared" ref="K497" si="184">SUM(L497:N497)</f>
        <v>0</v>
      </c>
      <c r="L497" s="230">
        <v>0</v>
      </c>
      <c r="M497" s="230">
        <v>0</v>
      </c>
      <c r="N497" s="230">
        <v>0</v>
      </c>
      <c r="O497" s="99">
        <v>0</v>
      </c>
      <c r="P497" s="230">
        <f t="shared" ref="P497" si="185">Q497+R497+S497</f>
        <v>0</v>
      </c>
      <c r="Q497" s="230">
        <v>0</v>
      </c>
      <c r="R497" s="230">
        <v>0</v>
      </c>
      <c r="S497" s="230">
        <v>0</v>
      </c>
      <c r="T497" s="99">
        <v>0</v>
      </c>
      <c r="U497" s="230">
        <f t="shared" ref="U497" si="186">V497+W497+X497</f>
        <v>0</v>
      </c>
      <c r="V497" s="230">
        <v>0</v>
      </c>
      <c r="W497" s="230">
        <v>0</v>
      </c>
      <c r="X497" s="230">
        <v>0</v>
      </c>
      <c r="Y497" s="99">
        <v>0</v>
      </c>
      <c r="Z497" s="230">
        <f t="shared" ref="Z497" si="187">AA497+AB497+AC497</f>
        <v>0</v>
      </c>
      <c r="AA497" s="230">
        <v>0</v>
      </c>
      <c r="AB497" s="230">
        <v>0</v>
      </c>
      <c r="AC497" s="230">
        <v>0</v>
      </c>
      <c r="AD497" s="18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</row>
    <row r="498" spans="1:43" s="5" customFormat="1" ht="33.75" customHeight="1" x14ac:dyDescent="0.25">
      <c r="A498" s="214"/>
      <c r="B498" s="41" t="s">
        <v>224</v>
      </c>
      <c r="C498" s="258"/>
      <c r="D498" s="88">
        <f t="shared" ref="D498:AC498" si="188">D45+D59+D78+D98+D241+D245+D494+D497</f>
        <v>8681354.1999999993</v>
      </c>
      <c r="E498" s="257">
        <f t="shared" si="188"/>
        <v>435.58000000000004</v>
      </c>
      <c r="F498" s="88">
        <f t="shared" si="188"/>
        <v>1408200.5999999999</v>
      </c>
      <c r="G498" s="88">
        <f t="shared" si="188"/>
        <v>126793</v>
      </c>
      <c r="H498" s="88">
        <f t="shared" si="188"/>
        <v>1181646.3999999999</v>
      </c>
      <c r="I498" s="88">
        <f t="shared" si="188"/>
        <v>99761.4</v>
      </c>
      <c r="J498" s="257">
        <f t="shared" si="188"/>
        <v>37.94</v>
      </c>
      <c r="K498" s="88">
        <f t="shared" si="188"/>
        <v>911658</v>
      </c>
      <c r="L498" s="88">
        <f t="shared" si="188"/>
        <v>38243</v>
      </c>
      <c r="M498" s="88">
        <f t="shared" si="188"/>
        <v>797528</v>
      </c>
      <c r="N498" s="88">
        <f t="shared" si="188"/>
        <v>75887</v>
      </c>
      <c r="O498" s="257">
        <f t="shared" si="188"/>
        <v>31.43</v>
      </c>
      <c r="P498" s="88">
        <f t="shared" si="188"/>
        <v>770815</v>
      </c>
      <c r="Q498" s="88">
        <f t="shared" si="188"/>
        <v>0</v>
      </c>
      <c r="R498" s="88">
        <f t="shared" si="188"/>
        <v>700000</v>
      </c>
      <c r="S498" s="88">
        <f t="shared" si="188"/>
        <v>70815</v>
      </c>
      <c r="T498" s="257">
        <f t="shared" si="188"/>
        <v>1284.6500000000001</v>
      </c>
      <c r="U498" s="88">
        <f t="shared" si="188"/>
        <v>3082705.5</v>
      </c>
      <c r="V498" s="88">
        <f t="shared" si="188"/>
        <v>0</v>
      </c>
      <c r="W498" s="88">
        <f t="shared" si="188"/>
        <v>2737080</v>
      </c>
      <c r="X498" s="88">
        <f t="shared" si="188"/>
        <v>345625.5</v>
      </c>
      <c r="Y498" s="257">
        <f t="shared" si="188"/>
        <v>1035.4850000000001</v>
      </c>
      <c r="Z498" s="88">
        <f t="shared" si="188"/>
        <v>2507975.6</v>
      </c>
      <c r="AA498" s="88">
        <f t="shared" si="188"/>
        <v>0</v>
      </c>
      <c r="AB498" s="88">
        <f>AB45+AB59+AB78+AB98+AB241+AB245+AB494+AB497+0.1</f>
        <v>2319069.5</v>
      </c>
      <c r="AC498" s="88">
        <f t="shared" si="188"/>
        <v>188906.2</v>
      </c>
    </row>
    <row r="499" spans="1:43" s="5" customFormat="1" x14ac:dyDescent="0.25">
      <c r="A499" s="20"/>
      <c r="C499" s="253"/>
      <c r="D499" s="2"/>
      <c r="E499" s="2"/>
      <c r="F499" s="2"/>
      <c r="G499" s="2"/>
      <c r="H499" s="2"/>
      <c r="I499" s="2"/>
      <c r="J499" s="2"/>
      <c r="K499" s="1"/>
      <c r="L499" s="1"/>
      <c r="M499" s="210"/>
      <c r="N499" s="210"/>
      <c r="O499" s="264"/>
      <c r="P499" s="129"/>
      <c r="Q499" s="3"/>
      <c r="R499" s="210"/>
      <c r="S499" s="210"/>
      <c r="T499" s="264"/>
      <c r="U499" s="3"/>
      <c r="V499" s="3"/>
      <c r="W499" s="210"/>
      <c r="X499" s="210"/>
      <c r="Y499" s="264"/>
      <c r="Z499" s="3"/>
      <c r="AA499" s="210"/>
      <c r="AB499" s="210"/>
      <c r="AC499" s="210"/>
    </row>
    <row r="500" spans="1:43" s="5" customFormat="1" x14ac:dyDescent="0.25">
      <c r="A500" s="20"/>
      <c r="C500" s="253"/>
      <c r="D500" s="2"/>
      <c r="E500" s="2"/>
      <c r="F500" s="2"/>
      <c r="G500" s="2"/>
      <c r="H500" s="2"/>
      <c r="I500" s="2"/>
      <c r="J500" s="2"/>
      <c r="K500" s="1"/>
      <c r="L500" s="1"/>
      <c r="M500" s="108"/>
      <c r="N500" s="108"/>
      <c r="O500" s="265"/>
      <c r="P500" s="109"/>
      <c r="Q500" s="109"/>
      <c r="R500" s="210"/>
      <c r="S500" s="210"/>
      <c r="T500" s="264"/>
      <c r="U500" s="3"/>
      <c r="V500" s="3"/>
      <c r="W500" s="210"/>
      <c r="X500" s="210"/>
      <c r="Y500" s="264"/>
      <c r="Z500" s="3"/>
      <c r="AA500" s="210"/>
      <c r="AB500" s="210"/>
      <c r="AC500" s="210"/>
    </row>
    <row r="501" spans="1:43" s="5" customFormat="1" x14ac:dyDescent="0.25">
      <c r="A501" s="20"/>
      <c r="C501" s="253"/>
      <c r="D501" s="2"/>
      <c r="E501" s="2"/>
      <c r="F501" s="2"/>
      <c r="G501" s="2"/>
      <c r="H501" s="2"/>
      <c r="I501" s="2"/>
      <c r="J501" s="2"/>
      <c r="K501" s="1"/>
      <c r="L501" s="1"/>
      <c r="M501" s="210"/>
      <c r="N501" s="210"/>
      <c r="O501" s="264"/>
      <c r="P501" s="3"/>
      <c r="Q501" s="3"/>
      <c r="R501" s="210"/>
      <c r="S501" s="210"/>
      <c r="T501" s="264"/>
      <c r="U501" s="3"/>
      <c r="V501" s="3"/>
      <c r="W501" s="210"/>
      <c r="X501" s="210"/>
      <c r="Y501" s="264"/>
      <c r="Z501" s="3"/>
      <c r="AA501" s="210"/>
      <c r="AB501" s="210"/>
      <c r="AC501" s="210"/>
    </row>
    <row r="502" spans="1:43" s="5" customFormat="1" x14ac:dyDescent="0.25">
      <c r="A502" s="20"/>
      <c r="C502" s="253"/>
      <c r="D502" s="2"/>
      <c r="E502" s="2"/>
      <c r="F502" s="2"/>
      <c r="G502" s="2"/>
      <c r="H502" s="2"/>
      <c r="I502" s="2"/>
      <c r="J502" s="2"/>
      <c r="K502" s="1"/>
      <c r="L502" s="1"/>
      <c r="M502" s="210"/>
      <c r="N502" s="210"/>
      <c r="O502" s="264"/>
      <c r="P502" s="3"/>
      <c r="Q502" s="3"/>
      <c r="R502" s="210"/>
      <c r="S502" s="210"/>
      <c r="T502" s="264"/>
      <c r="U502" s="3"/>
      <c r="V502" s="3"/>
      <c r="W502" s="210"/>
      <c r="X502" s="210"/>
      <c r="Y502" s="264"/>
      <c r="Z502" s="3"/>
      <c r="AA502" s="210"/>
      <c r="AB502" s="210"/>
      <c r="AC502" s="210"/>
    </row>
    <row r="503" spans="1:43" s="5" customFormat="1" x14ac:dyDescent="0.25">
      <c r="A503" s="20"/>
      <c r="C503" s="253"/>
      <c r="D503" s="2"/>
      <c r="E503" s="2"/>
      <c r="F503" s="2"/>
      <c r="G503" s="2"/>
      <c r="H503" s="2"/>
      <c r="I503" s="2"/>
      <c r="J503" s="2"/>
      <c r="K503" s="1"/>
      <c r="L503" s="1"/>
      <c r="M503" s="210"/>
      <c r="N503" s="210"/>
      <c r="O503" s="264"/>
      <c r="P503" s="3"/>
      <c r="Q503" s="3"/>
      <c r="R503" s="210"/>
      <c r="S503" s="210"/>
      <c r="T503" s="264"/>
      <c r="U503" s="3"/>
      <c r="V503" s="3"/>
      <c r="W503" s="210"/>
      <c r="X503" s="210"/>
      <c r="Y503" s="264"/>
      <c r="Z503" s="3"/>
      <c r="AA503" s="210"/>
      <c r="AB503" s="210"/>
      <c r="AC503" s="210"/>
    </row>
    <row r="504" spans="1:43" s="5" customFormat="1" x14ac:dyDescent="0.25">
      <c r="A504" s="20"/>
      <c r="C504" s="253"/>
      <c r="D504" s="2"/>
      <c r="E504" s="2"/>
      <c r="F504" s="2"/>
      <c r="G504" s="2"/>
      <c r="H504" s="2"/>
      <c r="I504" s="2"/>
      <c r="J504" s="2"/>
      <c r="K504" s="1"/>
      <c r="L504" s="1"/>
      <c r="M504" s="210"/>
      <c r="N504" s="210"/>
      <c r="O504" s="264"/>
      <c r="P504" s="3"/>
      <c r="Q504" s="3"/>
      <c r="R504" s="210"/>
      <c r="S504" s="210"/>
      <c r="T504" s="264"/>
      <c r="U504" s="3"/>
      <c r="V504" s="3"/>
      <c r="W504" s="210"/>
      <c r="X504" s="210"/>
      <c r="Y504" s="264"/>
      <c r="Z504" s="3"/>
      <c r="AA504" s="210"/>
      <c r="AB504" s="210"/>
      <c r="AC504" s="210"/>
    </row>
    <row r="505" spans="1:43" s="5" customFormat="1" x14ac:dyDescent="0.25">
      <c r="A505" s="20"/>
      <c r="C505" s="253"/>
      <c r="D505" s="2"/>
      <c r="E505" s="2"/>
      <c r="F505" s="2"/>
      <c r="G505" s="2"/>
      <c r="H505" s="2"/>
      <c r="I505" s="2"/>
      <c r="J505" s="2"/>
      <c r="K505" s="1"/>
      <c r="L505" s="1"/>
      <c r="M505" s="210"/>
      <c r="N505" s="210"/>
      <c r="O505" s="264"/>
      <c r="P505" s="3"/>
      <c r="Q505" s="3"/>
      <c r="R505" s="210"/>
      <c r="S505" s="210"/>
      <c r="T505" s="264"/>
      <c r="U505" s="3"/>
      <c r="V505" s="3"/>
      <c r="W505" s="210"/>
      <c r="X505" s="210"/>
      <c r="Y505" s="264"/>
      <c r="Z505" s="3"/>
      <c r="AA505" s="210"/>
      <c r="AB505" s="210"/>
      <c r="AC505" s="210"/>
    </row>
    <row r="506" spans="1:43" s="5" customFormat="1" x14ac:dyDescent="0.25">
      <c r="A506" s="20"/>
      <c r="C506" s="253"/>
      <c r="D506" s="2"/>
      <c r="E506" s="2"/>
      <c r="F506" s="2"/>
      <c r="G506" s="2"/>
      <c r="H506" s="2"/>
      <c r="I506" s="2"/>
      <c r="J506" s="2"/>
      <c r="K506" s="1"/>
      <c r="L506" s="1"/>
      <c r="M506" s="210"/>
      <c r="N506" s="210"/>
      <c r="O506" s="264"/>
      <c r="P506" s="3"/>
      <c r="Q506" s="3"/>
      <c r="R506" s="210"/>
      <c r="S506" s="210"/>
      <c r="T506" s="264"/>
      <c r="U506" s="3"/>
      <c r="V506" s="3"/>
      <c r="W506" s="210"/>
      <c r="X506" s="210"/>
      <c r="Y506" s="264"/>
      <c r="Z506" s="3"/>
      <c r="AA506" s="210"/>
      <c r="AB506" s="210"/>
      <c r="AC506" s="210"/>
    </row>
    <row r="507" spans="1:43" s="5" customFormat="1" x14ac:dyDescent="0.25">
      <c r="A507" s="20"/>
      <c r="C507" s="253"/>
      <c r="D507" s="2"/>
      <c r="E507" s="2"/>
      <c r="F507" s="2"/>
      <c r="G507" s="2"/>
      <c r="H507" s="2"/>
      <c r="I507" s="2"/>
      <c r="J507" s="2"/>
      <c r="K507" s="1"/>
      <c r="L507" s="1"/>
      <c r="M507" s="210"/>
      <c r="N507" s="210"/>
      <c r="O507" s="264"/>
      <c r="P507" s="3"/>
      <c r="Q507" s="3"/>
      <c r="R507" s="210"/>
      <c r="S507" s="210"/>
      <c r="T507" s="264"/>
      <c r="U507" s="3"/>
      <c r="V507" s="3"/>
      <c r="W507" s="210"/>
      <c r="X507" s="210"/>
      <c r="Y507" s="264"/>
      <c r="Z507" s="3"/>
      <c r="AA507" s="210"/>
      <c r="AB507" s="210"/>
      <c r="AC507" s="210"/>
    </row>
    <row r="508" spans="1:43" s="5" customFormat="1" x14ac:dyDescent="0.25">
      <c r="A508" s="20"/>
      <c r="C508" s="253"/>
      <c r="D508" s="2"/>
      <c r="E508" s="2"/>
      <c r="F508" s="2"/>
      <c r="G508" s="2"/>
      <c r="H508" s="2"/>
      <c r="I508" s="2"/>
      <c r="J508" s="2"/>
      <c r="K508" s="1"/>
      <c r="L508" s="1"/>
      <c r="M508" s="210"/>
      <c r="N508" s="210"/>
      <c r="O508" s="264"/>
      <c r="P508" s="3"/>
      <c r="Q508" s="3"/>
      <c r="R508" s="210"/>
      <c r="S508" s="210"/>
      <c r="T508" s="264"/>
      <c r="U508" s="3"/>
      <c r="V508" s="3"/>
      <c r="W508" s="210"/>
      <c r="X508" s="210"/>
      <c r="Y508" s="264"/>
      <c r="Z508" s="3"/>
      <c r="AA508" s="210"/>
      <c r="AB508" s="210"/>
      <c r="AC508" s="210"/>
    </row>
    <row r="509" spans="1:43" s="5" customFormat="1" x14ac:dyDescent="0.25">
      <c r="A509" s="20"/>
      <c r="C509" s="253"/>
      <c r="D509" s="2"/>
      <c r="E509" s="2"/>
      <c r="F509" s="2"/>
      <c r="G509" s="2"/>
      <c r="H509" s="2"/>
      <c r="I509" s="2"/>
      <c r="J509" s="2"/>
      <c r="K509" s="1"/>
      <c r="L509" s="1"/>
      <c r="M509" s="210"/>
      <c r="N509" s="210"/>
      <c r="O509" s="264"/>
      <c r="P509" s="3"/>
      <c r="Q509" s="3"/>
      <c r="R509" s="210"/>
      <c r="S509" s="210"/>
      <c r="T509" s="264"/>
      <c r="U509" s="3"/>
      <c r="V509" s="3"/>
      <c r="W509" s="210"/>
      <c r="X509" s="210"/>
      <c r="Y509" s="264"/>
      <c r="Z509" s="3"/>
      <c r="AA509" s="210"/>
      <c r="AB509" s="210"/>
      <c r="AC509" s="210"/>
    </row>
    <row r="510" spans="1:43" s="5" customFormat="1" x14ac:dyDescent="0.25">
      <c r="A510" s="20"/>
      <c r="C510" s="253"/>
      <c r="D510" s="2"/>
      <c r="E510" s="2"/>
      <c r="F510" s="2"/>
      <c r="G510" s="2"/>
      <c r="H510" s="2"/>
      <c r="I510" s="2"/>
      <c r="J510" s="2"/>
      <c r="K510" s="1"/>
      <c r="L510" s="1"/>
      <c r="M510" s="210"/>
      <c r="N510" s="210"/>
      <c r="O510" s="264"/>
      <c r="P510" s="3"/>
      <c r="Q510" s="3"/>
      <c r="R510" s="210"/>
      <c r="S510" s="210"/>
      <c r="T510" s="264"/>
      <c r="U510" s="3"/>
      <c r="V510" s="3"/>
      <c r="W510" s="210"/>
      <c r="X510" s="210"/>
      <c r="Y510" s="264"/>
      <c r="Z510" s="3"/>
      <c r="AA510" s="210"/>
      <c r="AB510" s="210"/>
      <c r="AC510" s="210"/>
    </row>
    <row r="511" spans="1:43" s="5" customFormat="1" x14ac:dyDescent="0.25">
      <c r="A511" s="20"/>
      <c r="C511" s="253"/>
      <c r="D511" s="2"/>
      <c r="E511" s="2"/>
      <c r="F511" s="2"/>
      <c r="G511" s="2"/>
      <c r="H511" s="2"/>
      <c r="I511" s="2"/>
      <c r="J511" s="2"/>
      <c r="K511" s="1"/>
      <c r="L511" s="1"/>
      <c r="M511" s="210"/>
      <c r="N511" s="210"/>
      <c r="O511" s="264"/>
      <c r="P511" s="3"/>
      <c r="Q511" s="3"/>
      <c r="R511" s="210"/>
      <c r="S511" s="210"/>
      <c r="T511" s="264"/>
      <c r="U511" s="3"/>
      <c r="V511" s="3"/>
      <c r="W511" s="210"/>
      <c r="X511" s="210"/>
      <c r="Y511" s="264"/>
      <c r="Z511" s="3"/>
      <c r="AA511" s="210"/>
      <c r="AB511" s="210"/>
      <c r="AC511" s="210"/>
    </row>
    <row r="512" spans="1:43" s="5" customFormat="1" x14ac:dyDescent="0.25">
      <c r="A512" s="20"/>
      <c r="C512" s="253"/>
      <c r="D512" s="2"/>
      <c r="E512" s="2"/>
      <c r="F512" s="2"/>
      <c r="G512" s="2"/>
      <c r="H512" s="2"/>
      <c r="I512" s="2"/>
      <c r="J512" s="2"/>
      <c r="K512" s="1"/>
      <c r="L512" s="1"/>
      <c r="M512" s="210"/>
      <c r="N512" s="210"/>
      <c r="O512" s="264"/>
      <c r="P512" s="3"/>
      <c r="Q512" s="3"/>
      <c r="R512" s="210"/>
      <c r="S512" s="210"/>
      <c r="T512" s="264"/>
      <c r="U512" s="3"/>
      <c r="V512" s="3"/>
      <c r="W512" s="210"/>
      <c r="X512" s="210"/>
      <c r="Y512" s="264"/>
      <c r="Z512" s="3"/>
      <c r="AA512" s="210"/>
      <c r="AB512" s="210"/>
      <c r="AC512" s="210"/>
    </row>
    <row r="513" spans="1:29" s="5" customFormat="1" x14ac:dyDescent="0.25">
      <c r="A513" s="20"/>
      <c r="C513" s="253"/>
      <c r="D513" s="2"/>
      <c r="E513" s="2"/>
      <c r="F513" s="2"/>
      <c r="G513" s="2"/>
      <c r="H513" s="2"/>
      <c r="I513" s="2"/>
      <c r="J513" s="2"/>
      <c r="K513" s="1"/>
      <c r="L513" s="1"/>
      <c r="M513" s="210"/>
      <c r="N513" s="210"/>
      <c r="O513" s="264"/>
      <c r="P513" s="3"/>
      <c r="Q513" s="3"/>
      <c r="R513" s="210"/>
      <c r="S513" s="210"/>
      <c r="T513" s="264"/>
      <c r="U513" s="3"/>
      <c r="V513" s="3"/>
      <c r="W513" s="210"/>
      <c r="X513" s="210"/>
      <c r="Y513" s="264"/>
      <c r="Z513" s="3"/>
      <c r="AA513" s="210"/>
      <c r="AB513" s="210"/>
      <c r="AC513" s="210"/>
    </row>
    <row r="514" spans="1:29" s="5" customFormat="1" x14ac:dyDescent="0.25">
      <c r="A514" s="20"/>
      <c r="C514" s="253"/>
      <c r="D514" s="2"/>
      <c r="E514" s="2"/>
      <c r="F514" s="2"/>
      <c r="G514" s="2"/>
      <c r="H514" s="2"/>
      <c r="I514" s="2"/>
      <c r="J514" s="2"/>
      <c r="K514" s="1"/>
      <c r="L514" s="1"/>
      <c r="M514" s="210"/>
      <c r="N514" s="210"/>
      <c r="O514" s="264"/>
      <c r="P514" s="3"/>
      <c r="Q514" s="3"/>
      <c r="R514" s="210"/>
      <c r="S514" s="210"/>
      <c r="T514" s="264"/>
      <c r="U514" s="3"/>
      <c r="V514" s="3"/>
      <c r="W514" s="210"/>
      <c r="X514" s="210"/>
      <c r="Y514" s="264"/>
      <c r="Z514" s="3"/>
      <c r="AA514" s="210"/>
      <c r="AB514" s="210"/>
      <c r="AC514" s="210"/>
    </row>
    <row r="515" spans="1:29" s="5" customFormat="1" x14ac:dyDescent="0.25">
      <c r="A515" s="20"/>
      <c r="C515" s="253"/>
      <c r="D515" s="2"/>
      <c r="E515" s="2"/>
      <c r="F515" s="2"/>
      <c r="G515" s="2"/>
      <c r="H515" s="2"/>
      <c r="I515" s="2"/>
      <c r="J515" s="2"/>
      <c r="K515" s="1"/>
      <c r="L515" s="1"/>
      <c r="M515" s="210"/>
      <c r="N515" s="210"/>
      <c r="O515" s="264"/>
      <c r="P515" s="3"/>
      <c r="Q515" s="3"/>
      <c r="R515" s="210"/>
      <c r="S515" s="210"/>
      <c r="T515" s="264"/>
      <c r="U515" s="3"/>
      <c r="V515" s="3"/>
      <c r="W515" s="210"/>
      <c r="X515" s="210"/>
      <c r="Y515" s="264"/>
      <c r="Z515" s="3"/>
      <c r="AA515" s="210"/>
      <c r="AB515" s="210"/>
      <c r="AC515" s="210"/>
    </row>
    <row r="516" spans="1:29" s="5" customFormat="1" x14ac:dyDescent="0.25">
      <c r="A516" s="20"/>
      <c r="C516" s="253"/>
      <c r="D516" s="2"/>
      <c r="E516" s="2"/>
      <c r="F516" s="2"/>
      <c r="G516" s="2"/>
      <c r="H516" s="2"/>
      <c r="I516" s="2"/>
      <c r="J516" s="2"/>
      <c r="K516" s="1"/>
      <c r="L516" s="1"/>
      <c r="M516" s="210"/>
      <c r="N516" s="210"/>
      <c r="O516" s="264"/>
      <c r="P516" s="3"/>
      <c r="Q516" s="3"/>
      <c r="R516" s="210"/>
      <c r="S516" s="210"/>
      <c r="T516" s="264"/>
      <c r="U516" s="3"/>
      <c r="V516" s="3"/>
      <c r="W516" s="210"/>
      <c r="X516" s="210"/>
      <c r="Y516" s="264"/>
      <c r="Z516" s="3"/>
      <c r="AA516" s="210"/>
      <c r="AB516" s="210"/>
      <c r="AC516" s="210"/>
    </row>
    <row r="517" spans="1:29" s="5" customFormat="1" x14ac:dyDescent="0.25">
      <c r="A517" s="20"/>
      <c r="C517" s="253"/>
      <c r="D517" s="2"/>
      <c r="E517" s="2"/>
      <c r="F517" s="2"/>
      <c r="G517" s="2"/>
      <c r="H517" s="2"/>
      <c r="I517" s="2"/>
      <c r="J517" s="2"/>
      <c r="K517" s="1"/>
      <c r="L517" s="1"/>
      <c r="M517" s="210"/>
      <c r="N517" s="210"/>
      <c r="O517" s="264"/>
      <c r="P517" s="3"/>
      <c r="Q517" s="3"/>
      <c r="R517" s="210"/>
      <c r="S517" s="210"/>
      <c r="T517" s="264"/>
      <c r="U517" s="3"/>
      <c r="V517" s="3"/>
      <c r="W517" s="210"/>
      <c r="X517" s="210"/>
      <c r="Y517" s="264"/>
      <c r="Z517" s="3"/>
      <c r="AA517" s="210"/>
      <c r="AB517" s="210"/>
      <c r="AC517" s="210"/>
    </row>
    <row r="518" spans="1:29" s="5" customFormat="1" x14ac:dyDescent="0.25">
      <c r="A518" s="20"/>
      <c r="C518" s="253"/>
      <c r="D518" s="2"/>
      <c r="E518" s="2"/>
      <c r="F518" s="2"/>
      <c r="G518" s="2"/>
      <c r="H518" s="2"/>
      <c r="I518" s="2"/>
      <c r="J518" s="2"/>
      <c r="K518" s="1"/>
      <c r="L518" s="1"/>
      <c r="M518" s="210"/>
      <c r="N518" s="210"/>
      <c r="O518" s="264"/>
      <c r="P518" s="3"/>
      <c r="Q518" s="3"/>
      <c r="R518" s="210"/>
      <c r="S518" s="210"/>
      <c r="T518" s="264"/>
      <c r="U518" s="3"/>
      <c r="V518" s="3"/>
      <c r="W518" s="210"/>
      <c r="X518" s="210"/>
      <c r="Y518" s="264"/>
      <c r="Z518" s="3"/>
      <c r="AA518" s="210"/>
      <c r="AB518" s="210"/>
      <c r="AC518" s="210"/>
    </row>
    <row r="519" spans="1:29" s="5" customFormat="1" x14ac:dyDescent="0.25">
      <c r="A519" s="20"/>
      <c r="C519" s="253"/>
      <c r="D519" s="2"/>
      <c r="E519" s="2"/>
      <c r="F519" s="2"/>
      <c r="G519" s="2"/>
      <c r="H519" s="2"/>
      <c r="I519" s="2"/>
      <c r="J519" s="2"/>
      <c r="K519" s="1"/>
      <c r="L519" s="1"/>
      <c r="M519" s="210"/>
      <c r="N519" s="210"/>
      <c r="O519" s="264"/>
      <c r="P519" s="3"/>
      <c r="Q519" s="3"/>
      <c r="R519" s="210"/>
      <c r="S519" s="210"/>
      <c r="T519" s="264"/>
      <c r="U519" s="3"/>
      <c r="V519" s="3"/>
      <c r="W519" s="210"/>
      <c r="X519" s="210"/>
      <c r="Y519" s="264"/>
      <c r="Z519" s="3"/>
      <c r="AA519" s="210"/>
      <c r="AB519" s="210"/>
      <c r="AC519" s="210"/>
    </row>
    <row r="520" spans="1:29" s="5" customFormat="1" x14ac:dyDescent="0.25">
      <c r="A520" s="20"/>
      <c r="C520" s="253"/>
      <c r="D520" s="2"/>
      <c r="E520" s="2"/>
      <c r="F520" s="2"/>
      <c r="G520" s="2"/>
      <c r="H520" s="2"/>
      <c r="I520" s="2"/>
      <c r="J520" s="2"/>
      <c r="K520" s="1"/>
      <c r="L520" s="1"/>
      <c r="M520" s="210"/>
      <c r="N520" s="210"/>
      <c r="O520" s="264"/>
      <c r="P520" s="3"/>
      <c r="Q520" s="3"/>
      <c r="R520" s="210"/>
      <c r="S520" s="210"/>
      <c r="T520" s="264"/>
      <c r="U520" s="3"/>
      <c r="V520" s="3"/>
      <c r="W520" s="210"/>
      <c r="X520" s="210"/>
      <c r="Y520" s="264"/>
      <c r="Z520" s="3"/>
      <c r="AA520" s="210"/>
      <c r="AB520" s="210"/>
      <c r="AC520" s="210"/>
    </row>
    <row r="521" spans="1:29" s="5" customFormat="1" x14ac:dyDescent="0.25">
      <c r="A521" s="20"/>
      <c r="C521" s="253"/>
      <c r="D521" s="2"/>
      <c r="E521" s="2"/>
      <c r="F521" s="2"/>
      <c r="G521" s="2"/>
      <c r="H521" s="2"/>
      <c r="I521" s="2"/>
      <c r="J521" s="2"/>
      <c r="K521" s="1"/>
      <c r="L521" s="1"/>
      <c r="M521" s="210"/>
      <c r="N521" s="210"/>
      <c r="O521" s="264"/>
      <c r="P521" s="3"/>
      <c r="Q521" s="3"/>
      <c r="R521" s="210"/>
      <c r="S521" s="210"/>
      <c r="T521" s="264"/>
      <c r="U521" s="3"/>
      <c r="V521" s="3"/>
      <c r="W521" s="210"/>
      <c r="X521" s="210"/>
      <c r="Y521" s="264"/>
      <c r="Z521" s="3"/>
      <c r="AA521" s="210"/>
      <c r="AB521" s="210"/>
      <c r="AC521" s="210"/>
    </row>
    <row r="522" spans="1:29" s="5" customFormat="1" x14ac:dyDescent="0.25">
      <c r="A522" s="20"/>
      <c r="C522" s="253"/>
      <c r="D522" s="2"/>
      <c r="E522" s="2"/>
      <c r="F522" s="2"/>
      <c r="G522" s="2"/>
      <c r="H522" s="2"/>
      <c r="I522" s="2"/>
      <c r="J522" s="2"/>
      <c r="K522" s="1"/>
      <c r="L522" s="1"/>
      <c r="M522" s="210"/>
      <c r="N522" s="210"/>
      <c r="O522" s="264"/>
      <c r="P522" s="3"/>
      <c r="Q522" s="3"/>
      <c r="R522" s="210"/>
      <c r="S522" s="210"/>
      <c r="T522" s="264"/>
      <c r="U522" s="3"/>
      <c r="V522" s="3"/>
      <c r="W522" s="210"/>
      <c r="X522" s="210"/>
      <c r="Y522" s="264"/>
      <c r="Z522" s="3"/>
      <c r="AA522" s="210"/>
      <c r="AB522" s="210"/>
      <c r="AC522" s="210"/>
    </row>
    <row r="523" spans="1:29" s="5" customFormat="1" x14ac:dyDescent="0.25">
      <c r="A523" s="20"/>
      <c r="C523" s="253"/>
      <c r="D523" s="2"/>
      <c r="E523" s="2"/>
      <c r="F523" s="2"/>
      <c r="G523" s="2"/>
      <c r="H523" s="2"/>
      <c r="I523" s="2"/>
      <c r="J523" s="2"/>
      <c r="K523" s="1"/>
      <c r="L523" s="1"/>
      <c r="M523" s="210"/>
      <c r="N523" s="210"/>
      <c r="O523" s="264"/>
      <c r="P523" s="3"/>
      <c r="Q523" s="3"/>
      <c r="R523" s="210"/>
      <c r="S523" s="210"/>
      <c r="T523" s="264"/>
      <c r="U523" s="3"/>
      <c r="V523" s="3"/>
      <c r="W523" s="210"/>
      <c r="X523" s="210"/>
      <c r="Y523" s="264"/>
      <c r="Z523" s="3"/>
      <c r="AA523" s="210"/>
      <c r="AB523" s="210"/>
      <c r="AC523" s="210"/>
    </row>
    <row r="524" spans="1:29" s="5" customFormat="1" x14ac:dyDescent="0.25">
      <c r="A524" s="20"/>
      <c r="C524" s="253"/>
      <c r="D524" s="2"/>
      <c r="E524" s="2"/>
      <c r="F524" s="2"/>
      <c r="G524" s="2"/>
      <c r="H524" s="2"/>
      <c r="I524" s="2"/>
      <c r="J524" s="2"/>
      <c r="K524" s="1"/>
      <c r="L524" s="1"/>
      <c r="M524" s="210"/>
      <c r="N524" s="210"/>
      <c r="O524" s="264"/>
      <c r="P524" s="3"/>
      <c r="Q524" s="3"/>
      <c r="R524" s="210"/>
      <c r="S524" s="210"/>
      <c r="T524" s="264"/>
      <c r="U524" s="3"/>
      <c r="V524" s="3"/>
      <c r="W524" s="210"/>
      <c r="X524" s="210"/>
      <c r="Y524" s="264"/>
      <c r="Z524" s="3"/>
      <c r="AA524" s="210"/>
      <c r="AB524" s="210"/>
      <c r="AC524" s="210"/>
    </row>
    <row r="525" spans="1:29" s="5" customFormat="1" x14ac:dyDescent="0.25">
      <c r="A525" s="20"/>
      <c r="C525" s="253"/>
      <c r="D525" s="2"/>
      <c r="E525" s="2"/>
      <c r="F525" s="2"/>
      <c r="G525" s="2"/>
      <c r="H525" s="2"/>
      <c r="I525" s="2"/>
      <c r="J525" s="2"/>
      <c r="K525" s="1"/>
      <c r="L525" s="1"/>
      <c r="M525" s="210"/>
      <c r="N525" s="210"/>
      <c r="O525" s="264"/>
      <c r="P525" s="3"/>
      <c r="Q525" s="3"/>
      <c r="R525" s="210"/>
      <c r="S525" s="210"/>
      <c r="T525" s="264"/>
      <c r="U525" s="3"/>
      <c r="V525" s="3"/>
      <c r="W525" s="210"/>
      <c r="X525" s="210"/>
      <c r="Y525" s="264"/>
      <c r="Z525" s="3"/>
      <c r="AA525" s="210"/>
      <c r="AB525" s="210"/>
      <c r="AC525" s="210"/>
    </row>
    <row r="526" spans="1:29" s="5" customFormat="1" x14ac:dyDescent="0.25">
      <c r="A526" s="20"/>
      <c r="C526" s="253"/>
      <c r="D526" s="2"/>
      <c r="E526" s="2"/>
      <c r="F526" s="2"/>
      <c r="G526" s="2"/>
      <c r="H526" s="2"/>
      <c r="I526" s="2"/>
      <c r="J526" s="2"/>
      <c r="K526" s="1"/>
      <c r="L526" s="1"/>
      <c r="M526" s="210"/>
      <c r="N526" s="210"/>
      <c r="O526" s="264"/>
      <c r="P526" s="3"/>
      <c r="Q526" s="3"/>
      <c r="R526" s="210"/>
      <c r="S526" s="210"/>
      <c r="T526" s="264"/>
      <c r="U526" s="3"/>
      <c r="V526" s="3"/>
      <c r="W526" s="210"/>
      <c r="X526" s="210"/>
      <c r="Y526" s="264"/>
      <c r="Z526" s="3"/>
      <c r="AA526" s="210"/>
      <c r="AB526" s="210"/>
      <c r="AC526" s="210"/>
    </row>
    <row r="527" spans="1:29" s="5" customFormat="1" x14ac:dyDescent="0.25">
      <c r="A527" s="20"/>
      <c r="C527" s="253"/>
      <c r="D527" s="2"/>
      <c r="E527" s="2"/>
      <c r="F527" s="2"/>
      <c r="G527" s="2"/>
      <c r="H527" s="2"/>
      <c r="I527" s="2"/>
      <c r="J527" s="2"/>
      <c r="K527" s="1"/>
      <c r="L527" s="1"/>
      <c r="M527" s="210"/>
      <c r="N527" s="210"/>
      <c r="O527" s="264"/>
      <c r="P527" s="3"/>
      <c r="Q527" s="3"/>
      <c r="R527" s="210"/>
      <c r="S527" s="210"/>
      <c r="T527" s="264"/>
      <c r="U527" s="3"/>
      <c r="V527" s="3"/>
      <c r="W527" s="210"/>
      <c r="X527" s="210"/>
      <c r="Y527" s="264"/>
      <c r="Z527" s="3"/>
      <c r="AA527" s="210"/>
      <c r="AB527" s="210"/>
      <c r="AC527" s="210"/>
    </row>
    <row r="528" spans="1:29" s="5" customFormat="1" x14ac:dyDescent="0.25">
      <c r="A528" s="20"/>
      <c r="C528" s="253"/>
      <c r="D528" s="2"/>
      <c r="E528" s="2"/>
      <c r="F528" s="2"/>
      <c r="G528" s="2"/>
      <c r="H528" s="2"/>
      <c r="I528" s="2"/>
      <c r="J528" s="2"/>
      <c r="K528" s="1"/>
      <c r="L528" s="1"/>
      <c r="M528" s="210"/>
      <c r="N528" s="210"/>
      <c r="O528" s="264"/>
      <c r="P528" s="3"/>
      <c r="Q528" s="3"/>
      <c r="R528" s="210"/>
      <c r="S528" s="210"/>
      <c r="T528" s="264"/>
      <c r="U528" s="3"/>
      <c r="V528" s="3"/>
      <c r="W528" s="210"/>
      <c r="X528" s="210"/>
      <c r="Y528" s="264"/>
      <c r="Z528" s="3"/>
      <c r="AA528" s="210"/>
      <c r="AB528" s="210"/>
      <c r="AC528" s="210"/>
    </row>
    <row r="529" spans="1:29" s="5" customFormat="1" x14ac:dyDescent="0.25">
      <c r="A529" s="20"/>
      <c r="C529" s="253"/>
      <c r="D529" s="2"/>
      <c r="E529" s="2"/>
      <c r="F529" s="2"/>
      <c r="G529" s="2"/>
      <c r="H529" s="2"/>
      <c r="I529" s="2"/>
      <c r="J529" s="2"/>
      <c r="K529" s="1"/>
      <c r="L529" s="1"/>
      <c r="M529" s="210"/>
      <c r="N529" s="210"/>
      <c r="O529" s="264"/>
      <c r="P529" s="3"/>
      <c r="Q529" s="3"/>
      <c r="R529" s="210"/>
      <c r="S529" s="210"/>
      <c r="T529" s="264"/>
      <c r="U529" s="3"/>
      <c r="V529" s="3"/>
      <c r="W529" s="210"/>
      <c r="X529" s="210"/>
      <c r="Y529" s="264"/>
      <c r="Z529" s="3"/>
      <c r="AA529" s="210"/>
      <c r="AB529" s="210"/>
      <c r="AC529" s="210"/>
    </row>
    <row r="530" spans="1:29" s="5" customFormat="1" x14ac:dyDescent="0.25">
      <c r="A530" s="20"/>
      <c r="C530" s="253"/>
      <c r="D530" s="2"/>
      <c r="E530" s="2"/>
      <c r="F530" s="2"/>
      <c r="G530" s="2"/>
      <c r="H530" s="2"/>
      <c r="I530" s="2"/>
      <c r="J530" s="2"/>
      <c r="K530" s="1"/>
      <c r="L530" s="1"/>
      <c r="M530" s="210"/>
      <c r="N530" s="210"/>
      <c r="O530" s="264"/>
      <c r="P530" s="3"/>
      <c r="Q530" s="3"/>
      <c r="R530" s="210"/>
      <c r="S530" s="210"/>
      <c r="T530" s="264"/>
      <c r="U530" s="3"/>
      <c r="V530" s="3"/>
      <c r="W530" s="210"/>
      <c r="X530" s="210"/>
      <c r="Y530" s="264"/>
      <c r="Z530" s="3"/>
      <c r="AA530" s="210"/>
      <c r="AB530" s="210"/>
      <c r="AC530" s="210"/>
    </row>
    <row r="531" spans="1:29" s="5" customFormat="1" x14ac:dyDescent="0.25">
      <c r="A531" s="20"/>
      <c r="C531" s="253"/>
      <c r="D531" s="2"/>
      <c r="E531" s="2"/>
      <c r="F531" s="2"/>
      <c r="G531" s="2"/>
      <c r="H531" s="2"/>
      <c r="I531" s="2"/>
      <c r="J531" s="2"/>
      <c r="K531" s="1"/>
      <c r="L531" s="1"/>
      <c r="M531" s="210"/>
      <c r="N531" s="210"/>
      <c r="O531" s="264"/>
      <c r="P531" s="3"/>
      <c r="Q531" s="3"/>
      <c r="R531" s="210"/>
      <c r="S531" s="210"/>
      <c r="T531" s="264"/>
      <c r="U531" s="3"/>
      <c r="V531" s="3"/>
      <c r="W531" s="210"/>
      <c r="X531" s="210"/>
      <c r="Y531" s="264"/>
      <c r="Z531" s="3"/>
      <c r="AA531" s="210"/>
      <c r="AB531" s="210"/>
      <c r="AC531" s="210"/>
    </row>
    <row r="532" spans="1:29" s="5" customFormat="1" x14ac:dyDescent="0.25">
      <c r="A532" s="20"/>
      <c r="C532" s="253"/>
      <c r="D532" s="2"/>
      <c r="E532" s="2"/>
      <c r="F532" s="2"/>
      <c r="G532" s="2"/>
      <c r="H532" s="2"/>
      <c r="I532" s="2"/>
      <c r="J532" s="2"/>
      <c r="K532" s="1"/>
      <c r="L532" s="1"/>
      <c r="M532" s="210"/>
      <c r="N532" s="210"/>
      <c r="O532" s="264"/>
      <c r="P532" s="3"/>
      <c r="Q532" s="3"/>
      <c r="R532" s="210"/>
      <c r="S532" s="210"/>
      <c r="T532" s="264"/>
      <c r="U532" s="3"/>
      <c r="V532" s="3"/>
      <c r="W532" s="210"/>
      <c r="X532" s="210"/>
      <c r="Y532" s="264"/>
      <c r="Z532" s="3"/>
      <c r="AA532" s="210"/>
      <c r="AB532" s="210"/>
      <c r="AC532" s="210"/>
    </row>
    <row r="533" spans="1:29" s="5" customFormat="1" x14ac:dyDescent="0.25">
      <c r="A533" s="20"/>
      <c r="C533" s="253"/>
      <c r="D533" s="2"/>
      <c r="E533" s="2"/>
      <c r="F533" s="2"/>
      <c r="G533" s="2"/>
      <c r="H533" s="2"/>
      <c r="I533" s="2"/>
      <c r="J533" s="2"/>
      <c r="K533" s="1"/>
      <c r="L533" s="1"/>
      <c r="M533" s="210"/>
      <c r="N533" s="210"/>
      <c r="O533" s="264"/>
      <c r="P533" s="3"/>
      <c r="Q533" s="3"/>
      <c r="R533" s="210"/>
      <c r="S533" s="210"/>
      <c r="T533" s="264"/>
      <c r="U533" s="3"/>
      <c r="V533" s="3"/>
      <c r="W533" s="210"/>
      <c r="X533" s="210"/>
      <c r="Y533" s="264"/>
      <c r="Z533" s="3"/>
      <c r="AA533" s="210"/>
      <c r="AB533" s="210"/>
      <c r="AC533" s="210"/>
    </row>
    <row r="534" spans="1:29" s="5" customFormat="1" x14ac:dyDescent="0.25">
      <c r="A534" s="20"/>
      <c r="C534" s="253"/>
      <c r="D534" s="2"/>
      <c r="E534" s="2"/>
      <c r="F534" s="2"/>
      <c r="G534" s="2"/>
      <c r="H534" s="2"/>
      <c r="I534" s="2"/>
      <c r="J534" s="2"/>
      <c r="K534" s="1"/>
      <c r="L534" s="1"/>
      <c r="M534" s="210"/>
      <c r="N534" s="210"/>
      <c r="O534" s="264"/>
      <c r="P534" s="3"/>
      <c r="Q534" s="3"/>
      <c r="R534" s="210"/>
      <c r="S534" s="210"/>
      <c r="T534" s="264"/>
      <c r="U534" s="3"/>
      <c r="V534" s="3"/>
      <c r="W534" s="210"/>
      <c r="X534" s="210"/>
      <c r="Y534" s="264"/>
      <c r="Z534" s="3"/>
      <c r="AA534" s="210"/>
      <c r="AB534" s="210"/>
      <c r="AC534" s="210"/>
    </row>
    <row r="535" spans="1:29" s="5" customFormat="1" x14ac:dyDescent="0.25">
      <c r="A535" s="20"/>
      <c r="C535" s="253"/>
      <c r="D535" s="2"/>
      <c r="E535" s="2"/>
      <c r="F535" s="2"/>
      <c r="G535" s="2"/>
      <c r="H535" s="2"/>
      <c r="I535" s="2"/>
      <c r="J535" s="2"/>
      <c r="K535" s="1"/>
      <c r="L535" s="1"/>
      <c r="M535" s="210"/>
      <c r="N535" s="210"/>
      <c r="O535" s="264"/>
      <c r="P535" s="3"/>
      <c r="Q535" s="3"/>
      <c r="R535" s="210"/>
      <c r="S535" s="210"/>
      <c r="T535" s="264"/>
      <c r="U535" s="3"/>
      <c r="V535" s="3"/>
      <c r="W535" s="210"/>
      <c r="X535" s="210"/>
      <c r="Y535" s="264"/>
      <c r="Z535" s="3"/>
      <c r="AA535" s="210"/>
      <c r="AB535" s="210"/>
      <c r="AC535" s="210"/>
    </row>
    <row r="536" spans="1:29" s="5" customFormat="1" x14ac:dyDescent="0.25">
      <c r="A536" s="20"/>
      <c r="C536" s="253"/>
      <c r="D536" s="2"/>
      <c r="E536" s="2"/>
      <c r="F536" s="2"/>
      <c r="G536" s="2"/>
      <c r="H536" s="2"/>
      <c r="I536" s="2"/>
      <c r="J536" s="2"/>
      <c r="K536" s="1"/>
      <c r="L536" s="1"/>
      <c r="M536" s="210"/>
      <c r="N536" s="210"/>
      <c r="O536" s="264"/>
      <c r="P536" s="3"/>
      <c r="Q536" s="3"/>
      <c r="R536" s="210"/>
      <c r="S536" s="210"/>
      <c r="T536" s="264"/>
      <c r="U536" s="3"/>
      <c r="V536" s="3"/>
      <c r="W536" s="210"/>
      <c r="X536" s="210"/>
      <c r="Y536" s="264"/>
      <c r="Z536" s="3"/>
      <c r="AA536" s="210"/>
      <c r="AB536" s="210"/>
      <c r="AC536" s="210"/>
    </row>
    <row r="537" spans="1:29" s="5" customFormat="1" x14ac:dyDescent="0.25">
      <c r="A537" s="20"/>
      <c r="C537" s="253"/>
      <c r="D537" s="2"/>
      <c r="E537" s="2"/>
      <c r="F537" s="2"/>
      <c r="G537" s="2"/>
      <c r="H537" s="2"/>
      <c r="I537" s="2"/>
      <c r="J537" s="2"/>
      <c r="K537" s="1"/>
      <c r="L537" s="1"/>
      <c r="M537" s="210"/>
      <c r="N537" s="210"/>
      <c r="O537" s="264"/>
      <c r="P537" s="3"/>
      <c r="Q537" s="3"/>
      <c r="R537" s="210"/>
      <c r="S537" s="210"/>
      <c r="T537" s="264"/>
      <c r="U537" s="3"/>
      <c r="V537" s="3"/>
      <c r="W537" s="210"/>
      <c r="X537" s="210"/>
      <c r="Y537" s="264"/>
      <c r="Z537" s="3"/>
      <c r="AA537" s="210"/>
      <c r="AB537" s="210"/>
      <c r="AC537" s="210"/>
    </row>
  </sheetData>
  <mergeCells count="23">
    <mergeCell ref="Z2:AC2"/>
    <mergeCell ref="Z1:AC1"/>
    <mergeCell ref="T5:X5"/>
    <mergeCell ref="B4:B6"/>
    <mergeCell ref="O5:S5"/>
    <mergeCell ref="E5:I5"/>
    <mergeCell ref="Y5:AC5"/>
    <mergeCell ref="C4:C6"/>
    <mergeCell ref="A3:AC3"/>
    <mergeCell ref="J5:N5"/>
    <mergeCell ref="A495:AC495"/>
    <mergeCell ref="A246:AC246"/>
    <mergeCell ref="A99:AC99"/>
    <mergeCell ref="E4:AC4"/>
    <mergeCell ref="A46:AC46"/>
    <mergeCell ref="A8:AC8"/>
    <mergeCell ref="A60:AC60"/>
    <mergeCell ref="A79:AC79"/>
    <mergeCell ref="D4:D6"/>
    <mergeCell ref="A4:A6"/>
    <mergeCell ref="A242:AC242"/>
    <mergeCell ref="A90:AC90"/>
    <mergeCell ref="A213:AC213"/>
  </mergeCells>
  <phoneticPr fontId="1" type="noConversion"/>
  <printOptions horizontalCentered="1"/>
  <pageMargins left="0.19685039370078741" right="0.19685039370078741" top="0.59055118110236227" bottom="0.39370078740157483" header="0.19685039370078741" footer="0.19685039370078741"/>
  <pageSetup paperSize="9" scale="47" fitToHeight="0" orientation="landscape" r:id="rId1"/>
  <headerFooter alignWithMargins="0"/>
  <rowBreaks count="9" manualBreakCount="9">
    <brk id="28" max="28" man="1"/>
    <brk id="43" max="28" man="1"/>
    <brk id="54" max="28" man="1"/>
    <brk id="73" max="28" man="1"/>
    <brk id="84" max="28" man="1"/>
    <brk id="97" max="28" man="1"/>
    <brk id="184" max="28" man="1"/>
    <brk id="202" max="28" man="1"/>
    <brk id="223" max="2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D189"/>
  <sheetViews>
    <sheetView view="pageBreakPreview" topLeftCell="A56" zoomScale="50" zoomScaleSheetLayoutView="50" workbookViewId="0">
      <selection activeCell="B64" sqref="B64"/>
    </sheetView>
  </sheetViews>
  <sheetFormatPr defaultColWidth="9.109375" defaultRowHeight="42" customHeight="1" outlineLevelRow="1" x14ac:dyDescent="0.25"/>
  <cols>
    <col min="1" max="1" width="6.44140625" style="5" customWidth="1"/>
    <col min="2" max="2" width="21.5546875" style="57" customWidth="1"/>
    <col min="3" max="3" width="18.33203125" style="58" customWidth="1"/>
    <col min="4" max="4" width="10.33203125" style="5" customWidth="1"/>
    <col min="5" max="5" width="14.33203125" style="1" customWidth="1"/>
    <col min="6" max="6" width="12.88671875" style="5" customWidth="1"/>
    <col min="7" max="7" width="13.88671875" style="5" customWidth="1"/>
    <col min="8" max="8" width="13.5546875" style="5" customWidth="1"/>
    <col min="9" max="9" width="9.88671875" style="5" customWidth="1"/>
    <col min="10" max="10" width="14.88671875" style="1" customWidth="1"/>
    <col min="11" max="11" width="12.109375" style="5" customWidth="1"/>
    <col min="12" max="12" width="13" style="5" customWidth="1"/>
    <col min="13" max="13" width="10.6640625" style="5" customWidth="1"/>
    <col min="14" max="14" width="9.88671875" style="5" customWidth="1"/>
    <col min="15" max="15" width="13.88671875" style="1" customWidth="1"/>
    <col min="16" max="16" width="11.88671875" style="5" customWidth="1"/>
    <col min="17" max="17" width="13.6640625" style="5" customWidth="1"/>
    <col min="18" max="18" width="8.6640625" style="5" customWidth="1"/>
    <col min="19" max="19" width="9.44140625" style="5" customWidth="1"/>
    <col min="20" max="20" width="14.44140625" style="1" customWidth="1"/>
    <col min="21" max="21" width="14.44140625" style="5" customWidth="1"/>
    <col min="22" max="22" width="16" style="5" customWidth="1"/>
    <col min="23" max="23" width="8.5546875" style="5" customWidth="1"/>
    <col min="24" max="24" width="9.33203125" style="5" customWidth="1"/>
    <col min="25" max="25" width="13.88671875" style="1" customWidth="1"/>
    <col min="26" max="26" width="13" style="5" customWidth="1"/>
    <col min="27" max="27" width="13.88671875" style="5" customWidth="1"/>
    <col min="28" max="28" width="8.44140625" style="5" customWidth="1"/>
    <col min="29" max="29" width="8.6640625" style="5" customWidth="1"/>
    <col min="30" max="30" width="15.6640625" style="116" customWidth="1"/>
    <col min="31" max="31" width="16.33203125" style="359" bestFit="1" customWidth="1"/>
    <col min="32" max="32" width="14.6640625" style="191" customWidth="1"/>
    <col min="33" max="33" width="16.33203125" style="191" customWidth="1"/>
    <col min="34" max="34" width="9.33203125" style="191" bestFit="1" customWidth="1"/>
    <col min="35" max="16384" width="9.109375" style="35"/>
  </cols>
  <sheetData>
    <row r="1" spans="1:34" s="44" customFormat="1" ht="82.95" customHeight="1" x14ac:dyDescent="0.3">
      <c r="A1" s="48"/>
      <c r="B1" s="59"/>
      <c r="C1" s="60"/>
      <c r="D1" s="61"/>
      <c r="E1" s="62"/>
      <c r="F1" s="63"/>
      <c r="G1" s="63"/>
      <c r="H1" s="63"/>
      <c r="I1" s="63"/>
      <c r="J1" s="354"/>
      <c r="K1" s="355"/>
      <c r="L1" s="355"/>
      <c r="M1" s="355"/>
      <c r="N1" s="355"/>
      <c r="O1" s="46"/>
      <c r="P1" s="46"/>
      <c r="Q1" s="64"/>
      <c r="R1" s="46"/>
      <c r="S1" s="46"/>
      <c r="T1" s="46"/>
      <c r="U1" s="46"/>
      <c r="V1" s="46"/>
      <c r="W1" s="46"/>
      <c r="X1" s="46"/>
      <c r="Y1" s="47"/>
      <c r="Z1" s="46"/>
      <c r="AA1" s="442" t="s">
        <v>1290</v>
      </c>
      <c r="AB1" s="442"/>
      <c r="AC1" s="442"/>
      <c r="AD1" s="442"/>
      <c r="AE1" s="360"/>
      <c r="AF1" s="63"/>
      <c r="AG1" s="63"/>
      <c r="AH1" s="63"/>
    </row>
    <row r="2" spans="1:34" s="44" customFormat="1" ht="120" customHeight="1" x14ac:dyDescent="0.3">
      <c r="A2" s="48"/>
      <c r="B2" s="59"/>
      <c r="C2" s="60"/>
      <c r="D2" s="61"/>
      <c r="E2" s="62"/>
      <c r="F2" s="63"/>
      <c r="G2" s="63"/>
      <c r="H2" s="63"/>
      <c r="I2" s="63"/>
      <c r="J2" s="354"/>
      <c r="K2" s="355"/>
      <c r="L2" s="355"/>
      <c r="M2" s="355"/>
      <c r="N2" s="355"/>
      <c r="O2" s="46"/>
      <c r="P2" s="46"/>
      <c r="Q2" s="64"/>
      <c r="R2" s="46"/>
      <c r="S2" s="46"/>
      <c r="T2" s="46"/>
      <c r="U2" s="46"/>
      <c r="V2" s="46"/>
      <c r="W2" s="46"/>
      <c r="X2" s="46"/>
      <c r="Y2" s="47"/>
      <c r="Z2" s="46"/>
      <c r="AA2" s="443" t="s">
        <v>839</v>
      </c>
      <c r="AB2" s="443"/>
      <c r="AC2" s="443"/>
      <c r="AD2" s="443"/>
      <c r="AE2" s="360"/>
      <c r="AF2" s="63"/>
      <c r="AG2" s="63"/>
      <c r="AH2" s="63"/>
    </row>
    <row r="3" spans="1:34" ht="42" customHeight="1" x14ac:dyDescent="0.4">
      <c r="A3" s="10"/>
      <c r="B3" s="488" t="s">
        <v>1248</v>
      </c>
      <c r="C3" s="488"/>
      <c r="D3" s="488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89"/>
      <c r="V3" s="489"/>
      <c r="W3" s="489"/>
      <c r="X3" s="489"/>
      <c r="Y3" s="489"/>
      <c r="Z3" s="489"/>
      <c r="AA3" s="489"/>
      <c r="AB3" s="489"/>
      <c r="AC3" s="489"/>
      <c r="AD3" s="489"/>
    </row>
    <row r="4" spans="1:34" ht="42" customHeight="1" x14ac:dyDescent="0.25">
      <c r="A4" s="433" t="s">
        <v>215</v>
      </c>
      <c r="B4" s="496" t="s">
        <v>214</v>
      </c>
      <c r="C4" s="496" t="s">
        <v>213</v>
      </c>
      <c r="D4" s="496" t="s">
        <v>231</v>
      </c>
      <c r="E4" s="499" t="s">
        <v>212</v>
      </c>
      <c r="F4" s="499"/>
      <c r="G4" s="499"/>
      <c r="H4" s="499"/>
      <c r="I4" s="499"/>
      <c r="J4" s="500"/>
      <c r="K4" s="500"/>
      <c r="L4" s="500"/>
      <c r="M4" s="500"/>
      <c r="N4" s="500"/>
      <c r="O4" s="500"/>
      <c r="P4" s="500"/>
      <c r="Q4" s="500"/>
      <c r="R4" s="500"/>
      <c r="S4" s="500"/>
      <c r="T4" s="500"/>
      <c r="U4" s="500"/>
      <c r="V4" s="500"/>
      <c r="W4" s="500"/>
      <c r="X4" s="500"/>
      <c r="Y4" s="500"/>
      <c r="Z4" s="500"/>
      <c r="AA4" s="500"/>
      <c r="AB4" s="500"/>
      <c r="AC4" s="500"/>
      <c r="AD4" s="438" t="s">
        <v>211</v>
      </c>
    </row>
    <row r="5" spans="1:34" ht="42" customHeight="1" x14ac:dyDescent="0.25">
      <c r="A5" s="433"/>
      <c r="B5" s="497"/>
      <c r="C5" s="496"/>
      <c r="D5" s="498"/>
      <c r="E5" s="472" t="s">
        <v>210</v>
      </c>
      <c r="F5" s="472"/>
      <c r="G5" s="472"/>
      <c r="H5" s="472"/>
      <c r="I5" s="472"/>
      <c r="J5" s="472" t="s">
        <v>209</v>
      </c>
      <c r="K5" s="472"/>
      <c r="L5" s="472"/>
      <c r="M5" s="472"/>
      <c r="N5" s="472"/>
      <c r="O5" s="472" t="s">
        <v>208</v>
      </c>
      <c r="P5" s="472"/>
      <c r="Q5" s="472"/>
      <c r="R5" s="472"/>
      <c r="S5" s="472"/>
      <c r="T5" s="472" t="s">
        <v>207</v>
      </c>
      <c r="U5" s="472"/>
      <c r="V5" s="472"/>
      <c r="W5" s="472"/>
      <c r="X5" s="472"/>
      <c r="Y5" s="472" t="s">
        <v>206</v>
      </c>
      <c r="Z5" s="472"/>
      <c r="AA5" s="472"/>
      <c r="AB5" s="472"/>
      <c r="AC5" s="472"/>
      <c r="AD5" s="438"/>
    </row>
    <row r="6" spans="1:34" ht="57.6" customHeight="1" x14ac:dyDescent="0.25">
      <c r="A6" s="433"/>
      <c r="B6" s="497"/>
      <c r="C6" s="496"/>
      <c r="D6" s="498"/>
      <c r="E6" s="49" t="s">
        <v>205</v>
      </c>
      <c r="F6" s="213" t="s">
        <v>707</v>
      </c>
      <c r="G6" s="213" t="s">
        <v>708</v>
      </c>
      <c r="H6" s="213" t="s">
        <v>217</v>
      </c>
      <c r="I6" s="213" t="s">
        <v>216</v>
      </c>
      <c r="J6" s="49" t="s">
        <v>205</v>
      </c>
      <c r="K6" s="213" t="s">
        <v>707</v>
      </c>
      <c r="L6" s="213" t="s">
        <v>708</v>
      </c>
      <c r="M6" s="213" t="s">
        <v>217</v>
      </c>
      <c r="N6" s="213" t="s">
        <v>216</v>
      </c>
      <c r="O6" s="49" t="s">
        <v>205</v>
      </c>
      <c r="P6" s="213" t="s">
        <v>707</v>
      </c>
      <c r="Q6" s="213" t="s">
        <v>708</v>
      </c>
      <c r="R6" s="213" t="s">
        <v>217</v>
      </c>
      <c r="S6" s="213" t="s">
        <v>216</v>
      </c>
      <c r="T6" s="49" t="s">
        <v>205</v>
      </c>
      <c r="U6" s="213" t="s">
        <v>707</v>
      </c>
      <c r="V6" s="213" t="s">
        <v>708</v>
      </c>
      <c r="W6" s="213" t="s">
        <v>217</v>
      </c>
      <c r="X6" s="213" t="s">
        <v>216</v>
      </c>
      <c r="Y6" s="49" t="s">
        <v>205</v>
      </c>
      <c r="Z6" s="213" t="s">
        <v>707</v>
      </c>
      <c r="AA6" s="213" t="s">
        <v>708</v>
      </c>
      <c r="AB6" s="213" t="s">
        <v>217</v>
      </c>
      <c r="AC6" s="213" t="s">
        <v>216</v>
      </c>
      <c r="AD6" s="438"/>
      <c r="AE6" s="213" t="s">
        <v>204</v>
      </c>
      <c r="AF6" s="213" t="s">
        <v>203</v>
      </c>
      <c r="AG6" s="213" t="s">
        <v>217</v>
      </c>
      <c r="AH6" s="213" t="s">
        <v>216</v>
      </c>
    </row>
    <row r="7" spans="1:34" s="43" customFormat="1" ht="25.2" customHeight="1" x14ac:dyDescent="0.3">
      <c r="A7" s="84">
        <v>1</v>
      </c>
      <c r="B7" s="84">
        <v>2</v>
      </c>
      <c r="C7" s="84">
        <v>3</v>
      </c>
      <c r="D7" s="84">
        <v>4</v>
      </c>
      <c r="E7" s="84">
        <v>5</v>
      </c>
      <c r="F7" s="84">
        <v>6</v>
      </c>
      <c r="G7" s="84">
        <v>7</v>
      </c>
      <c r="H7" s="84">
        <v>8</v>
      </c>
      <c r="I7" s="84">
        <v>9</v>
      </c>
      <c r="J7" s="84">
        <v>10</v>
      </c>
      <c r="K7" s="84">
        <v>11</v>
      </c>
      <c r="L7" s="84">
        <v>12</v>
      </c>
      <c r="M7" s="84">
        <v>13</v>
      </c>
      <c r="N7" s="84">
        <v>14</v>
      </c>
      <c r="O7" s="84">
        <v>15</v>
      </c>
      <c r="P7" s="84">
        <v>16</v>
      </c>
      <c r="Q7" s="84">
        <v>17</v>
      </c>
      <c r="R7" s="84">
        <v>18</v>
      </c>
      <c r="S7" s="84">
        <v>19</v>
      </c>
      <c r="T7" s="84">
        <v>20</v>
      </c>
      <c r="U7" s="84">
        <v>21</v>
      </c>
      <c r="V7" s="84">
        <v>22</v>
      </c>
      <c r="W7" s="84">
        <v>23</v>
      </c>
      <c r="X7" s="84">
        <v>24</v>
      </c>
      <c r="Y7" s="84">
        <v>25</v>
      </c>
      <c r="Z7" s="84">
        <v>26</v>
      </c>
      <c r="AA7" s="84">
        <v>27</v>
      </c>
      <c r="AB7" s="84">
        <v>28</v>
      </c>
      <c r="AC7" s="84">
        <v>29</v>
      </c>
      <c r="AD7" s="84">
        <v>30</v>
      </c>
      <c r="AE7" s="361"/>
      <c r="AF7" s="362"/>
      <c r="AG7" s="362"/>
      <c r="AH7" s="362"/>
    </row>
    <row r="8" spans="1:34" s="43" customFormat="1" ht="33" customHeight="1" x14ac:dyDescent="0.3">
      <c r="A8" s="501" t="s">
        <v>232</v>
      </c>
      <c r="B8" s="501"/>
      <c r="C8" s="501"/>
      <c r="D8" s="501"/>
      <c r="E8" s="501"/>
      <c r="F8" s="501"/>
      <c r="G8" s="501"/>
      <c r="H8" s="501"/>
      <c r="I8" s="501"/>
      <c r="J8" s="501"/>
      <c r="K8" s="501"/>
      <c r="L8" s="501"/>
      <c r="M8" s="501"/>
      <c r="N8" s="501"/>
      <c r="O8" s="501"/>
      <c r="P8" s="501"/>
      <c r="Q8" s="501"/>
      <c r="R8" s="501"/>
      <c r="S8" s="501"/>
      <c r="T8" s="501"/>
      <c r="U8" s="501"/>
      <c r="V8" s="501"/>
      <c r="W8" s="501"/>
      <c r="X8" s="501"/>
      <c r="Y8" s="501"/>
      <c r="Z8" s="501"/>
      <c r="AA8" s="501"/>
      <c r="AB8" s="501"/>
      <c r="AC8" s="501"/>
      <c r="AD8" s="501"/>
      <c r="AE8" s="361"/>
      <c r="AF8" s="362"/>
      <c r="AG8" s="362"/>
      <c r="AH8" s="362"/>
    </row>
    <row r="9" spans="1:34" s="55" customFormat="1" ht="34.950000000000003" customHeight="1" x14ac:dyDescent="0.3">
      <c r="A9" s="502" t="s">
        <v>200</v>
      </c>
      <c r="B9" s="502"/>
      <c r="C9" s="502"/>
      <c r="D9" s="502"/>
      <c r="E9" s="502"/>
      <c r="F9" s="502"/>
      <c r="G9" s="502"/>
      <c r="H9" s="502"/>
      <c r="I9" s="502"/>
      <c r="J9" s="502"/>
      <c r="K9" s="502"/>
      <c r="L9" s="502"/>
      <c r="M9" s="502"/>
      <c r="N9" s="502"/>
      <c r="O9" s="502"/>
      <c r="P9" s="502"/>
      <c r="Q9" s="502"/>
      <c r="R9" s="502"/>
      <c r="S9" s="502"/>
      <c r="T9" s="502"/>
      <c r="U9" s="502"/>
      <c r="V9" s="502"/>
      <c r="W9" s="502"/>
      <c r="X9" s="502"/>
      <c r="Y9" s="502"/>
      <c r="Z9" s="502"/>
      <c r="AA9" s="502"/>
      <c r="AB9" s="502"/>
      <c r="AC9" s="502"/>
      <c r="AD9" s="502"/>
      <c r="AE9" s="361"/>
      <c r="AF9" s="362"/>
      <c r="AG9" s="362"/>
      <c r="AH9" s="362"/>
    </row>
    <row r="10" spans="1:34" s="54" customFormat="1" ht="30" customHeight="1" x14ac:dyDescent="0.25">
      <c r="A10" s="484" t="s">
        <v>1247</v>
      </c>
      <c r="B10" s="485"/>
      <c r="C10" s="485"/>
      <c r="D10" s="485"/>
      <c r="E10" s="485"/>
      <c r="F10" s="485"/>
      <c r="G10" s="485"/>
      <c r="H10" s="485"/>
      <c r="I10" s="485"/>
      <c r="J10" s="485"/>
      <c r="K10" s="485"/>
      <c r="L10" s="485"/>
      <c r="M10" s="485"/>
      <c r="N10" s="485"/>
      <c r="O10" s="485"/>
      <c r="P10" s="485"/>
      <c r="Q10" s="485"/>
      <c r="R10" s="485"/>
      <c r="S10" s="485"/>
      <c r="T10" s="485"/>
      <c r="U10" s="485"/>
      <c r="V10" s="485"/>
      <c r="W10" s="485"/>
      <c r="X10" s="485"/>
      <c r="Y10" s="485"/>
      <c r="Z10" s="485"/>
      <c r="AA10" s="485"/>
      <c r="AB10" s="485"/>
      <c r="AC10" s="485"/>
      <c r="AD10" s="486"/>
      <c r="AE10" s="363"/>
      <c r="AF10" s="363"/>
      <c r="AG10" s="363"/>
      <c r="AH10" s="363"/>
    </row>
    <row r="11" spans="1:34" s="54" customFormat="1" ht="34.950000000000003" customHeight="1" outlineLevel="1" x14ac:dyDescent="0.25">
      <c r="A11" s="481" t="s">
        <v>199</v>
      </c>
      <c r="B11" s="482"/>
      <c r="C11" s="482"/>
      <c r="D11" s="482"/>
      <c r="E11" s="482"/>
      <c r="F11" s="482"/>
      <c r="G11" s="482"/>
      <c r="H11" s="482"/>
      <c r="I11" s="482"/>
      <c r="J11" s="482"/>
      <c r="K11" s="482"/>
      <c r="L11" s="482"/>
      <c r="M11" s="482"/>
      <c r="N11" s="482"/>
      <c r="O11" s="482"/>
      <c r="P11" s="482"/>
      <c r="Q11" s="482"/>
      <c r="R11" s="482"/>
      <c r="S11" s="482"/>
      <c r="T11" s="482"/>
      <c r="U11" s="482"/>
      <c r="V11" s="482"/>
      <c r="W11" s="482"/>
      <c r="X11" s="482"/>
      <c r="Y11" s="482"/>
      <c r="Z11" s="482"/>
      <c r="AA11" s="482"/>
      <c r="AB11" s="482"/>
      <c r="AC11" s="482"/>
      <c r="AD11" s="483"/>
      <c r="AE11" s="363"/>
      <c r="AF11" s="363"/>
      <c r="AG11" s="363"/>
      <c r="AH11" s="363"/>
    </row>
    <row r="12" spans="1:34" s="54" customFormat="1" ht="31.2" customHeight="1" outlineLevel="1" x14ac:dyDescent="0.25">
      <c r="A12" s="469" t="s">
        <v>198</v>
      </c>
      <c r="B12" s="470"/>
      <c r="C12" s="470"/>
      <c r="D12" s="470"/>
      <c r="E12" s="470"/>
      <c r="F12" s="470"/>
      <c r="G12" s="470"/>
      <c r="H12" s="470"/>
      <c r="I12" s="470"/>
      <c r="J12" s="470"/>
      <c r="K12" s="470"/>
      <c r="L12" s="470"/>
      <c r="M12" s="470"/>
      <c r="N12" s="470"/>
      <c r="O12" s="470"/>
      <c r="P12" s="470"/>
      <c r="Q12" s="470"/>
      <c r="R12" s="470"/>
      <c r="S12" s="470"/>
      <c r="T12" s="470"/>
      <c r="U12" s="470"/>
      <c r="V12" s="470"/>
      <c r="W12" s="470"/>
      <c r="X12" s="470"/>
      <c r="Y12" s="470"/>
      <c r="Z12" s="470"/>
      <c r="AA12" s="470"/>
      <c r="AB12" s="470"/>
      <c r="AC12" s="470"/>
      <c r="AD12" s="471"/>
      <c r="AE12" s="363"/>
      <c r="AF12" s="363"/>
      <c r="AG12" s="363"/>
      <c r="AH12" s="363"/>
    </row>
    <row r="13" spans="1:34" s="58" customFormat="1" ht="88.2" customHeight="1" outlineLevel="1" x14ac:dyDescent="0.25">
      <c r="A13" s="357">
        <v>1</v>
      </c>
      <c r="B13" s="351" t="s">
        <v>995</v>
      </c>
      <c r="C13" s="213" t="s">
        <v>184</v>
      </c>
      <c r="D13" s="187" t="s">
        <v>975</v>
      </c>
      <c r="E13" s="188">
        <f>F13+G13+H13+I13</f>
        <v>69182</v>
      </c>
      <c r="F13" s="189">
        <v>69182</v>
      </c>
      <c r="G13" s="189">
        <v>0</v>
      </c>
      <c r="H13" s="189">
        <v>0</v>
      </c>
      <c r="I13" s="189">
        <v>0</v>
      </c>
      <c r="J13" s="188">
        <f>K13+L13+M13+N13</f>
        <v>30758</v>
      </c>
      <c r="K13" s="189">
        <v>30758</v>
      </c>
      <c r="L13" s="189">
        <v>0</v>
      </c>
      <c r="M13" s="189">
        <v>0</v>
      </c>
      <c r="N13" s="189">
        <v>0</v>
      </c>
      <c r="O13" s="188">
        <f>P13</f>
        <v>30758</v>
      </c>
      <c r="P13" s="189">
        <v>30758</v>
      </c>
      <c r="Q13" s="189">
        <v>0</v>
      </c>
      <c r="R13" s="189">
        <v>0</v>
      </c>
      <c r="S13" s="189">
        <v>0</v>
      </c>
      <c r="T13" s="189">
        <v>0</v>
      </c>
      <c r="U13" s="189">
        <v>0</v>
      </c>
      <c r="V13" s="189">
        <v>0</v>
      </c>
      <c r="W13" s="189">
        <v>0</v>
      </c>
      <c r="X13" s="189">
        <v>0</v>
      </c>
      <c r="Y13" s="189">
        <v>0</v>
      </c>
      <c r="Z13" s="189">
        <v>0</v>
      </c>
      <c r="AA13" s="189">
        <v>0</v>
      </c>
      <c r="AB13" s="189">
        <v>0</v>
      </c>
      <c r="AC13" s="189">
        <v>0</v>
      </c>
      <c r="AD13" s="188">
        <f t="shared" ref="AD13:AD17" si="0">E13+J13+O13+T13+Y13</f>
        <v>130698</v>
      </c>
    </row>
    <row r="14" spans="1:34" s="5" customFormat="1" ht="99" customHeight="1" outlineLevel="1" x14ac:dyDescent="0.25">
      <c r="A14" s="357">
        <v>2</v>
      </c>
      <c r="B14" s="351" t="s">
        <v>196</v>
      </c>
      <c r="C14" s="213" t="s">
        <v>184</v>
      </c>
      <c r="D14" s="190" t="s">
        <v>975</v>
      </c>
      <c r="E14" s="188">
        <f>F14+G14+H14+I14</f>
        <v>1340</v>
      </c>
      <c r="F14" s="189">
        <v>1340</v>
      </c>
      <c r="G14" s="189">
        <v>0</v>
      </c>
      <c r="H14" s="189">
        <v>0</v>
      </c>
      <c r="I14" s="189">
        <v>0</v>
      </c>
      <c r="J14" s="188">
        <f>K14+L14+M14+N14</f>
        <v>1368</v>
      </c>
      <c r="K14" s="189">
        <v>1368</v>
      </c>
      <c r="L14" s="189">
        <v>0</v>
      </c>
      <c r="M14" s="189">
        <v>0</v>
      </c>
      <c r="N14" s="189">
        <v>0</v>
      </c>
      <c r="O14" s="188">
        <f>SUM(P14:S14)</f>
        <v>1368</v>
      </c>
      <c r="P14" s="189">
        <v>1368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89">
        <v>0</v>
      </c>
      <c r="AA14" s="189">
        <v>0</v>
      </c>
      <c r="AB14" s="189">
        <v>0</v>
      </c>
      <c r="AC14" s="189">
        <v>0</v>
      </c>
      <c r="AD14" s="188">
        <f t="shared" si="0"/>
        <v>4076</v>
      </c>
    </row>
    <row r="15" spans="1:34" s="5" customFormat="1" ht="94.95" customHeight="1" outlineLevel="1" x14ac:dyDescent="0.25">
      <c r="A15" s="357">
        <v>3</v>
      </c>
      <c r="B15" s="351" t="s">
        <v>1060</v>
      </c>
      <c r="C15" s="213" t="s">
        <v>195</v>
      </c>
      <c r="D15" s="407">
        <v>2021</v>
      </c>
      <c r="E15" s="188">
        <f>F15+G15+H15+I15</f>
        <v>1595</v>
      </c>
      <c r="F15" s="189">
        <v>1595</v>
      </c>
      <c r="G15" s="189">
        <v>0</v>
      </c>
      <c r="H15" s="189">
        <v>0</v>
      </c>
      <c r="I15" s="189">
        <v>0</v>
      </c>
      <c r="J15" s="189">
        <v>0</v>
      </c>
      <c r="K15" s="189">
        <v>0</v>
      </c>
      <c r="L15" s="189">
        <v>0</v>
      </c>
      <c r="M15" s="189">
        <v>0</v>
      </c>
      <c r="N15" s="189">
        <v>0</v>
      </c>
      <c r="O15" s="189">
        <v>0</v>
      </c>
      <c r="P15" s="189">
        <v>0</v>
      </c>
      <c r="Q15" s="189">
        <v>0</v>
      </c>
      <c r="R15" s="189">
        <v>0</v>
      </c>
      <c r="S15" s="189">
        <v>0</v>
      </c>
      <c r="T15" s="189">
        <v>0</v>
      </c>
      <c r="U15" s="189">
        <v>0</v>
      </c>
      <c r="V15" s="189">
        <v>0</v>
      </c>
      <c r="W15" s="189">
        <v>0</v>
      </c>
      <c r="X15" s="189">
        <v>0</v>
      </c>
      <c r="Y15" s="189">
        <v>0</v>
      </c>
      <c r="Z15" s="189">
        <v>0</v>
      </c>
      <c r="AA15" s="189">
        <v>0</v>
      </c>
      <c r="AB15" s="189">
        <v>0</v>
      </c>
      <c r="AC15" s="189">
        <v>0</v>
      </c>
      <c r="AD15" s="188">
        <f t="shared" si="0"/>
        <v>1595</v>
      </c>
    </row>
    <row r="16" spans="1:34" s="5" customFormat="1" ht="80.400000000000006" customHeight="1" outlineLevel="1" x14ac:dyDescent="0.25">
      <c r="A16" s="357">
        <v>4</v>
      </c>
      <c r="B16" s="351" t="s">
        <v>194</v>
      </c>
      <c r="C16" s="213" t="s">
        <v>184</v>
      </c>
      <c r="D16" s="190" t="s">
        <v>975</v>
      </c>
      <c r="E16" s="188">
        <f>F16+G16+H16+I16</f>
        <v>8654</v>
      </c>
      <c r="F16" s="189">
        <f>8654</f>
        <v>8654</v>
      </c>
      <c r="G16" s="189">
        <v>0</v>
      </c>
      <c r="H16" s="189">
        <v>0</v>
      </c>
      <c r="I16" s="189">
        <v>0</v>
      </c>
      <c r="J16" s="188">
        <f>K16+L16+M16+N16</f>
        <v>8219</v>
      </c>
      <c r="K16" s="189">
        <v>8219</v>
      </c>
      <c r="L16" s="189">
        <v>0</v>
      </c>
      <c r="M16" s="189">
        <v>0</v>
      </c>
      <c r="N16" s="189">
        <v>0</v>
      </c>
      <c r="O16" s="188">
        <f>P16</f>
        <v>8219</v>
      </c>
      <c r="P16" s="189">
        <v>8219</v>
      </c>
      <c r="Q16" s="189">
        <v>0</v>
      </c>
      <c r="R16" s="189">
        <v>0</v>
      </c>
      <c r="S16" s="189">
        <v>0</v>
      </c>
      <c r="T16" s="189">
        <v>0</v>
      </c>
      <c r="U16" s="189">
        <v>0</v>
      </c>
      <c r="V16" s="189">
        <v>0</v>
      </c>
      <c r="W16" s="189">
        <v>0</v>
      </c>
      <c r="X16" s="189">
        <v>0</v>
      </c>
      <c r="Y16" s="189">
        <v>0</v>
      </c>
      <c r="Z16" s="189">
        <v>0</v>
      </c>
      <c r="AA16" s="189">
        <v>0</v>
      </c>
      <c r="AB16" s="189">
        <v>0</v>
      </c>
      <c r="AC16" s="189">
        <v>0</v>
      </c>
      <c r="AD16" s="188">
        <f t="shared" si="0"/>
        <v>25092</v>
      </c>
    </row>
    <row r="17" spans="1:34" s="5" customFormat="1" ht="169.2" customHeight="1" outlineLevel="1" x14ac:dyDescent="0.25">
      <c r="A17" s="357">
        <v>5</v>
      </c>
      <c r="B17" s="351" t="s">
        <v>1294</v>
      </c>
      <c r="C17" s="213" t="s">
        <v>184</v>
      </c>
      <c r="D17" s="407">
        <v>2021</v>
      </c>
      <c r="E17" s="188">
        <f>F17+G17+H17+I17</f>
        <v>2268</v>
      </c>
      <c r="F17" s="189">
        <v>2268</v>
      </c>
      <c r="G17" s="189">
        <v>0</v>
      </c>
      <c r="H17" s="189">
        <v>0</v>
      </c>
      <c r="I17" s="189">
        <v>0</v>
      </c>
      <c r="J17" s="188">
        <f>K17+L17+M17+N17</f>
        <v>0</v>
      </c>
      <c r="K17" s="189">
        <v>0</v>
      </c>
      <c r="L17" s="189">
        <v>0</v>
      </c>
      <c r="M17" s="189">
        <v>0</v>
      </c>
      <c r="N17" s="189">
        <v>0</v>
      </c>
      <c r="O17" s="188">
        <f>SUM(P17:S17)</f>
        <v>0</v>
      </c>
      <c r="P17" s="189">
        <v>0</v>
      </c>
      <c r="Q17" s="189">
        <v>0</v>
      </c>
      <c r="R17" s="189">
        <v>0</v>
      </c>
      <c r="S17" s="189">
        <v>0</v>
      </c>
      <c r="T17" s="188">
        <f>SUM(U17:X17)</f>
        <v>0</v>
      </c>
      <c r="U17" s="189">
        <v>0</v>
      </c>
      <c r="V17" s="189">
        <v>0</v>
      </c>
      <c r="W17" s="189">
        <v>0</v>
      </c>
      <c r="X17" s="189">
        <v>0</v>
      </c>
      <c r="Y17" s="188">
        <f>SUM(Z17:AC17)</f>
        <v>0</v>
      </c>
      <c r="Z17" s="189">
        <v>0</v>
      </c>
      <c r="AA17" s="189">
        <v>0</v>
      </c>
      <c r="AB17" s="189">
        <v>0</v>
      </c>
      <c r="AC17" s="189">
        <v>0</v>
      </c>
      <c r="AD17" s="188">
        <f t="shared" si="0"/>
        <v>2268</v>
      </c>
    </row>
    <row r="18" spans="1:34" ht="40.950000000000003" customHeight="1" outlineLevel="1" x14ac:dyDescent="0.3">
      <c r="A18" s="502" t="s">
        <v>969</v>
      </c>
      <c r="B18" s="504"/>
      <c r="C18" s="504"/>
      <c r="D18" s="504"/>
      <c r="E18" s="504"/>
      <c r="F18" s="504"/>
      <c r="G18" s="504"/>
      <c r="H18" s="504"/>
      <c r="I18" s="504"/>
      <c r="J18" s="504"/>
      <c r="K18" s="504"/>
      <c r="L18" s="504"/>
      <c r="M18" s="504"/>
      <c r="N18" s="504"/>
      <c r="O18" s="504"/>
      <c r="P18" s="504"/>
      <c r="Q18" s="504"/>
      <c r="R18" s="504"/>
      <c r="S18" s="504"/>
      <c r="T18" s="504"/>
      <c r="U18" s="504"/>
      <c r="V18" s="504"/>
      <c r="W18" s="504"/>
      <c r="X18" s="504"/>
      <c r="Y18" s="504"/>
      <c r="Z18" s="504"/>
      <c r="AA18" s="504"/>
      <c r="AB18" s="504"/>
      <c r="AC18" s="504"/>
      <c r="AD18" s="504"/>
    </row>
    <row r="19" spans="1:34" s="5" customFormat="1" ht="118.95" customHeight="1" outlineLevel="1" x14ac:dyDescent="0.25">
      <c r="A19" s="357">
        <v>6</v>
      </c>
      <c r="B19" s="351" t="s">
        <v>1054</v>
      </c>
      <c r="C19" s="213" t="s">
        <v>197</v>
      </c>
      <c r="D19" s="187" t="s">
        <v>1062</v>
      </c>
      <c r="E19" s="188">
        <f>SUM(F19:I19)</f>
        <v>51269</v>
      </c>
      <c r="F19" s="294">
        <f>46195+1408+1630+2036</f>
        <v>51269</v>
      </c>
      <c r="G19" s="189">
        <v>0</v>
      </c>
      <c r="H19" s="189">
        <v>0</v>
      </c>
      <c r="I19" s="189">
        <v>0</v>
      </c>
      <c r="J19" s="188">
        <f>SUM(K19:N19)</f>
        <v>13924</v>
      </c>
      <c r="K19" s="294">
        <f>11888+2036</f>
        <v>13924</v>
      </c>
      <c r="L19" s="189">
        <v>0</v>
      </c>
      <c r="M19" s="189">
        <v>0</v>
      </c>
      <c r="N19" s="189">
        <v>0</v>
      </c>
      <c r="O19" s="188">
        <f t="shared" ref="O19:O26" si="1">SUM(P19:S19)</f>
        <v>13924</v>
      </c>
      <c r="P19" s="294">
        <f>11888+2036</f>
        <v>13924</v>
      </c>
      <c r="Q19" s="189">
        <v>0</v>
      </c>
      <c r="R19" s="189">
        <v>0</v>
      </c>
      <c r="S19" s="189">
        <v>0</v>
      </c>
      <c r="T19" s="188">
        <f>U19</f>
        <v>29781</v>
      </c>
      <c r="U19" s="294">
        <f>29000+781</f>
        <v>29781</v>
      </c>
      <c r="V19" s="189">
        <v>0</v>
      </c>
      <c r="W19" s="189">
        <v>0</v>
      </c>
      <c r="X19" s="189">
        <v>0</v>
      </c>
      <c r="Y19" s="188">
        <f>Z19</f>
        <v>29781</v>
      </c>
      <c r="Z19" s="294">
        <f>29000+781</f>
        <v>29781</v>
      </c>
      <c r="AA19" s="189">
        <v>0</v>
      </c>
      <c r="AB19" s="189">
        <v>0</v>
      </c>
      <c r="AC19" s="189">
        <v>0</v>
      </c>
      <c r="AD19" s="188">
        <f t="shared" ref="AD19:AD26" si="2">E19+J19+O19+T19+Y19</f>
        <v>138679</v>
      </c>
    </row>
    <row r="20" spans="1:34" s="5" customFormat="1" ht="126" customHeight="1" outlineLevel="1" x14ac:dyDescent="0.25">
      <c r="A20" s="356">
        <v>7</v>
      </c>
      <c r="B20" s="351" t="s">
        <v>193</v>
      </c>
      <c r="C20" s="213" t="s">
        <v>184</v>
      </c>
      <c r="D20" s="187" t="s">
        <v>1015</v>
      </c>
      <c r="E20" s="188">
        <f>F20+G20+H20+I20</f>
        <v>0</v>
      </c>
      <c r="F20" s="189">
        <v>0</v>
      </c>
      <c r="G20" s="189">
        <v>0</v>
      </c>
      <c r="H20" s="189">
        <v>0</v>
      </c>
      <c r="I20" s="189">
        <v>0</v>
      </c>
      <c r="J20" s="188">
        <f>K20+L20+M20+N20</f>
        <v>1417</v>
      </c>
      <c r="K20" s="189">
        <v>1417</v>
      </c>
      <c r="L20" s="189">
        <v>0</v>
      </c>
      <c r="M20" s="189">
        <v>0</v>
      </c>
      <c r="N20" s="189">
        <v>0</v>
      </c>
      <c r="O20" s="188">
        <f t="shared" si="1"/>
        <v>1417</v>
      </c>
      <c r="P20" s="189">
        <v>1417</v>
      </c>
      <c r="Q20" s="189">
        <v>0</v>
      </c>
      <c r="R20" s="189">
        <v>0</v>
      </c>
      <c r="S20" s="189">
        <v>0</v>
      </c>
      <c r="T20" s="189">
        <v>0</v>
      </c>
      <c r="U20" s="189">
        <v>0</v>
      </c>
      <c r="V20" s="189">
        <v>0</v>
      </c>
      <c r="W20" s="189">
        <v>0</v>
      </c>
      <c r="X20" s="189">
        <v>0</v>
      </c>
      <c r="Y20" s="189">
        <v>0</v>
      </c>
      <c r="Z20" s="189">
        <v>0</v>
      </c>
      <c r="AA20" s="189">
        <v>0</v>
      </c>
      <c r="AB20" s="189">
        <v>0</v>
      </c>
      <c r="AC20" s="189">
        <v>0</v>
      </c>
      <c r="AD20" s="188">
        <f t="shared" si="2"/>
        <v>2834</v>
      </c>
    </row>
    <row r="21" spans="1:34" s="5" customFormat="1" ht="117.6" customHeight="1" outlineLevel="1" x14ac:dyDescent="0.25">
      <c r="A21" s="357">
        <v>8</v>
      </c>
      <c r="B21" s="351" t="s">
        <v>996</v>
      </c>
      <c r="C21" s="213" t="s">
        <v>184</v>
      </c>
      <c r="D21" s="187" t="s">
        <v>975</v>
      </c>
      <c r="E21" s="188">
        <f>F21+G21+H21+I21</f>
        <v>5379</v>
      </c>
      <c r="F21" s="189">
        <v>5379</v>
      </c>
      <c r="G21" s="189">
        <v>0</v>
      </c>
      <c r="H21" s="189">
        <v>0</v>
      </c>
      <c r="I21" s="189">
        <v>0</v>
      </c>
      <c r="J21" s="188">
        <f>K21+L21+M21+N21</f>
        <v>12265</v>
      </c>
      <c r="K21" s="189">
        <v>12265</v>
      </c>
      <c r="L21" s="189">
        <v>0</v>
      </c>
      <c r="M21" s="189">
        <v>0</v>
      </c>
      <c r="N21" s="189">
        <v>0</v>
      </c>
      <c r="O21" s="188">
        <f t="shared" si="1"/>
        <v>12265</v>
      </c>
      <c r="P21" s="189">
        <v>12265</v>
      </c>
      <c r="Q21" s="189">
        <v>0</v>
      </c>
      <c r="R21" s="189">
        <v>0</v>
      </c>
      <c r="S21" s="189">
        <v>0</v>
      </c>
      <c r="T21" s="189">
        <v>0</v>
      </c>
      <c r="U21" s="189">
        <v>0</v>
      </c>
      <c r="V21" s="189">
        <v>0</v>
      </c>
      <c r="W21" s="189">
        <v>0</v>
      </c>
      <c r="X21" s="189">
        <v>0</v>
      </c>
      <c r="Y21" s="189">
        <v>0</v>
      </c>
      <c r="Z21" s="189">
        <v>0</v>
      </c>
      <c r="AA21" s="189">
        <v>0</v>
      </c>
      <c r="AB21" s="189">
        <v>0</v>
      </c>
      <c r="AC21" s="189">
        <v>0</v>
      </c>
      <c r="AD21" s="188">
        <f t="shared" si="2"/>
        <v>29909</v>
      </c>
    </row>
    <row r="22" spans="1:34" s="5" customFormat="1" ht="87.6" customHeight="1" outlineLevel="1" x14ac:dyDescent="0.25">
      <c r="A22" s="357">
        <v>9</v>
      </c>
      <c r="B22" s="296" t="s">
        <v>1061</v>
      </c>
      <c r="C22" s="213" t="s">
        <v>184</v>
      </c>
      <c r="D22" s="187" t="s">
        <v>1293</v>
      </c>
      <c r="E22" s="188">
        <v>0</v>
      </c>
      <c r="F22" s="189">
        <v>0</v>
      </c>
      <c r="G22" s="189">
        <v>0</v>
      </c>
      <c r="H22" s="189">
        <v>0</v>
      </c>
      <c r="I22" s="189">
        <v>0</v>
      </c>
      <c r="J22" s="188">
        <v>0</v>
      </c>
      <c r="K22" s="189">
        <v>0</v>
      </c>
      <c r="L22" s="189">
        <v>0</v>
      </c>
      <c r="M22" s="189">
        <v>0</v>
      </c>
      <c r="N22" s="189">
        <v>0</v>
      </c>
      <c r="O22" s="188">
        <v>0</v>
      </c>
      <c r="P22" s="189">
        <v>0</v>
      </c>
      <c r="Q22" s="189">
        <v>0</v>
      </c>
      <c r="R22" s="189">
        <v>0</v>
      </c>
      <c r="S22" s="189">
        <v>0</v>
      </c>
      <c r="T22" s="188">
        <f>U22</f>
        <v>2170</v>
      </c>
      <c r="U22" s="189">
        <v>2170</v>
      </c>
      <c r="V22" s="189">
        <v>0</v>
      </c>
      <c r="W22" s="189">
        <v>0</v>
      </c>
      <c r="X22" s="189">
        <v>0</v>
      </c>
      <c r="Y22" s="188">
        <f>Z22</f>
        <v>2170</v>
      </c>
      <c r="Z22" s="189">
        <v>2170</v>
      </c>
      <c r="AA22" s="189">
        <v>0</v>
      </c>
      <c r="AB22" s="189">
        <v>0</v>
      </c>
      <c r="AC22" s="189">
        <v>0</v>
      </c>
      <c r="AD22" s="188">
        <f t="shared" si="2"/>
        <v>4340</v>
      </c>
    </row>
    <row r="23" spans="1:34" s="5" customFormat="1" ht="82.95" customHeight="1" outlineLevel="1" x14ac:dyDescent="0.25">
      <c r="A23" s="357">
        <v>10</v>
      </c>
      <c r="B23" s="351" t="s">
        <v>1016</v>
      </c>
      <c r="C23" s="213" t="s">
        <v>184</v>
      </c>
      <c r="D23" s="187" t="s">
        <v>975</v>
      </c>
      <c r="E23" s="188">
        <f>F23+G23+H23+I23</f>
        <v>3478</v>
      </c>
      <c r="F23" s="189">
        <v>3478</v>
      </c>
      <c r="G23" s="189">
        <v>0</v>
      </c>
      <c r="H23" s="189">
        <v>0</v>
      </c>
      <c r="I23" s="189">
        <v>0</v>
      </c>
      <c r="J23" s="188">
        <f>K23+L23+M23+N23</f>
        <v>57</v>
      </c>
      <c r="K23" s="189">
        <v>57</v>
      </c>
      <c r="L23" s="189">
        <v>0</v>
      </c>
      <c r="M23" s="189">
        <v>0</v>
      </c>
      <c r="N23" s="189">
        <v>0</v>
      </c>
      <c r="O23" s="188">
        <f t="shared" si="1"/>
        <v>57</v>
      </c>
      <c r="P23" s="189">
        <v>57</v>
      </c>
      <c r="Q23" s="189">
        <v>0</v>
      </c>
      <c r="R23" s="189">
        <v>0</v>
      </c>
      <c r="S23" s="189">
        <v>0</v>
      </c>
      <c r="T23" s="189">
        <v>0</v>
      </c>
      <c r="U23" s="189">
        <v>0</v>
      </c>
      <c r="V23" s="189">
        <v>0</v>
      </c>
      <c r="W23" s="189">
        <v>0</v>
      </c>
      <c r="X23" s="189">
        <v>0</v>
      </c>
      <c r="Y23" s="189">
        <v>0</v>
      </c>
      <c r="Z23" s="189">
        <v>0</v>
      </c>
      <c r="AA23" s="189">
        <v>0</v>
      </c>
      <c r="AB23" s="189">
        <v>0</v>
      </c>
      <c r="AC23" s="189">
        <v>0</v>
      </c>
      <c r="AD23" s="188">
        <f t="shared" si="2"/>
        <v>3592</v>
      </c>
    </row>
    <row r="24" spans="1:34" s="5" customFormat="1" ht="94.95" customHeight="1" outlineLevel="1" x14ac:dyDescent="0.25">
      <c r="A24" s="357">
        <v>11</v>
      </c>
      <c r="B24" s="351" t="s">
        <v>1056</v>
      </c>
      <c r="C24" s="213" t="s">
        <v>190</v>
      </c>
      <c r="D24" s="351" t="s">
        <v>1293</v>
      </c>
      <c r="E24" s="188">
        <v>0</v>
      </c>
      <c r="F24" s="189">
        <v>0</v>
      </c>
      <c r="G24" s="189">
        <v>0</v>
      </c>
      <c r="H24" s="189">
        <v>0</v>
      </c>
      <c r="I24" s="189">
        <v>0</v>
      </c>
      <c r="J24" s="188">
        <v>0</v>
      </c>
      <c r="K24" s="189">
        <v>0</v>
      </c>
      <c r="L24" s="189">
        <v>0</v>
      </c>
      <c r="M24" s="189">
        <v>0</v>
      </c>
      <c r="N24" s="189">
        <v>0</v>
      </c>
      <c r="O24" s="188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f>U24</f>
        <v>4500</v>
      </c>
      <c r="U24" s="189">
        <v>4500</v>
      </c>
      <c r="V24" s="189">
        <v>0</v>
      </c>
      <c r="W24" s="189">
        <v>0</v>
      </c>
      <c r="X24" s="189">
        <v>0</v>
      </c>
      <c r="Y24" s="189">
        <f>Z24</f>
        <v>4500</v>
      </c>
      <c r="Z24" s="189">
        <v>4500</v>
      </c>
      <c r="AA24" s="189">
        <v>0</v>
      </c>
      <c r="AB24" s="189">
        <v>0</v>
      </c>
      <c r="AC24" s="189">
        <v>0</v>
      </c>
      <c r="AD24" s="188">
        <f t="shared" si="2"/>
        <v>9000</v>
      </c>
    </row>
    <row r="25" spans="1:34" s="5" customFormat="1" ht="100.95" customHeight="1" outlineLevel="1" x14ac:dyDescent="0.25">
      <c r="A25" s="357">
        <v>12</v>
      </c>
      <c r="B25" s="351" t="s">
        <v>191</v>
      </c>
      <c r="C25" s="213" t="s">
        <v>190</v>
      </c>
      <c r="D25" s="351" t="s">
        <v>1293</v>
      </c>
      <c r="E25" s="188">
        <f>SUM(F25:I25)</f>
        <v>0</v>
      </c>
      <c r="F25" s="189">
        <v>0</v>
      </c>
      <c r="G25" s="189">
        <v>0</v>
      </c>
      <c r="H25" s="189">
        <v>0</v>
      </c>
      <c r="I25" s="189">
        <v>0</v>
      </c>
      <c r="J25" s="188">
        <f>SUM(K25:N25)</f>
        <v>0</v>
      </c>
      <c r="K25" s="189">
        <v>0</v>
      </c>
      <c r="L25" s="189">
        <v>0</v>
      </c>
      <c r="M25" s="189">
        <v>0</v>
      </c>
      <c r="N25" s="189">
        <v>0</v>
      </c>
      <c r="O25" s="188">
        <f t="shared" si="1"/>
        <v>0</v>
      </c>
      <c r="P25" s="189">
        <v>0</v>
      </c>
      <c r="Q25" s="189">
        <v>0</v>
      </c>
      <c r="R25" s="189">
        <v>0</v>
      </c>
      <c r="S25" s="189">
        <v>0</v>
      </c>
      <c r="T25" s="188">
        <f>SUM(U25:X25)</f>
        <v>893</v>
      </c>
      <c r="U25" s="189">
        <v>893</v>
      </c>
      <c r="V25" s="189">
        <v>0</v>
      </c>
      <c r="W25" s="189">
        <v>0</v>
      </c>
      <c r="X25" s="189">
        <v>0</v>
      </c>
      <c r="Y25" s="188">
        <f>SUM(Z25:AC25)</f>
        <v>893</v>
      </c>
      <c r="Z25" s="189">
        <v>893</v>
      </c>
      <c r="AA25" s="189">
        <v>0</v>
      </c>
      <c r="AB25" s="189">
        <v>0</v>
      </c>
      <c r="AC25" s="189">
        <v>0</v>
      </c>
      <c r="AD25" s="188">
        <f t="shared" si="2"/>
        <v>1786</v>
      </c>
    </row>
    <row r="26" spans="1:34" s="5" customFormat="1" ht="112.95" customHeight="1" outlineLevel="1" x14ac:dyDescent="0.25">
      <c r="A26" s="357">
        <v>13</v>
      </c>
      <c r="B26" s="351" t="s">
        <v>189</v>
      </c>
      <c r="C26" s="213" t="s">
        <v>188</v>
      </c>
      <c r="D26" s="190" t="s">
        <v>1062</v>
      </c>
      <c r="E26" s="188">
        <f>SUM(F26:I26)</f>
        <v>2090</v>
      </c>
      <c r="F26" s="189">
        <v>2090</v>
      </c>
      <c r="G26" s="189">
        <v>0</v>
      </c>
      <c r="H26" s="189">
        <v>0</v>
      </c>
      <c r="I26" s="189">
        <v>0</v>
      </c>
      <c r="J26" s="188">
        <f>SUM(K26:N26)</f>
        <v>4176</v>
      </c>
      <c r="K26" s="189">
        <v>4176</v>
      </c>
      <c r="L26" s="189">
        <v>0</v>
      </c>
      <c r="M26" s="189">
        <v>0</v>
      </c>
      <c r="N26" s="189">
        <v>0</v>
      </c>
      <c r="O26" s="188">
        <f t="shared" si="1"/>
        <v>4176</v>
      </c>
      <c r="P26" s="189">
        <v>4176</v>
      </c>
      <c r="Q26" s="189">
        <v>0</v>
      </c>
      <c r="R26" s="189">
        <v>0</v>
      </c>
      <c r="S26" s="189">
        <v>0</v>
      </c>
      <c r="T26" s="188">
        <f>SUM(U26:X26)</f>
        <v>4176</v>
      </c>
      <c r="U26" s="189">
        <v>4176</v>
      </c>
      <c r="V26" s="189">
        <v>0</v>
      </c>
      <c r="W26" s="189">
        <v>0</v>
      </c>
      <c r="X26" s="189">
        <v>0</v>
      </c>
      <c r="Y26" s="188">
        <f>SUM(Z26:AC26)</f>
        <v>4176</v>
      </c>
      <c r="Z26" s="189">
        <v>4176</v>
      </c>
      <c r="AA26" s="189">
        <v>0</v>
      </c>
      <c r="AB26" s="189">
        <v>0</v>
      </c>
      <c r="AC26" s="189">
        <v>0</v>
      </c>
      <c r="AD26" s="188">
        <f t="shared" si="2"/>
        <v>18794</v>
      </c>
    </row>
    <row r="27" spans="1:34" ht="46.95" customHeight="1" outlineLevel="1" x14ac:dyDescent="0.25">
      <c r="A27" s="502" t="s">
        <v>186</v>
      </c>
      <c r="B27" s="502"/>
      <c r="C27" s="502"/>
      <c r="D27" s="502"/>
      <c r="E27" s="502"/>
      <c r="F27" s="502"/>
      <c r="G27" s="502"/>
      <c r="H27" s="502"/>
      <c r="I27" s="502"/>
      <c r="J27" s="502"/>
      <c r="K27" s="502"/>
      <c r="L27" s="502"/>
      <c r="M27" s="502"/>
      <c r="N27" s="502"/>
      <c r="O27" s="502"/>
      <c r="P27" s="502"/>
      <c r="Q27" s="502"/>
      <c r="R27" s="502"/>
      <c r="S27" s="502"/>
      <c r="T27" s="502"/>
      <c r="U27" s="502"/>
      <c r="V27" s="502"/>
      <c r="W27" s="502"/>
      <c r="X27" s="502"/>
      <c r="Y27" s="502"/>
      <c r="Z27" s="502"/>
      <c r="AA27" s="502"/>
      <c r="AB27" s="502"/>
      <c r="AC27" s="502"/>
      <c r="AD27" s="502"/>
      <c r="AE27" s="191"/>
    </row>
    <row r="28" spans="1:34" s="5" customFormat="1" ht="94.95" customHeight="1" outlineLevel="1" x14ac:dyDescent="0.25">
      <c r="A28" s="357">
        <v>14</v>
      </c>
      <c r="B28" s="351" t="s">
        <v>185</v>
      </c>
      <c r="C28" s="213" t="s">
        <v>184</v>
      </c>
      <c r="D28" s="190" t="s">
        <v>178</v>
      </c>
      <c r="E28" s="188">
        <f>F28+G28+H28+I28</f>
        <v>28083</v>
      </c>
      <c r="F28" s="189">
        <v>28083</v>
      </c>
      <c r="G28" s="189">
        <v>0</v>
      </c>
      <c r="H28" s="189">
        <v>0</v>
      </c>
      <c r="I28" s="189">
        <v>0</v>
      </c>
      <c r="J28" s="188">
        <f>K28+L28+M28+N28</f>
        <v>26674</v>
      </c>
      <c r="K28" s="189">
        <v>26674</v>
      </c>
      <c r="L28" s="189">
        <v>0</v>
      </c>
      <c r="M28" s="189">
        <v>0</v>
      </c>
      <c r="N28" s="189">
        <v>0</v>
      </c>
      <c r="O28" s="188">
        <f>P28+Q28+R28+S28</f>
        <v>26674</v>
      </c>
      <c r="P28" s="189">
        <v>26674</v>
      </c>
      <c r="Q28" s="189">
        <v>0</v>
      </c>
      <c r="R28" s="189">
        <v>0</v>
      </c>
      <c r="S28" s="189">
        <v>0</v>
      </c>
      <c r="T28" s="188">
        <f>U28+V28+W28+X28</f>
        <v>26839</v>
      </c>
      <c r="U28" s="189">
        <f>26539+300</f>
        <v>26839</v>
      </c>
      <c r="V28" s="189">
        <v>0</v>
      </c>
      <c r="W28" s="189">
        <v>0</v>
      </c>
      <c r="X28" s="189">
        <v>0</v>
      </c>
      <c r="Y28" s="188">
        <f>Z28+AA28+AB28+AC28</f>
        <v>26839</v>
      </c>
      <c r="Z28" s="189">
        <f>26539+300</f>
        <v>26839</v>
      </c>
      <c r="AA28" s="189">
        <v>0</v>
      </c>
      <c r="AB28" s="189">
        <v>0</v>
      </c>
      <c r="AC28" s="189">
        <v>0</v>
      </c>
      <c r="AD28" s="188">
        <f>E28+J28+O28+T28+Y28</f>
        <v>135109</v>
      </c>
    </row>
    <row r="29" spans="1:34" s="5" customFormat="1" ht="46.95" customHeight="1" outlineLevel="1" x14ac:dyDescent="0.25">
      <c r="A29" s="473" t="s">
        <v>219</v>
      </c>
      <c r="B29" s="474"/>
      <c r="C29" s="475"/>
      <c r="D29" s="198"/>
      <c r="E29" s="165">
        <f t="shared" ref="E29:AD29" si="3">SUM(E13:E28)</f>
        <v>173338</v>
      </c>
      <c r="F29" s="165">
        <f t="shared" si="3"/>
        <v>173338</v>
      </c>
      <c r="G29" s="165">
        <f t="shared" si="3"/>
        <v>0</v>
      </c>
      <c r="H29" s="165">
        <f t="shared" si="3"/>
        <v>0</v>
      </c>
      <c r="I29" s="165">
        <f t="shared" si="3"/>
        <v>0</v>
      </c>
      <c r="J29" s="165">
        <f t="shared" si="3"/>
        <v>98858</v>
      </c>
      <c r="K29" s="165">
        <f t="shared" si="3"/>
        <v>98858</v>
      </c>
      <c r="L29" s="165">
        <f t="shared" si="3"/>
        <v>0</v>
      </c>
      <c r="M29" s="165">
        <f t="shared" si="3"/>
        <v>0</v>
      </c>
      <c r="N29" s="165">
        <f t="shared" si="3"/>
        <v>0</v>
      </c>
      <c r="O29" s="165">
        <f t="shared" si="3"/>
        <v>98858</v>
      </c>
      <c r="P29" s="165">
        <f t="shared" si="3"/>
        <v>98858</v>
      </c>
      <c r="Q29" s="165">
        <f t="shared" si="3"/>
        <v>0</v>
      </c>
      <c r="R29" s="165">
        <f t="shared" si="3"/>
        <v>0</v>
      </c>
      <c r="S29" s="165">
        <f t="shared" si="3"/>
        <v>0</v>
      </c>
      <c r="T29" s="165">
        <f>SUM(T13:T28)</f>
        <v>68359</v>
      </c>
      <c r="U29" s="165">
        <f t="shared" si="3"/>
        <v>68359</v>
      </c>
      <c r="V29" s="165">
        <f t="shared" si="3"/>
        <v>0</v>
      </c>
      <c r="W29" s="165">
        <f t="shared" si="3"/>
        <v>0</v>
      </c>
      <c r="X29" s="165">
        <f t="shared" si="3"/>
        <v>0</v>
      </c>
      <c r="Y29" s="165">
        <f t="shared" si="3"/>
        <v>68359</v>
      </c>
      <c r="Z29" s="165">
        <f t="shared" si="3"/>
        <v>68359</v>
      </c>
      <c r="AA29" s="165">
        <f t="shared" si="3"/>
        <v>0</v>
      </c>
      <c r="AB29" s="165">
        <f t="shared" si="3"/>
        <v>0</v>
      </c>
      <c r="AC29" s="165">
        <f t="shared" si="3"/>
        <v>0</v>
      </c>
      <c r="AD29" s="165">
        <f t="shared" si="3"/>
        <v>507772</v>
      </c>
      <c r="AE29" s="199">
        <f>F29+K29+P29+U29+Z29</f>
        <v>507772</v>
      </c>
      <c r="AF29" s="199">
        <f>G29+L29+Q29+V29+AA29</f>
        <v>0</v>
      </c>
      <c r="AG29" s="199">
        <f>H29+M29+R29+W29+AB29</f>
        <v>0</v>
      </c>
      <c r="AH29" s="199">
        <f>I29+N29+S29+X29+AC29</f>
        <v>0</v>
      </c>
    </row>
    <row r="30" spans="1:34" s="39" customFormat="1" ht="55.2" customHeight="1" x14ac:dyDescent="0.25">
      <c r="A30" s="476" t="s">
        <v>844</v>
      </c>
      <c r="B30" s="476"/>
      <c r="C30" s="476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476"/>
      <c r="Q30" s="476"/>
      <c r="R30" s="476"/>
      <c r="S30" s="476"/>
      <c r="T30" s="476"/>
      <c r="U30" s="476"/>
      <c r="V30" s="476"/>
      <c r="W30" s="476"/>
      <c r="X30" s="476"/>
      <c r="Y30" s="476"/>
      <c r="Z30" s="476"/>
      <c r="AA30" s="476"/>
      <c r="AB30" s="476"/>
      <c r="AC30" s="476"/>
      <c r="AD30" s="476"/>
      <c r="AE30" s="359"/>
      <c r="AF30" s="5"/>
      <c r="AG30" s="5"/>
      <c r="AH30" s="5"/>
    </row>
    <row r="31" spans="1:34" ht="42" customHeight="1" x14ac:dyDescent="0.25">
      <c r="A31" s="480" t="s">
        <v>968</v>
      </c>
      <c r="B31" s="480"/>
      <c r="C31" s="480"/>
      <c r="D31" s="480"/>
      <c r="E31" s="480"/>
      <c r="F31" s="480"/>
      <c r="G31" s="480"/>
      <c r="H31" s="480"/>
      <c r="I31" s="480"/>
      <c r="J31" s="480"/>
      <c r="K31" s="480"/>
      <c r="L31" s="480"/>
      <c r="M31" s="480"/>
      <c r="N31" s="480"/>
      <c r="O31" s="480"/>
      <c r="P31" s="480"/>
      <c r="Q31" s="480"/>
      <c r="R31" s="480"/>
      <c r="S31" s="480"/>
      <c r="T31" s="480"/>
      <c r="U31" s="480"/>
      <c r="V31" s="480"/>
      <c r="W31" s="480"/>
      <c r="X31" s="480"/>
      <c r="Y31" s="480"/>
      <c r="Z31" s="480"/>
      <c r="AA31" s="480"/>
      <c r="AB31" s="480"/>
      <c r="AC31" s="480"/>
      <c r="AD31" s="480"/>
      <c r="AF31" s="5"/>
      <c r="AG31" s="5"/>
      <c r="AH31" s="5"/>
    </row>
    <row r="32" spans="1:34" s="52" customFormat="1" ht="43.2" customHeight="1" outlineLevel="1" x14ac:dyDescent="0.25">
      <c r="A32" s="481" t="s">
        <v>843</v>
      </c>
      <c r="B32" s="482"/>
      <c r="C32" s="482"/>
      <c r="D32" s="482"/>
      <c r="E32" s="482"/>
      <c r="F32" s="482"/>
      <c r="G32" s="482"/>
      <c r="H32" s="482"/>
      <c r="I32" s="482"/>
      <c r="J32" s="482"/>
      <c r="K32" s="482"/>
      <c r="L32" s="482"/>
      <c r="M32" s="482"/>
      <c r="N32" s="482"/>
      <c r="O32" s="482"/>
      <c r="P32" s="482"/>
      <c r="Q32" s="482"/>
      <c r="R32" s="482"/>
      <c r="S32" s="482"/>
      <c r="T32" s="482"/>
      <c r="U32" s="482"/>
      <c r="V32" s="482"/>
      <c r="W32" s="482"/>
      <c r="X32" s="482"/>
      <c r="Y32" s="482"/>
      <c r="Z32" s="482"/>
      <c r="AA32" s="482"/>
      <c r="AB32" s="482"/>
      <c r="AC32" s="482"/>
      <c r="AD32" s="483"/>
      <c r="AE32" s="359"/>
      <c r="AF32" s="5"/>
      <c r="AG32" s="5"/>
      <c r="AH32" s="5"/>
    </row>
    <row r="33" spans="1:34" s="52" customFormat="1" ht="54" customHeight="1" outlineLevel="1" x14ac:dyDescent="0.25">
      <c r="A33" s="469" t="s">
        <v>845</v>
      </c>
      <c r="B33" s="470"/>
      <c r="C33" s="470"/>
      <c r="D33" s="470"/>
      <c r="E33" s="470"/>
      <c r="F33" s="470"/>
      <c r="G33" s="470"/>
      <c r="H33" s="470"/>
      <c r="I33" s="470"/>
      <c r="J33" s="470"/>
      <c r="K33" s="470"/>
      <c r="L33" s="470"/>
      <c r="M33" s="470"/>
      <c r="N33" s="470"/>
      <c r="O33" s="470"/>
      <c r="P33" s="470"/>
      <c r="Q33" s="470"/>
      <c r="R33" s="470"/>
      <c r="S33" s="470"/>
      <c r="T33" s="470"/>
      <c r="U33" s="470"/>
      <c r="V33" s="470"/>
      <c r="W33" s="470"/>
      <c r="X33" s="470"/>
      <c r="Y33" s="470"/>
      <c r="Z33" s="470"/>
      <c r="AA33" s="470"/>
      <c r="AB33" s="470"/>
      <c r="AC33" s="470"/>
      <c r="AD33" s="471"/>
      <c r="AE33" s="359"/>
      <c r="AF33" s="5"/>
      <c r="AG33" s="5"/>
      <c r="AH33" s="5"/>
    </row>
    <row r="34" spans="1:34" s="50" customFormat="1" ht="179.25" customHeight="1" outlineLevel="1" x14ac:dyDescent="0.25">
      <c r="A34" s="289">
        <v>15</v>
      </c>
      <c r="B34" s="351" t="s">
        <v>1257</v>
      </c>
      <c r="C34" s="213" t="s">
        <v>192</v>
      </c>
      <c r="D34" s="351" t="s">
        <v>178</v>
      </c>
      <c r="E34" s="165">
        <f t="shared" ref="E34:E41" si="4">F34+G34+H34+I34</f>
        <v>271240</v>
      </c>
      <c r="F34" s="251">
        <f>ROUND('3.переченьМРАД'!$I$45,0)</f>
        <v>8578</v>
      </c>
      <c r="G34" s="251">
        <f>ROUND('3.переченьМРАД'!$H$45,0)</f>
        <v>135869</v>
      </c>
      <c r="H34" s="251">
        <f>ROUND('3.переченьМРАД'!G45,0)</f>
        <v>126793</v>
      </c>
      <c r="I34" s="252">
        <v>0</v>
      </c>
      <c r="J34" s="165">
        <f>K34+L34+M34+N34</f>
        <v>145843</v>
      </c>
      <c r="K34" s="251">
        <f>'3.переченьМРАД'!$N$45</f>
        <v>10072</v>
      </c>
      <c r="L34" s="251">
        <f>'3.переченьМРАД'!$M$45</f>
        <v>97528</v>
      </c>
      <c r="M34" s="251">
        <f>'3.переченьМРАД'!$L$45</f>
        <v>38243</v>
      </c>
      <c r="N34" s="252">
        <v>0</v>
      </c>
      <c r="O34" s="165">
        <f t="shared" ref="O34:O43" si="5">P34+Q34+R34+S34</f>
        <v>5000</v>
      </c>
      <c r="P34" s="251">
        <f>'3.переченьМРАД'!$S$45</f>
        <v>5000</v>
      </c>
      <c r="Q34" s="251">
        <f>'3.переченьМРАД'!$R$45</f>
        <v>0</v>
      </c>
      <c r="R34" s="251">
        <v>0</v>
      </c>
      <c r="S34" s="252">
        <v>0</v>
      </c>
      <c r="T34" s="165">
        <f>U34+V34+W34+X34</f>
        <v>657603</v>
      </c>
      <c r="U34" s="200">
        <f>ROUND('3.переченьМРАД'!$X$45,0)</f>
        <v>41859</v>
      </c>
      <c r="V34" s="200">
        <f>ROUND('3.переченьМРАД'!$W$45,0)</f>
        <v>615744</v>
      </c>
      <c r="W34" s="200">
        <v>0</v>
      </c>
      <c r="X34" s="200">
        <v>0</v>
      </c>
      <c r="Y34" s="165">
        <f t="shared" ref="Y34:Y43" si="6">Z34+AA34+AB34+AC34</f>
        <v>479395</v>
      </c>
      <c r="Z34" s="200">
        <f>'3.переченьМРАД'!$AC$45</f>
        <v>25409</v>
      </c>
      <c r="AA34" s="200">
        <f>'3.переченьМРАД'!$AB$45</f>
        <v>453986</v>
      </c>
      <c r="AB34" s="200">
        <v>0</v>
      </c>
      <c r="AC34" s="200">
        <v>0</v>
      </c>
      <c r="AD34" s="165">
        <f t="shared" ref="AD34:AD41" si="7">E34+J34+O34+T34+Y34</f>
        <v>1559081</v>
      </c>
      <c r="AE34" s="364"/>
      <c r="AF34" s="364"/>
      <c r="AG34" s="364"/>
      <c r="AH34" s="364"/>
    </row>
    <row r="35" spans="1:34" s="50" customFormat="1" ht="126" customHeight="1" outlineLevel="1" x14ac:dyDescent="0.25">
      <c r="A35" s="357">
        <v>16</v>
      </c>
      <c r="B35" s="351" t="s">
        <v>220</v>
      </c>
      <c r="C35" s="213" t="s">
        <v>179</v>
      </c>
      <c r="D35" s="351">
        <v>2024</v>
      </c>
      <c r="E35" s="165">
        <f t="shared" si="4"/>
        <v>0</v>
      </c>
      <c r="F35" s="251">
        <f>'3.переченьМРАД'!$I$59</f>
        <v>0</v>
      </c>
      <c r="G35" s="251">
        <f>'3.переченьМРАД'!$H$59</f>
        <v>0</v>
      </c>
      <c r="H35" s="251">
        <f>'3.переченьМРАД'!G46</f>
        <v>0</v>
      </c>
      <c r="I35" s="252">
        <v>0</v>
      </c>
      <c r="J35" s="165">
        <f t="shared" ref="J35:J43" si="8">K35+L35+M35+N35</f>
        <v>0</v>
      </c>
      <c r="K35" s="251">
        <f>'3.переченьМРАД'!$N$59</f>
        <v>0</v>
      </c>
      <c r="L35" s="251">
        <f>'3.переченьМРАД'!$M$59</f>
        <v>0</v>
      </c>
      <c r="M35" s="251">
        <v>0</v>
      </c>
      <c r="N35" s="252">
        <v>0</v>
      </c>
      <c r="O35" s="165">
        <f t="shared" si="5"/>
        <v>0</v>
      </c>
      <c r="P35" s="251">
        <f>'3.переченьМРАД'!$S$59</f>
        <v>0</v>
      </c>
      <c r="Q35" s="251">
        <f>'3.переченьМРАД'!$R$59</f>
        <v>0</v>
      </c>
      <c r="R35" s="251">
        <v>0</v>
      </c>
      <c r="S35" s="252">
        <v>0</v>
      </c>
      <c r="T35" s="165">
        <f t="shared" ref="T35:T43" si="9">U35+V35+W35+X35</f>
        <v>159124</v>
      </c>
      <c r="U35" s="200">
        <f>ROUND('3.переченьМРАД'!$X$59,0)</f>
        <v>15524</v>
      </c>
      <c r="V35" s="200">
        <f>ROUND('3.переченьМРАД'!$W$59,0)</f>
        <v>143600</v>
      </c>
      <c r="W35" s="200">
        <v>0</v>
      </c>
      <c r="X35" s="200">
        <v>0</v>
      </c>
      <c r="Y35" s="165">
        <f t="shared" si="6"/>
        <v>0</v>
      </c>
      <c r="Z35" s="200">
        <f>'3.переченьМРАД'!$AC$59</f>
        <v>0</v>
      </c>
      <c r="AA35" s="200">
        <f>'3.переченьМРАД'!$AB$59</f>
        <v>0</v>
      </c>
      <c r="AB35" s="200">
        <v>0</v>
      </c>
      <c r="AC35" s="200">
        <v>0</v>
      </c>
      <c r="AD35" s="165">
        <f t="shared" si="7"/>
        <v>159124</v>
      </c>
      <c r="AE35" s="364"/>
      <c r="AF35" s="364"/>
      <c r="AG35" s="364"/>
      <c r="AH35" s="364"/>
    </row>
    <row r="36" spans="1:34" s="50" customFormat="1" ht="206.4" customHeight="1" outlineLevel="1" x14ac:dyDescent="0.25">
      <c r="A36" s="357">
        <v>17</v>
      </c>
      <c r="B36" s="348" t="s">
        <v>221</v>
      </c>
      <c r="C36" s="358" t="s">
        <v>192</v>
      </c>
      <c r="D36" s="353" t="s">
        <v>178</v>
      </c>
      <c r="E36" s="352">
        <f t="shared" si="4"/>
        <v>45413</v>
      </c>
      <c r="F36" s="278">
        <f>'3.переченьМРАД'!$I$78</f>
        <v>29078</v>
      </c>
      <c r="G36" s="251">
        <f>'3.переченьМРАД'!$H$78</f>
        <v>16335</v>
      </c>
      <c r="H36" s="251">
        <f>'3.переченьМРАД'!G47</f>
        <v>0</v>
      </c>
      <c r="I36" s="252">
        <v>0</v>
      </c>
      <c r="J36" s="165">
        <f t="shared" si="8"/>
        <v>16100</v>
      </c>
      <c r="K36" s="251">
        <f>'3.переченьМРАД'!$N$78</f>
        <v>16100</v>
      </c>
      <c r="L36" s="251">
        <f>'3.переченьМРАД'!$M$78</f>
        <v>0</v>
      </c>
      <c r="M36" s="251">
        <v>0</v>
      </c>
      <c r="N36" s="252">
        <v>0</v>
      </c>
      <c r="O36" s="165">
        <f t="shared" si="5"/>
        <v>16100</v>
      </c>
      <c r="P36" s="251">
        <f>'3.переченьМРАД'!$S$78</f>
        <v>16100</v>
      </c>
      <c r="Q36" s="251">
        <f>'3.переченьМРАД'!$R$78</f>
        <v>0</v>
      </c>
      <c r="R36" s="251">
        <v>0</v>
      </c>
      <c r="S36" s="252">
        <v>0</v>
      </c>
      <c r="T36" s="165">
        <f t="shared" si="9"/>
        <v>78236</v>
      </c>
      <c r="U36" s="200">
        <f>'3.переченьМРАД'!$X$78</f>
        <v>78236</v>
      </c>
      <c r="V36" s="200">
        <f>'3.переченьМРАД'!$W$78</f>
        <v>0</v>
      </c>
      <c r="W36" s="200">
        <v>0</v>
      </c>
      <c r="X36" s="200">
        <v>0</v>
      </c>
      <c r="Y36" s="165">
        <f t="shared" si="6"/>
        <v>26114</v>
      </c>
      <c r="Z36" s="200">
        <f>'3.переченьМРАД'!$AC$78</f>
        <v>26114</v>
      </c>
      <c r="AA36" s="200">
        <f>'3.переченьМРАД'!$AB$78</f>
        <v>0</v>
      </c>
      <c r="AB36" s="200">
        <v>0</v>
      </c>
      <c r="AC36" s="200">
        <v>0</v>
      </c>
      <c r="AD36" s="165">
        <f t="shared" si="7"/>
        <v>181963</v>
      </c>
      <c r="AE36" s="364"/>
      <c r="AF36" s="364"/>
      <c r="AG36" s="364"/>
      <c r="AH36" s="364"/>
    </row>
    <row r="37" spans="1:34" s="50" customFormat="1" ht="146.4" customHeight="1" outlineLevel="1" x14ac:dyDescent="0.25">
      <c r="A37" s="490">
        <v>18</v>
      </c>
      <c r="B37" s="351" t="s">
        <v>222</v>
      </c>
      <c r="C37" s="492" t="s">
        <v>179</v>
      </c>
      <c r="D37" s="494" t="s">
        <v>178</v>
      </c>
      <c r="E37" s="165">
        <f t="shared" si="4"/>
        <v>41382</v>
      </c>
      <c r="F37" s="251">
        <f>ROUND('3.переченьМРАД'!$I$98,0)</f>
        <v>1986</v>
      </c>
      <c r="G37" s="251">
        <f>ROUND('3.переченьМРАД'!$H$98,0)</f>
        <v>39396</v>
      </c>
      <c r="H37" s="251">
        <f>'3.переченьМРАД'!G48</f>
        <v>0</v>
      </c>
      <c r="I37" s="252">
        <v>0</v>
      </c>
      <c r="J37" s="165">
        <f t="shared" si="8"/>
        <v>292769</v>
      </c>
      <c r="K37" s="251">
        <f>ROUND('3.переченьМРАД'!$N$98,0)</f>
        <v>14053</v>
      </c>
      <c r="L37" s="251">
        <f>'3.переченьМРАД'!$M$98</f>
        <v>278716</v>
      </c>
      <c r="M37" s="251">
        <v>0</v>
      </c>
      <c r="N37" s="252">
        <v>0</v>
      </c>
      <c r="O37" s="165">
        <f t="shared" si="5"/>
        <v>374716</v>
      </c>
      <c r="P37" s="251">
        <f>'3.переченьМРАД'!$S$98</f>
        <v>17986</v>
      </c>
      <c r="Q37" s="251">
        <f>'3.переченьМРАД'!$R$98</f>
        <v>356730</v>
      </c>
      <c r="R37" s="251">
        <v>0</v>
      </c>
      <c r="S37" s="252">
        <v>0</v>
      </c>
      <c r="T37" s="165">
        <f t="shared" si="9"/>
        <v>658958</v>
      </c>
      <c r="U37" s="200">
        <f>ROUND('3.переченьМРАД'!$X$98,0)</f>
        <v>47361</v>
      </c>
      <c r="V37" s="200">
        <f>'3.переченьМРАД'!$W$98</f>
        <v>611597</v>
      </c>
      <c r="W37" s="200">
        <v>0</v>
      </c>
      <c r="X37" s="200">
        <v>0</v>
      </c>
      <c r="Y37" s="165">
        <f t="shared" si="6"/>
        <v>314304</v>
      </c>
      <c r="Z37" s="200">
        <f>'3.переченьМРАД'!$AC$98</f>
        <v>18544</v>
      </c>
      <c r="AA37" s="200">
        <f>ROUND('3.переченьМРАД'!$AB$98,0)</f>
        <v>295760</v>
      </c>
      <c r="AB37" s="200">
        <v>0</v>
      </c>
      <c r="AC37" s="200">
        <v>0</v>
      </c>
      <c r="AD37" s="165">
        <f t="shared" si="7"/>
        <v>1682129</v>
      </c>
      <c r="AE37" s="364"/>
      <c r="AF37" s="364"/>
      <c r="AG37" s="364"/>
      <c r="AH37" s="364"/>
    </row>
    <row r="38" spans="1:34" s="390" customFormat="1" ht="146.4" customHeight="1" outlineLevel="1" x14ac:dyDescent="0.25">
      <c r="A38" s="491"/>
      <c r="B38" s="341" t="s">
        <v>1259</v>
      </c>
      <c r="C38" s="493"/>
      <c r="D38" s="495"/>
      <c r="E38" s="342">
        <f t="shared" si="4"/>
        <v>41382.1</v>
      </c>
      <c r="F38" s="343">
        <f>SUM('3.переченьМРАД'!I91:I95)</f>
        <v>1986</v>
      </c>
      <c r="G38" s="343">
        <f>SUM('3.переченьМРАД'!H91:H97)</f>
        <v>39396.1</v>
      </c>
      <c r="H38" s="343">
        <f>'3.переченьМРАД'!G98</f>
        <v>0</v>
      </c>
      <c r="I38" s="344">
        <v>0</v>
      </c>
      <c r="J38" s="342">
        <f t="shared" si="8"/>
        <v>292769</v>
      </c>
      <c r="K38" s="343">
        <f>SUM('3.переченьМРАД'!N91:N97)</f>
        <v>14053</v>
      </c>
      <c r="L38" s="343">
        <f>SUM('3.переченьМРАД'!M91:M97)</f>
        <v>278716</v>
      </c>
      <c r="M38" s="343">
        <f>'3.переченьМРАД'!L98</f>
        <v>0</v>
      </c>
      <c r="N38" s="344">
        <v>0</v>
      </c>
      <c r="O38" s="342">
        <f t="shared" si="5"/>
        <v>374716</v>
      </c>
      <c r="P38" s="343">
        <f>SUM('3.переченьМРАД'!S91:S97)</f>
        <v>17986</v>
      </c>
      <c r="Q38" s="343">
        <f>SUM('3.переченьМРАД'!R91:R97)</f>
        <v>356730</v>
      </c>
      <c r="R38" s="343">
        <f>'[1]3.переченьМРАД'!Q96</f>
        <v>0</v>
      </c>
      <c r="S38" s="344">
        <v>0</v>
      </c>
      <c r="T38" s="342">
        <f t="shared" si="9"/>
        <v>437559</v>
      </c>
      <c r="U38" s="345">
        <f>SUM('3.переченьМРАД'!X91:X97)</f>
        <v>25992</v>
      </c>
      <c r="V38" s="345">
        <f>SUM('3.переченьМРАД'!W91:W97)</f>
        <v>411567</v>
      </c>
      <c r="W38" s="345">
        <f>'[1]3.переченьМРАД'!V96</f>
        <v>0</v>
      </c>
      <c r="X38" s="345">
        <v>0</v>
      </c>
      <c r="Y38" s="342">
        <f t="shared" si="6"/>
        <v>0</v>
      </c>
      <c r="Z38" s="345">
        <f>SUM('3.переченьМРАД'!AC91:AC97)</f>
        <v>0</v>
      </c>
      <c r="AA38" s="345">
        <f>SUM('3.переченьМРАД'!AB91:AB97)</f>
        <v>0</v>
      </c>
      <c r="AB38" s="345">
        <f>'[1]3.переченьМРАД'!AA96</f>
        <v>0</v>
      </c>
      <c r="AC38" s="345">
        <v>0</v>
      </c>
      <c r="AD38" s="342">
        <f t="shared" si="7"/>
        <v>1146426.1000000001</v>
      </c>
      <c r="AE38" s="167"/>
      <c r="AF38" s="167"/>
      <c r="AG38" s="167"/>
      <c r="AH38" s="167"/>
    </row>
    <row r="39" spans="1:34" s="50" customFormat="1" ht="128.4" customHeight="1" outlineLevel="1" x14ac:dyDescent="0.25">
      <c r="A39" s="490">
        <v>19</v>
      </c>
      <c r="B39" s="351" t="s">
        <v>223</v>
      </c>
      <c r="C39" s="492" t="s">
        <v>179</v>
      </c>
      <c r="D39" s="494" t="s">
        <v>178</v>
      </c>
      <c r="E39" s="165">
        <f t="shared" si="4"/>
        <v>784986</v>
      </c>
      <c r="F39" s="251">
        <f>ROUND('3.переченьМРАД'!$I$241,0)</f>
        <v>44939</v>
      </c>
      <c r="G39" s="251">
        <f>ROUND('3.переченьМРАД'!$H$241,0)</f>
        <v>740047</v>
      </c>
      <c r="H39" s="251">
        <f>'3.переченьМРАД'!G49</f>
        <v>0</v>
      </c>
      <c r="I39" s="252">
        <v>0</v>
      </c>
      <c r="J39" s="165">
        <f t="shared" si="8"/>
        <v>442526</v>
      </c>
      <c r="K39" s="251">
        <f>ROUND('3.переченьМРАД'!$N$241,0)</f>
        <v>21242</v>
      </c>
      <c r="L39" s="251">
        <f>ROUND('3.переченьМРАД'!$M$241,0)</f>
        <v>421284</v>
      </c>
      <c r="M39" s="251">
        <v>0</v>
      </c>
      <c r="N39" s="252">
        <v>0</v>
      </c>
      <c r="O39" s="165">
        <f t="shared" si="5"/>
        <v>360579</v>
      </c>
      <c r="P39" s="251">
        <f>ROUND('3.переченьМРАД'!$S$241,0)</f>
        <v>17309</v>
      </c>
      <c r="Q39" s="251">
        <f>ROUND('3.переченьМРАД'!$R$241,0)</f>
        <v>343270</v>
      </c>
      <c r="R39" s="251">
        <v>0</v>
      </c>
      <c r="S39" s="252">
        <v>0</v>
      </c>
      <c r="T39" s="165">
        <f t="shared" si="9"/>
        <v>1085223</v>
      </c>
      <c r="U39" s="200">
        <f>ROUND('3.переченьМРАД'!$X$241,0)</f>
        <v>57303</v>
      </c>
      <c r="V39" s="200">
        <f>ROUND('3.переченьМРАД'!$W$241,0)</f>
        <v>1027920</v>
      </c>
      <c r="W39" s="200">
        <v>0</v>
      </c>
      <c r="X39" s="200">
        <v>0</v>
      </c>
      <c r="Y39" s="165">
        <f t="shared" si="6"/>
        <v>1283039</v>
      </c>
      <c r="Z39" s="200">
        <f>ROUND('3.переченьМРАД'!$AC$241,0)</f>
        <v>57320</v>
      </c>
      <c r="AA39" s="200">
        <f>ROUND('3.переченьМРАД'!$AB$241,0)</f>
        <v>1225719</v>
      </c>
      <c r="AB39" s="200">
        <v>0</v>
      </c>
      <c r="AC39" s="200">
        <v>0</v>
      </c>
      <c r="AD39" s="165">
        <f t="shared" si="7"/>
        <v>3956353</v>
      </c>
      <c r="AE39" s="364"/>
      <c r="AF39" s="364"/>
      <c r="AG39" s="364"/>
      <c r="AH39" s="364"/>
    </row>
    <row r="40" spans="1:34" s="390" customFormat="1" ht="128.4" customHeight="1" outlineLevel="1" x14ac:dyDescent="0.25">
      <c r="A40" s="491"/>
      <c r="B40" s="341" t="s">
        <v>1259</v>
      </c>
      <c r="C40" s="493"/>
      <c r="D40" s="495"/>
      <c r="E40" s="342">
        <f t="shared" si="4"/>
        <v>693912.19999999984</v>
      </c>
      <c r="F40" s="343">
        <f>SUM('3.переченьМРАД'!I214:I240)</f>
        <v>33308.699999999997</v>
      </c>
      <c r="G40" s="343">
        <f>SUM('3.переченьМРАД'!H214:H240)</f>
        <v>660603.49999999988</v>
      </c>
      <c r="H40" s="343">
        <f>SUM('[1]3.переченьМРАД'!G215:G227)</f>
        <v>0</v>
      </c>
      <c r="I40" s="344">
        <v>0</v>
      </c>
      <c r="J40" s="342">
        <f t="shared" si="8"/>
        <v>439521</v>
      </c>
      <c r="K40" s="343">
        <f>SUM('3.переченьМРАД'!N214:N240)</f>
        <v>18237</v>
      </c>
      <c r="L40" s="343">
        <f>SUM('3.переченьМРАД'!M214:M240)</f>
        <v>421284</v>
      </c>
      <c r="M40" s="343">
        <f>SUM('[1]3.переченьМРАД'!L215:L227)</f>
        <v>0</v>
      </c>
      <c r="N40" s="344">
        <v>0</v>
      </c>
      <c r="O40" s="342">
        <f t="shared" si="5"/>
        <v>357574</v>
      </c>
      <c r="P40" s="343">
        <f>SUM('3.переченьМРАД'!S214:S240)</f>
        <v>14304</v>
      </c>
      <c r="Q40" s="343">
        <f>SUM('3.переченьМРАД'!R214:R240)</f>
        <v>343270</v>
      </c>
      <c r="R40" s="343">
        <f>SUM('[1]3.переченьМРАД'!Q215:Q227)</f>
        <v>0</v>
      </c>
      <c r="S40" s="344">
        <v>0</v>
      </c>
      <c r="T40" s="342">
        <f t="shared" si="9"/>
        <v>0</v>
      </c>
      <c r="U40" s="345">
        <f>SUM('[1]3.переченьМРАД'!X215:X227)</f>
        <v>0</v>
      </c>
      <c r="V40" s="345">
        <f>SUM('[1]3.переченьМРАД'!W215:W227)</f>
        <v>0</v>
      </c>
      <c r="W40" s="345">
        <f>SUM('[1]3.переченьМРАД'!V215:V227)</f>
        <v>0</v>
      </c>
      <c r="X40" s="345">
        <v>0</v>
      </c>
      <c r="Y40" s="342">
        <f t="shared" si="6"/>
        <v>0</v>
      </c>
      <c r="Z40" s="345">
        <f>SUM('[1]3.переченьМРАД'!AC215:AC227)</f>
        <v>0</v>
      </c>
      <c r="AA40" s="345">
        <f>SUM('[1]3.переченьМРАД'!AB215:AB227)</f>
        <v>0</v>
      </c>
      <c r="AB40" s="345">
        <f>SUM('[1]3.переченьМРАД'!AA215:AA227)</f>
        <v>0</v>
      </c>
      <c r="AC40" s="345">
        <v>0</v>
      </c>
      <c r="AD40" s="342">
        <f t="shared" si="7"/>
        <v>1491007.1999999997</v>
      </c>
      <c r="AE40" s="167"/>
      <c r="AF40" s="167"/>
      <c r="AG40" s="167"/>
      <c r="AH40" s="167"/>
    </row>
    <row r="41" spans="1:34" s="50" customFormat="1" ht="145.94999999999999" customHeight="1" outlineLevel="1" x14ac:dyDescent="0.25">
      <c r="A41" s="357">
        <v>20</v>
      </c>
      <c r="B41" s="351" t="s">
        <v>832</v>
      </c>
      <c r="C41" s="213" t="s">
        <v>192</v>
      </c>
      <c r="D41" s="351" t="s">
        <v>178</v>
      </c>
      <c r="E41" s="165">
        <f t="shared" si="4"/>
        <v>131303</v>
      </c>
      <c r="F41" s="251">
        <f>'3.переченьМРАД'!$I$245</f>
        <v>6303</v>
      </c>
      <c r="G41" s="251">
        <f>'3.переченьМРАД'!$H$245</f>
        <v>125000</v>
      </c>
      <c r="H41" s="251">
        <f>'3.переченьМРАД'!G51</f>
        <v>0</v>
      </c>
      <c r="I41" s="252">
        <v>0</v>
      </c>
      <c r="J41" s="165">
        <f t="shared" si="8"/>
        <v>14420</v>
      </c>
      <c r="K41" s="251">
        <f>'3.переченьМРАД'!$N$245</f>
        <v>14420</v>
      </c>
      <c r="L41" s="251">
        <f>'3.переченьМРАД'!$M$245</f>
        <v>0</v>
      </c>
      <c r="M41" s="251">
        <v>0</v>
      </c>
      <c r="N41" s="252">
        <v>0</v>
      </c>
      <c r="O41" s="165">
        <f t="shared" si="5"/>
        <v>14420</v>
      </c>
      <c r="P41" s="251">
        <f>'3.переченьМРАД'!$S$245</f>
        <v>14420</v>
      </c>
      <c r="Q41" s="251">
        <f>'3.переченьМРАД'!$R$245</f>
        <v>0</v>
      </c>
      <c r="R41" s="251">
        <v>0</v>
      </c>
      <c r="S41" s="252">
        <v>0</v>
      </c>
      <c r="T41" s="165">
        <f t="shared" si="9"/>
        <v>356601</v>
      </c>
      <c r="U41" s="200">
        <f>ROUND('3.переченьМРАД'!$X$245,0)</f>
        <v>18382</v>
      </c>
      <c r="V41" s="200">
        <f>ROUND('3.переченьМРАД'!$W$245,0)</f>
        <v>338219</v>
      </c>
      <c r="W41" s="200">
        <v>0</v>
      </c>
      <c r="X41" s="200">
        <v>0</v>
      </c>
      <c r="Y41" s="165">
        <f t="shared" si="6"/>
        <v>362361</v>
      </c>
      <c r="Z41" s="200">
        <f>ROUND('3.переченьМРАД'!$AC$245,0)</f>
        <v>18756</v>
      </c>
      <c r="AA41" s="200">
        <f>ROUND('3.переченьМРАД'!$AB$245,0)</f>
        <v>343605</v>
      </c>
      <c r="AB41" s="200">
        <v>0</v>
      </c>
      <c r="AC41" s="200">
        <v>0</v>
      </c>
      <c r="AD41" s="165">
        <f t="shared" si="7"/>
        <v>879105</v>
      </c>
      <c r="AE41" s="364"/>
      <c r="AF41" s="364"/>
      <c r="AG41" s="364"/>
      <c r="AH41" s="364"/>
    </row>
    <row r="42" spans="1:34" s="51" customFormat="1" ht="297.60000000000002" customHeight="1" outlineLevel="1" x14ac:dyDescent="0.25">
      <c r="A42" s="357">
        <v>21</v>
      </c>
      <c r="B42" s="351" t="s">
        <v>847</v>
      </c>
      <c r="C42" s="213" t="s">
        <v>192</v>
      </c>
      <c r="D42" s="351" t="s">
        <v>1010</v>
      </c>
      <c r="E42" s="165">
        <f>F42+G42+H42+I42</f>
        <v>2575</v>
      </c>
      <c r="F42" s="251">
        <f>'3.переченьМРАД'!$I$494</f>
        <v>2575</v>
      </c>
      <c r="G42" s="251">
        <f>'3.переченьМРАД'!$H$494</f>
        <v>0</v>
      </c>
      <c r="H42" s="251">
        <f>'3.переченьМРАД'!G494</f>
        <v>0</v>
      </c>
      <c r="I42" s="252">
        <v>0</v>
      </c>
      <c r="J42" s="165">
        <f t="shared" si="8"/>
        <v>0</v>
      </c>
      <c r="K42" s="251">
        <f>'3.переченьМРАД'!$N$494</f>
        <v>0</v>
      </c>
      <c r="L42" s="251">
        <f>'3.переченьМРАД'!$M$494</f>
        <v>0</v>
      </c>
      <c r="M42" s="251">
        <v>0</v>
      </c>
      <c r="N42" s="252">
        <v>0</v>
      </c>
      <c r="O42" s="165">
        <f t="shared" si="5"/>
        <v>0</v>
      </c>
      <c r="P42" s="251">
        <f>'3.переченьМРАД'!$S$494</f>
        <v>0</v>
      </c>
      <c r="Q42" s="251">
        <f>'3.переченьМРАД'!$R$494</f>
        <v>0</v>
      </c>
      <c r="R42" s="251">
        <v>0</v>
      </c>
      <c r="S42" s="252">
        <v>0</v>
      </c>
      <c r="T42" s="165">
        <f t="shared" si="9"/>
        <v>86961</v>
      </c>
      <c r="U42" s="200">
        <f>ROUND('3.переченьМРАД'!$X$494,0)</f>
        <v>86961</v>
      </c>
      <c r="V42" s="200">
        <f>'3.переченьМРАД'!$W$494</f>
        <v>0</v>
      </c>
      <c r="W42" s="200">
        <v>0</v>
      </c>
      <c r="X42" s="200">
        <v>0</v>
      </c>
      <c r="Y42" s="165">
        <f t="shared" si="6"/>
        <v>42763</v>
      </c>
      <c r="Z42" s="200">
        <f>ROUND('3.переченьМРАД'!$AC$494,0)</f>
        <v>42763</v>
      </c>
      <c r="AA42" s="200">
        <f>'3.переченьМРАД'!$AB$494</f>
        <v>0</v>
      </c>
      <c r="AB42" s="200">
        <v>0</v>
      </c>
      <c r="AC42" s="200">
        <v>0</v>
      </c>
      <c r="AD42" s="165">
        <f>E42+J42+O42+T42+Y42</f>
        <v>132299</v>
      </c>
      <c r="AE42" s="365">
        <f>F44-'[2]3.меропр.'!F44</f>
        <v>20856.000720000011</v>
      </c>
      <c r="AF42" s="365">
        <f>G44-'[2]3.меропр.'!G44</f>
        <v>481646.99927999999</v>
      </c>
      <c r="AG42" s="365">
        <f>H44-'[2]3.меропр.'!H44</f>
        <v>126793</v>
      </c>
      <c r="AH42" s="366">
        <f>I44-'[2]3.меропр.'!I44</f>
        <v>0</v>
      </c>
    </row>
    <row r="43" spans="1:34" s="346" customFormat="1" ht="99" customHeight="1" outlineLevel="1" x14ac:dyDescent="0.25">
      <c r="A43" s="341">
        <v>22</v>
      </c>
      <c r="B43" s="341" t="s">
        <v>1254</v>
      </c>
      <c r="C43" s="371" t="s">
        <v>192</v>
      </c>
      <c r="D43" s="341">
        <v>2021</v>
      </c>
      <c r="E43" s="342">
        <f>F43+G43+H43+I43</f>
        <v>131302</v>
      </c>
      <c r="F43" s="343">
        <f>'3.переченьМРАД'!I496</f>
        <v>6302</v>
      </c>
      <c r="G43" s="343">
        <f>'3.переченьМРАД'!H496</f>
        <v>125000</v>
      </c>
      <c r="H43" s="343">
        <f>'3.переченьМРАД'!G496</f>
        <v>0</v>
      </c>
      <c r="I43" s="344">
        <v>0</v>
      </c>
      <c r="J43" s="342">
        <f t="shared" si="8"/>
        <v>0</v>
      </c>
      <c r="K43" s="343">
        <f>'3.переченьМРАД'!N496</f>
        <v>0</v>
      </c>
      <c r="L43" s="343">
        <f>'3.переченьМРАД'!M496</f>
        <v>0</v>
      </c>
      <c r="M43" s="343">
        <f>'3.переченьМРАД'!L496</f>
        <v>0</v>
      </c>
      <c r="N43" s="344">
        <v>0</v>
      </c>
      <c r="O43" s="342">
        <f t="shared" si="5"/>
        <v>0</v>
      </c>
      <c r="P43" s="343">
        <f>'3.переченьМРАД'!S496</f>
        <v>0</v>
      </c>
      <c r="Q43" s="343">
        <f>'3.переченьМРАД'!R496</f>
        <v>0</v>
      </c>
      <c r="R43" s="343">
        <f>'3.переченьМРАД'!Q496</f>
        <v>0</v>
      </c>
      <c r="S43" s="344">
        <v>0</v>
      </c>
      <c r="T43" s="342">
        <f t="shared" si="9"/>
        <v>0</v>
      </c>
      <c r="U43" s="345">
        <f>'3.переченьМРАД'!X496</f>
        <v>0</v>
      </c>
      <c r="V43" s="345">
        <f>'3.переченьМРАД'!W496</f>
        <v>0</v>
      </c>
      <c r="W43" s="345">
        <f>'3.переченьМРАД'!V496</f>
        <v>0</v>
      </c>
      <c r="X43" s="345">
        <v>0</v>
      </c>
      <c r="Y43" s="342">
        <f t="shared" si="6"/>
        <v>0</v>
      </c>
      <c r="Z43" s="345">
        <f>'3.переченьМРАД'!AC496</f>
        <v>0</v>
      </c>
      <c r="AA43" s="345">
        <f>'3.переченьМРАД'!AB496</f>
        <v>0</v>
      </c>
      <c r="AB43" s="345">
        <f>'3.переченьМРАД'!AA496</f>
        <v>0</v>
      </c>
      <c r="AC43" s="345">
        <v>0</v>
      </c>
      <c r="AD43" s="342">
        <f>E43+J43+O43+T43+Y43</f>
        <v>131302</v>
      </c>
      <c r="AE43" s="367"/>
      <c r="AF43" s="367"/>
      <c r="AG43" s="367"/>
      <c r="AH43" s="368"/>
    </row>
    <row r="44" spans="1:34" s="26" customFormat="1" ht="42" customHeight="1" x14ac:dyDescent="0.25">
      <c r="A44" s="477" t="s">
        <v>224</v>
      </c>
      <c r="B44" s="478"/>
      <c r="C44" s="479"/>
      <c r="D44" s="356"/>
      <c r="E44" s="165">
        <f>SUM(E34:E43)-E40-E38</f>
        <v>1408201</v>
      </c>
      <c r="F44" s="165">
        <f t="shared" ref="F44:S44" si="10">SUM(F34:F43)-F40-F38</f>
        <v>99761.000000000015</v>
      </c>
      <c r="G44" s="165">
        <f t="shared" si="10"/>
        <v>1181647</v>
      </c>
      <c r="H44" s="165">
        <f t="shared" si="10"/>
        <v>126793</v>
      </c>
      <c r="I44" s="165">
        <f t="shared" si="10"/>
        <v>0</v>
      </c>
      <c r="J44" s="165">
        <f t="shared" si="10"/>
        <v>911658</v>
      </c>
      <c r="K44" s="165">
        <f t="shared" si="10"/>
        <v>75887</v>
      </c>
      <c r="L44" s="165">
        <f t="shared" si="10"/>
        <v>797528</v>
      </c>
      <c r="M44" s="165">
        <f t="shared" si="10"/>
        <v>38243</v>
      </c>
      <c r="N44" s="165">
        <f t="shared" si="10"/>
        <v>0</v>
      </c>
      <c r="O44" s="165">
        <f t="shared" si="10"/>
        <v>770815</v>
      </c>
      <c r="P44" s="165">
        <f t="shared" si="10"/>
        <v>70815</v>
      </c>
      <c r="Q44" s="165">
        <f t="shared" si="10"/>
        <v>700000</v>
      </c>
      <c r="R44" s="165">
        <f t="shared" si="10"/>
        <v>0</v>
      </c>
      <c r="S44" s="165">
        <f t="shared" si="10"/>
        <v>0</v>
      </c>
      <c r="T44" s="165">
        <f>SUM(T34:T43)-T40-T38</f>
        <v>3082706</v>
      </c>
      <c r="U44" s="165">
        <f t="shared" ref="U44" si="11">SUM(U34:U43)-U40-U38</f>
        <v>345626</v>
      </c>
      <c r="V44" s="165">
        <f t="shared" ref="V44" si="12">SUM(V34:V43)-V40-V38</f>
        <v>2737080</v>
      </c>
      <c r="W44" s="165">
        <f t="shared" ref="W44" si="13">SUM(W34:W43)-W40-W38</f>
        <v>0</v>
      </c>
      <c r="X44" s="165">
        <f t="shared" ref="X44" si="14">SUM(X34:X43)-X40-X38</f>
        <v>0</v>
      </c>
      <c r="Y44" s="165">
        <f t="shared" ref="Y44" si="15">SUM(Y34:Y43)-Y40-Y38</f>
        <v>2507976</v>
      </c>
      <c r="Z44" s="165">
        <f t="shared" ref="Z44" si="16">SUM(Z34:Z43)-Z40-Z38</f>
        <v>188906</v>
      </c>
      <c r="AA44" s="165">
        <f t="shared" ref="AA44" si="17">SUM(AA34:AA43)-AA40-AA38</f>
        <v>2319070</v>
      </c>
      <c r="AB44" s="165">
        <f t="shared" ref="AB44" si="18">SUM(AB34:AB43)-AB40-AB38</f>
        <v>0</v>
      </c>
      <c r="AC44" s="165">
        <f t="shared" ref="AC44" si="19">SUM(AC34:AC43)-AC40-AC38</f>
        <v>0</v>
      </c>
      <c r="AD44" s="165">
        <f t="shared" ref="AD44" si="20">SUM(AD34:AD43)-AD40-AD38</f>
        <v>8681356</v>
      </c>
      <c r="AE44" s="53">
        <f>F44+K44+P44+U44+Z44</f>
        <v>780995</v>
      </c>
      <c r="AF44" s="53">
        <f>G44+L44+Q44+V44+AA44</f>
        <v>7735325</v>
      </c>
      <c r="AG44" s="53">
        <f>H44+M44+R44+W44+AB44</f>
        <v>165036</v>
      </c>
      <c r="AH44" s="53">
        <f>I44+N44+S44+X44+AC44</f>
        <v>0</v>
      </c>
    </row>
    <row r="45" spans="1:34" s="26" customFormat="1" ht="42" customHeight="1" x14ac:dyDescent="0.25">
      <c r="A45" s="476" t="s">
        <v>834</v>
      </c>
      <c r="B45" s="476"/>
      <c r="C45" s="476"/>
      <c r="D45" s="476"/>
      <c r="E45" s="476"/>
      <c r="F45" s="476"/>
      <c r="G45" s="476"/>
      <c r="H45" s="476"/>
      <c r="I45" s="476"/>
      <c r="J45" s="476"/>
      <c r="K45" s="476"/>
      <c r="L45" s="476"/>
      <c r="M45" s="476"/>
      <c r="N45" s="476"/>
      <c r="O45" s="476"/>
      <c r="P45" s="476"/>
      <c r="Q45" s="476"/>
      <c r="R45" s="476"/>
      <c r="S45" s="476"/>
      <c r="T45" s="476"/>
      <c r="U45" s="476"/>
      <c r="V45" s="476"/>
      <c r="W45" s="476"/>
      <c r="X45" s="476"/>
      <c r="Y45" s="476"/>
      <c r="Z45" s="476"/>
      <c r="AA45" s="476"/>
      <c r="AB45" s="476"/>
      <c r="AC45" s="476"/>
      <c r="AD45" s="476"/>
      <c r="AE45" s="359"/>
      <c r="AF45" s="369"/>
      <c r="AG45" s="369"/>
      <c r="AH45" s="369"/>
    </row>
    <row r="46" spans="1:34" s="119" customFormat="1" ht="37.950000000000003" customHeight="1" x14ac:dyDescent="0.25">
      <c r="A46" s="484" t="s">
        <v>1251</v>
      </c>
      <c r="B46" s="485"/>
      <c r="C46" s="485"/>
      <c r="D46" s="485"/>
      <c r="E46" s="485"/>
      <c r="F46" s="485"/>
      <c r="G46" s="485"/>
      <c r="H46" s="485"/>
      <c r="I46" s="485"/>
      <c r="J46" s="485"/>
      <c r="K46" s="485"/>
      <c r="L46" s="485"/>
      <c r="M46" s="485"/>
      <c r="N46" s="485"/>
      <c r="O46" s="485"/>
      <c r="P46" s="485"/>
      <c r="Q46" s="485"/>
      <c r="R46" s="485"/>
      <c r="S46" s="485"/>
      <c r="T46" s="485"/>
      <c r="U46" s="485"/>
      <c r="V46" s="485"/>
      <c r="W46" s="485"/>
      <c r="X46" s="485"/>
      <c r="Y46" s="485"/>
      <c r="Z46" s="485"/>
      <c r="AA46" s="485"/>
      <c r="AB46" s="485"/>
      <c r="AC46" s="485"/>
      <c r="AD46" s="486"/>
      <c r="AE46" s="370"/>
      <c r="AF46" s="370"/>
      <c r="AG46" s="370"/>
      <c r="AH46" s="370"/>
    </row>
    <row r="47" spans="1:34" s="119" customFormat="1" ht="36" customHeight="1" x14ac:dyDescent="0.25">
      <c r="A47" s="502" t="s">
        <v>833</v>
      </c>
      <c r="B47" s="502"/>
      <c r="C47" s="502"/>
      <c r="D47" s="502"/>
      <c r="E47" s="502"/>
      <c r="F47" s="502"/>
      <c r="G47" s="502"/>
      <c r="H47" s="502"/>
      <c r="I47" s="502"/>
      <c r="J47" s="502"/>
      <c r="K47" s="502"/>
      <c r="L47" s="502"/>
      <c r="M47" s="502"/>
      <c r="N47" s="502"/>
      <c r="O47" s="502"/>
      <c r="P47" s="502"/>
      <c r="Q47" s="502"/>
      <c r="R47" s="502"/>
      <c r="S47" s="502"/>
      <c r="T47" s="502"/>
      <c r="U47" s="502"/>
      <c r="V47" s="502"/>
      <c r="W47" s="502"/>
      <c r="X47" s="502"/>
      <c r="Y47" s="502"/>
      <c r="Z47" s="502"/>
      <c r="AA47" s="502"/>
      <c r="AB47" s="502"/>
      <c r="AC47" s="502"/>
      <c r="AD47" s="502"/>
      <c r="AE47" s="370"/>
      <c r="AF47" s="370"/>
      <c r="AG47" s="370"/>
      <c r="AH47" s="370"/>
    </row>
    <row r="48" spans="1:34" s="119" customFormat="1" ht="36.6" customHeight="1" outlineLevel="1" x14ac:dyDescent="0.25">
      <c r="A48" s="502" t="s">
        <v>226</v>
      </c>
      <c r="B48" s="502"/>
      <c r="C48" s="502"/>
      <c r="D48" s="502"/>
      <c r="E48" s="502"/>
      <c r="F48" s="502"/>
      <c r="G48" s="502"/>
      <c r="H48" s="502"/>
      <c r="I48" s="502"/>
      <c r="J48" s="502"/>
      <c r="K48" s="502"/>
      <c r="L48" s="502"/>
      <c r="M48" s="502"/>
      <c r="N48" s="502"/>
      <c r="O48" s="502"/>
      <c r="P48" s="502"/>
      <c r="Q48" s="502"/>
      <c r="R48" s="502"/>
      <c r="S48" s="502"/>
      <c r="T48" s="502"/>
      <c r="U48" s="502"/>
      <c r="V48" s="502"/>
      <c r="W48" s="502"/>
      <c r="X48" s="502"/>
      <c r="Y48" s="502"/>
      <c r="Z48" s="502"/>
      <c r="AA48" s="502"/>
      <c r="AB48" s="502"/>
      <c r="AC48" s="502"/>
      <c r="AD48" s="502"/>
      <c r="AE48" s="370"/>
      <c r="AF48" s="370"/>
      <c r="AG48" s="370"/>
      <c r="AH48" s="370"/>
    </row>
    <row r="49" spans="1:34" s="5" customFormat="1" ht="181.95" customHeight="1" outlineLevel="1" x14ac:dyDescent="0.25">
      <c r="A49" s="357">
        <v>23</v>
      </c>
      <c r="B49" s="356" t="s">
        <v>1017</v>
      </c>
      <c r="C49" s="213" t="s">
        <v>187</v>
      </c>
      <c r="D49" s="351" t="s">
        <v>178</v>
      </c>
      <c r="E49" s="165">
        <f>F49+G49+H49+I49</f>
        <v>265702</v>
      </c>
      <c r="F49" s="200">
        <f>390702-125000</f>
        <v>265702</v>
      </c>
      <c r="G49" s="200"/>
      <c r="H49" s="200">
        <v>0</v>
      </c>
      <c r="I49" s="200">
        <v>0</v>
      </c>
      <c r="J49" s="165">
        <f>K49+L49+M49+N49</f>
        <v>390702</v>
      </c>
      <c r="K49" s="200">
        <v>390702</v>
      </c>
      <c r="L49" s="200">
        <v>0</v>
      </c>
      <c r="M49" s="200">
        <v>0</v>
      </c>
      <c r="N49" s="200">
        <v>0</v>
      </c>
      <c r="O49" s="165">
        <f>P49+Q49+R49+S49</f>
        <v>390702</v>
      </c>
      <c r="P49" s="200">
        <v>390702</v>
      </c>
      <c r="Q49" s="200">
        <v>0</v>
      </c>
      <c r="R49" s="200">
        <v>0</v>
      </c>
      <c r="S49" s="200">
        <v>0</v>
      </c>
      <c r="T49" s="165">
        <f>U49+V49+W49+X49</f>
        <v>406330</v>
      </c>
      <c r="U49" s="200">
        <f>ROUND(P49*104%,0)</f>
        <v>406330</v>
      </c>
      <c r="V49" s="200">
        <v>0</v>
      </c>
      <c r="W49" s="200">
        <v>0</v>
      </c>
      <c r="X49" s="200">
        <v>0</v>
      </c>
      <c r="Y49" s="165">
        <f>Z49+AA49+AB49+AC49</f>
        <v>422583</v>
      </c>
      <c r="Z49" s="200">
        <f>ROUND(U49*104%,0)</f>
        <v>422583</v>
      </c>
      <c r="AA49" s="200">
        <v>0</v>
      </c>
      <c r="AB49" s="200">
        <v>0</v>
      </c>
      <c r="AC49" s="200">
        <v>0</v>
      </c>
      <c r="AD49" s="165">
        <f t="shared" ref="AD49:AH50" si="21">E49+J49+O49+T49+Y49</f>
        <v>1876019</v>
      </c>
      <c r="AE49" s="199">
        <f t="shared" si="21"/>
        <v>1876019</v>
      </c>
      <c r="AF49" s="199">
        <f t="shared" si="21"/>
        <v>0</v>
      </c>
      <c r="AG49" s="199">
        <f t="shared" si="21"/>
        <v>0</v>
      </c>
      <c r="AH49" s="199">
        <f t="shared" si="21"/>
        <v>0</v>
      </c>
    </row>
    <row r="50" spans="1:34" s="5" customFormat="1" ht="102.6" customHeight="1" outlineLevel="1" x14ac:dyDescent="0.25">
      <c r="A50" s="357">
        <v>24</v>
      </c>
      <c r="B50" s="356" t="s">
        <v>227</v>
      </c>
      <c r="C50" s="213" t="s">
        <v>187</v>
      </c>
      <c r="D50" s="351" t="s">
        <v>178</v>
      </c>
      <c r="E50" s="165">
        <v>846</v>
      </c>
      <c r="F50" s="200">
        <v>846</v>
      </c>
      <c r="G50" s="200">
        <v>0</v>
      </c>
      <c r="H50" s="200">
        <v>0</v>
      </c>
      <c r="I50" s="200">
        <v>0</v>
      </c>
      <c r="J50" s="165">
        <f>K50+L50+M50+N50</f>
        <v>846</v>
      </c>
      <c r="K50" s="200">
        <v>846</v>
      </c>
      <c r="L50" s="200">
        <v>0</v>
      </c>
      <c r="M50" s="200">
        <v>0</v>
      </c>
      <c r="N50" s="200">
        <v>0</v>
      </c>
      <c r="O50" s="165">
        <f>P50+Q50+R50+S50</f>
        <v>846</v>
      </c>
      <c r="P50" s="200">
        <v>846</v>
      </c>
      <c r="Q50" s="200">
        <v>0</v>
      </c>
      <c r="R50" s="200">
        <v>0</v>
      </c>
      <c r="S50" s="200">
        <v>0</v>
      </c>
      <c r="T50" s="165">
        <f>U50+V50+W50+X50</f>
        <v>880</v>
      </c>
      <c r="U50" s="200">
        <f>ROUND(P50*104%,0)</f>
        <v>880</v>
      </c>
      <c r="V50" s="200">
        <v>0</v>
      </c>
      <c r="W50" s="200">
        <v>0</v>
      </c>
      <c r="X50" s="200">
        <v>0</v>
      </c>
      <c r="Y50" s="165">
        <f>Z50</f>
        <v>915</v>
      </c>
      <c r="Z50" s="200">
        <f>ROUND(U50*104%,0)</f>
        <v>915</v>
      </c>
      <c r="AA50" s="200">
        <v>0</v>
      </c>
      <c r="AB50" s="200">
        <v>0</v>
      </c>
      <c r="AC50" s="200">
        <v>0</v>
      </c>
      <c r="AD50" s="165">
        <f t="shared" si="21"/>
        <v>4333</v>
      </c>
      <c r="AE50" s="199">
        <f t="shared" si="21"/>
        <v>4333</v>
      </c>
      <c r="AF50" s="199">
        <f t="shared" si="21"/>
        <v>0</v>
      </c>
      <c r="AG50" s="199">
        <f t="shared" si="21"/>
        <v>0</v>
      </c>
      <c r="AH50" s="199">
        <f t="shared" si="21"/>
        <v>0</v>
      </c>
    </row>
    <row r="51" spans="1:34" s="5" customFormat="1" ht="36.6" customHeight="1" outlineLevel="1" x14ac:dyDescent="0.25">
      <c r="A51" s="502" t="s">
        <v>228</v>
      </c>
      <c r="B51" s="502"/>
      <c r="C51" s="502"/>
      <c r="D51" s="502"/>
      <c r="E51" s="502"/>
      <c r="F51" s="502"/>
      <c r="G51" s="502"/>
      <c r="H51" s="502"/>
      <c r="I51" s="502"/>
      <c r="J51" s="502"/>
      <c r="K51" s="502"/>
      <c r="L51" s="502"/>
      <c r="M51" s="502"/>
      <c r="N51" s="502"/>
      <c r="O51" s="502"/>
      <c r="P51" s="502"/>
      <c r="Q51" s="502"/>
      <c r="R51" s="502"/>
      <c r="S51" s="502"/>
      <c r="T51" s="502"/>
      <c r="U51" s="502"/>
      <c r="V51" s="502"/>
      <c r="W51" s="502"/>
      <c r="X51" s="502"/>
      <c r="Y51" s="502"/>
      <c r="Z51" s="502"/>
      <c r="AA51" s="502"/>
      <c r="AB51" s="502"/>
      <c r="AC51" s="502"/>
      <c r="AD51" s="502"/>
      <c r="AE51" s="201"/>
      <c r="AF51" s="116"/>
      <c r="AG51" s="116"/>
      <c r="AH51" s="116"/>
    </row>
    <row r="52" spans="1:34" s="5" customFormat="1" ht="96.6" customHeight="1" outlineLevel="1" x14ac:dyDescent="0.25">
      <c r="A52" s="357">
        <v>25</v>
      </c>
      <c r="B52" s="356" t="s">
        <v>229</v>
      </c>
      <c r="C52" s="213" t="s">
        <v>187</v>
      </c>
      <c r="D52" s="351" t="s">
        <v>178</v>
      </c>
      <c r="E52" s="165">
        <f>F52+G52+H52+I52</f>
        <v>30000</v>
      </c>
      <c r="F52" s="200">
        <v>30000</v>
      </c>
      <c r="G52" s="200">
        <v>0</v>
      </c>
      <c r="H52" s="200">
        <v>0</v>
      </c>
      <c r="I52" s="200">
        <v>0</v>
      </c>
      <c r="J52" s="165">
        <f>K52+L52+M52+N52</f>
        <v>30000</v>
      </c>
      <c r="K52" s="200">
        <v>30000</v>
      </c>
      <c r="L52" s="200">
        <v>0</v>
      </c>
      <c r="M52" s="200">
        <v>0</v>
      </c>
      <c r="N52" s="200">
        <v>0</v>
      </c>
      <c r="O52" s="165">
        <f>P52+Q52+R52+S52</f>
        <v>30000</v>
      </c>
      <c r="P52" s="200">
        <v>30000</v>
      </c>
      <c r="Q52" s="200">
        <v>0</v>
      </c>
      <c r="R52" s="200">
        <v>0</v>
      </c>
      <c r="S52" s="200">
        <v>0</v>
      </c>
      <c r="T52" s="165">
        <f>U52+V52</f>
        <v>31200</v>
      </c>
      <c r="U52" s="200">
        <f>ROUND(P52*104%,1)</f>
        <v>31200</v>
      </c>
      <c r="V52" s="200">
        <v>0</v>
      </c>
      <c r="W52" s="200">
        <v>0</v>
      </c>
      <c r="X52" s="200">
        <v>0</v>
      </c>
      <c r="Y52" s="165">
        <f>Z52+AA52</f>
        <v>32448</v>
      </c>
      <c r="Z52" s="200">
        <f>ROUND(U52*104%,1)</f>
        <v>32448</v>
      </c>
      <c r="AA52" s="200">
        <v>0</v>
      </c>
      <c r="AB52" s="200">
        <v>0</v>
      </c>
      <c r="AC52" s="200">
        <v>0</v>
      </c>
      <c r="AD52" s="165">
        <f>E52+J52+O52+T52+Y52</f>
        <v>153648</v>
      </c>
      <c r="AE52" s="199">
        <f>F52+K52+P52+U52+Z52</f>
        <v>153648</v>
      </c>
      <c r="AF52" s="199">
        <f>G52+L52+Q52+V52+AA52</f>
        <v>0</v>
      </c>
      <c r="AG52" s="199">
        <f>H52+M52+R52+W52+AB52</f>
        <v>0</v>
      </c>
      <c r="AH52" s="199">
        <f>I52+N52+S52+X52+AC52</f>
        <v>0</v>
      </c>
    </row>
    <row r="53" spans="1:34" s="5" customFormat="1" ht="94.2" customHeight="1" outlineLevel="1" x14ac:dyDescent="0.25">
      <c r="A53" s="357">
        <v>26</v>
      </c>
      <c r="B53" s="356" t="s">
        <v>1064</v>
      </c>
      <c r="C53" s="213" t="s">
        <v>187</v>
      </c>
      <c r="D53" s="351">
        <v>2021</v>
      </c>
      <c r="E53" s="165">
        <f>F53+G53+H53+I53</f>
        <v>8695</v>
      </c>
      <c r="F53" s="200">
        <v>8695</v>
      </c>
      <c r="G53" s="200">
        <v>0</v>
      </c>
      <c r="H53" s="200">
        <v>0</v>
      </c>
      <c r="I53" s="200">
        <v>0</v>
      </c>
      <c r="J53" s="165">
        <f>K53+L53+M53+N53</f>
        <v>0</v>
      </c>
      <c r="K53" s="200">
        <v>0</v>
      </c>
      <c r="L53" s="200">
        <v>0</v>
      </c>
      <c r="M53" s="200">
        <v>0</v>
      </c>
      <c r="N53" s="200">
        <v>0</v>
      </c>
      <c r="O53" s="165">
        <f>P53+Q53+R53+S53</f>
        <v>0</v>
      </c>
      <c r="P53" s="200">
        <v>0</v>
      </c>
      <c r="Q53" s="200">
        <v>0</v>
      </c>
      <c r="R53" s="200">
        <v>0</v>
      </c>
      <c r="S53" s="200">
        <v>0</v>
      </c>
      <c r="T53" s="165">
        <f>U53+V53+W53+X53</f>
        <v>0</v>
      </c>
      <c r="U53" s="200">
        <v>0</v>
      </c>
      <c r="V53" s="200">
        <v>0</v>
      </c>
      <c r="W53" s="200">
        <v>0</v>
      </c>
      <c r="X53" s="200">
        <v>0</v>
      </c>
      <c r="Y53" s="165">
        <f>Z53+AA53+AB53+AC53</f>
        <v>0</v>
      </c>
      <c r="Z53" s="200">
        <v>0</v>
      </c>
      <c r="AA53" s="200">
        <v>0</v>
      </c>
      <c r="AB53" s="200">
        <v>0</v>
      </c>
      <c r="AC53" s="200">
        <v>0</v>
      </c>
      <c r="AD53" s="165">
        <f>E53+J53+O53+T53+Y53</f>
        <v>8695</v>
      </c>
      <c r="AE53" s="199"/>
      <c r="AF53" s="199"/>
      <c r="AG53" s="199"/>
      <c r="AH53" s="199"/>
    </row>
    <row r="54" spans="1:34" s="5" customFormat="1" ht="93" customHeight="1" outlineLevel="1" x14ac:dyDescent="0.25">
      <c r="A54" s="357">
        <v>27</v>
      </c>
      <c r="B54" s="356" t="s">
        <v>1047</v>
      </c>
      <c r="C54" s="213" t="s">
        <v>187</v>
      </c>
      <c r="D54" s="351">
        <v>2021</v>
      </c>
      <c r="E54" s="165">
        <f>F54+G54+H54+I54</f>
        <v>625</v>
      </c>
      <c r="F54" s="200">
        <v>625</v>
      </c>
      <c r="G54" s="200">
        <v>0</v>
      </c>
      <c r="H54" s="200">
        <v>0</v>
      </c>
      <c r="I54" s="200">
        <v>0</v>
      </c>
      <c r="J54" s="165">
        <f>K54+L54+M54+N54</f>
        <v>0</v>
      </c>
      <c r="K54" s="200">
        <v>0</v>
      </c>
      <c r="L54" s="200">
        <v>0</v>
      </c>
      <c r="M54" s="200">
        <v>0</v>
      </c>
      <c r="N54" s="200">
        <v>0</v>
      </c>
      <c r="O54" s="165">
        <f>P54+Q54+R54+S54</f>
        <v>0</v>
      </c>
      <c r="P54" s="200">
        <v>0</v>
      </c>
      <c r="Q54" s="200">
        <v>0</v>
      </c>
      <c r="R54" s="200">
        <v>0</v>
      </c>
      <c r="S54" s="200">
        <v>0</v>
      </c>
      <c r="T54" s="165">
        <f>U54+V54+W54+X54</f>
        <v>0</v>
      </c>
      <c r="U54" s="200">
        <v>0</v>
      </c>
      <c r="V54" s="200">
        <v>0</v>
      </c>
      <c r="W54" s="200">
        <v>0</v>
      </c>
      <c r="X54" s="200">
        <v>0</v>
      </c>
      <c r="Y54" s="165">
        <f>Z54+AA54+AB54+AC54</f>
        <v>0</v>
      </c>
      <c r="Z54" s="200">
        <v>0</v>
      </c>
      <c r="AA54" s="200">
        <v>0</v>
      </c>
      <c r="AB54" s="200">
        <v>0</v>
      </c>
      <c r="AC54" s="200">
        <v>0</v>
      </c>
      <c r="AD54" s="165">
        <f>E54+J54+O54+T54+Y54</f>
        <v>625</v>
      </c>
      <c r="AE54" s="199"/>
      <c r="AF54" s="199"/>
      <c r="AG54" s="199"/>
      <c r="AH54" s="199"/>
    </row>
    <row r="55" spans="1:34" s="5" customFormat="1" ht="39" customHeight="1" outlineLevel="1" x14ac:dyDescent="0.25">
      <c r="A55" s="477" t="s">
        <v>230</v>
      </c>
      <c r="B55" s="478"/>
      <c r="C55" s="479"/>
      <c r="D55" s="56"/>
      <c r="E55" s="165">
        <f t="shared" ref="E55:X55" si="22">SUM(E49:E54)</f>
        <v>305868</v>
      </c>
      <c r="F55" s="165">
        <f t="shared" si="22"/>
        <v>305868</v>
      </c>
      <c r="G55" s="165">
        <f t="shared" si="22"/>
        <v>0</v>
      </c>
      <c r="H55" s="165">
        <f t="shared" si="22"/>
        <v>0</v>
      </c>
      <c r="I55" s="165">
        <f t="shared" si="22"/>
        <v>0</v>
      </c>
      <c r="J55" s="165">
        <f t="shared" si="22"/>
        <v>421548</v>
      </c>
      <c r="K55" s="165">
        <f t="shared" si="22"/>
        <v>421548</v>
      </c>
      <c r="L55" s="165">
        <f t="shared" si="22"/>
        <v>0</v>
      </c>
      <c r="M55" s="165">
        <f t="shared" si="22"/>
        <v>0</v>
      </c>
      <c r="N55" s="165">
        <f t="shared" si="22"/>
        <v>0</v>
      </c>
      <c r="O55" s="165">
        <f t="shared" si="22"/>
        <v>421548</v>
      </c>
      <c r="P55" s="165">
        <f t="shared" si="22"/>
        <v>421548</v>
      </c>
      <c r="Q55" s="165">
        <f t="shared" si="22"/>
        <v>0</v>
      </c>
      <c r="R55" s="165">
        <f t="shared" si="22"/>
        <v>0</v>
      </c>
      <c r="S55" s="165">
        <f t="shared" si="22"/>
        <v>0</v>
      </c>
      <c r="T55" s="165">
        <f t="shared" si="22"/>
        <v>438410</v>
      </c>
      <c r="U55" s="165">
        <f t="shared" si="22"/>
        <v>438410</v>
      </c>
      <c r="V55" s="165">
        <f t="shared" si="22"/>
        <v>0</v>
      </c>
      <c r="W55" s="165">
        <f t="shared" si="22"/>
        <v>0</v>
      </c>
      <c r="X55" s="165">
        <f t="shared" si="22"/>
        <v>0</v>
      </c>
      <c r="Y55" s="165">
        <f t="shared" ref="Y55:AD55" si="23">SUM(Y49:Y54)</f>
        <v>455946</v>
      </c>
      <c r="Z55" s="165">
        <f t="shared" si="23"/>
        <v>455946</v>
      </c>
      <c r="AA55" s="165">
        <f t="shared" si="23"/>
        <v>0</v>
      </c>
      <c r="AB55" s="165">
        <f t="shared" si="23"/>
        <v>0</v>
      </c>
      <c r="AC55" s="165">
        <f t="shared" si="23"/>
        <v>0</v>
      </c>
      <c r="AD55" s="165">
        <f t="shared" si="23"/>
        <v>2043320</v>
      </c>
      <c r="AE55" s="199">
        <f>F55+K55+P55+U55+Z55</f>
        <v>2043320</v>
      </c>
      <c r="AF55" s="199">
        <f>G55+L55+Q55+V55+AA55</f>
        <v>0</v>
      </c>
      <c r="AG55" s="199">
        <f>H55+M55+R55+W55+AB55</f>
        <v>0</v>
      </c>
      <c r="AH55" s="199">
        <f>I55+N55+S55+X55+AC55</f>
        <v>0</v>
      </c>
    </row>
    <row r="56" spans="1:34" s="5" customFormat="1" ht="39" customHeight="1" outlineLevel="1" x14ac:dyDescent="0.25">
      <c r="A56" s="476" t="s">
        <v>706</v>
      </c>
      <c r="B56" s="476"/>
      <c r="C56" s="476"/>
      <c r="D56" s="476"/>
      <c r="E56" s="476"/>
      <c r="F56" s="476"/>
      <c r="G56" s="476"/>
      <c r="H56" s="476"/>
      <c r="I56" s="476"/>
      <c r="J56" s="476"/>
      <c r="K56" s="476"/>
      <c r="L56" s="476"/>
      <c r="M56" s="476"/>
      <c r="N56" s="476"/>
      <c r="O56" s="476"/>
      <c r="P56" s="476"/>
      <c r="Q56" s="476"/>
      <c r="R56" s="476"/>
      <c r="S56" s="476"/>
      <c r="T56" s="476"/>
      <c r="U56" s="476"/>
      <c r="V56" s="476"/>
      <c r="W56" s="476"/>
      <c r="X56" s="476"/>
      <c r="Y56" s="476"/>
      <c r="Z56" s="476"/>
      <c r="AA56" s="476"/>
      <c r="AB56" s="476"/>
      <c r="AC56" s="476"/>
      <c r="AD56" s="476"/>
      <c r="AE56" s="202"/>
      <c r="AF56" s="202"/>
      <c r="AG56" s="202"/>
      <c r="AH56" s="202"/>
    </row>
    <row r="57" spans="1:34" s="202" customFormat="1" ht="38.4" customHeight="1" outlineLevel="1" x14ac:dyDescent="0.25">
      <c r="A57" s="503" t="s">
        <v>780</v>
      </c>
      <c r="B57" s="503"/>
      <c r="C57" s="503"/>
      <c r="D57" s="503"/>
      <c r="E57" s="503"/>
      <c r="F57" s="503"/>
      <c r="G57" s="503"/>
      <c r="H57" s="503"/>
      <c r="I57" s="503"/>
      <c r="J57" s="503"/>
      <c r="K57" s="503"/>
      <c r="L57" s="503"/>
      <c r="M57" s="503"/>
      <c r="N57" s="503"/>
      <c r="O57" s="503"/>
      <c r="P57" s="503"/>
      <c r="Q57" s="503"/>
      <c r="R57" s="503"/>
      <c r="S57" s="503"/>
      <c r="T57" s="503"/>
      <c r="U57" s="503"/>
      <c r="V57" s="503"/>
      <c r="W57" s="503"/>
      <c r="X57" s="503"/>
      <c r="Y57" s="503"/>
      <c r="Z57" s="503"/>
      <c r="AA57" s="503"/>
      <c r="AB57" s="503"/>
      <c r="AC57" s="503"/>
      <c r="AD57" s="503"/>
      <c r="AE57" s="5"/>
      <c r="AF57" s="5"/>
      <c r="AG57" s="5"/>
      <c r="AH57" s="5"/>
    </row>
    <row r="58" spans="1:34" s="5" customFormat="1" ht="34.200000000000003" customHeight="1" x14ac:dyDescent="0.25">
      <c r="A58" s="502" t="s">
        <v>182</v>
      </c>
      <c r="B58" s="502"/>
      <c r="C58" s="502"/>
      <c r="D58" s="502"/>
      <c r="E58" s="502"/>
      <c r="F58" s="502"/>
      <c r="G58" s="502"/>
      <c r="H58" s="502"/>
      <c r="I58" s="502"/>
      <c r="J58" s="502"/>
      <c r="K58" s="502"/>
      <c r="L58" s="502"/>
      <c r="M58" s="502"/>
      <c r="N58" s="502"/>
      <c r="O58" s="502"/>
      <c r="P58" s="502"/>
      <c r="Q58" s="502"/>
      <c r="R58" s="502"/>
      <c r="S58" s="502"/>
      <c r="T58" s="502"/>
      <c r="U58" s="502"/>
      <c r="V58" s="502"/>
      <c r="W58" s="502"/>
      <c r="X58" s="502"/>
      <c r="Y58" s="502"/>
      <c r="Z58" s="502"/>
      <c r="AA58" s="502"/>
      <c r="AB58" s="502"/>
      <c r="AC58" s="502"/>
      <c r="AD58" s="502"/>
      <c r="AE58" s="203"/>
      <c r="AF58" s="203"/>
      <c r="AG58" s="203"/>
      <c r="AH58" s="203"/>
    </row>
    <row r="59" spans="1:34" s="5" customFormat="1" ht="42" customHeight="1" x14ac:dyDescent="0.25">
      <c r="A59" s="502" t="s">
        <v>181</v>
      </c>
      <c r="B59" s="502"/>
      <c r="C59" s="502"/>
      <c r="D59" s="502"/>
      <c r="E59" s="502"/>
      <c r="F59" s="502"/>
      <c r="G59" s="502"/>
      <c r="H59" s="502"/>
      <c r="I59" s="502"/>
      <c r="J59" s="502"/>
      <c r="K59" s="502"/>
      <c r="L59" s="502"/>
      <c r="M59" s="502"/>
      <c r="N59" s="502"/>
      <c r="O59" s="502"/>
      <c r="P59" s="502"/>
      <c r="Q59" s="502"/>
      <c r="R59" s="502"/>
      <c r="S59" s="502"/>
      <c r="T59" s="502"/>
      <c r="U59" s="502"/>
      <c r="V59" s="502"/>
      <c r="W59" s="502"/>
      <c r="X59" s="502"/>
      <c r="Y59" s="502"/>
      <c r="Z59" s="502"/>
      <c r="AA59" s="502"/>
      <c r="AB59" s="502"/>
      <c r="AC59" s="502"/>
      <c r="AD59" s="502"/>
      <c r="AE59" s="203"/>
      <c r="AF59" s="203"/>
      <c r="AG59" s="203"/>
      <c r="AH59" s="203"/>
    </row>
    <row r="60" spans="1:34" s="5" customFormat="1" ht="96" customHeight="1" x14ac:dyDescent="0.25">
      <c r="A60" s="357">
        <v>28</v>
      </c>
      <c r="B60" s="351" t="s">
        <v>180</v>
      </c>
      <c r="C60" s="213" t="s">
        <v>179</v>
      </c>
      <c r="D60" s="351" t="s">
        <v>178</v>
      </c>
      <c r="E60" s="165">
        <f>F60+G60+H60+I60</f>
        <v>112</v>
      </c>
      <c r="F60" s="200">
        <v>0</v>
      </c>
      <c r="G60" s="200">
        <v>0</v>
      </c>
      <c r="H60" s="200">
        <v>0</v>
      </c>
      <c r="I60" s="200">
        <v>112</v>
      </c>
      <c r="J60" s="165">
        <f>K60+L60+M60+N60</f>
        <v>112</v>
      </c>
      <c r="K60" s="200">
        <v>0</v>
      </c>
      <c r="L60" s="200">
        <v>0</v>
      </c>
      <c r="M60" s="200">
        <v>0</v>
      </c>
      <c r="N60" s="200">
        <v>112</v>
      </c>
      <c r="O60" s="165">
        <f>P60+Q60+R60+S60</f>
        <v>112</v>
      </c>
      <c r="P60" s="200">
        <v>0</v>
      </c>
      <c r="Q60" s="200">
        <v>0</v>
      </c>
      <c r="R60" s="200">
        <v>0</v>
      </c>
      <c r="S60" s="200">
        <v>112</v>
      </c>
      <c r="T60" s="165">
        <f>U60+V60+W60+X60</f>
        <v>112</v>
      </c>
      <c r="U60" s="200">
        <v>0</v>
      </c>
      <c r="V60" s="200">
        <v>0</v>
      </c>
      <c r="W60" s="200">
        <v>0</v>
      </c>
      <c r="X60" s="200">
        <v>112</v>
      </c>
      <c r="Y60" s="165">
        <f>Z60+AA60+AB60+AC60</f>
        <v>112</v>
      </c>
      <c r="Z60" s="200">
        <v>0</v>
      </c>
      <c r="AA60" s="200">
        <v>0</v>
      </c>
      <c r="AB60" s="200">
        <v>0</v>
      </c>
      <c r="AC60" s="200">
        <v>112</v>
      </c>
      <c r="AD60" s="165">
        <f>E60+J60+O60+T60+Y60</f>
        <v>560</v>
      </c>
    </row>
    <row r="61" spans="1:34" s="5" customFormat="1" ht="42" customHeight="1" x14ac:dyDescent="0.25">
      <c r="A61" s="469" t="s">
        <v>794</v>
      </c>
      <c r="B61" s="470"/>
      <c r="C61" s="470"/>
      <c r="D61" s="470"/>
      <c r="E61" s="470"/>
      <c r="F61" s="470"/>
      <c r="G61" s="470"/>
      <c r="H61" s="470"/>
      <c r="I61" s="470"/>
      <c r="J61" s="470"/>
      <c r="K61" s="470"/>
      <c r="L61" s="470"/>
      <c r="M61" s="470"/>
      <c r="N61" s="470"/>
      <c r="O61" s="470"/>
      <c r="P61" s="470"/>
      <c r="Q61" s="470"/>
      <c r="R61" s="470"/>
      <c r="S61" s="470"/>
      <c r="T61" s="470"/>
      <c r="U61" s="470"/>
      <c r="V61" s="470"/>
      <c r="W61" s="470"/>
      <c r="X61" s="470"/>
      <c r="Y61" s="470"/>
      <c r="Z61" s="470"/>
      <c r="AA61" s="470"/>
      <c r="AB61" s="470"/>
      <c r="AC61" s="470"/>
      <c r="AD61" s="471"/>
    </row>
    <row r="62" spans="1:34" s="116" customFormat="1" ht="151.19999999999999" customHeight="1" x14ac:dyDescent="0.25">
      <c r="A62" s="357">
        <v>29</v>
      </c>
      <c r="B62" s="168" t="s">
        <v>778</v>
      </c>
      <c r="C62" s="213" t="s">
        <v>179</v>
      </c>
      <c r="D62" s="351">
        <v>2021</v>
      </c>
      <c r="E62" s="165">
        <f>F62+G62+H62+I62</f>
        <v>25743</v>
      </c>
      <c r="F62" s="200">
        <v>25743</v>
      </c>
      <c r="G62" s="200">
        <v>0</v>
      </c>
      <c r="H62" s="200">
        <v>0</v>
      </c>
      <c r="I62" s="200">
        <v>0</v>
      </c>
      <c r="J62" s="165">
        <f>K62+L62+M62+N62</f>
        <v>0</v>
      </c>
      <c r="K62" s="200">
        <v>0</v>
      </c>
      <c r="L62" s="200">
        <v>0</v>
      </c>
      <c r="M62" s="200">
        <v>0</v>
      </c>
      <c r="N62" s="200">
        <v>0</v>
      </c>
      <c r="O62" s="165">
        <v>0</v>
      </c>
      <c r="P62" s="200">
        <v>0</v>
      </c>
      <c r="Q62" s="200">
        <v>0</v>
      </c>
      <c r="R62" s="200">
        <v>0</v>
      </c>
      <c r="S62" s="200">
        <v>0</v>
      </c>
      <c r="T62" s="165">
        <f>U62+V62+W62+X62</f>
        <v>0</v>
      </c>
      <c r="U62" s="200">
        <v>0</v>
      </c>
      <c r="V62" s="200">
        <v>0</v>
      </c>
      <c r="W62" s="200">
        <v>0</v>
      </c>
      <c r="X62" s="200">
        <v>0</v>
      </c>
      <c r="Y62" s="165">
        <f>Z62+AA62+AB62+AC62</f>
        <v>0</v>
      </c>
      <c r="Z62" s="200">
        <v>0</v>
      </c>
      <c r="AA62" s="200">
        <v>0</v>
      </c>
      <c r="AB62" s="200">
        <v>0</v>
      </c>
      <c r="AC62" s="200">
        <v>0</v>
      </c>
      <c r="AD62" s="165">
        <f>E62+J62+O62+T62+Y62</f>
        <v>25743</v>
      </c>
      <c r="AE62" s="5"/>
      <c r="AF62" s="5"/>
      <c r="AG62" s="5"/>
      <c r="AH62" s="5"/>
    </row>
    <row r="63" spans="1:34" s="116" customFormat="1" ht="86.4" customHeight="1" x14ac:dyDescent="0.25">
      <c r="A63" s="357">
        <v>30</v>
      </c>
      <c r="B63" s="204" t="s">
        <v>1296</v>
      </c>
      <c r="C63" s="213" t="s">
        <v>179</v>
      </c>
      <c r="D63" s="351" t="s">
        <v>791</v>
      </c>
      <c r="E63" s="165">
        <v>0</v>
      </c>
      <c r="F63" s="200">
        <v>0</v>
      </c>
      <c r="G63" s="200">
        <v>0</v>
      </c>
      <c r="H63" s="200">
        <v>0</v>
      </c>
      <c r="I63" s="200">
        <v>0</v>
      </c>
      <c r="J63" s="165">
        <f>K63+L63+M63+N63</f>
        <v>26409</v>
      </c>
      <c r="K63" s="200">
        <f>26509-100</f>
        <v>26409</v>
      </c>
      <c r="L63" s="200">
        <v>0</v>
      </c>
      <c r="M63" s="200">
        <v>0</v>
      </c>
      <c r="N63" s="200">
        <v>0</v>
      </c>
      <c r="O63" s="165">
        <f>P63+Q63+R63+S63</f>
        <v>26409</v>
      </c>
      <c r="P63" s="200">
        <f>26509-100</f>
        <v>26409</v>
      </c>
      <c r="Q63" s="200">
        <v>0</v>
      </c>
      <c r="R63" s="200">
        <v>0</v>
      </c>
      <c r="S63" s="200">
        <v>0</v>
      </c>
      <c r="T63" s="165">
        <f>U63+V63+W63+X63</f>
        <v>26409</v>
      </c>
      <c r="U63" s="200">
        <f>26509-100</f>
        <v>26409</v>
      </c>
      <c r="V63" s="200">
        <v>0</v>
      </c>
      <c r="W63" s="200">
        <v>0</v>
      </c>
      <c r="X63" s="200">
        <v>0</v>
      </c>
      <c r="Y63" s="165">
        <f>Z63+AA63+AB63+AC63</f>
        <v>26409</v>
      </c>
      <c r="Z63" s="200">
        <f>26509-100</f>
        <v>26409</v>
      </c>
      <c r="AA63" s="200">
        <v>0</v>
      </c>
      <c r="AB63" s="200">
        <v>0</v>
      </c>
      <c r="AC63" s="200">
        <v>0</v>
      </c>
      <c r="AD63" s="165">
        <f>E63+J63+O63+T63+Y63</f>
        <v>105636</v>
      </c>
      <c r="AE63" s="5"/>
      <c r="AF63" s="5"/>
      <c r="AG63" s="5"/>
      <c r="AH63" s="5"/>
    </row>
    <row r="64" spans="1:34" s="116" customFormat="1" ht="136.94999999999999" customHeight="1" x14ac:dyDescent="0.25">
      <c r="A64" s="357">
        <v>31</v>
      </c>
      <c r="B64" s="204" t="s">
        <v>779</v>
      </c>
      <c r="C64" s="351" t="s">
        <v>179</v>
      </c>
      <c r="D64" s="351" t="s">
        <v>178</v>
      </c>
      <c r="E64" s="165">
        <f>F64+G64+H64+I64</f>
        <v>214752</v>
      </c>
      <c r="F64" s="200">
        <f>214652+100</f>
        <v>214752</v>
      </c>
      <c r="G64" s="200">
        <v>0</v>
      </c>
      <c r="H64" s="200">
        <v>0</v>
      </c>
      <c r="I64" s="200">
        <v>0</v>
      </c>
      <c r="J64" s="165">
        <f>K64+L64+M64+N64</f>
        <v>214752</v>
      </c>
      <c r="K64" s="200">
        <f>214652+100</f>
        <v>214752</v>
      </c>
      <c r="L64" s="200">
        <v>0</v>
      </c>
      <c r="M64" s="200">
        <v>0</v>
      </c>
      <c r="N64" s="200">
        <v>0</v>
      </c>
      <c r="O64" s="165">
        <f>P64+Q64+R64+S64</f>
        <v>214752</v>
      </c>
      <c r="P64" s="200">
        <f>214652+100</f>
        <v>214752</v>
      </c>
      <c r="Q64" s="200">
        <v>0</v>
      </c>
      <c r="R64" s="200">
        <v>0</v>
      </c>
      <c r="S64" s="200">
        <v>0</v>
      </c>
      <c r="T64" s="165">
        <f>U64+V64+W64+X64</f>
        <v>214752</v>
      </c>
      <c r="U64" s="200">
        <f>214652+100</f>
        <v>214752</v>
      </c>
      <c r="V64" s="200">
        <v>0</v>
      </c>
      <c r="W64" s="200">
        <v>0</v>
      </c>
      <c r="X64" s="200">
        <v>0</v>
      </c>
      <c r="Y64" s="165">
        <f>Z64+AA64+AB64+AC64</f>
        <v>214752</v>
      </c>
      <c r="Z64" s="200">
        <f>214652+100</f>
        <v>214752</v>
      </c>
      <c r="AA64" s="200">
        <v>0</v>
      </c>
      <c r="AB64" s="200">
        <v>0</v>
      </c>
      <c r="AC64" s="200">
        <v>0</v>
      </c>
      <c r="AD64" s="165">
        <f>E64+J64+O64+T64+Y64</f>
        <v>1073760</v>
      </c>
      <c r="AE64" s="5"/>
      <c r="AF64" s="5"/>
      <c r="AG64" s="5"/>
      <c r="AH64" s="5"/>
    </row>
    <row r="65" spans="1:16384" s="116" customFormat="1" ht="39" customHeight="1" x14ac:dyDescent="0.25">
      <c r="A65" s="469" t="s">
        <v>972</v>
      </c>
      <c r="B65" s="487"/>
      <c r="C65" s="487"/>
      <c r="D65" s="470"/>
      <c r="E65" s="470"/>
      <c r="F65" s="470"/>
      <c r="G65" s="470"/>
      <c r="H65" s="470"/>
      <c r="I65" s="470"/>
      <c r="J65" s="470"/>
      <c r="K65" s="470"/>
      <c r="L65" s="470"/>
      <c r="M65" s="470"/>
      <c r="N65" s="470"/>
      <c r="O65" s="470"/>
      <c r="P65" s="470"/>
      <c r="Q65" s="470"/>
      <c r="R65" s="470"/>
      <c r="S65" s="470"/>
      <c r="T65" s="470"/>
      <c r="U65" s="470"/>
      <c r="V65" s="470"/>
      <c r="W65" s="470"/>
      <c r="X65" s="470"/>
      <c r="Y65" s="470"/>
      <c r="Z65" s="470"/>
      <c r="AA65" s="470"/>
      <c r="AB65" s="470"/>
      <c r="AC65" s="470"/>
      <c r="AD65" s="471"/>
      <c r="AE65" s="469"/>
      <c r="AF65" s="470"/>
      <c r="AG65" s="470"/>
      <c r="AH65" s="470"/>
      <c r="AI65" s="470"/>
      <c r="AJ65" s="470"/>
      <c r="AK65" s="470"/>
      <c r="AL65" s="470"/>
      <c r="AM65" s="470"/>
      <c r="AN65" s="470"/>
      <c r="AO65" s="470"/>
      <c r="AP65" s="470"/>
      <c r="AQ65" s="470"/>
      <c r="AR65" s="470"/>
      <c r="AS65" s="470"/>
      <c r="AT65" s="470"/>
      <c r="AU65" s="470"/>
      <c r="AV65" s="470"/>
      <c r="AW65" s="470"/>
      <c r="AX65" s="470"/>
      <c r="AY65" s="470"/>
      <c r="AZ65" s="470"/>
      <c r="BA65" s="470"/>
      <c r="BB65" s="470"/>
      <c r="BC65" s="470"/>
      <c r="BD65" s="470"/>
      <c r="BE65" s="470"/>
      <c r="BF65" s="470"/>
      <c r="BG65" s="470"/>
      <c r="BH65" s="471"/>
      <c r="BI65" s="469"/>
      <c r="BJ65" s="470"/>
      <c r="BK65" s="470"/>
      <c r="BL65" s="470"/>
      <c r="BM65" s="470"/>
      <c r="BN65" s="470"/>
      <c r="BO65" s="470"/>
      <c r="BP65" s="470"/>
      <c r="BQ65" s="470"/>
      <c r="BR65" s="470"/>
      <c r="BS65" s="470"/>
      <c r="BT65" s="470"/>
      <c r="BU65" s="470"/>
      <c r="BV65" s="470"/>
      <c r="BW65" s="470"/>
      <c r="BX65" s="470"/>
      <c r="BY65" s="470"/>
      <c r="BZ65" s="470"/>
      <c r="CA65" s="470"/>
      <c r="CB65" s="470"/>
      <c r="CC65" s="470"/>
      <c r="CD65" s="470"/>
      <c r="CE65" s="470"/>
      <c r="CF65" s="470"/>
      <c r="CG65" s="470"/>
      <c r="CH65" s="470"/>
      <c r="CI65" s="470"/>
      <c r="CJ65" s="470"/>
      <c r="CK65" s="470"/>
      <c r="CL65" s="471"/>
      <c r="CM65" s="469"/>
      <c r="CN65" s="470"/>
      <c r="CO65" s="470"/>
      <c r="CP65" s="470"/>
      <c r="CQ65" s="470"/>
      <c r="CR65" s="470"/>
      <c r="CS65" s="470"/>
      <c r="CT65" s="470"/>
      <c r="CU65" s="470"/>
      <c r="CV65" s="470"/>
      <c r="CW65" s="470"/>
      <c r="CX65" s="470"/>
      <c r="CY65" s="470"/>
      <c r="CZ65" s="470"/>
      <c r="DA65" s="470"/>
      <c r="DB65" s="470"/>
      <c r="DC65" s="470"/>
      <c r="DD65" s="470"/>
      <c r="DE65" s="470"/>
      <c r="DF65" s="470"/>
      <c r="DG65" s="470"/>
      <c r="DH65" s="470"/>
      <c r="DI65" s="470"/>
      <c r="DJ65" s="470"/>
      <c r="DK65" s="470"/>
      <c r="DL65" s="470"/>
      <c r="DM65" s="470"/>
      <c r="DN65" s="470"/>
      <c r="DO65" s="470"/>
      <c r="DP65" s="471"/>
      <c r="DQ65" s="469"/>
      <c r="DR65" s="470"/>
      <c r="DS65" s="470"/>
      <c r="DT65" s="470"/>
      <c r="DU65" s="470"/>
      <c r="DV65" s="470"/>
      <c r="DW65" s="470"/>
      <c r="DX65" s="470"/>
      <c r="DY65" s="470"/>
      <c r="DZ65" s="470"/>
      <c r="EA65" s="470"/>
      <c r="EB65" s="470"/>
      <c r="EC65" s="470"/>
      <c r="ED65" s="470"/>
      <c r="EE65" s="470"/>
      <c r="EF65" s="470"/>
      <c r="EG65" s="470"/>
      <c r="EH65" s="470"/>
      <c r="EI65" s="470"/>
      <c r="EJ65" s="470"/>
      <c r="EK65" s="470"/>
      <c r="EL65" s="470"/>
      <c r="EM65" s="470"/>
      <c r="EN65" s="470"/>
      <c r="EO65" s="470"/>
      <c r="EP65" s="470"/>
      <c r="EQ65" s="470"/>
      <c r="ER65" s="470"/>
      <c r="ES65" s="470"/>
      <c r="ET65" s="471"/>
      <c r="EU65" s="469"/>
      <c r="EV65" s="470"/>
      <c r="EW65" s="470"/>
      <c r="EX65" s="470"/>
      <c r="EY65" s="470"/>
      <c r="EZ65" s="470"/>
      <c r="FA65" s="470"/>
      <c r="FB65" s="470"/>
      <c r="FC65" s="470"/>
      <c r="FD65" s="470"/>
      <c r="FE65" s="470"/>
      <c r="FF65" s="470"/>
      <c r="FG65" s="470"/>
      <c r="FH65" s="470"/>
      <c r="FI65" s="470"/>
      <c r="FJ65" s="470"/>
      <c r="FK65" s="470"/>
      <c r="FL65" s="470"/>
      <c r="FM65" s="470"/>
      <c r="FN65" s="470"/>
      <c r="FO65" s="470"/>
      <c r="FP65" s="470"/>
      <c r="FQ65" s="470"/>
      <c r="FR65" s="470"/>
      <c r="FS65" s="470"/>
      <c r="FT65" s="470"/>
      <c r="FU65" s="470"/>
      <c r="FV65" s="470"/>
      <c r="FW65" s="470"/>
      <c r="FX65" s="471"/>
      <c r="FY65" s="469"/>
      <c r="FZ65" s="470"/>
      <c r="GA65" s="470"/>
      <c r="GB65" s="470"/>
      <c r="GC65" s="470"/>
      <c r="GD65" s="470"/>
      <c r="GE65" s="470"/>
      <c r="GF65" s="470"/>
      <c r="GG65" s="470"/>
      <c r="GH65" s="470"/>
      <c r="GI65" s="470"/>
      <c r="GJ65" s="470"/>
      <c r="GK65" s="470"/>
      <c r="GL65" s="470"/>
      <c r="GM65" s="470"/>
      <c r="GN65" s="470"/>
      <c r="GO65" s="470"/>
      <c r="GP65" s="470"/>
      <c r="GQ65" s="470"/>
      <c r="GR65" s="470"/>
      <c r="GS65" s="470"/>
      <c r="GT65" s="470"/>
      <c r="GU65" s="470"/>
      <c r="GV65" s="470"/>
      <c r="GW65" s="470"/>
      <c r="GX65" s="470"/>
      <c r="GY65" s="470"/>
      <c r="GZ65" s="470"/>
      <c r="HA65" s="470"/>
      <c r="HB65" s="471"/>
      <c r="HC65" s="469"/>
      <c r="HD65" s="470"/>
      <c r="HE65" s="470"/>
      <c r="HF65" s="470"/>
      <c r="HG65" s="470"/>
      <c r="HH65" s="470"/>
      <c r="HI65" s="470"/>
      <c r="HJ65" s="470"/>
      <c r="HK65" s="470"/>
      <c r="HL65" s="470"/>
      <c r="HM65" s="470"/>
      <c r="HN65" s="470"/>
      <c r="HO65" s="470"/>
      <c r="HP65" s="470"/>
      <c r="HQ65" s="470"/>
      <c r="HR65" s="470"/>
      <c r="HS65" s="470"/>
      <c r="HT65" s="470"/>
      <c r="HU65" s="470"/>
      <c r="HV65" s="470"/>
      <c r="HW65" s="470"/>
      <c r="HX65" s="470"/>
      <c r="HY65" s="470"/>
      <c r="HZ65" s="470"/>
      <c r="IA65" s="470"/>
      <c r="IB65" s="470"/>
      <c r="IC65" s="470"/>
      <c r="ID65" s="470"/>
      <c r="IE65" s="470"/>
      <c r="IF65" s="471"/>
      <c r="IG65" s="469"/>
      <c r="IH65" s="470"/>
      <c r="II65" s="470"/>
      <c r="IJ65" s="470"/>
      <c r="IK65" s="470"/>
      <c r="IL65" s="470"/>
      <c r="IM65" s="470"/>
      <c r="IN65" s="470"/>
      <c r="IO65" s="470"/>
      <c r="IP65" s="470"/>
      <c r="IQ65" s="470"/>
      <c r="IR65" s="470"/>
      <c r="IS65" s="470"/>
      <c r="IT65" s="470"/>
      <c r="IU65" s="470"/>
      <c r="IV65" s="470"/>
      <c r="IW65" s="470"/>
      <c r="IX65" s="470"/>
      <c r="IY65" s="470"/>
      <c r="IZ65" s="470"/>
      <c r="JA65" s="470"/>
      <c r="JB65" s="470"/>
      <c r="JC65" s="470"/>
      <c r="JD65" s="470"/>
      <c r="JE65" s="470"/>
      <c r="JF65" s="470"/>
      <c r="JG65" s="470"/>
      <c r="JH65" s="470"/>
      <c r="JI65" s="470"/>
      <c r="JJ65" s="471"/>
      <c r="JK65" s="469"/>
      <c r="JL65" s="470"/>
      <c r="JM65" s="470"/>
      <c r="JN65" s="470"/>
      <c r="JO65" s="470"/>
      <c r="JP65" s="470"/>
      <c r="JQ65" s="470"/>
      <c r="JR65" s="470"/>
      <c r="JS65" s="470"/>
      <c r="JT65" s="470"/>
      <c r="JU65" s="470"/>
      <c r="JV65" s="470"/>
      <c r="JW65" s="470"/>
      <c r="JX65" s="470"/>
      <c r="JY65" s="470"/>
      <c r="JZ65" s="470"/>
      <c r="KA65" s="470"/>
      <c r="KB65" s="470"/>
      <c r="KC65" s="470"/>
      <c r="KD65" s="470"/>
      <c r="KE65" s="470"/>
      <c r="KF65" s="470"/>
      <c r="KG65" s="470"/>
      <c r="KH65" s="470"/>
      <c r="KI65" s="470"/>
      <c r="KJ65" s="470"/>
      <c r="KK65" s="470"/>
      <c r="KL65" s="470"/>
      <c r="KM65" s="470"/>
      <c r="KN65" s="471"/>
      <c r="KO65" s="469"/>
      <c r="KP65" s="470"/>
      <c r="KQ65" s="470"/>
      <c r="KR65" s="470"/>
      <c r="KS65" s="470"/>
      <c r="KT65" s="470"/>
      <c r="KU65" s="470"/>
      <c r="KV65" s="470"/>
      <c r="KW65" s="470"/>
      <c r="KX65" s="470"/>
      <c r="KY65" s="470"/>
      <c r="KZ65" s="470"/>
      <c r="LA65" s="470"/>
      <c r="LB65" s="470"/>
      <c r="LC65" s="470"/>
      <c r="LD65" s="470"/>
      <c r="LE65" s="470"/>
      <c r="LF65" s="470"/>
      <c r="LG65" s="470"/>
      <c r="LH65" s="470"/>
      <c r="LI65" s="470"/>
      <c r="LJ65" s="470"/>
      <c r="LK65" s="470"/>
      <c r="LL65" s="470"/>
      <c r="LM65" s="470"/>
      <c r="LN65" s="470"/>
      <c r="LO65" s="470"/>
      <c r="LP65" s="470"/>
      <c r="LQ65" s="470"/>
      <c r="LR65" s="471"/>
      <c r="LS65" s="469"/>
      <c r="LT65" s="470"/>
      <c r="LU65" s="470"/>
      <c r="LV65" s="470"/>
      <c r="LW65" s="470"/>
      <c r="LX65" s="470"/>
      <c r="LY65" s="470"/>
      <c r="LZ65" s="470"/>
      <c r="MA65" s="470"/>
      <c r="MB65" s="470"/>
      <c r="MC65" s="470"/>
      <c r="MD65" s="470"/>
      <c r="ME65" s="470"/>
      <c r="MF65" s="470"/>
      <c r="MG65" s="470"/>
      <c r="MH65" s="470"/>
      <c r="MI65" s="470"/>
      <c r="MJ65" s="470"/>
      <c r="MK65" s="470"/>
      <c r="ML65" s="470"/>
      <c r="MM65" s="470"/>
      <c r="MN65" s="470"/>
      <c r="MO65" s="470"/>
      <c r="MP65" s="470"/>
      <c r="MQ65" s="470"/>
      <c r="MR65" s="470"/>
      <c r="MS65" s="470"/>
      <c r="MT65" s="470"/>
      <c r="MU65" s="470"/>
      <c r="MV65" s="471"/>
      <c r="MW65" s="469"/>
      <c r="MX65" s="470"/>
      <c r="MY65" s="470"/>
      <c r="MZ65" s="470"/>
      <c r="NA65" s="470"/>
      <c r="NB65" s="470"/>
      <c r="NC65" s="470"/>
      <c r="ND65" s="470"/>
      <c r="NE65" s="470"/>
      <c r="NF65" s="470"/>
      <c r="NG65" s="470"/>
      <c r="NH65" s="470"/>
      <c r="NI65" s="470"/>
      <c r="NJ65" s="470"/>
      <c r="NK65" s="470"/>
      <c r="NL65" s="470"/>
      <c r="NM65" s="470"/>
      <c r="NN65" s="470"/>
      <c r="NO65" s="470"/>
      <c r="NP65" s="470"/>
      <c r="NQ65" s="470"/>
      <c r="NR65" s="470"/>
      <c r="NS65" s="470"/>
      <c r="NT65" s="470"/>
      <c r="NU65" s="470"/>
      <c r="NV65" s="470"/>
      <c r="NW65" s="470"/>
      <c r="NX65" s="470"/>
      <c r="NY65" s="470"/>
      <c r="NZ65" s="471"/>
      <c r="OA65" s="469"/>
      <c r="OB65" s="470"/>
      <c r="OC65" s="470"/>
      <c r="OD65" s="470"/>
      <c r="OE65" s="470"/>
      <c r="OF65" s="470"/>
      <c r="OG65" s="470"/>
      <c r="OH65" s="470"/>
      <c r="OI65" s="470"/>
      <c r="OJ65" s="470"/>
      <c r="OK65" s="470"/>
      <c r="OL65" s="470"/>
      <c r="OM65" s="470"/>
      <c r="ON65" s="470"/>
      <c r="OO65" s="470"/>
      <c r="OP65" s="470"/>
      <c r="OQ65" s="470"/>
      <c r="OR65" s="470"/>
      <c r="OS65" s="470"/>
      <c r="OT65" s="470"/>
      <c r="OU65" s="470"/>
      <c r="OV65" s="470"/>
      <c r="OW65" s="470"/>
      <c r="OX65" s="470"/>
      <c r="OY65" s="470"/>
      <c r="OZ65" s="470"/>
      <c r="PA65" s="470"/>
      <c r="PB65" s="470"/>
      <c r="PC65" s="470"/>
      <c r="PD65" s="471"/>
      <c r="PE65" s="469"/>
      <c r="PF65" s="470"/>
      <c r="PG65" s="470"/>
      <c r="PH65" s="470"/>
      <c r="PI65" s="470"/>
      <c r="PJ65" s="470"/>
      <c r="PK65" s="470"/>
      <c r="PL65" s="470"/>
      <c r="PM65" s="470"/>
      <c r="PN65" s="470"/>
      <c r="PO65" s="470"/>
      <c r="PP65" s="470"/>
      <c r="PQ65" s="470"/>
      <c r="PR65" s="470"/>
      <c r="PS65" s="470"/>
      <c r="PT65" s="470"/>
      <c r="PU65" s="470"/>
      <c r="PV65" s="470"/>
      <c r="PW65" s="470"/>
      <c r="PX65" s="470"/>
      <c r="PY65" s="470"/>
      <c r="PZ65" s="470"/>
      <c r="QA65" s="470"/>
      <c r="QB65" s="470"/>
      <c r="QC65" s="470"/>
      <c r="QD65" s="470"/>
      <c r="QE65" s="470"/>
      <c r="QF65" s="470"/>
      <c r="QG65" s="470"/>
      <c r="QH65" s="471"/>
      <c r="QI65" s="469"/>
      <c r="QJ65" s="470"/>
      <c r="QK65" s="470"/>
      <c r="QL65" s="470"/>
      <c r="QM65" s="470"/>
      <c r="QN65" s="470"/>
      <c r="QO65" s="470"/>
      <c r="QP65" s="470"/>
      <c r="QQ65" s="470"/>
      <c r="QR65" s="470"/>
      <c r="QS65" s="470"/>
      <c r="QT65" s="470"/>
      <c r="QU65" s="470"/>
      <c r="QV65" s="470"/>
      <c r="QW65" s="470"/>
      <c r="QX65" s="470"/>
      <c r="QY65" s="470"/>
      <c r="QZ65" s="470"/>
      <c r="RA65" s="470"/>
      <c r="RB65" s="470"/>
      <c r="RC65" s="470"/>
      <c r="RD65" s="470"/>
      <c r="RE65" s="470"/>
      <c r="RF65" s="470"/>
      <c r="RG65" s="470"/>
      <c r="RH65" s="470"/>
      <c r="RI65" s="470"/>
      <c r="RJ65" s="470"/>
      <c r="RK65" s="470"/>
      <c r="RL65" s="471"/>
      <c r="RM65" s="469"/>
      <c r="RN65" s="470"/>
      <c r="RO65" s="470"/>
      <c r="RP65" s="470"/>
      <c r="RQ65" s="470"/>
      <c r="RR65" s="470"/>
      <c r="RS65" s="470"/>
      <c r="RT65" s="470"/>
      <c r="RU65" s="470"/>
      <c r="RV65" s="470"/>
      <c r="RW65" s="470"/>
      <c r="RX65" s="470"/>
      <c r="RY65" s="470"/>
      <c r="RZ65" s="470"/>
      <c r="SA65" s="470"/>
      <c r="SB65" s="470"/>
      <c r="SC65" s="470"/>
      <c r="SD65" s="470"/>
      <c r="SE65" s="470"/>
      <c r="SF65" s="470"/>
      <c r="SG65" s="470"/>
      <c r="SH65" s="470"/>
      <c r="SI65" s="470"/>
      <c r="SJ65" s="470"/>
      <c r="SK65" s="470"/>
      <c r="SL65" s="470"/>
      <c r="SM65" s="470"/>
      <c r="SN65" s="470"/>
      <c r="SO65" s="470"/>
      <c r="SP65" s="471"/>
      <c r="SQ65" s="469"/>
      <c r="SR65" s="470"/>
      <c r="SS65" s="470"/>
      <c r="ST65" s="470"/>
      <c r="SU65" s="470"/>
      <c r="SV65" s="470"/>
      <c r="SW65" s="470"/>
      <c r="SX65" s="470"/>
      <c r="SY65" s="470"/>
      <c r="SZ65" s="470"/>
      <c r="TA65" s="470"/>
      <c r="TB65" s="470"/>
      <c r="TC65" s="470"/>
      <c r="TD65" s="470"/>
      <c r="TE65" s="470"/>
      <c r="TF65" s="470"/>
      <c r="TG65" s="470"/>
      <c r="TH65" s="470"/>
      <c r="TI65" s="470"/>
      <c r="TJ65" s="470"/>
      <c r="TK65" s="470"/>
      <c r="TL65" s="470"/>
      <c r="TM65" s="470"/>
      <c r="TN65" s="470"/>
      <c r="TO65" s="470"/>
      <c r="TP65" s="470"/>
      <c r="TQ65" s="470"/>
      <c r="TR65" s="470"/>
      <c r="TS65" s="470"/>
      <c r="TT65" s="471"/>
      <c r="TU65" s="469"/>
      <c r="TV65" s="470"/>
      <c r="TW65" s="470"/>
      <c r="TX65" s="470"/>
      <c r="TY65" s="470"/>
      <c r="TZ65" s="470"/>
      <c r="UA65" s="470"/>
      <c r="UB65" s="470"/>
      <c r="UC65" s="470"/>
      <c r="UD65" s="470"/>
      <c r="UE65" s="470"/>
      <c r="UF65" s="470"/>
      <c r="UG65" s="470"/>
      <c r="UH65" s="470"/>
      <c r="UI65" s="470"/>
      <c r="UJ65" s="470"/>
      <c r="UK65" s="470"/>
      <c r="UL65" s="470"/>
      <c r="UM65" s="470"/>
      <c r="UN65" s="470"/>
      <c r="UO65" s="470"/>
      <c r="UP65" s="470"/>
      <c r="UQ65" s="470"/>
      <c r="UR65" s="470"/>
      <c r="US65" s="470"/>
      <c r="UT65" s="470"/>
      <c r="UU65" s="470"/>
      <c r="UV65" s="470"/>
      <c r="UW65" s="470"/>
      <c r="UX65" s="471"/>
      <c r="UY65" s="469"/>
      <c r="UZ65" s="470"/>
      <c r="VA65" s="470"/>
      <c r="VB65" s="470"/>
      <c r="VC65" s="470"/>
      <c r="VD65" s="470"/>
      <c r="VE65" s="470"/>
      <c r="VF65" s="470"/>
      <c r="VG65" s="470"/>
      <c r="VH65" s="470"/>
      <c r="VI65" s="470"/>
      <c r="VJ65" s="470"/>
      <c r="VK65" s="470"/>
      <c r="VL65" s="470"/>
      <c r="VM65" s="470"/>
      <c r="VN65" s="470"/>
      <c r="VO65" s="470"/>
      <c r="VP65" s="470"/>
      <c r="VQ65" s="470"/>
      <c r="VR65" s="470"/>
      <c r="VS65" s="470"/>
      <c r="VT65" s="470"/>
      <c r="VU65" s="470"/>
      <c r="VV65" s="470"/>
      <c r="VW65" s="470"/>
      <c r="VX65" s="470"/>
      <c r="VY65" s="470"/>
      <c r="VZ65" s="470"/>
      <c r="WA65" s="470"/>
      <c r="WB65" s="471"/>
      <c r="WC65" s="469"/>
      <c r="WD65" s="470"/>
      <c r="WE65" s="470"/>
      <c r="WF65" s="470"/>
      <c r="WG65" s="470"/>
      <c r="WH65" s="470"/>
      <c r="WI65" s="470"/>
      <c r="WJ65" s="470"/>
      <c r="WK65" s="470"/>
      <c r="WL65" s="470"/>
      <c r="WM65" s="470"/>
      <c r="WN65" s="470"/>
      <c r="WO65" s="470"/>
      <c r="WP65" s="470"/>
      <c r="WQ65" s="470"/>
      <c r="WR65" s="470"/>
      <c r="WS65" s="470"/>
      <c r="WT65" s="470"/>
      <c r="WU65" s="470"/>
      <c r="WV65" s="470"/>
      <c r="WW65" s="470"/>
      <c r="WX65" s="470"/>
      <c r="WY65" s="470"/>
      <c r="WZ65" s="470"/>
      <c r="XA65" s="470"/>
      <c r="XB65" s="470"/>
      <c r="XC65" s="470"/>
      <c r="XD65" s="470"/>
      <c r="XE65" s="470"/>
      <c r="XF65" s="471"/>
      <c r="XG65" s="469"/>
      <c r="XH65" s="470"/>
      <c r="XI65" s="470"/>
      <c r="XJ65" s="470"/>
      <c r="XK65" s="470"/>
      <c r="XL65" s="470"/>
      <c r="XM65" s="470"/>
      <c r="XN65" s="470"/>
      <c r="XO65" s="470"/>
      <c r="XP65" s="470"/>
      <c r="XQ65" s="470"/>
      <c r="XR65" s="470"/>
      <c r="XS65" s="470"/>
      <c r="XT65" s="470"/>
      <c r="XU65" s="470"/>
      <c r="XV65" s="470"/>
      <c r="XW65" s="470"/>
      <c r="XX65" s="470"/>
      <c r="XY65" s="470"/>
      <c r="XZ65" s="470"/>
      <c r="YA65" s="470"/>
      <c r="YB65" s="470"/>
      <c r="YC65" s="470"/>
      <c r="YD65" s="470"/>
      <c r="YE65" s="470"/>
      <c r="YF65" s="470"/>
      <c r="YG65" s="470"/>
      <c r="YH65" s="470"/>
      <c r="YI65" s="470"/>
      <c r="YJ65" s="471"/>
      <c r="YK65" s="469"/>
      <c r="YL65" s="470"/>
      <c r="YM65" s="470"/>
      <c r="YN65" s="470"/>
      <c r="YO65" s="470"/>
      <c r="YP65" s="470"/>
      <c r="YQ65" s="470"/>
      <c r="YR65" s="470"/>
      <c r="YS65" s="470"/>
      <c r="YT65" s="470"/>
      <c r="YU65" s="470"/>
      <c r="YV65" s="470"/>
      <c r="YW65" s="470"/>
      <c r="YX65" s="470"/>
      <c r="YY65" s="470"/>
      <c r="YZ65" s="470"/>
      <c r="ZA65" s="470"/>
      <c r="ZB65" s="470"/>
      <c r="ZC65" s="470"/>
      <c r="ZD65" s="470"/>
      <c r="ZE65" s="470"/>
      <c r="ZF65" s="470"/>
      <c r="ZG65" s="470"/>
      <c r="ZH65" s="470"/>
      <c r="ZI65" s="470"/>
      <c r="ZJ65" s="470"/>
      <c r="ZK65" s="470"/>
      <c r="ZL65" s="470"/>
      <c r="ZM65" s="470"/>
      <c r="ZN65" s="471"/>
      <c r="ZO65" s="469"/>
      <c r="ZP65" s="470"/>
      <c r="ZQ65" s="470"/>
      <c r="ZR65" s="470"/>
      <c r="ZS65" s="470"/>
      <c r="ZT65" s="470"/>
      <c r="ZU65" s="470"/>
      <c r="ZV65" s="470"/>
      <c r="ZW65" s="470"/>
      <c r="ZX65" s="470"/>
      <c r="ZY65" s="470"/>
      <c r="ZZ65" s="470"/>
      <c r="AAA65" s="470"/>
      <c r="AAB65" s="470"/>
      <c r="AAC65" s="470"/>
      <c r="AAD65" s="470"/>
      <c r="AAE65" s="470"/>
      <c r="AAF65" s="470"/>
      <c r="AAG65" s="470"/>
      <c r="AAH65" s="470"/>
      <c r="AAI65" s="470"/>
      <c r="AAJ65" s="470"/>
      <c r="AAK65" s="470"/>
      <c r="AAL65" s="470"/>
      <c r="AAM65" s="470"/>
      <c r="AAN65" s="470"/>
      <c r="AAO65" s="470"/>
      <c r="AAP65" s="470"/>
      <c r="AAQ65" s="470"/>
      <c r="AAR65" s="471"/>
      <c r="AAS65" s="469"/>
      <c r="AAT65" s="470"/>
      <c r="AAU65" s="470"/>
      <c r="AAV65" s="470"/>
      <c r="AAW65" s="470"/>
      <c r="AAX65" s="470"/>
      <c r="AAY65" s="470"/>
      <c r="AAZ65" s="470"/>
      <c r="ABA65" s="470"/>
      <c r="ABB65" s="470"/>
      <c r="ABC65" s="470"/>
      <c r="ABD65" s="470"/>
      <c r="ABE65" s="470"/>
      <c r="ABF65" s="470"/>
      <c r="ABG65" s="470"/>
      <c r="ABH65" s="470"/>
      <c r="ABI65" s="470"/>
      <c r="ABJ65" s="470"/>
      <c r="ABK65" s="470"/>
      <c r="ABL65" s="470"/>
      <c r="ABM65" s="470"/>
      <c r="ABN65" s="470"/>
      <c r="ABO65" s="470"/>
      <c r="ABP65" s="470"/>
      <c r="ABQ65" s="470"/>
      <c r="ABR65" s="470"/>
      <c r="ABS65" s="470"/>
      <c r="ABT65" s="470"/>
      <c r="ABU65" s="470"/>
      <c r="ABV65" s="471"/>
      <c r="ABW65" s="469"/>
      <c r="ABX65" s="470"/>
      <c r="ABY65" s="470"/>
      <c r="ABZ65" s="470"/>
      <c r="ACA65" s="470"/>
      <c r="ACB65" s="470"/>
      <c r="ACC65" s="470"/>
      <c r="ACD65" s="470"/>
      <c r="ACE65" s="470"/>
      <c r="ACF65" s="470"/>
      <c r="ACG65" s="470"/>
      <c r="ACH65" s="470"/>
      <c r="ACI65" s="470"/>
      <c r="ACJ65" s="470"/>
      <c r="ACK65" s="470"/>
      <c r="ACL65" s="470"/>
      <c r="ACM65" s="470"/>
      <c r="ACN65" s="470"/>
      <c r="ACO65" s="470"/>
      <c r="ACP65" s="470"/>
      <c r="ACQ65" s="470"/>
      <c r="ACR65" s="470"/>
      <c r="ACS65" s="470"/>
      <c r="ACT65" s="470"/>
      <c r="ACU65" s="470"/>
      <c r="ACV65" s="470"/>
      <c r="ACW65" s="470"/>
      <c r="ACX65" s="470"/>
      <c r="ACY65" s="470"/>
      <c r="ACZ65" s="471"/>
      <c r="ADA65" s="469"/>
      <c r="ADB65" s="470"/>
      <c r="ADC65" s="470"/>
      <c r="ADD65" s="470"/>
      <c r="ADE65" s="470"/>
      <c r="ADF65" s="470"/>
      <c r="ADG65" s="470"/>
      <c r="ADH65" s="470"/>
      <c r="ADI65" s="470"/>
      <c r="ADJ65" s="470"/>
      <c r="ADK65" s="470"/>
      <c r="ADL65" s="470"/>
      <c r="ADM65" s="470"/>
      <c r="ADN65" s="470"/>
      <c r="ADO65" s="470"/>
      <c r="ADP65" s="470"/>
      <c r="ADQ65" s="470"/>
      <c r="ADR65" s="470"/>
      <c r="ADS65" s="470"/>
      <c r="ADT65" s="470"/>
      <c r="ADU65" s="470"/>
      <c r="ADV65" s="470"/>
      <c r="ADW65" s="470"/>
      <c r="ADX65" s="470"/>
      <c r="ADY65" s="470"/>
      <c r="ADZ65" s="470"/>
      <c r="AEA65" s="470"/>
      <c r="AEB65" s="470"/>
      <c r="AEC65" s="470"/>
      <c r="AED65" s="471"/>
      <c r="AEE65" s="469"/>
      <c r="AEF65" s="470"/>
      <c r="AEG65" s="470"/>
      <c r="AEH65" s="470"/>
      <c r="AEI65" s="470"/>
      <c r="AEJ65" s="470"/>
      <c r="AEK65" s="470"/>
      <c r="AEL65" s="470"/>
      <c r="AEM65" s="470"/>
      <c r="AEN65" s="470"/>
      <c r="AEO65" s="470"/>
      <c r="AEP65" s="470"/>
      <c r="AEQ65" s="470"/>
      <c r="AER65" s="470"/>
      <c r="AES65" s="470"/>
      <c r="AET65" s="470"/>
      <c r="AEU65" s="470"/>
      <c r="AEV65" s="470"/>
      <c r="AEW65" s="470"/>
      <c r="AEX65" s="470"/>
      <c r="AEY65" s="470"/>
      <c r="AEZ65" s="470"/>
      <c r="AFA65" s="470"/>
      <c r="AFB65" s="470"/>
      <c r="AFC65" s="470"/>
      <c r="AFD65" s="470"/>
      <c r="AFE65" s="470"/>
      <c r="AFF65" s="470"/>
      <c r="AFG65" s="470"/>
      <c r="AFH65" s="471"/>
      <c r="AFI65" s="469"/>
      <c r="AFJ65" s="470"/>
      <c r="AFK65" s="470"/>
      <c r="AFL65" s="470"/>
      <c r="AFM65" s="470"/>
      <c r="AFN65" s="470"/>
      <c r="AFO65" s="470"/>
      <c r="AFP65" s="470"/>
      <c r="AFQ65" s="470"/>
      <c r="AFR65" s="470"/>
      <c r="AFS65" s="470"/>
      <c r="AFT65" s="470"/>
      <c r="AFU65" s="470"/>
      <c r="AFV65" s="470"/>
      <c r="AFW65" s="470"/>
      <c r="AFX65" s="470"/>
      <c r="AFY65" s="470"/>
      <c r="AFZ65" s="470"/>
      <c r="AGA65" s="470"/>
      <c r="AGB65" s="470"/>
      <c r="AGC65" s="470"/>
      <c r="AGD65" s="470"/>
      <c r="AGE65" s="470"/>
      <c r="AGF65" s="470"/>
      <c r="AGG65" s="470"/>
      <c r="AGH65" s="470"/>
      <c r="AGI65" s="470"/>
      <c r="AGJ65" s="470"/>
      <c r="AGK65" s="470"/>
      <c r="AGL65" s="471"/>
      <c r="AGM65" s="469"/>
      <c r="AGN65" s="470"/>
      <c r="AGO65" s="470"/>
      <c r="AGP65" s="470"/>
      <c r="AGQ65" s="470"/>
      <c r="AGR65" s="470"/>
      <c r="AGS65" s="470"/>
      <c r="AGT65" s="470"/>
      <c r="AGU65" s="470"/>
      <c r="AGV65" s="470"/>
      <c r="AGW65" s="470"/>
      <c r="AGX65" s="470"/>
      <c r="AGY65" s="470"/>
      <c r="AGZ65" s="470"/>
      <c r="AHA65" s="470"/>
      <c r="AHB65" s="470"/>
      <c r="AHC65" s="470"/>
      <c r="AHD65" s="470"/>
      <c r="AHE65" s="470"/>
      <c r="AHF65" s="470"/>
      <c r="AHG65" s="470"/>
      <c r="AHH65" s="470"/>
      <c r="AHI65" s="470"/>
      <c r="AHJ65" s="470"/>
      <c r="AHK65" s="470"/>
      <c r="AHL65" s="470"/>
      <c r="AHM65" s="470"/>
      <c r="AHN65" s="470"/>
      <c r="AHO65" s="470"/>
      <c r="AHP65" s="471"/>
      <c r="AHQ65" s="469"/>
      <c r="AHR65" s="470"/>
      <c r="AHS65" s="470"/>
      <c r="AHT65" s="470"/>
      <c r="AHU65" s="470"/>
      <c r="AHV65" s="470"/>
      <c r="AHW65" s="470"/>
      <c r="AHX65" s="470"/>
      <c r="AHY65" s="470"/>
      <c r="AHZ65" s="470"/>
      <c r="AIA65" s="470"/>
      <c r="AIB65" s="470"/>
      <c r="AIC65" s="470"/>
      <c r="AID65" s="470"/>
      <c r="AIE65" s="470"/>
      <c r="AIF65" s="470"/>
      <c r="AIG65" s="470"/>
      <c r="AIH65" s="470"/>
      <c r="AII65" s="470"/>
      <c r="AIJ65" s="470"/>
      <c r="AIK65" s="470"/>
      <c r="AIL65" s="470"/>
      <c r="AIM65" s="470"/>
      <c r="AIN65" s="470"/>
      <c r="AIO65" s="470"/>
      <c r="AIP65" s="470"/>
      <c r="AIQ65" s="470"/>
      <c r="AIR65" s="470"/>
      <c r="AIS65" s="470"/>
      <c r="AIT65" s="471"/>
      <c r="AIU65" s="469"/>
      <c r="AIV65" s="470"/>
      <c r="AIW65" s="470"/>
      <c r="AIX65" s="470"/>
      <c r="AIY65" s="470"/>
      <c r="AIZ65" s="470"/>
      <c r="AJA65" s="470"/>
      <c r="AJB65" s="470"/>
      <c r="AJC65" s="470"/>
      <c r="AJD65" s="470"/>
      <c r="AJE65" s="470"/>
      <c r="AJF65" s="470"/>
      <c r="AJG65" s="470"/>
      <c r="AJH65" s="470"/>
      <c r="AJI65" s="470"/>
      <c r="AJJ65" s="470"/>
      <c r="AJK65" s="470"/>
      <c r="AJL65" s="470"/>
      <c r="AJM65" s="470"/>
      <c r="AJN65" s="470"/>
      <c r="AJO65" s="470"/>
      <c r="AJP65" s="470"/>
      <c r="AJQ65" s="470"/>
      <c r="AJR65" s="470"/>
      <c r="AJS65" s="470"/>
      <c r="AJT65" s="470"/>
      <c r="AJU65" s="470"/>
      <c r="AJV65" s="470"/>
      <c r="AJW65" s="470"/>
      <c r="AJX65" s="471"/>
      <c r="AJY65" s="469"/>
      <c r="AJZ65" s="470"/>
      <c r="AKA65" s="470"/>
      <c r="AKB65" s="470"/>
      <c r="AKC65" s="470"/>
      <c r="AKD65" s="470"/>
      <c r="AKE65" s="470"/>
      <c r="AKF65" s="470"/>
      <c r="AKG65" s="470"/>
      <c r="AKH65" s="470"/>
      <c r="AKI65" s="470"/>
      <c r="AKJ65" s="470"/>
      <c r="AKK65" s="470"/>
      <c r="AKL65" s="470"/>
      <c r="AKM65" s="470"/>
      <c r="AKN65" s="470"/>
      <c r="AKO65" s="470"/>
      <c r="AKP65" s="470"/>
      <c r="AKQ65" s="470"/>
      <c r="AKR65" s="470"/>
      <c r="AKS65" s="470"/>
      <c r="AKT65" s="470"/>
      <c r="AKU65" s="470"/>
      <c r="AKV65" s="470"/>
      <c r="AKW65" s="470"/>
      <c r="AKX65" s="470"/>
      <c r="AKY65" s="470"/>
      <c r="AKZ65" s="470"/>
      <c r="ALA65" s="470"/>
      <c r="ALB65" s="471"/>
      <c r="ALC65" s="469"/>
      <c r="ALD65" s="470"/>
      <c r="ALE65" s="470"/>
      <c r="ALF65" s="470"/>
      <c r="ALG65" s="470"/>
      <c r="ALH65" s="470"/>
      <c r="ALI65" s="470"/>
      <c r="ALJ65" s="470"/>
      <c r="ALK65" s="470"/>
      <c r="ALL65" s="470"/>
      <c r="ALM65" s="470"/>
      <c r="ALN65" s="470"/>
      <c r="ALO65" s="470"/>
      <c r="ALP65" s="470"/>
      <c r="ALQ65" s="470"/>
      <c r="ALR65" s="470"/>
      <c r="ALS65" s="470"/>
      <c r="ALT65" s="470"/>
      <c r="ALU65" s="470"/>
      <c r="ALV65" s="470"/>
      <c r="ALW65" s="470"/>
      <c r="ALX65" s="470"/>
      <c r="ALY65" s="470"/>
      <c r="ALZ65" s="470"/>
      <c r="AMA65" s="470"/>
      <c r="AMB65" s="470"/>
      <c r="AMC65" s="470"/>
      <c r="AMD65" s="470"/>
      <c r="AME65" s="470"/>
      <c r="AMF65" s="471"/>
      <c r="AMG65" s="469"/>
      <c r="AMH65" s="470"/>
      <c r="AMI65" s="470"/>
      <c r="AMJ65" s="470"/>
      <c r="AMK65" s="470"/>
      <c r="AML65" s="470"/>
      <c r="AMM65" s="470"/>
      <c r="AMN65" s="470"/>
      <c r="AMO65" s="470"/>
      <c r="AMP65" s="470"/>
      <c r="AMQ65" s="470"/>
      <c r="AMR65" s="470"/>
      <c r="AMS65" s="470"/>
      <c r="AMT65" s="470"/>
      <c r="AMU65" s="470"/>
      <c r="AMV65" s="470"/>
      <c r="AMW65" s="470"/>
      <c r="AMX65" s="470"/>
      <c r="AMY65" s="470"/>
      <c r="AMZ65" s="470"/>
      <c r="ANA65" s="470"/>
      <c r="ANB65" s="470"/>
      <c r="ANC65" s="470"/>
      <c r="AND65" s="470"/>
      <c r="ANE65" s="470"/>
      <c r="ANF65" s="470"/>
      <c r="ANG65" s="470"/>
      <c r="ANH65" s="470"/>
      <c r="ANI65" s="470"/>
      <c r="ANJ65" s="471"/>
      <c r="ANK65" s="469"/>
      <c r="ANL65" s="470"/>
      <c r="ANM65" s="470"/>
      <c r="ANN65" s="470"/>
      <c r="ANO65" s="470"/>
      <c r="ANP65" s="470"/>
      <c r="ANQ65" s="470"/>
      <c r="ANR65" s="470"/>
      <c r="ANS65" s="470"/>
      <c r="ANT65" s="470"/>
      <c r="ANU65" s="470"/>
      <c r="ANV65" s="470"/>
      <c r="ANW65" s="470"/>
      <c r="ANX65" s="470"/>
      <c r="ANY65" s="470"/>
      <c r="ANZ65" s="470"/>
      <c r="AOA65" s="470"/>
      <c r="AOB65" s="470"/>
      <c r="AOC65" s="470"/>
      <c r="AOD65" s="470"/>
      <c r="AOE65" s="470"/>
      <c r="AOF65" s="470"/>
      <c r="AOG65" s="470"/>
      <c r="AOH65" s="470"/>
      <c r="AOI65" s="470"/>
      <c r="AOJ65" s="470"/>
      <c r="AOK65" s="470"/>
      <c r="AOL65" s="470"/>
      <c r="AOM65" s="470"/>
      <c r="AON65" s="471"/>
      <c r="AOO65" s="469"/>
      <c r="AOP65" s="470"/>
      <c r="AOQ65" s="470"/>
      <c r="AOR65" s="470"/>
      <c r="AOS65" s="470"/>
      <c r="AOT65" s="470"/>
      <c r="AOU65" s="470"/>
      <c r="AOV65" s="470"/>
      <c r="AOW65" s="470"/>
      <c r="AOX65" s="470"/>
      <c r="AOY65" s="470"/>
      <c r="AOZ65" s="470"/>
      <c r="APA65" s="470"/>
      <c r="APB65" s="470"/>
      <c r="APC65" s="470"/>
      <c r="APD65" s="470"/>
      <c r="APE65" s="470"/>
      <c r="APF65" s="470"/>
      <c r="APG65" s="470"/>
      <c r="APH65" s="470"/>
      <c r="API65" s="470"/>
      <c r="APJ65" s="470"/>
      <c r="APK65" s="470"/>
      <c r="APL65" s="470"/>
      <c r="APM65" s="470"/>
      <c r="APN65" s="470"/>
      <c r="APO65" s="470"/>
      <c r="APP65" s="470"/>
      <c r="APQ65" s="470"/>
      <c r="APR65" s="471"/>
      <c r="APS65" s="469"/>
      <c r="APT65" s="470"/>
      <c r="APU65" s="470"/>
      <c r="APV65" s="470"/>
      <c r="APW65" s="470"/>
      <c r="APX65" s="470"/>
      <c r="APY65" s="470"/>
      <c r="APZ65" s="470"/>
      <c r="AQA65" s="470"/>
      <c r="AQB65" s="470"/>
      <c r="AQC65" s="470"/>
      <c r="AQD65" s="470"/>
      <c r="AQE65" s="470"/>
      <c r="AQF65" s="470"/>
      <c r="AQG65" s="470"/>
      <c r="AQH65" s="470"/>
      <c r="AQI65" s="470"/>
      <c r="AQJ65" s="470"/>
      <c r="AQK65" s="470"/>
      <c r="AQL65" s="470"/>
      <c r="AQM65" s="470"/>
      <c r="AQN65" s="470"/>
      <c r="AQO65" s="470"/>
      <c r="AQP65" s="470"/>
      <c r="AQQ65" s="470"/>
      <c r="AQR65" s="470"/>
      <c r="AQS65" s="470"/>
      <c r="AQT65" s="470"/>
      <c r="AQU65" s="470"/>
      <c r="AQV65" s="471"/>
      <c r="AQW65" s="469"/>
      <c r="AQX65" s="470"/>
      <c r="AQY65" s="470"/>
      <c r="AQZ65" s="470"/>
      <c r="ARA65" s="470"/>
      <c r="ARB65" s="470"/>
      <c r="ARC65" s="470"/>
      <c r="ARD65" s="470"/>
      <c r="ARE65" s="470"/>
      <c r="ARF65" s="470"/>
      <c r="ARG65" s="470"/>
      <c r="ARH65" s="470"/>
      <c r="ARI65" s="470"/>
      <c r="ARJ65" s="470"/>
      <c r="ARK65" s="470"/>
      <c r="ARL65" s="470"/>
      <c r="ARM65" s="470"/>
      <c r="ARN65" s="470"/>
      <c r="ARO65" s="470"/>
      <c r="ARP65" s="470"/>
      <c r="ARQ65" s="470"/>
      <c r="ARR65" s="470"/>
      <c r="ARS65" s="470"/>
      <c r="ART65" s="470"/>
      <c r="ARU65" s="470"/>
      <c r="ARV65" s="470"/>
      <c r="ARW65" s="470"/>
      <c r="ARX65" s="470"/>
      <c r="ARY65" s="470"/>
      <c r="ARZ65" s="471"/>
      <c r="ASA65" s="469"/>
      <c r="ASB65" s="470"/>
      <c r="ASC65" s="470"/>
      <c r="ASD65" s="470"/>
      <c r="ASE65" s="470"/>
      <c r="ASF65" s="470"/>
      <c r="ASG65" s="470"/>
      <c r="ASH65" s="470"/>
      <c r="ASI65" s="470"/>
      <c r="ASJ65" s="470"/>
      <c r="ASK65" s="470"/>
      <c r="ASL65" s="470"/>
      <c r="ASM65" s="470"/>
      <c r="ASN65" s="470"/>
      <c r="ASO65" s="470"/>
      <c r="ASP65" s="470"/>
      <c r="ASQ65" s="470"/>
      <c r="ASR65" s="470"/>
      <c r="ASS65" s="470"/>
      <c r="AST65" s="470"/>
      <c r="ASU65" s="470"/>
      <c r="ASV65" s="470"/>
      <c r="ASW65" s="470"/>
      <c r="ASX65" s="470"/>
      <c r="ASY65" s="470"/>
      <c r="ASZ65" s="470"/>
      <c r="ATA65" s="470"/>
      <c r="ATB65" s="470"/>
      <c r="ATC65" s="470"/>
      <c r="ATD65" s="471"/>
      <c r="ATE65" s="469"/>
      <c r="ATF65" s="470"/>
      <c r="ATG65" s="470"/>
      <c r="ATH65" s="470"/>
      <c r="ATI65" s="470"/>
      <c r="ATJ65" s="470"/>
      <c r="ATK65" s="470"/>
      <c r="ATL65" s="470"/>
      <c r="ATM65" s="470"/>
      <c r="ATN65" s="470"/>
      <c r="ATO65" s="470"/>
      <c r="ATP65" s="470"/>
      <c r="ATQ65" s="470"/>
      <c r="ATR65" s="470"/>
      <c r="ATS65" s="470"/>
      <c r="ATT65" s="470"/>
      <c r="ATU65" s="470"/>
      <c r="ATV65" s="470"/>
      <c r="ATW65" s="470"/>
      <c r="ATX65" s="470"/>
      <c r="ATY65" s="470"/>
      <c r="ATZ65" s="470"/>
      <c r="AUA65" s="470"/>
      <c r="AUB65" s="470"/>
      <c r="AUC65" s="470"/>
      <c r="AUD65" s="470"/>
      <c r="AUE65" s="470"/>
      <c r="AUF65" s="470"/>
      <c r="AUG65" s="470"/>
      <c r="AUH65" s="471"/>
      <c r="AUI65" s="469"/>
      <c r="AUJ65" s="470"/>
      <c r="AUK65" s="470"/>
      <c r="AUL65" s="470"/>
      <c r="AUM65" s="470"/>
      <c r="AUN65" s="470"/>
      <c r="AUO65" s="470"/>
      <c r="AUP65" s="470"/>
      <c r="AUQ65" s="470"/>
      <c r="AUR65" s="470"/>
      <c r="AUS65" s="470"/>
      <c r="AUT65" s="470"/>
      <c r="AUU65" s="470"/>
      <c r="AUV65" s="470"/>
      <c r="AUW65" s="470"/>
      <c r="AUX65" s="470"/>
      <c r="AUY65" s="470"/>
      <c r="AUZ65" s="470"/>
      <c r="AVA65" s="470"/>
      <c r="AVB65" s="470"/>
      <c r="AVC65" s="470"/>
      <c r="AVD65" s="470"/>
      <c r="AVE65" s="470"/>
      <c r="AVF65" s="470"/>
      <c r="AVG65" s="470"/>
      <c r="AVH65" s="470"/>
      <c r="AVI65" s="470"/>
      <c r="AVJ65" s="470"/>
      <c r="AVK65" s="470"/>
      <c r="AVL65" s="471"/>
      <c r="AVM65" s="469"/>
      <c r="AVN65" s="470"/>
      <c r="AVO65" s="470"/>
      <c r="AVP65" s="470"/>
      <c r="AVQ65" s="470"/>
      <c r="AVR65" s="470"/>
      <c r="AVS65" s="470"/>
      <c r="AVT65" s="470"/>
      <c r="AVU65" s="470"/>
      <c r="AVV65" s="470"/>
      <c r="AVW65" s="470"/>
      <c r="AVX65" s="470"/>
      <c r="AVY65" s="470"/>
      <c r="AVZ65" s="470"/>
      <c r="AWA65" s="470"/>
      <c r="AWB65" s="470"/>
      <c r="AWC65" s="470"/>
      <c r="AWD65" s="470"/>
      <c r="AWE65" s="470"/>
      <c r="AWF65" s="470"/>
      <c r="AWG65" s="470"/>
      <c r="AWH65" s="470"/>
      <c r="AWI65" s="470"/>
      <c r="AWJ65" s="470"/>
      <c r="AWK65" s="470"/>
      <c r="AWL65" s="470"/>
      <c r="AWM65" s="470"/>
      <c r="AWN65" s="470"/>
      <c r="AWO65" s="470"/>
      <c r="AWP65" s="471"/>
      <c r="AWQ65" s="469"/>
      <c r="AWR65" s="470"/>
      <c r="AWS65" s="470"/>
      <c r="AWT65" s="470"/>
      <c r="AWU65" s="470"/>
      <c r="AWV65" s="470"/>
      <c r="AWW65" s="470"/>
      <c r="AWX65" s="470"/>
      <c r="AWY65" s="470"/>
      <c r="AWZ65" s="470"/>
      <c r="AXA65" s="470"/>
      <c r="AXB65" s="470"/>
      <c r="AXC65" s="470"/>
      <c r="AXD65" s="470"/>
      <c r="AXE65" s="470"/>
      <c r="AXF65" s="470"/>
      <c r="AXG65" s="470"/>
      <c r="AXH65" s="470"/>
      <c r="AXI65" s="470"/>
      <c r="AXJ65" s="470"/>
      <c r="AXK65" s="470"/>
      <c r="AXL65" s="470"/>
      <c r="AXM65" s="470"/>
      <c r="AXN65" s="470"/>
      <c r="AXO65" s="470"/>
      <c r="AXP65" s="470"/>
      <c r="AXQ65" s="470"/>
      <c r="AXR65" s="470"/>
      <c r="AXS65" s="470"/>
      <c r="AXT65" s="471"/>
      <c r="AXU65" s="469"/>
      <c r="AXV65" s="470"/>
      <c r="AXW65" s="470"/>
      <c r="AXX65" s="470"/>
      <c r="AXY65" s="470"/>
      <c r="AXZ65" s="470"/>
      <c r="AYA65" s="470"/>
      <c r="AYB65" s="470"/>
      <c r="AYC65" s="470"/>
      <c r="AYD65" s="470"/>
      <c r="AYE65" s="470"/>
      <c r="AYF65" s="470"/>
      <c r="AYG65" s="470"/>
      <c r="AYH65" s="470"/>
      <c r="AYI65" s="470"/>
      <c r="AYJ65" s="470"/>
      <c r="AYK65" s="470"/>
      <c r="AYL65" s="470"/>
      <c r="AYM65" s="470"/>
      <c r="AYN65" s="470"/>
      <c r="AYO65" s="470"/>
      <c r="AYP65" s="470"/>
      <c r="AYQ65" s="470"/>
      <c r="AYR65" s="470"/>
      <c r="AYS65" s="470"/>
      <c r="AYT65" s="470"/>
      <c r="AYU65" s="470"/>
      <c r="AYV65" s="470"/>
      <c r="AYW65" s="470"/>
      <c r="AYX65" s="471"/>
      <c r="AYY65" s="469"/>
      <c r="AYZ65" s="470"/>
      <c r="AZA65" s="470"/>
      <c r="AZB65" s="470"/>
      <c r="AZC65" s="470"/>
      <c r="AZD65" s="470"/>
      <c r="AZE65" s="470"/>
      <c r="AZF65" s="470"/>
      <c r="AZG65" s="470"/>
      <c r="AZH65" s="470"/>
      <c r="AZI65" s="470"/>
      <c r="AZJ65" s="470"/>
      <c r="AZK65" s="470"/>
      <c r="AZL65" s="470"/>
      <c r="AZM65" s="470"/>
      <c r="AZN65" s="470"/>
      <c r="AZO65" s="470"/>
      <c r="AZP65" s="470"/>
      <c r="AZQ65" s="470"/>
      <c r="AZR65" s="470"/>
      <c r="AZS65" s="470"/>
      <c r="AZT65" s="470"/>
      <c r="AZU65" s="470"/>
      <c r="AZV65" s="470"/>
      <c r="AZW65" s="470"/>
      <c r="AZX65" s="470"/>
      <c r="AZY65" s="470"/>
      <c r="AZZ65" s="470"/>
      <c r="BAA65" s="470"/>
      <c r="BAB65" s="471"/>
      <c r="BAC65" s="469"/>
      <c r="BAD65" s="470"/>
      <c r="BAE65" s="470"/>
      <c r="BAF65" s="470"/>
      <c r="BAG65" s="470"/>
      <c r="BAH65" s="470"/>
      <c r="BAI65" s="470"/>
      <c r="BAJ65" s="470"/>
      <c r="BAK65" s="470"/>
      <c r="BAL65" s="470"/>
      <c r="BAM65" s="470"/>
      <c r="BAN65" s="470"/>
      <c r="BAO65" s="470"/>
      <c r="BAP65" s="470"/>
      <c r="BAQ65" s="470"/>
      <c r="BAR65" s="470"/>
      <c r="BAS65" s="470"/>
      <c r="BAT65" s="470"/>
      <c r="BAU65" s="470"/>
      <c r="BAV65" s="470"/>
      <c r="BAW65" s="470"/>
      <c r="BAX65" s="470"/>
      <c r="BAY65" s="470"/>
      <c r="BAZ65" s="470"/>
      <c r="BBA65" s="470"/>
      <c r="BBB65" s="470"/>
      <c r="BBC65" s="470"/>
      <c r="BBD65" s="470"/>
      <c r="BBE65" s="470"/>
      <c r="BBF65" s="471"/>
      <c r="BBG65" s="469"/>
      <c r="BBH65" s="470"/>
      <c r="BBI65" s="470"/>
      <c r="BBJ65" s="470"/>
      <c r="BBK65" s="470"/>
      <c r="BBL65" s="470"/>
      <c r="BBM65" s="470"/>
      <c r="BBN65" s="470"/>
      <c r="BBO65" s="470"/>
      <c r="BBP65" s="470"/>
      <c r="BBQ65" s="470"/>
      <c r="BBR65" s="470"/>
      <c r="BBS65" s="470"/>
      <c r="BBT65" s="470"/>
      <c r="BBU65" s="470"/>
      <c r="BBV65" s="470"/>
      <c r="BBW65" s="470"/>
      <c r="BBX65" s="470"/>
      <c r="BBY65" s="470"/>
      <c r="BBZ65" s="470"/>
      <c r="BCA65" s="470"/>
      <c r="BCB65" s="470"/>
      <c r="BCC65" s="470"/>
      <c r="BCD65" s="470"/>
      <c r="BCE65" s="470"/>
      <c r="BCF65" s="470"/>
      <c r="BCG65" s="470"/>
      <c r="BCH65" s="470"/>
      <c r="BCI65" s="470"/>
      <c r="BCJ65" s="471"/>
      <c r="BCK65" s="469"/>
      <c r="BCL65" s="470"/>
      <c r="BCM65" s="470"/>
      <c r="BCN65" s="470"/>
      <c r="BCO65" s="470"/>
      <c r="BCP65" s="470"/>
      <c r="BCQ65" s="470"/>
      <c r="BCR65" s="470"/>
      <c r="BCS65" s="470"/>
      <c r="BCT65" s="470"/>
      <c r="BCU65" s="470"/>
      <c r="BCV65" s="470"/>
      <c r="BCW65" s="470"/>
      <c r="BCX65" s="470"/>
      <c r="BCY65" s="470"/>
      <c r="BCZ65" s="470"/>
      <c r="BDA65" s="470"/>
      <c r="BDB65" s="470"/>
      <c r="BDC65" s="470"/>
      <c r="BDD65" s="470"/>
      <c r="BDE65" s="470"/>
      <c r="BDF65" s="470"/>
      <c r="BDG65" s="470"/>
      <c r="BDH65" s="470"/>
      <c r="BDI65" s="470"/>
      <c r="BDJ65" s="470"/>
      <c r="BDK65" s="470"/>
      <c r="BDL65" s="470"/>
      <c r="BDM65" s="470"/>
      <c r="BDN65" s="471"/>
      <c r="BDO65" s="469"/>
      <c r="BDP65" s="470"/>
      <c r="BDQ65" s="470"/>
      <c r="BDR65" s="470"/>
      <c r="BDS65" s="470"/>
      <c r="BDT65" s="470"/>
      <c r="BDU65" s="470"/>
      <c r="BDV65" s="470"/>
      <c r="BDW65" s="470"/>
      <c r="BDX65" s="470"/>
      <c r="BDY65" s="470"/>
      <c r="BDZ65" s="470"/>
      <c r="BEA65" s="470"/>
      <c r="BEB65" s="470"/>
      <c r="BEC65" s="470"/>
      <c r="BED65" s="470"/>
      <c r="BEE65" s="470"/>
      <c r="BEF65" s="470"/>
      <c r="BEG65" s="470"/>
      <c r="BEH65" s="470"/>
      <c r="BEI65" s="470"/>
      <c r="BEJ65" s="470"/>
      <c r="BEK65" s="470"/>
      <c r="BEL65" s="470"/>
      <c r="BEM65" s="470"/>
      <c r="BEN65" s="470"/>
      <c r="BEO65" s="470"/>
      <c r="BEP65" s="470"/>
      <c r="BEQ65" s="470"/>
      <c r="BER65" s="471"/>
      <c r="BES65" s="469"/>
      <c r="BET65" s="470"/>
      <c r="BEU65" s="470"/>
      <c r="BEV65" s="470"/>
      <c r="BEW65" s="470"/>
      <c r="BEX65" s="470"/>
      <c r="BEY65" s="470"/>
      <c r="BEZ65" s="470"/>
      <c r="BFA65" s="470"/>
      <c r="BFB65" s="470"/>
      <c r="BFC65" s="470"/>
      <c r="BFD65" s="470"/>
      <c r="BFE65" s="470"/>
      <c r="BFF65" s="470"/>
      <c r="BFG65" s="470"/>
      <c r="BFH65" s="470"/>
      <c r="BFI65" s="470"/>
      <c r="BFJ65" s="470"/>
      <c r="BFK65" s="470"/>
      <c r="BFL65" s="470"/>
      <c r="BFM65" s="470"/>
      <c r="BFN65" s="470"/>
      <c r="BFO65" s="470"/>
      <c r="BFP65" s="470"/>
      <c r="BFQ65" s="470"/>
      <c r="BFR65" s="470"/>
      <c r="BFS65" s="470"/>
      <c r="BFT65" s="470"/>
      <c r="BFU65" s="470"/>
      <c r="BFV65" s="471"/>
      <c r="BFW65" s="469"/>
      <c r="BFX65" s="470"/>
      <c r="BFY65" s="470"/>
      <c r="BFZ65" s="470"/>
      <c r="BGA65" s="470"/>
      <c r="BGB65" s="470"/>
      <c r="BGC65" s="470"/>
      <c r="BGD65" s="470"/>
      <c r="BGE65" s="470"/>
      <c r="BGF65" s="470"/>
      <c r="BGG65" s="470"/>
      <c r="BGH65" s="470"/>
      <c r="BGI65" s="470"/>
      <c r="BGJ65" s="470"/>
      <c r="BGK65" s="470"/>
      <c r="BGL65" s="470"/>
      <c r="BGM65" s="470"/>
      <c r="BGN65" s="470"/>
      <c r="BGO65" s="470"/>
      <c r="BGP65" s="470"/>
      <c r="BGQ65" s="470"/>
      <c r="BGR65" s="470"/>
      <c r="BGS65" s="470"/>
      <c r="BGT65" s="470"/>
      <c r="BGU65" s="470"/>
      <c r="BGV65" s="470"/>
      <c r="BGW65" s="470"/>
      <c r="BGX65" s="470"/>
      <c r="BGY65" s="470"/>
      <c r="BGZ65" s="471"/>
      <c r="BHA65" s="469"/>
      <c r="BHB65" s="470"/>
      <c r="BHC65" s="470"/>
      <c r="BHD65" s="470"/>
      <c r="BHE65" s="470"/>
      <c r="BHF65" s="470"/>
      <c r="BHG65" s="470"/>
      <c r="BHH65" s="470"/>
      <c r="BHI65" s="470"/>
      <c r="BHJ65" s="470"/>
      <c r="BHK65" s="470"/>
      <c r="BHL65" s="470"/>
      <c r="BHM65" s="470"/>
      <c r="BHN65" s="470"/>
      <c r="BHO65" s="470"/>
      <c r="BHP65" s="470"/>
      <c r="BHQ65" s="470"/>
      <c r="BHR65" s="470"/>
      <c r="BHS65" s="470"/>
      <c r="BHT65" s="470"/>
      <c r="BHU65" s="470"/>
      <c r="BHV65" s="470"/>
      <c r="BHW65" s="470"/>
      <c r="BHX65" s="470"/>
      <c r="BHY65" s="470"/>
      <c r="BHZ65" s="470"/>
      <c r="BIA65" s="470"/>
      <c r="BIB65" s="470"/>
      <c r="BIC65" s="470"/>
      <c r="BID65" s="471"/>
      <c r="BIE65" s="469"/>
      <c r="BIF65" s="470"/>
      <c r="BIG65" s="470"/>
      <c r="BIH65" s="470"/>
      <c r="BII65" s="470"/>
      <c r="BIJ65" s="470"/>
      <c r="BIK65" s="470"/>
      <c r="BIL65" s="470"/>
      <c r="BIM65" s="470"/>
      <c r="BIN65" s="470"/>
      <c r="BIO65" s="470"/>
      <c r="BIP65" s="470"/>
      <c r="BIQ65" s="470"/>
      <c r="BIR65" s="470"/>
      <c r="BIS65" s="470"/>
      <c r="BIT65" s="470"/>
      <c r="BIU65" s="470"/>
      <c r="BIV65" s="470"/>
      <c r="BIW65" s="470"/>
      <c r="BIX65" s="470"/>
      <c r="BIY65" s="470"/>
      <c r="BIZ65" s="470"/>
      <c r="BJA65" s="470"/>
      <c r="BJB65" s="470"/>
      <c r="BJC65" s="470"/>
      <c r="BJD65" s="470"/>
      <c r="BJE65" s="470"/>
      <c r="BJF65" s="470"/>
      <c r="BJG65" s="470"/>
      <c r="BJH65" s="471"/>
      <c r="BJI65" s="469"/>
      <c r="BJJ65" s="470"/>
      <c r="BJK65" s="470"/>
      <c r="BJL65" s="470"/>
      <c r="BJM65" s="470"/>
      <c r="BJN65" s="470"/>
      <c r="BJO65" s="470"/>
      <c r="BJP65" s="470"/>
      <c r="BJQ65" s="470"/>
      <c r="BJR65" s="470"/>
      <c r="BJS65" s="470"/>
      <c r="BJT65" s="470"/>
      <c r="BJU65" s="470"/>
      <c r="BJV65" s="470"/>
      <c r="BJW65" s="470"/>
      <c r="BJX65" s="470"/>
      <c r="BJY65" s="470"/>
      <c r="BJZ65" s="470"/>
      <c r="BKA65" s="470"/>
      <c r="BKB65" s="470"/>
      <c r="BKC65" s="470"/>
      <c r="BKD65" s="470"/>
      <c r="BKE65" s="470"/>
      <c r="BKF65" s="470"/>
      <c r="BKG65" s="470"/>
      <c r="BKH65" s="470"/>
      <c r="BKI65" s="470"/>
      <c r="BKJ65" s="470"/>
      <c r="BKK65" s="470"/>
      <c r="BKL65" s="471"/>
      <c r="BKM65" s="469"/>
      <c r="BKN65" s="470"/>
      <c r="BKO65" s="470"/>
      <c r="BKP65" s="470"/>
      <c r="BKQ65" s="470"/>
      <c r="BKR65" s="470"/>
      <c r="BKS65" s="470"/>
      <c r="BKT65" s="470"/>
      <c r="BKU65" s="470"/>
      <c r="BKV65" s="470"/>
      <c r="BKW65" s="470"/>
      <c r="BKX65" s="470"/>
      <c r="BKY65" s="470"/>
      <c r="BKZ65" s="470"/>
      <c r="BLA65" s="470"/>
      <c r="BLB65" s="470"/>
      <c r="BLC65" s="470"/>
      <c r="BLD65" s="470"/>
      <c r="BLE65" s="470"/>
      <c r="BLF65" s="470"/>
      <c r="BLG65" s="470"/>
      <c r="BLH65" s="470"/>
      <c r="BLI65" s="470"/>
      <c r="BLJ65" s="470"/>
      <c r="BLK65" s="470"/>
      <c r="BLL65" s="470"/>
      <c r="BLM65" s="470"/>
      <c r="BLN65" s="470"/>
      <c r="BLO65" s="470"/>
      <c r="BLP65" s="471"/>
      <c r="BLQ65" s="469"/>
      <c r="BLR65" s="470"/>
      <c r="BLS65" s="470"/>
      <c r="BLT65" s="470"/>
      <c r="BLU65" s="470"/>
      <c r="BLV65" s="470"/>
      <c r="BLW65" s="470"/>
      <c r="BLX65" s="470"/>
      <c r="BLY65" s="470"/>
      <c r="BLZ65" s="470"/>
      <c r="BMA65" s="470"/>
      <c r="BMB65" s="470"/>
      <c r="BMC65" s="470"/>
      <c r="BMD65" s="470"/>
      <c r="BME65" s="470"/>
      <c r="BMF65" s="470"/>
      <c r="BMG65" s="470"/>
      <c r="BMH65" s="470"/>
      <c r="BMI65" s="470"/>
      <c r="BMJ65" s="470"/>
      <c r="BMK65" s="470"/>
      <c r="BML65" s="470"/>
      <c r="BMM65" s="470"/>
      <c r="BMN65" s="470"/>
      <c r="BMO65" s="470"/>
      <c r="BMP65" s="470"/>
      <c r="BMQ65" s="470"/>
      <c r="BMR65" s="470"/>
      <c r="BMS65" s="470"/>
      <c r="BMT65" s="471"/>
      <c r="BMU65" s="469"/>
      <c r="BMV65" s="470"/>
      <c r="BMW65" s="470"/>
      <c r="BMX65" s="470"/>
      <c r="BMY65" s="470"/>
      <c r="BMZ65" s="470"/>
      <c r="BNA65" s="470"/>
      <c r="BNB65" s="470"/>
      <c r="BNC65" s="470"/>
      <c r="BND65" s="470"/>
      <c r="BNE65" s="470"/>
      <c r="BNF65" s="470"/>
      <c r="BNG65" s="470"/>
      <c r="BNH65" s="470"/>
      <c r="BNI65" s="470"/>
      <c r="BNJ65" s="470"/>
      <c r="BNK65" s="470"/>
      <c r="BNL65" s="470"/>
      <c r="BNM65" s="470"/>
      <c r="BNN65" s="470"/>
      <c r="BNO65" s="470"/>
      <c r="BNP65" s="470"/>
      <c r="BNQ65" s="470"/>
      <c r="BNR65" s="470"/>
      <c r="BNS65" s="470"/>
      <c r="BNT65" s="470"/>
      <c r="BNU65" s="470"/>
      <c r="BNV65" s="470"/>
      <c r="BNW65" s="470"/>
      <c r="BNX65" s="471"/>
      <c r="BNY65" s="469"/>
      <c r="BNZ65" s="470"/>
      <c r="BOA65" s="470"/>
      <c r="BOB65" s="470"/>
      <c r="BOC65" s="470"/>
      <c r="BOD65" s="470"/>
      <c r="BOE65" s="470"/>
      <c r="BOF65" s="470"/>
      <c r="BOG65" s="470"/>
      <c r="BOH65" s="470"/>
      <c r="BOI65" s="470"/>
      <c r="BOJ65" s="470"/>
      <c r="BOK65" s="470"/>
      <c r="BOL65" s="470"/>
      <c r="BOM65" s="470"/>
      <c r="BON65" s="470"/>
      <c r="BOO65" s="470"/>
      <c r="BOP65" s="470"/>
      <c r="BOQ65" s="470"/>
      <c r="BOR65" s="470"/>
      <c r="BOS65" s="470"/>
      <c r="BOT65" s="470"/>
      <c r="BOU65" s="470"/>
      <c r="BOV65" s="470"/>
      <c r="BOW65" s="470"/>
      <c r="BOX65" s="470"/>
      <c r="BOY65" s="470"/>
      <c r="BOZ65" s="470"/>
      <c r="BPA65" s="470"/>
      <c r="BPB65" s="471"/>
      <c r="BPC65" s="469"/>
      <c r="BPD65" s="470"/>
      <c r="BPE65" s="470"/>
      <c r="BPF65" s="470"/>
      <c r="BPG65" s="470"/>
      <c r="BPH65" s="470"/>
      <c r="BPI65" s="470"/>
      <c r="BPJ65" s="470"/>
      <c r="BPK65" s="470"/>
      <c r="BPL65" s="470"/>
      <c r="BPM65" s="470"/>
      <c r="BPN65" s="470"/>
      <c r="BPO65" s="470"/>
      <c r="BPP65" s="470"/>
      <c r="BPQ65" s="470"/>
      <c r="BPR65" s="470"/>
      <c r="BPS65" s="470"/>
      <c r="BPT65" s="470"/>
      <c r="BPU65" s="470"/>
      <c r="BPV65" s="470"/>
      <c r="BPW65" s="470"/>
      <c r="BPX65" s="470"/>
      <c r="BPY65" s="470"/>
      <c r="BPZ65" s="470"/>
      <c r="BQA65" s="470"/>
      <c r="BQB65" s="470"/>
      <c r="BQC65" s="470"/>
      <c r="BQD65" s="470"/>
      <c r="BQE65" s="470"/>
      <c r="BQF65" s="471"/>
      <c r="BQG65" s="469"/>
      <c r="BQH65" s="470"/>
      <c r="BQI65" s="470"/>
      <c r="BQJ65" s="470"/>
      <c r="BQK65" s="470"/>
      <c r="BQL65" s="470"/>
      <c r="BQM65" s="470"/>
      <c r="BQN65" s="470"/>
      <c r="BQO65" s="470"/>
      <c r="BQP65" s="470"/>
      <c r="BQQ65" s="470"/>
      <c r="BQR65" s="470"/>
      <c r="BQS65" s="470"/>
      <c r="BQT65" s="470"/>
      <c r="BQU65" s="470"/>
      <c r="BQV65" s="470"/>
      <c r="BQW65" s="470"/>
      <c r="BQX65" s="470"/>
      <c r="BQY65" s="470"/>
      <c r="BQZ65" s="470"/>
      <c r="BRA65" s="470"/>
      <c r="BRB65" s="470"/>
      <c r="BRC65" s="470"/>
      <c r="BRD65" s="470"/>
      <c r="BRE65" s="470"/>
      <c r="BRF65" s="470"/>
      <c r="BRG65" s="470"/>
      <c r="BRH65" s="470"/>
      <c r="BRI65" s="470"/>
      <c r="BRJ65" s="471"/>
      <c r="BRK65" s="469"/>
      <c r="BRL65" s="470"/>
      <c r="BRM65" s="470"/>
      <c r="BRN65" s="470"/>
      <c r="BRO65" s="470"/>
      <c r="BRP65" s="470"/>
      <c r="BRQ65" s="470"/>
      <c r="BRR65" s="470"/>
      <c r="BRS65" s="470"/>
      <c r="BRT65" s="470"/>
      <c r="BRU65" s="470"/>
      <c r="BRV65" s="470"/>
      <c r="BRW65" s="470"/>
      <c r="BRX65" s="470"/>
      <c r="BRY65" s="470"/>
      <c r="BRZ65" s="470"/>
      <c r="BSA65" s="470"/>
      <c r="BSB65" s="470"/>
      <c r="BSC65" s="470"/>
      <c r="BSD65" s="470"/>
      <c r="BSE65" s="470"/>
      <c r="BSF65" s="470"/>
      <c r="BSG65" s="470"/>
      <c r="BSH65" s="470"/>
      <c r="BSI65" s="470"/>
      <c r="BSJ65" s="470"/>
      <c r="BSK65" s="470"/>
      <c r="BSL65" s="470"/>
      <c r="BSM65" s="470"/>
      <c r="BSN65" s="471"/>
      <c r="BSO65" s="469"/>
      <c r="BSP65" s="470"/>
      <c r="BSQ65" s="470"/>
      <c r="BSR65" s="470"/>
      <c r="BSS65" s="470"/>
      <c r="BST65" s="470"/>
      <c r="BSU65" s="470"/>
      <c r="BSV65" s="470"/>
      <c r="BSW65" s="470"/>
      <c r="BSX65" s="470"/>
      <c r="BSY65" s="470"/>
      <c r="BSZ65" s="470"/>
      <c r="BTA65" s="470"/>
      <c r="BTB65" s="470"/>
      <c r="BTC65" s="470"/>
      <c r="BTD65" s="470"/>
      <c r="BTE65" s="470"/>
      <c r="BTF65" s="470"/>
      <c r="BTG65" s="470"/>
      <c r="BTH65" s="470"/>
      <c r="BTI65" s="470"/>
      <c r="BTJ65" s="470"/>
      <c r="BTK65" s="470"/>
      <c r="BTL65" s="470"/>
      <c r="BTM65" s="470"/>
      <c r="BTN65" s="470"/>
      <c r="BTO65" s="470"/>
      <c r="BTP65" s="470"/>
      <c r="BTQ65" s="470"/>
      <c r="BTR65" s="471"/>
      <c r="BTS65" s="469"/>
      <c r="BTT65" s="470"/>
      <c r="BTU65" s="470"/>
      <c r="BTV65" s="470"/>
      <c r="BTW65" s="470"/>
      <c r="BTX65" s="470"/>
      <c r="BTY65" s="470"/>
      <c r="BTZ65" s="470"/>
      <c r="BUA65" s="470"/>
      <c r="BUB65" s="470"/>
      <c r="BUC65" s="470"/>
      <c r="BUD65" s="470"/>
      <c r="BUE65" s="470"/>
      <c r="BUF65" s="470"/>
      <c r="BUG65" s="470"/>
      <c r="BUH65" s="470"/>
      <c r="BUI65" s="470"/>
      <c r="BUJ65" s="470"/>
      <c r="BUK65" s="470"/>
      <c r="BUL65" s="470"/>
      <c r="BUM65" s="470"/>
      <c r="BUN65" s="470"/>
      <c r="BUO65" s="470"/>
      <c r="BUP65" s="470"/>
      <c r="BUQ65" s="470"/>
      <c r="BUR65" s="470"/>
      <c r="BUS65" s="470"/>
      <c r="BUT65" s="470"/>
      <c r="BUU65" s="470"/>
      <c r="BUV65" s="471"/>
      <c r="BUW65" s="469"/>
      <c r="BUX65" s="470"/>
      <c r="BUY65" s="470"/>
      <c r="BUZ65" s="470"/>
      <c r="BVA65" s="470"/>
      <c r="BVB65" s="470"/>
      <c r="BVC65" s="470"/>
      <c r="BVD65" s="470"/>
      <c r="BVE65" s="470"/>
      <c r="BVF65" s="470"/>
      <c r="BVG65" s="470"/>
      <c r="BVH65" s="470"/>
      <c r="BVI65" s="470"/>
      <c r="BVJ65" s="470"/>
      <c r="BVK65" s="470"/>
      <c r="BVL65" s="470"/>
      <c r="BVM65" s="470"/>
      <c r="BVN65" s="470"/>
      <c r="BVO65" s="470"/>
      <c r="BVP65" s="470"/>
      <c r="BVQ65" s="470"/>
      <c r="BVR65" s="470"/>
      <c r="BVS65" s="470"/>
      <c r="BVT65" s="470"/>
      <c r="BVU65" s="470"/>
      <c r="BVV65" s="470"/>
      <c r="BVW65" s="470"/>
      <c r="BVX65" s="470"/>
      <c r="BVY65" s="470"/>
      <c r="BVZ65" s="471"/>
      <c r="BWA65" s="469"/>
      <c r="BWB65" s="470"/>
      <c r="BWC65" s="470"/>
      <c r="BWD65" s="470"/>
      <c r="BWE65" s="470"/>
      <c r="BWF65" s="470"/>
      <c r="BWG65" s="470"/>
      <c r="BWH65" s="470"/>
      <c r="BWI65" s="470"/>
      <c r="BWJ65" s="470"/>
      <c r="BWK65" s="470"/>
      <c r="BWL65" s="470"/>
      <c r="BWM65" s="470"/>
      <c r="BWN65" s="470"/>
      <c r="BWO65" s="470"/>
      <c r="BWP65" s="470"/>
      <c r="BWQ65" s="470"/>
      <c r="BWR65" s="470"/>
      <c r="BWS65" s="470"/>
      <c r="BWT65" s="470"/>
      <c r="BWU65" s="470"/>
      <c r="BWV65" s="470"/>
      <c r="BWW65" s="470"/>
      <c r="BWX65" s="470"/>
      <c r="BWY65" s="470"/>
      <c r="BWZ65" s="470"/>
      <c r="BXA65" s="470"/>
      <c r="BXB65" s="470"/>
      <c r="BXC65" s="470"/>
      <c r="BXD65" s="471"/>
      <c r="BXE65" s="469"/>
      <c r="BXF65" s="470"/>
      <c r="BXG65" s="470"/>
      <c r="BXH65" s="470"/>
      <c r="BXI65" s="470"/>
      <c r="BXJ65" s="470"/>
      <c r="BXK65" s="470"/>
      <c r="BXL65" s="470"/>
      <c r="BXM65" s="470"/>
      <c r="BXN65" s="470"/>
      <c r="BXO65" s="470"/>
      <c r="BXP65" s="470"/>
      <c r="BXQ65" s="470"/>
      <c r="BXR65" s="470"/>
      <c r="BXS65" s="470"/>
      <c r="BXT65" s="470"/>
      <c r="BXU65" s="470"/>
      <c r="BXV65" s="470"/>
      <c r="BXW65" s="470"/>
      <c r="BXX65" s="470"/>
      <c r="BXY65" s="470"/>
      <c r="BXZ65" s="470"/>
      <c r="BYA65" s="470"/>
      <c r="BYB65" s="470"/>
      <c r="BYC65" s="470"/>
      <c r="BYD65" s="470"/>
      <c r="BYE65" s="470"/>
      <c r="BYF65" s="470"/>
      <c r="BYG65" s="470"/>
      <c r="BYH65" s="471"/>
      <c r="BYI65" s="469"/>
      <c r="BYJ65" s="470"/>
      <c r="BYK65" s="470"/>
      <c r="BYL65" s="470"/>
      <c r="BYM65" s="470"/>
      <c r="BYN65" s="470"/>
      <c r="BYO65" s="470"/>
      <c r="BYP65" s="470"/>
      <c r="BYQ65" s="470"/>
      <c r="BYR65" s="470"/>
      <c r="BYS65" s="470"/>
      <c r="BYT65" s="470"/>
      <c r="BYU65" s="470"/>
      <c r="BYV65" s="470"/>
      <c r="BYW65" s="470"/>
      <c r="BYX65" s="470"/>
      <c r="BYY65" s="470"/>
      <c r="BYZ65" s="470"/>
      <c r="BZA65" s="470"/>
      <c r="BZB65" s="470"/>
      <c r="BZC65" s="470"/>
      <c r="BZD65" s="470"/>
      <c r="BZE65" s="470"/>
      <c r="BZF65" s="470"/>
      <c r="BZG65" s="470"/>
      <c r="BZH65" s="470"/>
      <c r="BZI65" s="470"/>
      <c r="BZJ65" s="470"/>
      <c r="BZK65" s="470"/>
      <c r="BZL65" s="471"/>
      <c r="BZM65" s="469"/>
      <c r="BZN65" s="470"/>
      <c r="BZO65" s="470"/>
      <c r="BZP65" s="470"/>
      <c r="BZQ65" s="470"/>
      <c r="BZR65" s="470"/>
      <c r="BZS65" s="470"/>
      <c r="BZT65" s="470"/>
      <c r="BZU65" s="470"/>
      <c r="BZV65" s="470"/>
      <c r="BZW65" s="470"/>
      <c r="BZX65" s="470"/>
      <c r="BZY65" s="470"/>
      <c r="BZZ65" s="470"/>
      <c r="CAA65" s="470"/>
      <c r="CAB65" s="470"/>
      <c r="CAC65" s="470"/>
      <c r="CAD65" s="470"/>
      <c r="CAE65" s="470"/>
      <c r="CAF65" s="470"/>
      <c r="CAG65" s="470"/>
      <c r="CAH65" s="470"/>
      <c r="CAI65" s="470"/>
      <c r="CAJ65" s="470"/>
      <c r="CAK65" s="470"/>
      <c r="CAL65" s="470"/>
      <c r="CAM65" s="470"/>
      <c r="CAN65" s="470"/>
      <c r="CAO65" s="470"/>
      <c r="CAP65" s="471"/>
      <c r="CAQ65" s="469"/>
      <c r="CAR65" s="470"/>
      <c r="CAS65" s="470"/>
      <c r="CAT65" s="470"/>
      <c r="CAU65" s="470"/>
      <c r="CAV65" s="470"/>
      <c r="CAW65" s="470"/>
      <c r="CAX65" s="470"/>
      <c r="CAY65" s="470"/>
      <c r="CAZ65" s="470"/>
      <c r="CBA65" s="470"/>
      <c r="CBB65" s="470"/>
      <c r="CBC65" s="470"/>
      <c r="CBD65" s="470"/>
      <c r="CBE65" s="470"/>
      <c r="CBF65" s="470"/>
      <c r="CBG65" s="470"/>
      <c r="CBH65" s="470"/>
      <c r="CBI65" s="470"/>
      <c r="CBJ65" s="470"/>
      <c r="CBK65" s="470"/>
      <c r="CBL65" s="470"/>
      <c r="CBM65" s="470"/>
      <c r="CBN65" s="470"/>
      <c r="CBO65" s="470"/>
      <c r="CBP65" s="470"/>
      <c r="CBQ65" s="470"/>
      <c r="CBR65" s="470"/>
      <c r="CBS65" s="470"/>
      <c r="CBT65" s="471"/>
      <c r="CBU65" s="469"/>
      <c r="CBV65" s="470"/>
      <c r="CBW65" s="470"/>
      <c r="CBX65" s="470"/>
      <c r="CBY65" s="470"/>
      <c r="CBZ65" s="470"/>
      <c r="CCA65" s="470"/>
      <c r="CCB65" s="470"/>
      <c r="CCC65" s="470"/>
      <c r="CCD65" s="470"/>
      <c r="CCE65" s="470"/>
      <c r="CCF65" s="470"/>
      <c r="CCG65" s="470"/>
      <c r="CCH65" s="470"/>
      <c r="CCI65" s="470"/>
      <c r="CCJ65" s="470"/>
      <c r="CCK65" s="470"/>
      <c r="CCL65" s="470"/>
      <c r="CCM65" s="470"/>
      <c r="CCN65" s="470"/>
      <c r="CCO65" s="470"/>
      <c r="CCP65" s="470"/>
      <c r="CCQ65" s="470"/>
      <c r="CCR65" s="470"/>
      <c r="CCS65" s="470"/>
      <c r="CCT65" s="470"/>
      <c r="CCU65" s="470"/>
      <c r="CCV65" s="470"/>
      <c r="CCW65" s="470"/>
      <c r="CCX65" s="471"/>
      <c r="CCY65" s="469"/>
      <c r="CCZ65" s="470"/>
      <c r="CDA65" s="470"/>
      <c r="CDB65" s="470"/>
      <c r="CDC65" s="470"/>
      <c r="CDD65" s="470"/>
      <c r="CDE65" s="470"/>
      <c r="CDF65" s="470"/>
      <c r="CDG65" s="470"/>
      <c r="CDH65" s="470"/>
      <c r="CDI65" s="470"/>
      <c r="CDJ65" s="470"/>
      <c r="CDK65" s="470"/>
      <c r="CDL65" s="470"/>
      <c r="CDM65" s="470"/>
      <c r="CDN65" s="470"/>
      <c r="CDO65" s="470"/>
      <c r="CDP65" s="470"/>
      <c r="CDQ65" s="470"/>
      <c r="CDR65" s="470"/>
      <c r="CDS65" s="470"/>
      <c r="CDT65" s="470"/>
      <c r="CDU65" s="470"/>
      <c r="CDV65" s="470"/>
      <c r="CDW65" s="470"/>
      <c r="CDX65" s="470"/>
      <c r="CDY65" s="470"/>
      <c r="CDZ65" s="470"/>
      <c r="CEA65" s="470"/>
      <c r="CEB65" s="471"/>
      <c r="CEC65" s="469"/>
      <c r="CED65" s="470"/>
      <c r="CEE65" s="470"/>
      <c r="CEF65" s="470"/>
      <c r="CEG65" s="470"/>
      <c r="CEH65" s="470"/>
      <c r="CEI65" s="470"/>
      <c r="CEJ65" s="470"/>
      <c r="CEK65" s="470"/>
      <c r="CEL65" s="470"/>
      <c r="CEM65" s="470"/>
      <c r="CEN65" s="470"/>
      <c r="CEO65" s="470"/>
      <c r="CEP65" s="470"/>
      <c r="CEQ65" s="470"/>
      <c r="CER65" s="470"/>
      <c r="CES65" s="470"/>
      <c r="CET65" s="470"/>
      <c r="CEU65" s="470"/>
      <c r="CEV65" s="470"/>
      <c r="CEW65" s="470"/>
      <c r="CEX65" s="470"/>
      <c r="CEY65" s="470"/>
      <c r="CEZ65" s="470"/>
      <c r="CFA65" s="470"/>
      <c r="CFB65" s="470"/>
      <c r="CFC65" s="470"/>
      <c r="CFD65" s="470"/>
      <c r="CFE65" s="470"/>
      <c r="CFF65" s="471"/>
      <c r="CFG65" s="469"/>
      <c r="CFH65" s="470"/>
      <c r="CFI65" s="470"/>
      <c r="CFJ65" s="470"/>
      <c r="CFK65" s="470"/>
      <c r="CFL65" s="470"/>
      <c r="CFM65" s="470"/>
      <c r="CFN65" s="470"/>
      <c r="CFO65" s="470"/>
      <c r="CFP65" s="470"/>
      <c r="CFQ65" s="470"/>
      <c r="CFR65" s="470"/>
      <c r="CFS65" s="470"/>
      <c r="CFT65" s="470"/>
      <c r="CFU65" s="470"/>
      <c r="CFV65" s="470"/>
      <c r="CFW65" s="470"/>
      <c r="CFX65" s="470"/>
      <c r="CFY65" s="470"/>
      <c r="CFZ65" s="470"/>
      <c r="CGA65" s="470"/>
      <c r="CGB65" s="470"/>
      <c r="CGC65" s="470"/>
      <c r="CGD65" s="470"/>
      <c r="CGE65" s="470"/>
      <c r="CGF65" s="470"/>
      <c r="CGG65" s="470"/>
      <c r="CGH65" s="470"/>
      <c r="CGI65" s="470"/>
      <c r="CGJ65" s="471"/>
      <c r="CGK65" s="469"/>
      <c r="CGL65" s="470"/>
      <c r="CGM65" s="470"/>
      <c r="CGN65" s="470"/>
      <c r="CGO65" s="470"/>
      <c r="CGP65" s="470"/>
      <c r="CGQ65" s="470"/>
      <c r="CGR65" s="470"/>
      <c r="CGS65" s="470"/>
      <c r="CGT65" s="470"/>
      <c r="CGU65" s="470"/>
      <c r="CGV65" s="470"/>
      <c r="CGW65" s="470"/>
      <c r="CGX65" s="470"/>
      <c r="CGY65" s="470"/>
      <c r="CGZ65" s="470"/>
      <c r="CHA65" s="470"/>
      <c r="CHB65" s="470"/>
      <c r="CHC65" s="470"/>
      <c r="CHD65" s="470"/>
      <c r="CHE65" s="470"/>
      <c r="CHF65" s="470"/>
      <c r="CHG65" s="470"/>
      <c r="CHH65" s="470"/>
      <c r="CHI65" s="470"/>
      <c r="CHJ65" s="470"/>
      <c r="CHK65" s="470"/>
      <c r="CHL65" s="470"/>
      <c r="CHM65" s="470"/>
      <c r="CHN65" s="471"/>
      <c r="CHO65" s="469"/>
      <c r="CHP65" s="470"/>
      <c r="CHQ65" s="470"/>
      <c r="CHR65" s="470"/>
      <c r="CHS65" s="470"/>
      <c r="CHT65" s="470"/>
      <c r="CHU65" s="470"/>
      <c r="CHV65" s="470"/>
      <c r="CHW65" s="470"/>
      <c r="CHX65" s="470"/>
      <c r="CHY65" s="470"/>
      <c r="CHZ65" s="470"/>
      <c r="CIA65" s="470"/>
      <c r="CIB65" s="470"/>
      <c r="CIC65" s="470"/>
      <c r="CID65" s="470"/>
      <c r="CIE65" s="470"/>
      <c r="CIF65" s="470"/>
      <c r="CIG65" s="470"/>
      <c r="CIH65" s="470"/>
      <c r="CII65" s="470"/>
      <c r="CIJ65" s="470"/>
      <c r="CIK65" s="470"/>
      <c r="CIL65" s="470"/>
      <c r="CIM65" s="470"/>
      <c r="CIN65" s="470"/>
      <c r="CIO65" s="470"/>
      <c r="CIP65" s="470"/>
      <c r="CIQ65" s="470"/>
      <c r="CIR65" s="471"/>
      <c r="CIS65" s="469"/>
      <c r="CIT65" s="470"/>
      <c r="CIU65" s="470"/>
      <c r="CIV65" s="470"/>
      <c r="CIW65" s="470"/>
      <c r="CIX65" s="470"/>
      <c r="CIY65" s="470"/>
      <c r="CIZ65" s="470"/>
      <c r="CJA65" s="470"/>
      <c r="CJB65" s="470"/>
      <c r="CJC65" s="470"/>
      <c r="CJD65" s="470"/>
      <c r="CJE65" s="470"/>
      <c r="CJF65" s="470"/>
      <c r="CJG65" s="470"/>
      <c r="CJH65" s="470"/>
      <c r="CJI65" s="470"/>
      <c r="CJJ65" s="470"/>
      <c r="CJK65" s="470"/>
      <c r="CJL65" s="470"/>
      <c r="CJM65" s="470"/>
      <c r="CJN65" s="470"/>
      <c r="CJO65" s="470"/>
      <c r="CJP65" s="470"/>
      <c r="CJQ65" s="470"/>
      <c r="CJR65" s="470"/>
      <c r="CJS65" s="470"/>
      <c r="CJT65" s="470"/>
      <c r="CJU65" s="470"/>
      <c r="CJV65" s="471"/>
      <c r="CJW65" s="469"/>
      <c r="CJX65" s="470"/>
      <c r="CJY65" s="470"/>
      <c r="CJZ65" s="470"/>
      <c r="CKA65" s="470"/>
      <c r="CKB65" s="470"/>
      <c r="CKC65" s="470"/>
      <c r="CKD65" s="470"/>
      <c r="CKE65" s="470"/>
      <c r="CKF65" s="470"/>
      <c r="CKG65" s="470"/>
      <c r="CKH65" s="470"/>
      <c r="CKI65" s="470"/>
      <c r="CKJ65" s="470"/>
      <c r="CKK65" s="470"/>
      <c r="CKL65" s="470"/>
      <c r="CKM65" s="470"/>
      <c r="CKN65" s="470"/>
      <c r="CKO65" s="470"/>
      <c r="CKP65" s="470"/>
      <c r="CKQ65" s="470"/>
      <c r="CKR65" s="470"/>
      <c r="CKS65" s="470"/>
      <c r="CKT65" s="470"/>
      <c r="CKU65" s="470"/>
      <c r="CKV65" s="470"/>
      <c r="CKW65" s="470"/>
      <c r="CKX65" s="470"/>
      <c r="CKY65" s="470"/>
      <c r="CKZ65" s="471"/>
      <c r="CLA65" s="469"/>
      <c r="CLB65" s="470"/>
      <c r="CLC65" s="470"/>
      <c r="CLD65" s="470"/>
      <c r="CLE65" s="470"/>
      <c r="CLF65" s="470"/>
      <c r="CLG65" s="470"/>
      <c r="CLH65" s="470"/>
      <c r="CLI65" s="470"/>
      <c r="CLJ65" s="470"/>
      <c r="CLK65" s="470"/>
      <c r="CLL65" s="470"/>
      <c r="CLM65" s="470"/>
      <c r="CLN65" s="470"/>
      <c r="CLO65" s="470"/>
      <c r="CLP65" s="470"/>
      <c r="CLQ65" s="470"/>
      <c r="CLR65" s="470"/>
      <c r="CLS65" s="470"/>
      <c r="CLT65" s="470"/>
      <c r="CLU65" s="470"/>
      <c r="CLV65" s="470"/>
      <c r="CLW65" s="470"/>
      <c r="CLX65" s="470"/>
      <c r="CLY65" s="470"/>
      <c r="CLZ65" s="470"/>
      <c r="CMA65" s="470"/>
      <c r="CMB65" s="470"/>
      <c r="CMC65" s="470"/>
      <c r="CMD65" s="471"/>
      <c r="CME65" s="469"/>
      <c r="CMF65" s="470"/>
      <c r="CMG65" s="470"/>
      <c r="CMH65" s="470"/>
      <c r="CMI65" s="470"/>
      <c r="CMJ65" s="470"/>
      <c r="CMK65" s="470"/>
      <c r="CML65" s="470"/>
      <c r="CMM65" s="470"/>
      <c r="CMN65" s="470"/>
      <c r="CMO65" s="470"/>
      <c r="CMP65" s="470"/>
      <c r="CMQ65" s="470"/>
      <c r="CMR65" s="470"/>
      <c r="CMS65" s="470"/>
      <c r="CMT65" s="470"/>
      <c r="CMU65" s="470"/>
      <c r="CMV65" s="470"/>
      <c r="CMW65" s="470"/>
      <c r="CMX65" s="470"/>
      <c r="CMY65" s="470"/>
      <c r="CMZ65" s="470"/>
      <c r="CNA65" s="470"/>
      <c r="CNB65" s="470"/>
      <c r="CNC65" s="470"/>
      <c r="CND65" s="470"/>
      <c r="CNE65" s="470"/>
      <c r="CNF65" s="470"/>
      <c r="CNG65" s="470"/>
      <c r="CNH65" s="471"/>
      <c r="CNI65" s="469"/>
      <c r="CNJ65" s="470"/>
      <c r="CNK65" s="470"/>
      <c r="CNL65" s="470"/>
      <c r="CNM65" s="470"/>
      <c r="CNN65" s="470"/>
      <c r="CNO65" s="470"/>
      <c r="CNP65" s="470"/>
      <c r="CNQ65" s="470"/>
      <c r="CNR65" s="470"/>
      <c r="CNS65" s="470"/>
      <c r="CNT65" s="470"/>
      <c r="CNU65" s="470"/>
      <c r="CNV65" s="470"/>
      <c r="CNW65" s="470"/>
      <c r="CNX65" s="470"/>
      <c r="CNY65" s="470"/>
      <c r="CNZ65" s="470"/>
      <c r="COA65" s="470"/>
      <c r="COB65" s="470"/>
      <c r="COC65" s="470"/>
      <c r="COD65" s="470"/>
      <c r="COE65" s="470"/>
      <c r="COF65" s="470"/>
      <c r="COG65" s="470"/>
      <c r="COH65" s="470"/>
      <c r="COI65" s="470"/>
      <c r="COJ65" s="470"/>
      <c r="COK65" s="470"/>
      <c r="COL65" s="471"/>
      <c r="COM65" s="469"/>
      <c r="CON65" s="470"/>
      <c r="COO65" s="470"/>
      <c r="COP65" s="470"/>
      <c r="COQ65" s="470"/>
      <c r="COR65" s="470"/>
      <c r="COS65" s="470"/>
      <c r="COT65" s="470"/>
      <c r="COU65" s="470"/>
      <c r="COV65" s="470"/>
      <c r="COW65" s="470"/>
      <c r="COX65" s="470"/>
      <c r="COY65" s="470"/>
      <c r="COZ65" s="470"/>
      <c r="CPA65" s="470"/>
      <c r="CPB65" s="470"/>
      <c r="CPC65" s="470"/>
      <c r="CPD65" s="470"/>
      <c r="CPE65" s="470"/>
      <c r="CPF65" s="470"/>
      <c r="CPG65" s="470"/>
      <c r="CPH65" s="470"/>
      <c r="CPI65" s="470"/>
      <c r="CPJ65" s="470"/>
      <c r="CPK65" s="470"/>
      <c r="CPL65" s="470"/>
      <c r="CPM65" s="470"/>
      <c r="CPN65" s="470"/>
      <c r="CPO65" s="470"/>
      <c r="CPP65" s="471"/>
      <c r="CPQ65" s="469"/>
      <c r="CPR65" s="470"/>
      <c r="CPS65" s="470"/>
      <c r="CPT65" s="470"/>
      <c r="CPU65" s="470"/>
      <c r="CPV65" s="470"/>
      <c r="CPW65" s="470"/>
      <c r="CPX65" s="470"/>
      <c r="CPY65" s="470"/>
      <c r="CPZ65" s="470"/>
      <c r="CQA65" s="470"/>
      <c r="CQB65" s="470"/>
      <c r="CQC65" s="470"/>
      <c r="CQD65" s="470"/>
      <c r="CQE65" s="470"/>
      <c r="CQF65" s="470"/>
      <c r="CQG65" s="470"/>
      <c r="CQH65" s="470"/>
      <c r="CQI65" s="470"/>
      <c r="CQJ65" s="470"/>
      <c r="CQK65" s="470"/>
      <c r="CQL65" s="470"/>
      <c r="CQM65" s="470"/>
      <c r="CQN65" s="470"/>
      <c r="CQO65" s="470"/>
      <c r="CQP65" s="470"/>
      <c r="CQQ65" s="470"/>
      <c r="CQR65" s="470"/>
      <c r="CQS65" s="470"/>
      <c r="CQT65" s="471"/>
      <c r="CQU65" s="469"/>
      <c r="CQV65" s="470"/>
      <c r="CQW65" s="470"/>
      <c r="CQX65" s="470"/>
      <c r="CQY65" s="470"/>
      <c r="CQZ65" s="470"/>
      <c r="CRA65" s="470"/>
      <c r="CRB65" s="470"/>
      <c r="CRC65" s="470"/>
      <c r="CRD65" s="470"/>
      <c r="CRE65" s="470"/>
      <c r="CRF65" s="470"/>
      <c r="CRG65" s="470"/>
      <c r="CRH65" s="470"/>
      <c r="CRI65" s="470"/>
      <c r="CRJ65" s="470"/>
      <c r="CRK65" s="470"/>
      <c r="CRL65" s="470"/>
      <c r="CRM65" s="470"/>
      <c r="CRN65" s="470"/>
      <c r="CRO65" s="470"/>
      <c r="CRP65" s="470"/>
      <c r="CRQ65" s="470"/>
      <c r="CRR65" s="470"/>
      <c r="CRS65" s="470"/>
      <c r="CRT65" s="470"/>
      <c r="CRU65" s="470"/>
      <c r="CRV65" s="470"/>
      <c r="CRW65" s="470"/>
      <c r="CRX65" s="471"/>
      <c r="CRY65" s="469"/>
      <c r="CRZ65" s="470"/>
      <c r="CSA65" s="470"/>
      <c r="CSB65" s="470"/>
      <c r="CSC65" s="470"/>
      <c r="CSD65" s="470"/>
      <c r="CSE65" s="470"/>
      <c r="CSF65" s="470"/>
      <c r="CSG65" s="470"/>
      <c r="CSH65" s="470"/>
      <c r="CSI65" s="470"/>
      <c r="CSJ65" s="470"/>
      <c r="CSK65" s="470"/>
      <c r="CSL65" s="470"/>
      <c r="CSM65" s="470"/>
      <c r="CSN65" s="470"/>
      <c r="CSO65" s="470"/>
      <c r="CSP65" s="470"/>
      <c r="CSQ65" s="470"/>
      <c r="CSR65" s="470"/>
      <c r="CSS65" s="470"/>
      <c r="CST65" s="470"/>
      <c r="CSU65" s="470"/>
      <c r="CSV65" s="470"/>
      <c r="CSW65" s="470"/>
      <c r="CSX65" s="470"/>
      <c r="CSY65" s="470"/>
      <c r="CSZ65" s="470"/>
      <c r="CTA65" s="470"/>
      <c r="CTB65" s="471"/>
      <c r="CTC65" s="469"/>
      <c r="CTD65" s="470"/>
      <c r="CTE65" s="470"/>
      <c r="CTF65" s="470"/>
      <c r="CTG65" s="470"/>
      <c r="CTH65" s="470"/>
      <c r="CTI65" s="470"/>
      <c r="CTJ65" s="470"/>
      <c r="CTK65" s="470"/>
      <c r="CTL65" s="470"/>
      <c r="CTM65" s="470"/>
      <c r="CTN65" s="470"/>
      <c r="CTO65" s="470"/>
      <c r="CTP65" s="470"/>
      <c r="CTQ65" s="470"/>
      <c r="CTR65" s="470"/>
      <c r="CTS65" s="470"/>
      <c r="CTT65" s="470"/>
      <c r="CTU65" s="470"/>
      <c r="CTV65" s="470"/>
      <c r="CTW65" s="470"/>
      <c r="CTX65" s="470"/>
      <c r="CTY65" s="470"/>
      <c r="CTZ65" s="470"/>
      <c r="CUA65" s="470"/>
      <c r="CUB65" s="470"/>
      <c r="CUC65" s="470"/>
      <c r="CUD65" s="470"/>
      <c r="CUE65" s="470"/>
      <c r="CUF65" s="471"/>
      <c r="CUG65" s="469"/>
      <c r="CUH65" s="470"/>
      <c r="CUI65" s="470"/>
      <c r="CUJ65" s="470"/>
      <c r="CUK65" s="470"/>
      <c r="CUL65" s="470"/>
      <c r="CUM65" s="470"/>
      <c r="CUN65" s="470"/>
      <c r="CUO65" s="470"/>
      <c r="CUP65" s="470"/>
      <c r="CUQ65" s="470"/>
      <c r="CUR65" s="470"/>
      <c r="CUS65" s="470"/>
      <c r="CUT65" s="470"/>
      <c r="CUU65" s="470"/>
      <c r="CUV65" s="470"/>
      <c r="CUW65" s="470"/>
      <c r="CUX65" s="470"/>
      <c r="CUY65" s="470"/>
      <c r="CUZ65" s="470"/>
      <c r="CVA65" s="470"/>
      <c r="CVB65" s="470"/>
      <c r="CVC65" s="470"/>
      <c r="CVD65" s="470"/>
      <c r="CVE65" s="470"/>
      <c r="CVF65" s="470"/>
      <c r="CVG65" s="470"/>
      <c r="CVH65" s="470"/>
      <c r="CVI65" s="470"/>
      <c r="CVJ65" s="471"/>
      <c r="CVK65" s="469"/>
      <c r="CVL65" s="470"/>
      <c r="CVM65" s="470"/>
      <c r="CVN65" s="470"/>
      <c r="CVO65" s="470"/>
      <c r="CVP65" s="470"/>
      <c r="CVQ65" s="470"/>
      <c r="CVR65" s="470"/>
      <c r="CVS65" s="470"/>
      <c r="CVT65" s="470"/>
      <c r="CVU65" s="470"/>
      <c r="CVV65" s="470"/>
      <c r="CVW65" s="470"/>
      <c r="CVX65" s="470"/>
      <c r="CVY65" s="470"/>
      <c r="CVZ65" s="470"/>
      <c r="CWA65" s="470"/>
      <c r="CWB65" s="470"/>
      <c r="CWC65" s="470"/>
      <c r="CWD65" s="470"/>
      <c r="CWE65" s="470"/>
      <c r="CWF65" s="470"/>
      <c r="CWG65" s="470"/>
      <c r="CWH65" s="470"/>
      <c r="CWI65" s="470"/>
      <c r="CWJ65" s="470"/>
      <c r="CWK65" s="470"/>
      <c r="CWL65" s="470"/>
      <c r="CWM65" s="470"/>
      <c r="CWN65" s="471"/>
      <c r="CWO65" s="469"/>
      <c r="CWP65" s="470"/>
      <c r="CWQ65" s="470"/>
      <c r="CWR65" s="470"/>
      <c r="CWS65" s="470"/>
      <c r="CWT65" s="470"/>
      <c r="CWU65" s="470"/>
      <c r="CWV65" s="470"/>
      <c r="CWW65" s="470"/>
      <c r="CWX65" s="470"/>
      <c r="CWY65" s="470"/>
      <c r="CWZ65" s="470"/>
      <c r="CXA65" s="470"/>
      <c r="CXB65" s="470"/>
      <c r="CXC65" s="470"/>
      <c r="CXD65" s="470"/>
      <c r="CXE65" s="470"/>
      <c r="CXF65" s="470"/>
      <c r="CXG65" s="470"/>
      <c r="CXH65" s="470"/>
      <c r="CXI65" s="470"/>
      <c r="CXJ65" s="470"/>
      <c r="CXK65" s="470"/>
      <c r="CXL65" s="470"/>
      <c r="CXM65" s="470"/>
      <c r="CXN65" s="470"/>
      <c r="CXO65" s="470"/>
      <c r="CXP65" s="470"/>
      <c r="CXQ65" s="470"/>
      <c r="CXR65" s="471"/>
      <c r="CXS65" s="469"/>
      <c r="CXT65" s="470"/>
      <c r="CXU65" s="470"/>
      <c r="CXV65" s="470"/>
      <c r="CXW65" s="470"/>
      <c r="CXX65" s="470"/>
      <c r="CXY65" s="470"/>
      <c r="CXZ65" s="470"/>
      <c r="CYA65" s="470"/>
      <c r="CYB65" s="470"/>
      <c r="CYC65" s="470"/>
      <c r="CYD65" s="470"/>
      <c r="CYE65" s="470"/>
      <c r="CYF65" s="470"/>
      <c r="CYG65" s="470"/>
      <c r="CYH65" s="470"/>
      <c r="CYI65" s="470"/>
      <c r="CYJ65" s="470"/>
      <c r="CYK65" s="470"/>
      <c r="CYL65" s="470"/>
      <c r="CYM65" s="470"/>
      <c r="CYN65" s="470"/>
      <c r="CYO65" s="470"/>
      <c r="CYP65" s="470"/>
      <c r="CYQ65" s="470"/>
      <c r="CYR65" s="470"/>
      <c r="CYS65" s="470"/>
      <c r="CYT65" s="470"/>
      <c r="CYU65" s="470"/>
      <c r="CYV65" s="471"/>
      <c r="CYW65" s="469"/>
      <c r="CYX65" s="470"/>
      <c r="CYY65" s="470"/>
      <c r="CYZ65" s="470"/>
      <c r="CZA65" s="470"/>
      <c r="CZB65" s="470"/>
      <c r="CZC65" s="470"/>
      <c r="CZD65" s="470"/>
      <c r="CZE65" s="470"/>
      <c r="CZF65" s="470"/>
      <c r="CZG65" s="470"/>
      <c r="CZH65" s="470"/>
      <c r="CZI65" s="470"/>
      <c r="CZJ65" s="470"/>
      <c r="CZK65" s="470"/>
      <c r="CZL65" s="470"/>
      <c r="CZM65" s="470"/>
      <c r="CZN65" s="470"/>
      <c r="CZO65" s="470"/>
      <c r="CZP65" s="470"/>
      <c r="CZQ65" s="470"/>
      <c r="CZR65" s="470"/>
      <c r="CZS65" s="470"/>
      <c r="CZT65" s="470"/>
      <c r="CZU65" s="470"/>
      <c r="CZV65" s="470"/>
      <c r="CZW65" s="470"/>
      <c r="CZX65" s="470"/>
      <c r="CZY65" s="470"/>
      <c r="CZZ65" s="471"/>
      <c r="DAA65" s="469"/>
      <c r="DAB65" s="470"/>
      <c r="DAC65" s="470"/>
      <c r="DAD65" s="470"/>
      <c r="DAE65" s="470"/>
      <c r="DAF65" s="470"/>
      <c r="DAG65" s="470"/>
      <c r="DAH65" s="470"/>
      <c r="DAI65" s="470"/>
      <c r="DAJ65" s="470"/>
      <c r="DAK65" s="470"/>
      <c r="DAL65" s="470"/>
      <c r="DAM65" s="470"/>
      <c r="DAN65" s="470"/>
      <c r="DAO65" s="470"/>
      <c r="DAP65" s="470"/>
      <c r="DAQ65" s="470"/>
      <c r="DAR65" s="470"/>
      <c r="DAS65" s="470"/>
      <c r="DAT65" s="470"/>
      <c r="DAU65" s="470"/>
      <c r="DAV65" s="470"/>
      <c r="DAW65" s="470"/>
      <c r="DAX65" s="470"/>
      <c r="DAY65" s="470"/>
      <c r="DAZ65" s="470"/>
      <c r="DBA65" s="470"/>
      <c r="DBB65" s="470"/>
      <c r="DBC65" s="470"/>
      <c r="DBD65" s="471"/>
      <c r="DBE65" s="469"/>
      <c r="DBF65" s="470"/>
      <c r="DBG65" s="470"/>
      <c r="DBH65" s="470"/>
      <c r="DBI65" s="470"/>
      <c r="DBJ65" s="470"/>
      <c r="DBK65" s="470"/>
      <c r="DBL65" s="470"/>
      <c r="DBM65" s="470"/>
      <c r="DBN65" s="470"/>
      <c r="DBO65" s="470"/>
      <c r="DBP65" s="470"/>
      <c r="DBQ65" s="470"/>
      <c r="DBR65" s="470"/>
      <c r="DBS65" s="470"/>
      <c r="DBT65" s="470"/>
      <c r="DBU65" s="470"/>
      <c r="DBV65" s="470"/>
      <c r="DBW65" s="470"/>
      <c r="DBX65" s="470"/>
      <c r="DBY65" s="470"/>
      <c r="DBZ65" s="470"/>
      <c r="DCA65" s="470"/>
      <c r="DCB65" s="470"/>
      <c r="DCC65" s="470"/>
      <c r="DCD65" s="470"/>
      <c r="DCE65" s="470"/>
      <c r="DCF65" s="470"/>
      <c r="DCG65" s="470"/>
      <c r="DCH65" s="471"/>
      <c r="DCI65" s="469"/>
      <c r="DCJ65" s="470"/>
      <c r="DCK65" s="470"/>
      <c r="DCL65" s="470"/>
      <c r="DCM65" s="470"/>
      <c r="DCN65" s="470"/>
      <c r="DCO65" s="470"/>
      <c r="DCP65" s="470"/>
      <c r="DCQ65" s="470"/>
      <c r="DCR65" s="470"/>
      <c r="DCS65" s="470"/>
      <c r="DCT65" s="470"/>
      <c r="DCU65" s="470"/>
      <c r="DCV65" s="470"/>
      <c r="DCW65" s="470"/>
      <c r="DCX65" s="470"/>
      <c r="DCY65" s="470"/>
      <c r="DCZ65" s="470"/>
      <c r="DDA65" s="470"/>
      <c r="DDB65" s="470"/>
      <c r="DDC65" s="470"/>
      <c r="DDD65" s="470"/>
      <c r="DDE65" s="470"/>
      <c r="DDF65" s="470"/>
      <c r="DDG65" s="470"/>
      <c r="DDH65" s="470"/>
      <c r="DDI65" s="470"/>
      <c r="DDJ65" s="470"/>
      <c r="DDK65" s="470"/>
      <c r="DDL65" s="471"/>
      <c r="DDM65" s="469"/>
      <c r="DDN65" s="470"/>
      <c r="DDO65" s="470"/>
      <c r="DDP65" s="470"/>
      <c r="DDQ65" s="470"/>
      <c r="DDR65" s="470"/>
      <c r="DDS65" s="470"/>
      <c r="DDT65" s="470"/>
      <c r="DDU65" s="470"/>
      <c r="DDV65" s="470"/>
      <c r="DDW65" s="470"/>
      <c r="DDX65" s="470"/>
      <c r="DDY65" s="470"/>
      <c r="DDZ65" s="470"/>
      <c r="DEA65" s="470"/>
      <c r="DEB65" s="470"/>
      <c r="DEC65" s="470"/>
      <c r="DED65" s="470"/>
      <c r="DEE65" s="470"/>
      <c r="DEF65" s="470"/>
      <c r="DEG65" s="470"/>
      <c r="DEH65" s="470"/>
      <c r="DEI65" s="470"/>
      <c r="DEJ65" s="470"/>
      <c r="DEK65" s="470"/>
      <c r="DEL65" s="470"/>
      <c r="DEM65" s="470"/>
      <c r="DEN65" s="470"/>
      <c r="DEO65" s="470"/>
      <c r="DEP65" s="471"/>
      <c r="DEQ65" s="469"/>
      <c r="DER65" s="470"/>
      <c r="DES65" s="470"/>
      <c r="DET65" s="470"/>
      <c r="DEU65" s="470"/>
      <c r="DEV65" s="470"/>
      <c r="DEW65" s="470"/>
      <c r="DEX65" s="470"/>
      <c r="DEY65" s="470"/>
      <c r="DEZ65" s="470"/>
      <c r="DFA65" s="470"/>
      <c r="DFB65" s="470"/>
      <c r="DFC65" s="470"/>
      <c r="DFD65" s="470"/>
      <c r="DFE65" s="470"/>
      <c r="DFF65" s="470"/>
      <c r="DFG65" s="470"/>
      <c r="DFH65" s="470"/>
      <c r="DFI65" s="470"/>
      <c r="DFJ65" s="470"/>
      <c r="DFK65" s="470"/>
      <c r="DFL65" s="470"/>
      <c r="DFM65" s="470"/>
      <c r="DFN65" s="470"/>
      <c r="DFO65" s="470"/>
      <c r="DFP65" s="470"/>
      <c r="DFQ65" s="470"/>
      <c r="DFR65" s="470"/>
      <c r="DFS65" s="470"/>
      <c r="DFT65" s="471"/>
      <c r="DFU65" s="469"/>
      <c r="DFV65" s="470"/>
      <c r="DFW65" s="470"/>
      <c r="DFX65" s="470"/>
      <c r="DFY65" s="470"/>
      <c r="DFZ65" s="470"/>
      <c r="DGA65" s="470"/>
      <c r="DGB65" s="470"/>
      <c r="DGC65" s="470"/>
      <c r="DGD65" s="470"/>
      <c r="DGE65" s="470"/>
      <c r="DGF65" s="470"/>
      <c r="DGG65" s="470"/>
      <c r="DGH65" s="470"/>
      <c r="DGI65" s="470"/>
      <c r="DGJ65" s="470"/>
      <c r="DGK65" s="470"/>
      <c r="DGL65" s="470"/>
      <c r="DGM65" s="470"/>
      <c r="DGN65" s="470"/>
      <c r="DGO65" s="470"/>
      <c r="DGP65" s="470"/>
      <c r="DGQ65" s="470"/>
      <c r="DGR65" s="470"/>
      <c r="DGS65" s="470"/>
      <c r="DGT65" s="470"/>
      <c r="DGU65" s="470"/>
      <c r="DGV65" s="470"/>
      <c r="DGW65" s="470"/>
      <c r="DGX65" s="471"/>
      <c r="DGY65" s="469"/>
      <c r="DGZ65" s="470"/>
      <c r="DHA65" s="470"/>
      <c r="DHB65" s="470"/>
      <c r="DHC65" s="470"/>
      <c r="DHD65" s="470"/>
      <c r="DHE65" s="470"/>
      <c r="DHF65" s="470"/>
      <c r="DHG65" s="470"/>
      <c r="DHH65" s="470"/>
      <c r="DHI65" s="470"/>
      <c r="DHJ65" s="470"/>
      <c r="DHK65" s="470"/>
      <c r="DHL65" s="470"/>
      <c r="DHM65" s="470"/>
      <c r="DHN65" s="470"/>
      <c r="DHO65" s="470"/>
      <c r="DHP65" s="470"/>
      <c r="DHQ65" s="470"/>
      <c r="DHR65" s="470"/>
      <c r="DHS65" s="470"/>
      <c r="DHT65" s="470"/>
      <c r="DHU65" s="470"/>
      <c r="DHV65" s="470"/>
      <c r="DHW65" s="470"/>
      <c r="DHX65" s="470"/>
      <c r="DHY65" s="470"/>
      <c r="DHZ65" s="470"/>
      <c r="DIA65" s="470"/>
      <c r="DIB65" s="471"/>
      <c r="DIC65" s="469"/>
      <c r="DID65" s="470"/>
      <c r="DIE65" s="470"/>
      <c r="DIF65" s="470"/>
      <c r="DIG65" s="470"/>
      <c r="DIH65" s="470"/>
      <c r="DII65" s="470"/>
      <c r="DIJ65" s="470"/>
      <c r="DIK65" s="470"/>
      <c r="DIL65" s="470"/>
      <c r="DIM65" s="470"/>
      <c r="DIN65" s="470"/>
      <c r="DIO65" s="470"/>
      <c r="DIP65" s="470"/>
      <c r="DIQ65" s="470"/>
      <c r="DIR65" s="470"/>
      <c r="DIS65" s="470"/>
      <c r="DIT65" s="470"/>
      <c r="DIU65" s="470"/>
      <c r="DIV65" s="470"/>
      <c r="DIW65" s="470"/>
      <c r="DIX65" s="470"/>
      <c r="DIY65" s="470"/>
      <c r="DIZ65" s="470"/>
      <c r="DJA65" s="470"/>
      <c r="DJB65" s="470"/>
      <c r="DJC65" s="470"/>
      <c r="DJD65" s="470"/>
      <c r="DJE65" s="470"/>
      <c r="DJF65" s="471"/>
      <c r="DJG65" s="469"/>
      <c r="DJH65" s="470"/>
      <c r="DJI65" s="470"/>
      <c r="DJJ65" s="470"/>
      <c r="DJK65" s="470"/>
      <c r="DJL65" s="470"/>
      <c r="DJM65" s="470"/>
      <c r="DJN65" s="470"/>
      <c r="DJO65" s="470"/>
      <c r="DJP65" s="470"/>
      <c r="DJQ65" s="470"/>
      <c r="DJR65" s="470"/>
      <c r="DJS65" s="470"/>
      <c r="DJT65" s="470"/>
      <c r="DJU65" s="470"/>
      <c r="DJV65" s="470"/>
      <c r="DJW65" s="470"/>
      <c r="DJX65" s="470"/>
      <c r="DJY65" s="470"/>
      <c r="DJZ65" s="470"/>
      <c r="DKA65" s="470"/>
      <c r="DKB65" s="470"/>
      <c r="DKC65" s="470"/>
      <c r="DKD65" s="470"/>
      <c r="DKE65" s="470"/>
      <c r="DKF65" s="470"/>
      <c r="DKG65" s="470"/>
      <c r="DKH65" s="470"/>
      <c r="DKI65" s="470"/>
      <c r="DKJ65" s="471"/>
      <c r="DKK65" s="469"/>
      <c r="DKL65" s="470"/>
      <c r="DKM65" s="470"/>
      <c r="DKN65" s="470"/>
      <c r="DKO65" s="470"/>
      <c r="DKP65" s="470"/>
      <c r="DKQ65" s="470"/>
      <c r="DKR65" s="470"/>
      <c r="DKS65" s="470"/>
      <c r="DKT65" s="470"/>
      <c r="DKU65" s="470"/>
      <c r="DKV65" s="470"/>
      <c r="DKW65" s="470"/>
      <c r="DKX65" s="470"/>
      <c r="DKY65" s="470"/>
      <c r="DKZ65" s="470"/>
      <c r="DLA65" s="470"/>
      <c r="DLB65" s="470"/>
      <c r="DLC65" s="470"/>
      <c r="DLD65" s="470"/>
      <c r="DLE65" s="470"/>
      <c r="DLF65" s="470"/>
      <c r="DLG65" s="470"/>
      <c r="DLH65" s="470"/>
      <c r="DLI65" s="470"/>
      <c r="DLJ65" s="470"/>
      <c r="DLK65" s="470"/>
      <c r="DLL65" s="470"/>
      <c r="DLM65" s="470"/>
      <c r="DLN65" s="471"/>
      <c r="DLO65" s="469"/>
      <c r="DLP65" s="470"/>
      <c r="DLQ65" s="470"/>
      <c r="DLR65" s="470"/>
      <c r="DLS65" s="470"/>
      <c r="DLT65" s="470"/>
      <c r="DLU65" s="470"/>
      <c r="DLV65" s="470"/>
      <c r="DLW65" s="470"/>
      <c r="DLX65" s="470"/>
      <c r="DLY65" s="470"/>
      <c r="DLZ65" s="470"/>
      <c r="DMA65" s="470"/>
      <c r="DMB65" s="470"/>
      <c r="DMC65" s="470"/>
      <c r="DMD65" s="470"/>
      <c r="DME65" s="470"/>
      <c r="DMF65" s="470"/>
      <c r="DMG65" s="470"/>
      <c r="DMH65" s="470"/>
      <c r="DMI65" s="470"/>
      <c r="DMJ65" s="470"/>
      <c r="DMK65" s="470"/>
      <c r="DML65" s="470"/>
      <c r="DMM65" s="470"/>
      <c r="DMN65" s="470"/>
      <c r="DMO65" s="470"/>
      <c r="DMP65" s="470"/>
      <c r="DMQ65" s="470"/>
      <c r="DMR65" s="471"/>
      <c r="DMS65" s="469"/>
      <c r="DMT65" s="470"/>
      <c r="DMU65" s="470"/>
      <c r="DMV65" s="470"/>
      <c r="DMW65" s="470"/>
      <c r="DMX65" s="470"/>
      <c r="DMY65" s="470"/>
      <c r="DMZ65" s="470"/>
      <c r="DNA65" s="470"/>
      <c r="DNB65" s="470"/>
      <c r="DNC65" s="470"/>
      <c r="DND65" s="470"/>
      <c r="DNE65" s="470"/>
      <c r="DNF65" s="470"/>
      <c r="DNG65" s="470"/>
      <c r="DNH65" s="470"/>
      <c r="DNI65" s="470"/>
      <c r="DNJ65" s="470"/>
      <c r="DNK65" s="470"/>
      <c r="DNL65" s="470"/>
      <c r="DNM65" s="470"/>
      <c r="DNN65" s="470"/>
      <c r="DNO65" s="470"/>
      <c r="DNP65" s="470"/>
      <c r="DNQ65" s="470"/>
      <c r="DNR65" s="470"/>
      <c r="DNS65" s="470"/>
      <c r="DNT65" s="470"/>
      <c r="DNU65" s="470"/>
      <c r="DNV65" s="471"/>
      <c r="DNW65" s="469"/>
      <c r="DNX65" s="470"/>
      <c r="DNY65" s="470"/>
      <c r="DNZ65" s="470"/>
      <c r="DOA65" s="470"/>
      <c r="DOB65" s="470"/>
      <c r="DOC65" s="470"/>
      <c r="DOD65" s="470"/>
      <c r="DOE65" s="470"/>
      <c r="DOF65" s="470"/>
      <c r="DOG65" s="470"/>
      <c r="DOH65" s="470"/>
      <c r="DOI65" s="470"/>
      <c r="DOJ65" s="470"/>
      <c r="DOK65" s="470"/>
      <c r="DOL65" s="470"/>
      <c r="DOM65" s="470"/>
      <c r="DON65" s="470"/>
      <c r="DOO65" s="470"/>
      <c r="DOP65" s="470"/>
      <c r="DOQ65" s="470"/>
      <c r="DOR65" s="470"/>
      <c r="DOS65" s="470"/>
      <c r="DOT65" s="470"/>
      <c r="DOU65" s="470"/>
      <c r="DOV65" s="470"/>
      <c r="DOW65" s="470"/>
      <c r="DOX65" s="470"/>
      <c r="DOY65" s="470"/>
      <c r="DOZ65" s="471"/>
      <c r="DPA65" s="469"/>
      <c r="DPB65" s="470"/>
      <c r="DPC65" s="470"/>
      <c r="DPD65" s="470"/>
      <c r="DPE65" s="470"/>
      <c r="DPF65" s="470"/>
      <c r="DPG65" s="470"/>
      <c r="DPH65" s="470"/>
      <c r="DPI65" s="470"/>
      <c r="DPJ65" s="470"/>
      <c r="DPK65" s="470"/>
      <c r="DPL65" s="470"/>
      <c r="DPM65" s="470"/>
      <c r="DPN65" s="470"/>
      <c r="DPO65" s="470"/>
      <c r="DPP65" s="470"/>
      <c r="DPQ65" s="470"/>
      <c r="DPR65" s="470"/>
      <c r="DPS65" s="470"/>
      <c r="DPT65" s="470"/>
      <c r="DPU65" s="470"/>
      <c r="DPV65" s="470"/>
      <c r="DPW65" s="470"/>
      <c r="DPX65" s="470"/>
      <c r="DPY65" s="470"/>
      <c r="DPZ65" s="470"/>
      <c r="DQA65" s="470"/>
      <c r="DQB65" s="470"/>
      <c r="DQC65" s="470"/>
      <c r="DQD65" s="471"/>
      <c r="DQE65" s="469"/>
      <c r="DQF65" s="470"/>
      <c r="DQG65" s="470"/>
      <c r="DQH65" s="470"/>
      <c r="DQI65" s="470"/>
      <c r="DQJ65" s="470"/>
      <c r="DQK65" s="470"/>
      <c r="DQL65" s="470"/>
      <c r="DQM65" s="470"/>
      <c r="DQN65" s="470"/>
      <c r="DQO65" s="470"/>
      <c r="DQP65" s="470"/>
      <c r="DQQ65" s="470"/>
      <c r="DQR65" s="470"/>
      <c r="DQS65" s="470"/>
      <c r="DQT65" s="470"/>
      <c r="DQU65" s="470"/>
      <c r="DQV65" s="470"/>
      <c r="DQW65" s="470"/>
      <c r="DQX65" s="470"/>
      <c r="DQY65" s="470"/>
      <c r="DQZ65" s="470"/>
      <c r="DRA65" s="470"/>
      <c r="DRB65" s="470"/>
      <c r="DRC65" s="470"/>
      <c r="DRD65" s="470"/>
      <c r="DRE65" s="470"/>
      <c r="DRF65" s="470"/>
      <c r="DRG65" s="470"/>
      <c r="DRH65" s="471"/>
      <c r="DRI65" s="469"/>
      <c r="DRJ65" s="470"/>
      <c r="DRK65" s="470"/>
      <c r="DRL65" s="470"/>
      <c r="DRM65" s="470"/>
      <c r="DRN65" s="470"/>
      <c r="DRO65" s="470"/>
      <c r="DRP65" s="470"/>
      <c r="DRQ65" s="470"/>
      <c r="DRR65" s="470"/>
      <c r="DRS65" s="470"/>
      <c r="DRT65" s="470"/>
      <c r="DRU65" s="470"/>
      <c r="DRV65" s="470"/>
      <c r="DRW65" s="470"/>
      <c r="DRX65" s="470"/>
      <c r="DRY65" s="470"/>
      <c r="DRZ65" s="470"/>
      <c r="DSA65" s="470"/>
      <c r="DSB65" s="470"/>
      <c r="DSC65" s="470"/>
      <c r="DSD65" s="470"/>
      <c r="DSE65" s="470"/>
      <c r="DSF65" s="470"/>
      <c r="DSG65" s="470"/>
      <c r="DSH65" s="470"/>
      <c r="DSI65" s="470"/>
      <c r="DSJ65" s="470"/>
      <c r="DSK65" s="470"/>
      <c r="DSL65" s="471"/>
      <c r="DSM65" s="469"/>
      <c r="DSN65" s="470"/>
      <c r="DSO65" s="470"/>
      <c r="DSP65" s="470"/>
      <c r="DSQ65" s="470"/>
      <c r="DSR65" s="470"/>
      <c r="DSS65" s="470"/>
      <c r="DST65" s="470"/>
      <c r="DSU65" s="470"/>
      <c r="DSV65" s="470"/>
      <c r="DSW65" s="470"/>
      <c r="DSX65" s="470"/>
      <c r="DSY65" s="470"/>
      <c r="DSZ65" s="470"/>
      <c r="DTA65" s="470"/>
      <c r="DTB65" s="470"/>
      <c r="DTC65" s="470"/>
      <c r="DTD65" s="470"/>
      <c r="DTE65" s="470"/>
      <c r="DTF65" s="470"/>
      <c r="DTG65" s="470"/>
      <c r="DTH65" s="470"/>
      <c r="DTI65" s="470"/>
      <c r="DTJ65" s="470"/>
      <c r="DTK65" s="470"/>
      <c r="DTL65" s="470"/>
      <c r="DTM65" s="470"/>
      <c r="DTN65" s="470"/>
      <c r="DTO65" s="470"/>
      <c r="DTP65" s="471"/>
      <c r="DTQ65" s="469"/>
      <c r="DTR65" s="470"/>
      <c r="DTS65" s="470"/>
      <c r="DTT65" s="470"/>
      <c r="DTU65" s="470"/>
      <c r="DTV65" s="470"/>
      <c r="DTW65" s="470"/>
      <c r="DTX65" s="470"/>
      <c r="DTY65" s="470"/>
      <c r="DTZ65" s="470"/>
      <c r="DUA65" s="470"/>
      <c r="DUB65" s="470"/>
      <c r="DUC65" s="470"/>
      <c r="DUD65" s="470"/>
      <c r="DUE65" s="470"/>
      <c r="DUF65" s="470"/>
      <c r="DUG65" s="470"/>
      <c r="DUH65" s="470"/>
      <c r="DUI65" s="470"/>
      <c r="DUJ65" s="470"/>
      <c r="DUK65" s="470"/>
      <c r="DUL65" s="470"/>
      <c r="DUM65" s="470"/>
      <c r="DUN65" s="470"/>
      <c r="DUO65" s="470"/>
      <c r="DUP65" s="470"/>
      <c r="DUQ65" s="470"/>
      <c r="DUR65" s="470"/>
      <c r="DUS65" s="470"/>
      <c r="DUT65" s="471"/>
      <c r="DUU65" s="469"/>
      <c r="DUV65" s="470"/>
      <c r="DUW65" s="470"/>
      <c r="DUX65" s="470"/>
      <c r="DUY65" s="470"/>
      <c r="DUZ65" s="470"/>
      <c r="DVA65" s="470"/>
      <c r="DVB65" s="470"/>
      <c r="DVC65" s="470"/>
      <c r="DVD65" s="470"/>
      <c r="DVE65" s="470"/>
      <c r="DVF65" s="470"/>
      <c r="DVG65" s="470"/>
      <c r="DVH65" s="470"/>
      <c r="DVI65" s="470"/>
      <c r="DVJ65" s="470"/>
      <c r="DVK65" s="470"/>
      <c r="DVL65" s="470"/>
      <c r="DVM65" s="470"/>
      <c r="DVN65" s="470"/>
      <c r="DVO65" s="470"/>
      <c r="DVP65" s="470"/>
      <c r="DVQ65" s="470"/>
      <c r="DVR65" s="470"/>
      <c r="DVS65" s="470"/>
      <c r="DVT65" s="470"/>
      <c r="DVU65" s="470"/>
      <c r="DVV65" s="470"/>
      <c r="DVW65" s="470"/>
      <c r="DVX65" s="471"/>
      <c r="DVY65" s="469"/>
      <c r="DVZ65" s="470"/>
      <c r="DWA65" s="470"/>
      <c r="DWB65" s="470"/>
      <c r="DWC65" s="470"/>
      <c r="DWD65" s="470"/>
      <c r="DWE65" s="470"/>
      <c r="DWF65" s="470"/>
      <c r="DWG65" s="470"/>
      <c r="DWH65" s="470"/>
      <c r="DWI65" s="470"/>
      <c r="DWJ65" s="470"/>
      <c r="DWK65" s="470"/>
      <c r="DWL65" s="470"/>
      <c r="DWM65" s="470"/>
      <c r="DWN65" s="470"/>
      <c r="DWO65" s="470"/>
      <c r="DWP65" s="470"/>
      <c r="DWQ65" s="470"/>
      <c r="DWR65" s="470"/>
      <c r="DWS65" s="470"/>
      <c r="DWT65" s="470"/>
      <c r="DWU65" s="470"/>
      <c r="DWV65" s="470"/>
      <c r="DWW65" s="470"/>
      <c r="DWX65" s="470"/>
      <c r="DWY65" s="470"/>
      <c r="DWZ65" s="470"/>
      <c r="DXA65" s="470"/>
      <c r="DXB65" s="471"/>
      <c r="DXC65" s="469"/>
      <c r="DXD65" s="470"/>
      <c r="DXE65" s="470"/>
      <c r="DXF65" s="470"/>
      <c r="DXG65" s="470"/>
      <c r="DXH65" s="470"/>
      <c r="DXI65" s="470"/>
      <c r="DXJ65" s="470"/>
      <c r="DXK65" s="470"/>
      <c r="DXL65" s="470"/>
      <c r="DXM65" s="470"/>
      <c r="DXN65" s="470"/>
      <c r="DXO65" s="470"/>
      <c r="DXP65" s="470"/>
      <c r="DXQ65" s="470"/>
      <c r="DXR65" s="470"/>
      <c r="DXS65" s="470"/>
      <c r="DXT65" s="470"/>
      <c r="DXU65" s="470"/>
      <c r="DXV65" s="470"/>
      <c r="DXW65" s="470"/>
      <c r="DXX65" s="470"/>
      <c r="DXY65" s="470"/>
      <c r="DXZ65" s="470"/>
      <c r="DYA65" s="470"/>
      <c r="DYB65" s="470"/>
      <c r="DYC65" s="470"/>
      <c r="DYD65" s="470"/>
      <c r="DYE65" s="470"/>
      <c r="DYF65" s="471"/>
      <c r="DYG65" s="469"/>
      <c r="DYH65" s="470"/>
      <c r="DYI65" s="470"/>
      <c r="DYJ65" s="470"/>
      <c r="DYK65" s="470"/>
      <c r="DYL65" s="470"/>
      <c r="DYM65" s="470"/>
      <c r="DYN65" s="470"/>
      <c r="DYO65" s="470"/>
      <c r="DYP65" s="470"/>
      <c r="DYQ65" s="470"/>
      <c r="DYR65" s="470"/>
      <c r="DYS65" s="470"/>
      <c r="DYT65" s="470"/>
      <c r="DYU65" s="470"/>
      <c r="DYV65" s="470"/>
      <c r="DYW65" s="470"/>
      <c r="DYX65" s="470"/>
      <c r="DYY65" s="470"/>
      <c r="DYZ65" s="470"/>
      <c r="DZA65" s="470"/>
      <c r="DZB65" s="470"/>
      <c r="DZC65" s="470"/>
      <c r="DZD65" s="470"/>
      <c r="DZE65" s="470"/>
      <c r="DZF65" s="470"/>
      <c r="DZG65" s="470"/>
      <c r="DZH65" s="470"/>
      <c r="DZI65" s="470"/>
      <c r="DZJ65" s="471"/>
      <c r="DZK65" s="469"/>
      <c r="DZL65" s="470"/>
      <c r="DZM65" s="470"/>
      <c r="DZN65" s="470"/>
      <c r="DZO65" s="470"/>
      <c r="DZP65" s="470"/>
      <c r="DZQ65" s="470"/>
      <c r="DZR65" s="470"/>
      <c r="DZS65" s="470"/>
      <c r="DZT65" s="470"/>
      <c r="DZU65" s="470"/>
      <c r="DZV65" s="470"/>
      <c r="DZW65" s="470"/>
      <c r="DZX65" s="470"/>
      <c r="DZY65" s="470"/>
      <c r="DZZ65" s="470"/>
      <c r="EAA65" s="470"/>
      <c r="EAB65" s="470"/>
      <c r="EAC65" s="470"/>
      <c r="EAD65" s="470"/>
      <c r="EAE65" s="470"/>
      <c r="EAF65" s="470"/>
      <c r="EAG65" s="470"/>
      <c r="EAH65" s="470"/>
      <c r="EAI65" s="470"/>
      <c r="EAJ65" s="470"/>
      <c r="EAK65" s="470"/>
      <c r="EAL65" s="470"/>
      <c r="EAM65" s="470"/>
      <c r="EAN65" s="471"/>
      <c r="EAO65" s="469"/>
      <c r="EAP65" s="470"/>
      <c r="EAQ65" s="470"/>
      <c r="EAR65" s="470"/>
      <c r="EAS65" s="470"/>
      <c r="EAT65" s="470"/>
      <c r="EAU65" s="470"/>
      <c r="EAV65" s="470"/>
      <c r="EAW65" s="470"/>
      <c r="EAX65" s="470"/>
      <c r="EAY65" s="470"/>
      <c r="EAZ65" s="470"/>
      <c r="EBA65" s="470"/>
      <c r="EBB65" s="470"/>
      <c r="EBC65" s="470"/>
      <c r="EBD65" s="470"/>
      <c r="EBE65" s="470"/>
      <c r="EBF65" s="470"/>
      <c r="EBG65" s="470"/>
      <c r="EBH65" s="470"/>
      <c r="EBI65" s="470"/>
      <c r="EBJ65" s="470"/>
      <c r="EBK65" s="470"/>
      <c r="EBL65" s="470"/>
      <c r="EBM65" s="470"/>
      <c r="EBN65" s="470"/>
      <c r="EBO65" s="470"/>
      <c r="EBP65" s="470"/>
      <c r="EBQ65" s="470"/>
      <c r="EBR65" s="471"/>
      <c r="EBS65" s="469"/>
      <c r="EBT65" s="470"/>
      <c r="EBU65" s="470"/>
      <c r="EBV65" s="470"/>
      <c r="EBW65" s="470"/>
      <c r="EBX65" s="470"/>
      <c r="EBY65" s="470"/>
      <c r="EBZ65" s="470"/>
      <c r="ECA65" s="470"/>
      <c r="ECB65" s="470"/>
      <c r="ECC65" s="470"/>
      <c r="ECD65" s="470"/>
      <c r="ECE65" s="470"/>
      <c r="ECF65" s="470"/>
      <c r="ECG65" s="470"/>
      <c r="ECH65" s="470"/>
      <c r="ECI65" s="470"/>
      <c r="ECJ65" s="470"/>
      <c r="ECK65" s="470"/>
      <c r="ECL65" s="470"/>
      <c r="ECM65" s="470"/>
      <c r="ECN65" s="470"/>
      <c r="ECO65" s="470"/>
      <c r="ECP65" s="470"/>
      <c r="ECQ65" s="470"/>
      <c r="ECR65" s="470"/>
      <c r="ECS65" s="470"/>
      <c r="ECT65" s="470"/>
      <c r="ECU65" s="470"/>
      <c r="ECV65" s="471"/>
      <c r="ECW65" s="469"/>
      <c r="ECX65" s="470"/>
      <c r="ECY65" s="470"/>
      <c r="ECZ65" s="470"/>
      <c r="EDA65" s="470"/>
      <c r="EDB65" s="470"/>
      <c r="EDC65" s="470"/>
      <c r="EDD65" s="470"/>
      <c r="EDE65" s="470"/>
      <c r="EDF65" s="470"/>
      <c r="EDG65" s="470"/>
      <c r="EDH65" s="470"/>
      <c r="EDI65" s="470"/>
      <c r="EDJ65" s="470"/>
      <c r="EDK65" s="470"/>
      <c r="EDL65" s="470"/>
      <c r="EDM65" s="470"/>
      <c r="EDN65" s="470"/>
      <c r="EDO65" s="470"/>
      <c r="EDP65" s="470"/>
      <c r="EDQ65" s="470"/>
      <c r="EDR65" s="470"/>
      <c r="EDS65" s="470"/>
      <c r="EDT65" s="470"/>
      <c r="EDU65" s="470"/>
      <c r="EDV65" s="470"/>
      <c r="EDW65" s="470"/>
      <c r="EDX65" s="470"/>
      <c r="EDY65" s="470"/>
      <c r="EDZ65" s="471"/>
      <c r="EEA65" s="469"/>
      <c r="EEB65" s="470"/>
      <c r="EEC65" s="470"/>
      <c r="EED65" s="470"/>
      <c r="EEE65" s="470"/>
      <c r="EEF65" s="470"/>
      <c r="EEG65" s="470"/>
      <c r="EEH65" s="470"/>
      <c r="EEI65" s="470"/>
      <c r="EEJ65" s="470"/>
      <c r="EEK65" s="470"/>
      <c r="EEL65" s="470"/>
      <c r="EEM65" s="470"/>
      <c r="EEN65" s="470"/>
      <c r="EEO65" s="470"/>
      <c r="EEP65" s="470"/>
      <c r="EEQ65" s="470"/>
      <c r="EER65" s="470"/>
      <c r="EES65" s="470"/>
      <c r="EET65" s="470"/>
      <c r="EEU65" s="470"/>
      <c r="EEV65" s="470"/>
      <c r="EEW65" s="470"/>
      <c r="EEX65" s="470"/>
      <c r="EEY65" s="470"/>
      <c r="EEZ65" s="470"/>
      <c r="EFA65" s="470"/>
      <c r="EFB65" s="470"/>
      <c r="EFC65" s="470"/>
      <c r="EFD65" s="471"/>
      <c r="EFE65" s="469"/>
      <c r="EFF65" s="470"/>
      <c r="EFG65" s="470"/>
      <c r="EFH65" s="470"/>
      <c r="EFI65" s="470"/>
      <c r="EFJ65" s="470"/>
      <c r="EFK65" s="470"/>
      <c r="EFL65" s="470"/>
      <c r="EFM65" s="470"/>
      <c r="EFN65" s="470"/>
      <c r="EFO65" s="470"/>
      <c r="EFP65" s="470"/>
      <c r="EFQ65" s="470"/>
      <c r="EFR65" s="470"/>
      <c r="EFS65" s="470"/>
      <c r="EFT65" s="470"/>
      <c r="EFU65" s="470"/>
      <c r="EFV65" s="470"/>
      <c r="EFW65" s="470"/>
      <c r="EFX65" s="470"/>
      <c r="EFY65" s="470"/>
      <c r="EFZ65" s="470"/>
      <c r="EGA65" s="470"/>
      <c r="EGB65" s="470"/>
      <c r="EGC65" s="470"/>
      <c r="EGD65" s="470"/>
      <c r="EGE65" s="470"/>
      <c r="EGF65" s="470"/>
      <c r="EGG65" s="470"/>
      <c r="EGH65" s="471"/>
      <c r="EGI65" s="469"/>
      <c r="EGJ65" s="470"/>
      <c r="EGK65" s="470"/>
      <c r="EGL65" s="470"/>
      <c r="EGM65" s="470"/>
      <c r="EGN65" s="470"/>
      <c r="EGO65" s="470"/>
      <c r="EGP65" s="470"/>
      <c r="EGQ65" s="470"/>
      <c r="EGR65" s="470"/>
      <c r="EGS65" s="470"/>
      <c r="EGT65" s="470"/>
      <c r="EGU65" s="470"/>
      <c r="EGV65" s="470"/>
      <c r="EGW65" s="470"/>
      <c r="EGX65" s="470"/>
      <c r="EGY65" s="470"/>
      <c r="EGZ65" s="470"/>
      <c r="EHA65" s="470"/>
      <c r="EHB65" s="470"/>
      <c r="EHC65" s="470"/>
      <c r="EHD65" s="470"/>
      <c r="EHE65" s="470"/>
      <c r="EHF65" s="470"/>
      <c r="EHG65" s="470"/>
      <c r="EHH65" s="470"/>
      <c r="EHI65" s="470"/>
      <c r="EHJ65" s="470"/>
      <c r="EHK65" s="470"/>
      <c r="EHL65" s="471"/>
      <c r="EHM65" s="469"/>
      <c r="EHN65" s="470"/>
      <c r="EHO65" s="470"/>
      <c r="EHP65" s="470"/>
      <c r="EHQ65" s="470"/>
      <c r="EHR65" s="470"/>
      <c r="EHS65" s="470"/>
      <c r="EHT65" s="470"/>
      <c r="EHU65" s="470"/>
      <c r="EHV65" s="470"/>
      <c r="EHW65" s="470"/>
      <c r="EHX65" s="470"/>
      <c r="EHY65" s="470"/>
      <c r="EHZ65" s="470"/>
      <c r="EIA65" s="470"/>
      <c r="EIB65" s="470"/>
      <c r="EIC65" s="470"/>
      <c r="EID65" s="470"/>
      <c r="EIE65" s="470"/>
      <c r="EIF65" s="470"/>
      <c r="EIG65" s="470"/>
      <c r="EIH65" s="470"/>
      <c r="EII65" s="470"/>
      <c r="EIJ65" s="470"/>
      <c r="EIK65" s="470"/>
      <c r="EIL65" s="470"/>
      <c r="EIM65" s="470"/>
      <c r="EIN65" s="470"/>
      <c r="EIO65" s="470"/>
      <c r="EIP65" s="471"/>
      <c r="EIQ65" s="469"/>
      <c r="EIR65" s="470"/>
      <c r="EIS65" s="470"/>
      <c r="EIT65" s="470"/>
      <c r="EIU65" s="470"/>
      <c r="EIV65" s="470"/>
      <c r="EIW65" s="470"/>
      <c r="EIX65" s="470"/>
      <c r="EIY65" s="470"/>
      <c r="EIZ65" s="470"/>
      <c r="EJA65" s="470"/>
      <c r="EJB65" s="470"/>
      <c r="EJC65" s="470"/>
      <c r="EJD65" s="470"/>
      <c r="EJE65" s="470"/>
      <c r="EJF65" s="470"/>
      <c r="EJG65" s="470"/>
      <c r="EJH65" s="470"/>
      <c r="EJI65" s="470"/>
      <c r="EJJ65" s="470"/>
      <c r="EJK65" s="470"/>
      <c r="EJL65" s="470"/>
      <c r="EJM65" s="470"/>
      <c r="EJN65" s="470"/>
      <c r="EJO65" s="470"/>
      <c r="EJP65" s="470"/>
      <c r="EJQ65" s="470"/>
      <c r="EJR65" s="470"/>
      <c r="EJS65" s="470"/>
      <c r="EJT65" s="471"/>
      <c r="EJU65" s="469"/>
      <c r="EJV65" s="470"/>
      <c r="EJW65" s="470"/>
      <c r="EJX65" s="470"/>
      <c r="EJY65" s="470"/>
      <c r="EJZ65" s="470"/>
      <c r="EKA65" s="470"/>
      <c r="EKB65" s="470"/>
      <c r="EKC65" s="470"/>
      <c r="EKD65" s="470"/>
      <c r="EKE65" s="470"/>
      <c r="EKF65" s="470"/>
      <c r="EKG65" s="470"/>
      <c r="EKH65" s="470"/>
      <c r="EKI65" s="470"/>
      <c r="EKJ65" s="470"/>
      <c r="EKK65" s="470"/>
      <c r="EKL65" s="470"/>
      <c r="EKM65" s="470"/>
      <c r="EKN65" s="470"/>
      <c r="EKO65" s="470"/>
      <c r="EKP65" s="470"/>
      <c r="EKQ65" s="470"/>
      <c r="EKR65" s="470"/>
      <c r="EKS65" s="470"/>
      <c r="EKT65" s="470"/>
      <c r="EKU65" s="470"/>
      <c r="EKV65" s="470"/>
      <c r="EKW65" s="470"/>
      <c r="EKX65" s="471"/>
      <c r="EKY65" s="469"/>
      <c r="EKZ65" s="470"/>
      <c r="ELA65" s="470"/>
      <c r="ELB65" s="470"/>
      <c r="ELC65" s="470"/>
      <c r="ELD65" s="470"/>
      <c r="ELE65" s="470"/>
      <c r="ELF65" s="470"/>
      <c r="ELG65" s="470"/>
      <c r="ELH65" s="470"/>
      <c r="ELI65" s="470"/>
      <c r="ELJ65" s="470"/>
      <c r="ELK65" s="470"/>
      <c r="ELL65" s="470"/>
      <c r="ELM65" s="470"/>
      <c r="ELN65" s="470"/>
      <c r="ELO65" s="470"/>
      <c r="ELP65" s="470"/>
      <c r="ELQ65" s="470"/>
      <c r="ELR65" s="470"/>
      <c r="ELS65" s="470"/>
      <c r="ELT65" s="470"/>
      <c r="ELU65" s="470"/>
      <c r="ELV65" s="470"/>
      <c r="ELW65" s="470"/>
      <c r="ELX65" s="470"/>
      <c r="ELY65" s="470"/>
      <c r="ELZ65" s="470"/>
      <c r="EMA65" s="470"/>
      <c r="EMB65" s="471"/>
      <c r="EMC65" s="469"/>
      <c r="EMD65" s="470"/>
      <c r="EME65" s="470"/>
      <c r="EMF65" s="470"/>
      <c r="EMG65" s="470"/>
      <c r="EMH65" s="470"/>
      <c r="EMI65" s="470"/>
      <c r="EMJ65" s="470"/>
      <c r="EMK65" s="470"/>
      <c r="EML65" s="470"/>
      <c r="EMM65" s="470"/>
      <c r="EMN65" s="470"/>
      <c r="EMO65" s="470"/>
      <c r="EMP65" s="470"/>
      <c r="EMQ65" s="470"/>
      <c r="EMR65" s="470"/>
      <c r="EMS65" s="470"/>
      <c r="EMT65" s="470"/>
      <c r="EMU65" s="470"/>
      <c r="EMV65" s="470"/>
      <c r="EMW65" s="470"/>
      <c r="EMX65" s="470"/>
      <c r="EMY65" s="470"/>
      <c r="EMZ65" s="470"/>
      <c r="ENA65" s="470"/>
      <c r="ENB65" s="470"/>
      <c r="ENC65" s="470"/>
      <c r="END65" s="470"/>
      <c r="ENE65" s="470"/>
      <c r="ENF65" s="471"/>
      <c r="ENG65" s="469"/>
      <c r="ENH65" s="470"/>
      <c r="ENI65" s="470"/>
      <c r="ENJ65" s="470"/>
      <c r="ENK65" s="470"/>
      <c r="ENL65" s="470"/>
      <c r="ENM65" s="470"/>
      <c r="ENN65" s="470"/>
      <c r="ENO65" s="470"/>
      <c r="ENP65" s="470"/>
      <c r="ENQ65" s="470"/>
      <c r="ENR65" s="470"/>
      <c r="ENS65" s="470"/>
      <c r="ENT65" s="470"/>
      <c r="ENU65" s="470"/>
      <c r="ENV65" s="470"/>
      <c r="ENW65" s="470"/>
      <c r="ENX65" s="470"/>
      <c r="ENY65" s="470"/>
      <c r="ENZ65" s="470"/>
      <c r="EOA65" s="470"/>
      <c r="EOB65" s="470"/>
      <c r="EOC65" s="470"/>
      <c r="EOD65" s="470"/>
      <c r="EOE65" s="470"/>
      <c r="EOF65" s="470"/>
      <c r="EOG65" s="470"/>
      <c r="EOH65" s="470"/>
      <c r="EOI65" s="470"/>
      <c r="EOJ65" s="471"/>
      <c r="EOK65" s="469"/>
      <c r="EOL65" s="470"/>
      <c r="EOM65" s="470"/>
      <c r="EON65" s="470"/>
      <c r="EOO65" s="470"/>
      <c r="EOP65" s="470"/>
      <c r="EOQ65" s="470"/>
      <c r="EOR65" s="470"/>
      <c r="EOS65" s="470"/>
      <c r="EOT65" s="470"/>
      <c r="EOU65" s="470"/>
      <c r="EOV65" s="470"/>
      <c r="EOW65" s="470"/>
      <c r="EOX65" s="470"/>
      <c r="EOY65" s="470"/>
      <c r="EOZ65" s="470"/>
      <c r="EPA65" s="470"/>
      <c r="EPB65" s="470"/>
      <c r="EPC65" s="470"/>
      <c r="EPD65" s="470"/>
      <c r="EPE65" s="470"/>
      <c r="EPF65" s="470"/>
      <c r="EPG65" s="470"/>
      <c r="EPH65" s="470"/>
      <c r="EPI65" s="470"/>
      <c r="EPJ65" s="470"/>
      <c r="EPK65" s="470"/>
      <c r="EPL65" s="470"/>
      <c r="EPM65" s="470"/>
      <c r="EPN65" s="471"/>
      <c r="EPO65" s="469"/>
      <c r="EPP65" s="470"/>
      <c r="EPQ65" s="470"/>
      <c r="EPR65" s="470"/>
      <c r="EPS65" s="470"/>
      <c r="EPT65" s="470"/>
      <c r="EPU65" s="470"/>
      <c r="EPV65" s="470"/>
      <c r="EPW65" s="470"/>
      <c r="EPX65" s="470"/>
      <c r="EPY65" s="470"/>
      <c r="EPZ65" s="470"/>
      <c r="EQA65" s="470"/>
      <c r="EQB65" s="470"/>
      <c r="EQC65" s="470"/>
      <c r="EQD65" s="470"/>
      <c r="EQE65" s="470"/>
      <c r="EQF65" s="470"/>
      <c r="EQG65" s="470"/>
      <c r="EQH65" s="470"/>
      <c r="EQI65" s="470"/>
      <c r="EQJ65" s="470"/>
      <c r="EQK65" s="470"/>
      <c r="EQL65" s="470"/>
      <c r="EQM65" s="470"/>
      <c r="EQN65" s="470"/>
      <c r="EQO65" s="470"/>
      <c r="EQP65" s="470"/>
      <c r="EQQ65" s="470"/>
      <c r="EQR65" s="471"/>
      <c r="EQS65" s="469"/>
      <c r="EQT65" s="470"/>
      <c r="EQU65" s="470"/>
      <c r="EQV65" s="470"/>
      <c r="EQW65" s="470"/>
      <c r="EQX65" s="470"/>
      <c r="EQY65" s="470"/>
      <c r="EQZ65" s="470"/>
      <c r="ERA65" s="470"/>
      <c r="ERB65" s="470"/>
      <c r="ERC65" s="470"/>
      <c r="ERD65" s="470"/>
      <c r="ERE65" s="470"/>
      <c r="ERF65" s="470"/>
      <c r="ERG65" s="470"/>
      <c r="ERH65" s="470"/>
      <c r="ERI65" s="470"/>
      <c r="ERJ65" s="470"/>
      <c r="ERK65" s="470"/>
      <c r="ERL65" s="470"/>
      <c r="ERM65" s="470"/>
      <c r="ERN65" s="470"/>
      <c r="ERO65" s="470"/>
      <c r="ERP65" s="470"/>
      <c r="ERQ65" s="470"/>
      <c r="ERR65" s="470"/>
      <c r="ERS65" s="470"/>
      <c r="ERT65" s="470"/>
      <c r="ERU65" s="470"/>
      <c r="ERV65" s="471"/>
      <c r="ERW65" s="469"/>
      <c r="ERX65" s="470"/>
      <c r="ERY65" s="470"/>
      <c r="ERZ65" s="470"/>
      <c r="ESA65" s="470"/>
      <c r="ESB65" s="470"/>
      <c r="ESC65" s="470"/>
      <c r="ESD65" s="470"/>
      <c r="ESE65" s="470"/>
      <c r="ESF65" s="470"/>
      <c r="ESG65" s="470"/>
      <c r="ESH65" s="470"/>
      <c r="ESI65" s="470"/>
      <c r="ESJ65" s="470"/>
      <c r="ESK65" s="470"/>
      <c r="ESL65" s="470"/>
      <c r="ESM65" s="470"/>
      <c r="ESN65" s="470"/>
      <c r="ESO65" s="470"/>
      <c r="ESP65" s="470"/>
      <c r="ESQ65" s="470"/>
      <c r="ESR65" s="470"/>
      <c r="ESS65" s="470"/>
      <c r="EST65" s="470"/>
      <c r="ESU65" s="470"/>
      <c r="ESV65" s="470"/>
      <c r="ESW65" s="470"/>
      <c r="ESX65" s="470"/>
      <c r="ESY65" s="470"/>
      <c r="ESZ65" s="471"/>
      <c r="ETA65" s="469"/>
      <c r="ETB65" s="470"/>
      <c r="ETC65" s="470"/>
      <c r="ETD65" s="470"/>
      <c r="ETE65" s="470"/>
      <c r="ETF65" s="470"/>
      <c r="ETG65" s="470"/>
      <c r="ETH65" s="470"/>
      <c r="ETI65" s="470"/>
      <c r="ETJ65" s="470"/>
      <c r="ETK65" s="470"/>
      <c r="ETL65" s="470"/>
      <c r="ETM65" s="470"/>
      <c r="ETN65" s="470"/>
      <c r="ETO65" s="470"/>
      <c r="ETP65" s="470"/>
      <c r="ETQ65" s="470"/>
      <c r="ETR65" s="470"/>
      <c r="ETS65" s="470"/>
      <c r="ETT65" s="470"/>
      <c r="ETU65" s="470"/>
      <c r="ETV65" s="470"/>
      <c r="ETW65" s="470"/>
      <c r="ETX65" s="470"/>
      <c r="ETY65" s="470"/>
      <c r="ETZ65" s="470"/>
      <c r="EUA65" s="470"/>
      <c r="EUB65" s="470"/>
      <c r="EUC65" s="470"/>
      <c r="EUD65" s="471"/>
      <c r="EUE65" s="469"/>
      <c r="EUF65" s="470"/>
      <c r="EUG65" s="470"/>
      <c r="EUH65" s="470"/>
      <c r="EUI65" s="470"/>
      <c r="EUJ65" s="470"/>
      <c r="EUK65" s="470"/>
      <c r="EUL65" s="470"/>
      <c r="EUM65" s="470"/>
      <c r="EUN65" s="470"/>
      <c r="EUO65" s="470"/>
      <c r="EUP65" s="470"/>
      <c r="EUQ65" s="470"/>
      <c r="EUR65" s="470"/>
      <c r="EUS65" s="470"/>
      <c r="EUT65" s="470"/>
      <c r="EUU65" s="470"/>
      <c r="EUV65" s="470"/>
      <c r="EUW65" s="470"/>
      <c r="EUX65" s="470"/>
      <c r="EUY65" s="470"/>
      <c r="EUZ65" s="470"/>
      <c r="EVA65" s="470"/>
      <c r="EVB65" s="470"/>
      <c r="EVC65" s="470"/>
      <c r="EVD65" s="470"/>
      <c r="EVE65" s="470"/>
      <c r="EVF65" s="470"/>
      <c r="EVG65" s="470"/>
      <c r="EVH65" s="471"/>
      <c r="EVI65" s="469"/>
      <c r="EVJ65" s="470"/>
      <c r="EVK65" s="470"/>
      <c r="EVL65" s="470"/>
      <c r="EVM65" s="470"/>
      <c r="EVN65" s="470"/>
      <c r="EVO65" s="470"/>
      <c r="EVP65" s="470"/>
      <c r="EVQ65" s="470"/>
      <c r="EVR65" s="470"/>
      <c r="EVS65" s="470"/>
      <c r="EVT65" s="470"/>
      <c r="EVU65" s="470"/>
      <c r="EVV65" s="470"/>
      <c r="EVW65" s="470"/>
      <c r="EVX65" s="470"/>
      <c r="EVY65" s="470"/>
      <c r="EVZ65" s="470"/>
      <c r="EWA65" s="470"/>
      <c r="EWB65" s="470"/>
      <c r="EWC65" s="470"/>
      <c r="EWD65" s="470"/>
      <c r="EWE65" s="470"/>
      <c r="EWF65" s="470"/>
      <c r="EWG65" s="470"/>
      <c r="EWH65" s="470"/>
      <c r="EWI65" s="470"/>
      <c r="EWJ65" s="470"/>
      <c r="EWK65" s="470"/>
      <c r="EWL65" s="471"/>
      <c r="EWM65" s="469"/>
      <c r="EWN65" s="470"/>
      <c r="EWO65" s="470"/>
      <c r="EWP65" s="470"/>
      <c r="EWQ65" s="470"/>
      <c r="EWR65" s="470"/>
      <c r="EWS65" s="470"/>
      <c r="EWT65" s="470"/>
      <c r="EWU65" s="470"/>
      <c r="EWV65" s="470"/>
      <c r="EWW65" s="470"/>
      <c r="EWX65" s="470"/>
      <c r="EWY65" s="470"/>
      <c r="EWZ65" s="470"/>
      <c r="EXA65" s="470"/>
      <c r="EXB65" s="470"/>
      <c r="EXC65" s="470"/>
      <c r="EXD65" s="470"/>
      <c r="EXE65" s="470"/>
      <c r="EXF65" s="470"/>
      <c r="EXG65" s="470"/>
      <c r="EXH65" s="470"/>
      <c r="EXI65" s="470"/>
      <c r="EXJ65" s="470"/>
      <c r="EXK65" s="470"/>
      <c r="EXL65" s="470"/>
      <c r="EXM65" s="470"/>
      <c r="EXN65" s="470"/>
      <c r="EXO65" s="470"/>
      <c r="EXP65" s="471"/>
      <c r="EXQ65" s="469"/>
      <c r="EXR65" s="470"/>
      <c r="EXS65" s="470"/>
      <c r="EXT65" s="470"/>
      <c r="EXU65" s="470"/>
      <c r="EXV65" s="470"/>
      <c r="EXW65" s="470"/>
      <c r="EXX65" s="470"/>
      <c r="EXY65" s="470"/>
      <c r="EXZ65" s="470"/>
      <c r="EYA65" s="470"/>
      <c r="EYB65" s="470"/>
      <c r="EYC65" s="470"/>
      <c r="EYD65" s="470"/>
      <c r="EYE65" s="470"/>
      <c r="EYF65" s="470"/>
      <c r="EYG65" s="470"/>
      <c r="EYH65" s="470"/>
      <c r="EYI65" s="470"/>
      <c r="EYJ65" s="470"/>
      <c r="EYK65" s="470"/>
      <c r="EYL65" s="470"/>
      <c r="EYM65" s="470"/>
      <c r="EYN65" s="470"/>
      <c r="EYO65" s="470"/>
      <c r="EYP65" s="470"/>
      <c r="EYQ65" s="470"/>
      <c r="EYR65" s="470"/>
      <c r="EYS65" s="470"/>
      <c r="EYT65" s="471"/>
      <c r="EYU65" s="469"/>
      <c r="EYV65" s="470"/>
      <c r="EYW65" s="470"/>
      <c r="EYX65" s="470"/>
      <c r="EYY65" s="470"/>
      <c r="EYZ65" s="470"/>
      <c r="EZA65" s="470"/>
      <c r="EZB65" s="470"/>
      <c r="EZC65" s="470"/>
      <c r="EZD65" s="470"/>
      <c r="EZE65" s="470"/>
      <c r="EZF65" s="470"/>
      <c r="EZG65" s="470"/>
      <c r="EZH65" s="470"/>
      <c r="EZI65" s="470"/>
      <c r="EZJ65" s="470"/>
      <c r="EZK65" s="470"/>
      <c r="EZL65" s="470"/>
      <c r="EZM65" s="470"/>
      <c r="EZN65" s="470"/>
      <c r="EZO65" s="470"/>
      <c r="EZP65" s="470"/>
      <c r="EZQ65" s="470"/>
      <c r="EZR65" s="470"/>
      <c r="EZS65" s="470"/>
      <c r="EZT65" s="470"/>
      <c r="EZU65" s="470"/>
      <c r="EZV65" s="470"/>
      <c r="EZW65" s="470"/>
      <c r="EZX65" s="471"/>
      <c r="EZY65" s="469"/>
      <c r="EZZ65" s="470"/>
      <c r="FAA65" s="470"/>
      <c r="FAB65" s="470"/>
      <c r="FAC65" s="470"/>
      <c r="FAD65" s="470"/>
      <c r="FAE65" s="470"/>
      <c r="FAF65" s="470"/>
      <c r="FAG65" s="470"/>
      <c r="FAH65" s="470"/>
      <c r="FAI65" s="470"/>
      <c r="FAJ65" s="470"/>
      <c r="FAK65" s="470"/>
      <c r="FAL65" s="470"/>
      <c r="FAM65" s="470"/>
      <c r="FAN65" s="470"/>
      <c r="FAO65" s="470"/>
      <c r="FAP65" s="470"/>
      <c r="FAQ65" s="470"/>
      <c r="FAR65" s="470"/>
      <c r="FAS65" s="470"/>
      <c r="FAT65" s="470"/>
      <c r="FAU65" s="470"/>
      <c r="FAV65" s="470"/>
      <c r="FAW65" s="470"/>
      <c r="FAX65" s="470"/>
      <c r="FAY65" s="470"/>
      <c r="FAZ65" s="470"/>
      <c r="FBA65" s="470"/>
      <c r="FBB65" s="471"/>
      <c r="FBC65" s="469"/>
      <c r="FBD65" s="470"/>
      <c r="FBE65" s="470"/>
      <c r="FBF65" s="470"/>
      <c r="FBG65" s="470"/>
      <c r="FBH65" s="470"/>
      <c r="FBI65" s="470"/>
      <c r="FBJ65" s="470"/>
      <c r="FBK65" s="470"/>
      <c r="FBL65" s="470"/>
      <c r="FBM65" s="470"/>
      <c r="FBN65" s="470"/>
      <c r="FBO65" s="470"/>
      <c r="FBP65" s="470"/>
      <c r="FBQ65" s="470"/>
      <c r="FBR65" s="470"/>
      <c r="FBS65" s="470"/>
      <c r="FBT65" s="470"/>
      <c r="FBU65" s="470"/>
      <c r="FBV65" s="470"/>
      <c r="FBW65" s="470"/>
      <c r="FBX65" s="470"/>
      <c r="FBY65" s="470"/>
      <c r="FBZ65" s="470"/>
      <c r="FCA65" s="470"/>
      <c r="FCB65" s="470"/>
      <c r="FCC65" s="470"/>
      <c r="FCD65" s="470"/>
      <c r="FCE65" s="470"/>
      <c r="FCF65" s="471"/>
      <c r="FCG65" s="469"/>
      <c r="FCH65" s="470"/>
      <c r="FCI65" s="470"/>
      <c r="FCJ65" s="470"/>
      <c r="FCK65" s="470"/>
      <c r="FCL65" s="470"/>
      <c r="FCM65" s="470"/>
      <c r="FCN65" s="470"/>
      <c r="FCO65" s="470"/>
      <c r="FCP65" s="470"/>
      <c r="FCQ65" s="470"/>
      <c r="FCR65" s="470"/>
      <c r="FCS65" s="470"/>
      <c r="FCT65" s="470"/>
      <c r="FCU65" s="470"/>
      <c r="FCV65" s="470"/>
      <c r="FCW65" s="470"/>
      <c r="FCX65" s="470"/>
      <c r="FCY65" s="470"/>
      <c r="FCZ65" s="470"/>
      <c r="FDA65" s="470"/>
      <c r="FDB65" s="470"/>
      <c r="FDC65" s="470"/>
      <c r="FDD65" s="470"/>
      <c r="FDE65" s="470"/>
      <c r="FDF65" s="470"/>
      <c r="FDG65" s="470"/>
      <c r="FDH65" s="470"/>
      <c r="FDI65" s="470"/>
      <c r="FDJ65" s="471"/>
      <c r="FDK65" s="469"/>
      <c r="FDL65" s="470"/>
      <c r="FDM65" s="470"/>
      <c r="FDN65" s="470"/>
      <c r="FDO65" s="470"/>
      <c r="FDP65" s="470"/>
      <c r="FDQ65" s="470"/>
      <c r="FDR65" s="470"/>
      <c r="FDS65" s="470"/>
      <c r="FDT65" s="470"/>
      <c r="FDU65" s="470"/>
      <c r="FDV65" s="470"/>
      <c r="FDW65" s="470"/>
      <c r="FDX65" s="470"/>
      <c r="FDY65" s="470"/>
      <c r="FDZ65" s="470"/>
      <c r="FEA65" s="470"/>
      <c r="FEB65" s="470"/>
      <c r="FEC65" s="470"/>
      <c r="FED65" s="470"/>
      <c r="FEE65" s="470"/>
      <c r="FEF65" s="470"/>
      <c r="FEG65" s="470"/>
      <c r="FEH65" s="470"/>
      <c r="FEI65" s="470"/>
      <c r="FEJ65" s="470"/>
      <c r="FEK65" s="470"/>
      <c r="FEL65" s="470"/>
      <c r="FEM65" s="470"/>
      <c r="FEN65" s="471"/>
      <c r="FEO65" s="469"/>
      <c r="FEP65" s="470"/>
      <c r="FEQ65" s="470"/>
      <c r="FER65" s="470"/>
      <c r="FES65" s="470"/>
      <c r="FET65" s="470"/>
      <c r="FEU65" s="470"/>
      <c r="FEV65" s="470"/>
      <c r="FEW65" s="470"/>
      <c r="FEX65" s="470"/>
      <c r="FEY65" s="470"/>
      <c r="FEZ65" s="470"/>
      <c r="FFA65" s="470"/>
      <c r="FFB65" s="470"/>
      <c r="FFC65" s="470"/>
      <c r="FFD65" s="470"/>
      <c r="FFE65" s="470"/>
      <c r="FFF65" s="470"/>
      <c r="FFG65" s="470"/>
      <c r="FFH65" s="470"/>
      <c r="FFI65" s="470"/>
      <c r="FFJ65" s="470"/>
      <c r="FFK65" s="470"/>
      <c r="FFL65" s="470"/>
      <c r="FFM65" s="470"/>
      <c r="FFN65" s="470"/>
      <c r="FFO65" s="470"/>
      <c r="FFP65" s="470"/>
      <c r="FFQ65" s="470"/>
      <c r="FFR65" s="471"/>
      <c r="FFS65" s="469"/>
      <c r="FFT65" s="470"/>
      <c r="FFU65" s="470"/>
      <c r="FFV65" s="470"/>
      <c r="FFW65" s="470"/>
      <c r="FFX65" s="470"/>
      <c r="FFY65" s="470"/>
      <c r="FFZ65" s="470"/>
      <c r="FGA65" s="470"/>
      <c r="FGB65" s="470"/>
      <c r="FGC65" s="470"/>
      <c r="FGD65" s="470"/>
      <c r="FGE65" s="470"/>
      <c r="FGF65" s="470"/>
      <c r="FGG65" s="470"/>
      <c r="FGH65" s="470"/>
      <c r="FGI65" s="470"/>
      <c r="FGJ65" s="470"/>
      <c r="FGK65" s="470"/>
      <c r="FGL65" s="470"/>
      <c r="FGM65" s="470"/>
      <c r="FGN65" s="470"/>
      <c r="FGO65" s="470"/>
      <c r="FGP65" s="470"/>
      <c r="FGQ65" s="470"/>
      <c r="FGR65" s="470"/>
      <c r="FGS65" s="470"/>
      <c r="FGT65" s="470"/>
      <c r="FGU65" s="470"/>
      <c r="FGV65" s="471"/>
      <c r="FGW65" s="469"/>
      <c r="FGX65" s="470"/>
      <c r="FGY65" s="470"/>
      <c r="FGZ65" s="470"/>
      <c r="FHA65" s="470"/>
      <c r="FHB65" s="470"/>
      <c r="FHC65" s="470"/>
      <c r="FHD65" s="470"/>
      <c r="FHE65" s="470"/>
      <c r="FHF65" s="470"/>
      <c r="FHG65" s="470"/>
      <c r="FHH65" s="470"/>
      <c r="FHI65" s="470"/>
      <c r="FHJ65" s="470"/>
      <c r="FHK65" s="470"/>
      <c r="FHL65" s="470"/>
      <c r="FHM65" s="470"/>
      <c r="FHN65" s="470"/>
      <c r="FHO65" s="470"/>
      <c r="FHP65" s="470"/>
      <c r="FHQ65" s="470"/>
      <c r="FHR65" s="470"/>
      <c r="FHS65" s="470"/>
      <c r="FHT65" s="470"/>
      <c r="FHU65" s="470"/>
      <c r="FHV65" s="470"/>
      <c r="FHW65" s="470"/>
      <c r="FHX65" s="470"/>
      <c r="FHY65" s="470"/>
      <c r="FHZ65" s="471"/>
      <c r="FIA65" s="469"/>
      <c r="FIB65" s="470"/>
      <c r="FIC65" s="470"/>
      <c r="FID65" s="470"/>
      <c r="FIE65" s="470"/>
      <c r="FIF65" s="470"/>
      <c r="FIG65" s="470"/>
      <c r="FIH65" s="470"/>
      <c r="FII65" s="470"/>
      <c r="FIJ65" s="470"/>
      <c r="FIK65" s="470"/>
      <c r="FIL65" s="470"/>
      <c r="FIM65" s="470"/>
      <c r="FIN65" s="470"/>
      <c r="FIO65" s="470"/>
      <c r="FIP65" s="470"/>
      <c r="FIQ65" s="470"/>
      <c r="FIR65" s="470"/>
      <c r="FIS65" s="470"/>
      <c r="FIT65" s="470"/>
      <c r="FIU65" s="470"/>
      <c r="FIV65" s="470"/>
      <c r="FIW65" s="470"/>
      <c r="FIX65" s="470"/>
      <c r="FIY65" s="470"/>
      <c r="FIZ65" s="470"/>
      <c r="FJA65" s="470"/>
      <c r="FJB65" s="470"/>
      <c r="FJC65" s="470"/>
      <c r="FJD65" s="471"/>
      <c r="FJE65" s="469"/>
      <c r="FJF65" s="470"/>
      <c r="FJG65" s="470"/>
      <c r="FJH65" s="470"/>
      <c r="FJI65" s="470"/>
      <c r="FJJ65" s="470"/>
      <c r="FJK65" s="470"/>
      <c r="FJL65" s="470"/>
      <c r="FJM65" s="470"/>
      <c r="FJN65" s="470"/>
      <c r="FJO65" s="470"/>
      <c r="FJP65" s="470"/>
      <c r="FJQ65" s="470"/>
      <c r="FJR65" s="470"/>
      <c r="FJS65" s="470"/>
      <c r="FJT65" s="470"/>
      <c r="FJU65" s="470"/>
      <c r="FJV65" s="470"/>
      <c r="FJW65" s="470"/>
      <c r="FJX65" s="470"/>
      <c r="FJY65" s="470"/>
      <c r="FJZ65" s="470"/>
      <c r="FKA65" s="470"/>
      <c r="FKB65" s="470"/>
      <c r="FKC65" s="470"/>
      <c r="FKD65" s="470"/>
      <c r="FKE65" s="470"/>
      <c r="FKF65" s="470"/>
      <c r="FKG65" s="470"/>
      <c r="FKH65" s="471"/>
      <c r="FKI65" s="469"/>
      <c r="FKJ65" s="470"/>
      <c r="FKK65" s="470"/>
      <c r="FKL65" s="470"/>
      <c r="FKM65" s="470"/>
      <c r="FKN65" s="470"/>
      <c r="FKO65" s="470"/>
      <c r="FKP65" s="470"/>
      <c r="FKQ65" s="470"/>
      <c r="FKR65" s="470"/>
      <c r="FKS65" s="470"/>
      <c r="FKT65" s="470"/>
      <c r="FKU65" s="470"/>
      <c r="FKV65" s="470"/>
      <c r="FKW65" s="470"/>
      <c r="FKX65" s="470"/>
      <c r="FKY65" s="470"/>
      <c r="FKZ65" s="470"/>
      <c r="FLA65" s="470"/>
      <c r="FLB65" s="470"/>
      <c r="FLC65" s="470"/>
      <c r="FLD65" s="470"/>
      <c r="FLE65" s="470"/>
      <c r="FLF65" s="470"/>
      <c r="FLG65" s="470"/>
      <c r="FLH65" s="470"/>
      <c r="FLI65" s="470"/>
      <c r="FLJ65" s="470"/>
      <c r="FLK65" s="470"/>
      <c r="FLL65" s="471"/>
      <c r="FLM65" s="469"/>
      <c r="FLN65" s="470"/>
      <c r="FLO65" s="470"/>
      <c r="FLP65" s="470"/>
      <c r="FLQ65" s="470"/>
      <c r="FLR65" s="470"/>
      <c r="FLS65" s="470"/>
      <c r="FLT65" s="470"/>
      <c r="FLU65" s="470"/>
      <c r="FLV65" s="470"/>
      <c r="FLW65" s="470"/>
      <c r="FLX65" s="470"/>
      <c r="FLY65" s="470"/>
      <c r="FLZ65" s="470"/>
      <c r="FMA65" s="470"/>
      <c r="FMB65" s="470"/>
      <c r="FMC65" s="470"/>
      <c r="FMD65" s="470"/>
      <c r="FME65" s="470"/>
      <c r="FMF65" s="470"/>
      <c r="FMG65" s="470"/>
      <c r="FMH65" s="470"/>
      <c r="FMI65" s="470"/>
      <c r="FMJ65" s="470"/>
      <c r="FMK65" s="470"/>
      <c r="FML65" s="470"/>
      <c r="FMM65" s="470"/>
      <c r="FMN65" s="470"/>
      <c r="FMO65" s="470"/>
      <c r="FMP65" s="471"/>
      <c r="FMQ65" s="469"/>
      <c r="FMR65" s="470"/>
      <c r="FMS65" s="470"/>
      <c r="FMT65" s="470"/>
      <c r="FMU65" s="470"/>
      <c r="FMV65" s="470"/>
      <c r="FMW65" s="470"/>
      <c r="FMX65" s="470"/>
      <c r="FMY65" s="470"/>
      <c r="FMZ65" s="470"/>
      <c r="FNA65" s="470"/>
      <c r="FNB65" s="470"/>
      <c r="FNC65" s="470"/>
      <c r="FND65" s="470"/>
      <c r="FNE65" s="470"/>
      <c r="FNF65" s="470"/>
      <c r="FNG65" s="470"/>
      <c r="FNH65" s="470"/>
      <c r="FNI65" s="470"/>
      <c r="FNJ65" s="470"/>
      <c r="FNK65" s="470"/>
      <c r="FNL65" s="470"/>
      <c r="FNM65" s="470"/>
      <c r="FNN65" s="470"/>
      <c r="FNO65" s="470"/>
      <c r="FNP65" s="470"/>
      <c r="FNQ65" s="470"/>
      <c r="FNR65" s="470"/>
      <c r="FNS65" s="470"/>
      <c r="FNT65" s="471"/>
      <c r="FNU65" s="469"/>
      <c r="FNV65" s="470"/>
      <c r="FNW65" s="470"/>
      <c r="FNX65" s="470"/>
      <c r="FNY65" s="470"/>
      <c r="FNZ65" s="470"/>
      <c r="FOA65" s="470"/>
      <c r="FOB65" s="470"/>
      <c r="FOC65" s="470"/>
      <c r="FOD65" s="470"/>
      <c r="FOE65" s="470"/>
      <c r="FOF65" s="470"/>
      <c r="FOG65" s="470"/>
      <c r="FOH65" s="470"/>
      <c r="FOI65" s="470"/>
      <c r="FOJ65" s="470"/>
      <c r="FOK65" s="470"/>
      <c r="FOL65" s="470"/>
      <c r="FOM65" s="470"/>
      <c r="FON65" s="470"/>
      <c r="FOO65" s="470"/>
      <c r="FOP65" s="470"/>
      <c r="FOQ65" s="470"/>
      <c r="FOR65" s="470"/>
      <c r="FOS65" s="470"/>
      <c r="FOT65" s="470"/>
      <c r="FOU65" s="470"/>
      <c r="FOV65" s="470"/>
      <c r="FOW65" s="470"/>
      <c r="FOX65" s="471"/>
      <c r="FOY65" s="469"/>
      <c r="FOZ65" s="470"/>
      <c r="FPA65" s="470"/>
      <c r="FPB65" s="470"/>
      <c r="FPC65" s="470"/>
      <c r="FPD65" s="470"/>
      <c r="FPE65" s="470"/>
      <c r="FPF65" s="470"/>
      <c r="FPG65" s="470"/>
      <c r="FPH65" s="470"/>
      <c r="FPI65" s="470"/>
      <c r="FPJ65" s="470"/>
      <c r="FPK65" s="470"/>
      <c r="FPL65" s="470"/>
      <c r="FPM65" s="470"/>
      <c r="FPN65" s="470"/>
      <c r="FPO65" s="470"/>
      <c r="FPP65" s="470"/>
      <c r="FPQ65" s="470"/>
      <c r="FPR65" s="470"/>
      <c r="FPS65" s="470"/>
      <c r="FPT65" s="470"/>
      <c r="FPU65" s="470"/>
      <c r="FPV65" s="470"/>
      <c r="FPW65" s="470"/>
      <c r="FPX65" s="470"/>
      <c r="FPY65" s="470"/>
      <c r="FPZ65" s="470"/>
      <c r="FQA65" s="470"/>
      <c r="FQB65" s="471"/>
      <c r="FQC65" s="469"/>
      <c r="FQD65" s="470"/>
      <c r="FQE65" s="470"/>
      <c r="FQF65" s="470"/>
      <c r="FQG65" s="470"/>
      <c r="FQH65" s="470"/>
      <c r="FQI65" s="470"/>
      <c r="FQJ65" s="470"/>
      <c r="FQK65" s="470"/>
      <c r="FQL65" s="470"/>
      <c r="FQM65" s="470"/>
      <c r="FQN65" s="470"/>
      <c r="FQO65" s="470"/>
      <c r="FQP65" s="470"/>
      <c r="FQQ65" s="470"/>
      <c r="FQR65" s="470"/>
      <c r="FQS65" s="470"/>
      <c r="FQT65" s="470"/>
      <c r="FQU65" s="470"/>
      <c r="FQV65" s="470"/>
      <c r="FQW65" s="470"/>
      <c r="FQX65" s="470"/>
      <c r="FQY65" s="470"/>
      <c r="FQZ65" s="470"/>
      <c r="FRA65" s="470"/>
      <c r="FRB65" s="470"/>
      <c r="FRC65" s="470"/>
      <c r="FRD65" s="470"/>
      <c r="FRE65" s="470"/>
      <c r="FRF65" s="471"/>
      <c r="FRG65" s="469"/>
      <c r="FRH65" s="470"/>
      <c r="FRI65" s="470"/>
      <c r="FRJ65" s="470"/>
      <c r="FRK65" s="470"/>
      <c r="FRL65" s="470"/>
      <c r="FRM65" s="470"/>
      <c r="FRN65" s="470"/>
      <c r="FRO65" s="470"/>
      <c r="FRP65" s="470"/>
      <c r="FRQ65" s="470"/>
      <c r="FRR65" s="470"/>
      <c r="FRS65" s="470"/>
      <c r="FRT65" s="470"/>
      <c r="FRU65" s="470"/>
      <c r="FRV65" s="470"/>
      <c r="FRW65" s="470"/>
      <c r="FRX65" s="470"/>
      <c r="FRY65" s="470"/>
      <c r="FRZ65" s="470"/>
      <c r="FSA65" s="470"/>
      <c r="FSB65" s="470"/>
      <c r="FSC65" s="470"/>
      <c r="FSD65" s="470"/>
      <c r="FSE65" s="470"/>
      <c r="FSF65" s="470"/>
      <c r="FSG65" s="470"/>
      <c r="FSH65" s="470"/>
      <c r="FSI65" s="470"/>
      <c r="FSJ65" s="471"/>
      <c r="FSK65" s="469"/>
      <c r="FSL65" s="470"/>
      <c r="FSM65" s="470"/>
      <c r="FSN65" s="470"/>
      <c r="FSO65" s="470"/>
      <c r="FSP65" s="470"/>
      <c r="FSQ65" s="470"/>
      <c r="FSR65" s="470"/>
      <c r="FSS65" s="470"/>
      <c r="FST65" s="470"/>
      <c r="FSU65" s="470"/>
      <c r="FSV65" s="470"/>
      <c r="FSW65" s="470"/>
      <c r="FSX65" s="470"/>
      <c r="FSY65" s="470"/>
      <c r="FSZ65" s="470"/>
      <c r="FTA65" s="470"/>
      <c r="FTB65" s="470"/>
      <c r="FTC65" s="470"/>
      <c r="FTD65" s="470"/>
      <c r="FTE65" s="470"/>
      <c r="FTF65" s="470"/>
      <c r="FTG65" s="470"/>
      <c r="FTH65" s="470"/>
      <c r="FTI65" s="470"/>
      <c r="FTJ65" s="470"/>
      <c r="FTK65" s="470"/>
      <c r="FTL65" s="470"/>
      <c r="FTM65" s="470"/>
      <c r="FTN65" s="471"/>
      <c r="FTO65" s="469"/>
      <c r="FTP65" s="470"/>
      <c r="FTQ65" s="470"/>
      <c r="FTR65" s="470"/>
      <c r="FTS65" s="470"/>
      <c r="FTT65" s="470"/>
      <c r="FTU65" s="470"/>
      <c r="FTV65" s="470"/>
      <c r="FTW65" s="470"/>
      <c r="FTX65" s="470"/>
      <c r="FTY65" s="470"/>
      <c r="FTZ65" s="470"/>
      <c r="FUA65" s="470"/>
      <c r="FUB65" s="470"/>
      <c r="FUC65" s="470"/>
      <c r="FUD65" s="470"/>
      <c r="FUE65" s="470"/>
      <c r="FUF65" s="470"/>
      <c r="FUG65" s="470"/>
      <c r="FUH65" s="470"/>
      <c r="FUI65" s="470"/>
      <c r="FUJ65" s="470"/>
      <c r="FUK65" s="470"/>
      <c r="FUL65" s="470"/>
      <c r="FUM65" s="470"/>
      <c r="FUN65" s="470"/>
      <c r="FUO65" s="470"/>
      <c r="FUP65" s="470"/>
      <c r="FUQ65" s="470"/>
      <c r="FUR65" s="471"/>
      <c r="FUS65" s="469"/>
      <c r="FUT65" s="470"/>
      <c r="FUU65" s="470"/>
      <c r="FUV65" s="470"/>
      <c r="FUW65" s="470"/>
      <c r="FUX65" s="470"/>
      <c r="FUY65" s="470"/>
      <c r="FUZ65" s="470"/>
      <c r="FVA65" s="470"/>
      <c r="FVB65" s="470"/>
      <c r="FVC65" s="470"/>
      <c r="FVD65" s="470"/>
      <c r="FVE65" s="470"/>
      <c r="FVF65" s="470"/>
      <c r="FVG65" s="470"/>
      <c r="FVH65" s="470"/>
      <c r="FVI65" s="470"/>
      <c r="FVJ65" s="470"/>
      <c r="FVK65" s="470"/>
      <c r="FVL65" s="470"/>
      <c r="FVM65" s="470"/>
      <c r="FVN65" s="470"/>
      <c r="FVO65" s="470"/>
      <c r="FVP65" s="470"/>
      <c r="FVQ65" s="470"/>
      <c r="FVR65" s="470"/>
      <c r="FVS65" s="470"/>
      <c r="FVT65" s="470"/>
      <c r="FVU65" s="470"/>
      <c r="FVV65" s="471"/>
      <c r="FVW65" s="469"/>
      <c r="FVX65" s="470"/>
      <c r="FVY65" s="470"/>
      <c r="FVZ65" s="470"/>
      <c r="FWA65" s="470"/>
      <c r="FWB65" s="470"/>
      <c r="FWC65" s="470"/>
      <c r="FWD65" s="470"/>
      <c r="FWE65" s="470"/>
      <c r="FWF65" s="470"/>
      <c r="FWG65" s="470"/>
      <c r="FWH65" s="470"/>
      <c r="FWI65" s="470"/>
      <c r="FWJ65" s="470"/>
      <c r="FWK65" s="470"/>
      <c r="FWL65" s="470"/>
      <c r="FWM65" s="470"/>
      <c r="FWN65" s="470"/>
      <c r="FWO65" s="470"/>
      <c r="FWP65" s="470"/>
      <c r="FWQ65" s="470"/>
      <c r="FWR65" s="470"/>
      <c r="FWS65" s="470"/>
      <c r="FWT65" s="470"/>
      <c r="FWU65" s="470"/>
      <c r="FWV65" s="470"/>
      <c r="FWW65" s="470"/>
      <c r="FWX65" s="470"/>
      <c r="FWY65" s="470"/>
      <c r="FWZ65" s="471"/>
      <c r="FXA65" s="469"/>
      <c r="FXB65" s="470"/>
      <c r="FXC65" s="470"/>
      <c r="FXD65" s="470"/>
      <c r="FXE65" s="470"/>
      <c r="FXF65" s="470"/>
      <c r="FXG65" s="470"/>
      <c r="FXH65" s="470"/>
      <c r="FXI65" s="470"/>
      <c r="FXJ65" s="470"/>
      <c r="FXK65" s="470"/>
      <c r="FXL65" s="470"/>
      <c r="FXM65" s="470"/>
      <c r="FXN65" s="470"/>
      <c r="FXO65" s="470"/>
      <c r="FXP65" s="470"/>
      <c r="FXQ65" s="470"/>
      <c r="FXR65" s="470"/>
      <c r="FXS65" s="470"/>
      <c r="FXT65" s="470"/>
      <c r="FXU65" s="470"/>
      <c r="FXV65" s="470"/>
      <c r="FXW65" s="470"/>
      <c r="FXX65" s="470"/>
      <c r="FXY65" s="470"/>
      <c r="FXZ65" s="470"/>
      <c r="FYA65" s="470"/>
      <c r="FYB65" s="470"/>
      <c r="FYC65" s="470"/>
      <c r="FYD65" s="471"/>
      <c r="FYE65" s="469"/>
      <c r="FYF65" s="470"/>
      <c r="FYG65" s="470"/>
      <c r="FYH65" s="470"/>
      <c r="FYI65" s="470"/>
      <c r="FYJ65" s="470"/>
      <c r="FYK65" s="470"/>
      <c r="FYL65" s="470"/>
      <c r="FYM65" s="470"/>
      <c r="FYN65" s="470"/>
      <c r="FYO65" s="470"/>
      <c r="FYP65" s="470"/>
      <c r="FYQ65" s="470"/>
      <c r="FYR65" s="470"/>
      <c r="FYS65" s="470"/>
      <c r="FYT65" s="470"/>
      <c r="FYU65" s="470"/>
      <c r="FYV65" s="470"/>
      <c r="FYW65" s="470"/>
      <c r="FYX65" s="470"/>
      <c r="FYY65" s="470"/>
      <c r="FYZ65" s="470"/>
      <c r="FZA65" s="470"/>
      <c r="FZB65" s="470"/>
      <c r="FZC65" s="470"/>
      <c r="FZD65" s="470"/>
      <c r="FZE65" s="470"/>
      <c r="FZF65" s="470"/>
      <c r="FZG65" s="470"/>
      <c r="FZH65" s="471"/>
      <c r="FZI65" s="469"/>
      <c r="FZJ65" s="470"/>
      <c r="FZK65" s="470"/>
      <c r="FZL65" s="470"/>
      <c r="FZM65" s="470"/>
      <c r="FZN65" s="470"/>
      <c r="FZO65" s="470"/>
      <c r="FZP65" s="470"/>
      <c r="FZQ65" s="470"/>
      <c r="FZR65" s="470"/>
      <c r="FZS65" s="470"/>
      <c r="FZT65" s="470"/>
      <c r="FZU65" s="470"/>
      <c r="FZV65" s="470"/>
      <c r="FZW65" s="470"/>
      <c r="FZX65" s="470"/>
      <c r="FZY65" s="470"/>
      <c r="FZZ65" s="470"/>
      <c r="GAA65" s="470"/>
      <c r="GAB65" s="470"/>
      <c r="GAC65" s="470"/>
      <c r="GAD65" s="470"/>
      <c r="GAE65" s="470"/>
      <c r="GAF65" s="470"/>
      <c r="GAG65" s="470"/>
      <c r="GAH65" s="470"/>
      <c r="GAI65" s="470"/>
      <c r="GAJ65" s="470"/>
      <c r="GAK65" s="470"/>
      <c r="GAL65" s="471"/>
      <c r="GAM65" s="469"/>
      <c r="GAN65" s="470"/>
      <c r="GAO65" s="470"/>
      <c r="GAP65" s="470"/>
      <c r="GAQ65" s="470"/>
      <c r="GAR65" s="470"/>
      <c r="GAS65" s="470"/>
      <c r="GAT65" s="470"/>
      <c r="GAU65" s="470"/>
      <c r="GAV65" s="470"/>
      <c r="GAW65" s="470"/>
      <c r="GAX65" s="470"/>
      <c r="GAY65" s="470"/>
      <c r="GAZ65" s="470"/>
      <c r="GBA65" s="470"/>
      <c r="GBB65" s="470"/>
      <c r="GBC65" s="470"/>
      <c r="GBD65" s="470"/>
      <c r="GBE65" s="470"/>
      <c r="GBF65" s="470"/>
      <c r="GBG65" s="470"/>
      <c r="GBH65" s="470"/>
      <c r="GBI65" s="470"/>
      <c r="GBJ65" s="470"/>
      <c r="GBK65" s="470"/>
      <c r="GBL65" s="470"/>
      <c r="GBM65" s="470"/>
      <c r="GBN65" s="470"/>
      <c r="GBO65" s="470"/>
      <c r="GBP65" s="471"/>
      <c r="GBQ65" s="469"/>
      <c r="GBR65" s="470"/>
      <c r="GBS65" s="470"/>
      <c r="GBT65" s="470"/>
      <c r="GBU65" s="470"/>
      <c r="GBV65" s="470"/>
      <c r="GBW65" s="470"/>
      <c r="GBX65" s="470"/>
      <c r="GBY65" s="470"/>
      <c r="GBZ65" s="470"/>
      <c r="GCA65" s="470"/>
      <c r="GCB65" s="470"/>
      <c r="GCC65" s="470"/>
      <c r="GCD65" s="470"/>
      <c r="GCE65" s="470"/>
      <c r="GCF65" s="470"/>
      <c r="GCG65" s="470"/>
      <c r="GCH65" s="470"/>
      <c r="GCI65" s="470"/>
      <c r="GCJ65" s="470"/>
      <c r="GCK65" s="470"/>
      <c r="GCL65" s="470"/>
      <c r="GCM65" s="470"/>
      <c r="GCN65" s="470"/>
      <c r="GCO65" s="470"/>
      <c r="GCP65" s="470"/>
      <c r="GCQ65" s="470"/>
      <c r="GCR65" s="470"/>
      <c r="GCS65" s="470"/>
      <c r="GCT65" s="471"/>
      <c r="GCU65" s="469"/>
      <c r="GCV65" s="470"/>
      <c r="GCW65" s="470"/>
      <c r="GCX65" s="470"/>
      <c r="GCY65" s="470"/>
      <c r="GCZ65" s="470"/>
      <c r="GDA65" s="470"/>
      <c r="GDB65" s="470"/>
      <c r="GDC65" s="470"/>
      <c r="GDD65" s="470"/>
      <c r="GDE65" s="470"/>
      <c r="GDF65" s="470"/>
      <c r="GDG65" s="470"/>
      <c r="GDH65" s="470"/>
      <c r="GDI65" s="470"/>
      <c r="GDJ65" s="470"/>
      <c r="GDK65" s="470"/>
      <c r="GDL65" s="470"/>
      <c r="GDM65" s="470"/>
      <c r="GDN65" s="470"/>
      <c r="GDO65" s="470"/>
      <c r="GDP65" s="470"/>
      <c r="GDQ65" s="470"/>
      <c r="GDR65" s="470"/>
      <c r="GDS65" s="470"/>
      <c r="GDT65" s="470"/>
      <c r="GDU65" s="470"/>
      <c r="GDV65" s="470"/>
      <c r="GDW65" s="470"/>
      <c r="GDX65" s="471"/>
      <c r="GDY65" s="469"/>
      <c r="GDZ65" s="470"/>
      <c r="GEA65" s="470"/>
      <c r="GEB65" s="470"/>
      <c r="GEC65" s="470"/>
      <c r="GED65" s="470"/>
      <c r="GEE65" s="470"/>
      <c r="GEF65" s="470"/>
      <c r="GEG65" s="470"/>
      <c r="GEH65" s="470"/>
      <c r="GEI65" s="470"/>
      <c r="GEJ65" s="470"/>
      <c r="GEK65" s="470"/>
      <c r="GEL65" s="470"/>
      <c r="GEM65" s="470"/>
      <c r="GEN65" s="470"/>
      <c r="GEO65" s="470"/>
      <c r="GEP65" s="470"/>
      <c r="GEQ65" s="470"/>
      <c r="GER65" s="470"/>
      <c r="GES65" s="470"/>
      <c r="GET65" s="470"/>
      <c r="GEU65" s="470"/>
      <c r="GEV65" s="470"/>
      <c r="GEW65" s="470"/>
      <c r="GEX65" s="470"/>
      <c r="GEY65" s="470"/>
      <c r="GEZ65" s="470"/>
      <c r="GFA65" s="470"/>
      <c r="GFB65" s="471"/>
      <c r="GFC65" s="469"/>
      <c r="GFD65" s="470"/>
      <c r="GFE65" s="470"/>
      <c r="GFF65" s="470"/>
      <c r="GFG65" s="470"/>
      <c r="GFH65" s="470"/>
      <c r="GFI65" s="470"/>
      <c r="GFJ65" s="470"/>
      <c r="GFK65" s="470"/>
      <c r="GFL65" s="470"/>
      <c r="GFM65" s="470"/>
      <c r="GFN65" s="470"/>
      <c r="GFO65" s="470"/>
      <c r="GFP65" s="470"/>
      <c r="GFQ65" s="470"/>
      <c r="GFR65" s="470"/>
      <c r="GFS65" s="470"/>
      <c r="GFT65" s="470"/>
      <c r="GFU65" s="470"/>
      <c r="GFV65" s="470"/>
      <c r="GFW65" s="470"/>
      <c r="GFX65" s="470"/>
      <c r="GFY65" s="470"/>
      <c r="GFZ65" s="470"/>
      <c r="GGA65" s="470"/>
      <c r="GGB65" s="470"/>
      <c r="GGC65" s="470"/>
      <c r="GGD65" s="470"/>
      <c r="GGE65" s="470"/>
      <c r="GGF65" s="471"/>
      <c r="GGG65" s="469"/>
      <c r="GGH65" s="470"/>
      <c r="GGI65" s="470"/>
      <c r="GGJ65" s="470"/>
      <c r="GGK65" s="470"/>
      <c r="GGL65" s="470"/>
      <c r="GGM65" s="470"/>
      <c r="GGN65" s="470"/>
      <c r="GGO65" s="470"/>
      <c r="GGP65" s="470"/>
      <c r="GGQ65" s="470"/>
      <c r="GGR65" s="470"/>
      <c r="GGS65" s="470"/>
      <c r="GGT65" s="470"/>
      <c r="GGU65" s="470"/>
      <c r="GGV65" s="470"/>
      <c r="GGW65" s="470"/>
      <c r="GGX65" s="470"/>
      <c r="GGY65" s="470"/>
      <c r="GGZ65" s="470"/>
      <c r="GHA65" s="470"/>
      <c r="GHB65" s="470"/>
      <c r="GHC65" s="470"/>
      <c r="GHD65" s="470"/>
      <c r="GHE65" s="470"/>
      <c r="GHF65" s="470"/>
      <c r="GHG65" s="470"/>
      <c r="GHH65" s="470"/>
      <c r="GHI65" s="470"/>
      <c r="GHJ65" s="471"/>
      <c r="GHK65" s="469"/>
      <c r="GHL65" s="470"/>
      <c r="GHM65" s="470"/>
      <c r="GHN65" s="470"/>
      <c r="GHO65" s="470"/>
      <c r="GHP65" s="470"/>
      <c r="GHQ65" s="470"/>
      <c r="GHR65" s="470"/>
      <c r="GHS65" s="470"/>
      <c r="GHT65" s="470"/>
      <c r="GHU65" s="470"/>
      <c r="GHV65" s="470"/>
      <c r="GHW65" s="470"/>
      <c r="GHX65" s="470"/>
      <c r="GHY65" s="470"/>
      <c r="GHZ65" s="470"/>
      <c r="GIA65" s="470"/>
      <c r="GIB65" s="470"/>
      <c r="GIC65" s="470"/>
      <c r="GID65" s="470"/>
      <c r="GIE65" s="470"/>
      <c r="GIF65" s="470"/>
      <c r="GIG65" s="470"/>
      <c r="GIH65" s="470"/>
      <c r="GII65" s="470"/>
      <c r="GIJ65" s="470"/>
      <c r="GIK65" s="470"/>
      <c r="GIL65" s="470"/>
      <c r="GIM65" s="470"/>
      <c r="GIN65" s="471"/>
      <c r="GIO65" s="469"/>
      <c r="GIP65" s="470"/>
      <c r="GIQ65" s="470"/>
      <c r="GIR65" s="470"/>
      <c r="GIS65" s="470"/>
      <c r="GIT65" s="470"/>
      <c r="GIU65" s="470"/>
      <c r="GIV65" s="470"/>
      <c r="GIW65" s="470"/>
      <c r="GIX65" s="470"/>
      <c r="GIY65" s="470"/>
      <c r="GIZ65" s="470"/>
      <c r="GJA65" s="470"/>
      <c r="GJB65" s="470"/>
      <c r="GJC65" s="470"/>
      <c r="GJD65" s="470"/>
      <c r="GJE65" s="470"/>
      <c r="GJF65" s="470"/>
      <c r="GJG65" s="470"/>
      <c r="GJH65" s="470"/>
      <c r="GJI65" s="470"/>
      <c r="GJJ65" s="470"/>
      <c r="GJK65" s="470"/>
      <c r="GJL65" s="470"/>
      <c r="GJM65" s="470"/>
      <c r="GJN65" s="470"/>
      <c r="GJO65" s="470"/>
      <c r="GJP65" s="470"/>
      <c r="GJQ65" s="470"/>
      <c r="GJR65" s="471"/>
      <c r="GJS65" s="469"/>
      <c r="GJT65" s="470"/>
      <c r="GJU65" s="470"/>
      <c r="GJV65" s="470"/>
      <c r="GJW65" s="470"/>
      <c r="GJX65" s="470"/>
      <c r="GJY65" s="470"/>
      <c r="GJZ65" s="470"/>
      <c r="GKA65" s="470"/>
      <c r="GKB65" s="470"/>
      <c r="GKC65" s="470"/>
      <c r="GKD65" s="470"/>
      <c r="GKE65" s="470"/>
      <c r="GKF65" s="470"/>
      <c r="GKG65" s="470"/>
      <c r="GKH65" s="470"/>
      <c r="GKI65" s="470"/>
      <c r="GKJ65" s="470"/>
      <c r="GKK65" s="470"/>
      <c r="GKL65" s="470"/>
      <c r="GKM65" s="470"/>
      <c r="GKN65" s="470"/>
      <c r="GKO65" s="470"/>
      <c r="GKP65" s="470"/>
      <c r="GKQ65" s="470"/>
      <c r="GKR65" s="470"/>
      <c r="GKS65" s="470"/>
      <c r="GKT65" s="470"/>
      <c r="GKU65" s="470"/>
      <c r="GKV65" s="471"/>
      <c r="GKW65" s="469"/>
      <c r="GKX65" s="470"/>
      <c r="GKY65" s="470"/>
      <c r="GKZ65" s="470"/>
      <c r="GLA65" s="470"/>
      <c r="GLB65" s="470"/>
      <c r="GLC65" s="470"/>
      <c r="GLD65" s="470"/>
      <c r="GLE65" s="470"/>
      <c r="GLF65" s="470"/>
      <c r="GLG65" s="470"/>
      <c r="GLH65" s="470"/>
      <c r="GLI65" s="470"/>
      <c r="GLJ65" s="470"/>
      <c r="GLK65" s="470"/>
      <c r="GLL65" s="470"/>
      <c r="GLM65" s="470"/>
      <c r="GLN65" s="470"/>
      <c r="GLO65" s="470"/>
      <c r="GLP65" s="470"/>
      <c r="GLQ65" s="470"/>
      <c r="GLR65" s="470"/>
      <c r="GLS65" s="470"/>
      <c r="GLT65" s="470"/>
      <c r="GLU65" s="470"/>
      <c r="GLV65" s="470"/>
      <c r="GLW65" s="470"/>
      <c r="GLX65" s="470"/>
      <c r="GLY65" s="470"/>
      <c r="GLZ65" s="471"/>
      <c r="GMA65" s="469"/>
      <c r="GMB65" s="470"/>
      <c r="GMC65" s="470"/>
      <c r="GMD65" s="470"/>
      <c r="GME65" s="470"/>
      <c r="GMF65" s="470"/>
      <c r="GMG65" s="470"/>
      <c r="GMH65" s="470"/>
      <c r="GMI65" s="470"/>
      <c r="GMJ65" s="470"/>
      <c r="GMK65" s="470"/>
      <c r="GML65" s="470"/>
      <c r="GMM65" s="470"/>
      <c r="GMN65" s="470"/>
      <c r="GMO65" s="470"/>
      <c r="GMP65" s="470"/>
      <c r="GMQ65" s="470"/>
      <c r="GMR65" s="470"/>
      <c r="GMS65" s="470"/>
      <c r="GMT65" s="470"/>
      <c r="GMU65" s="470"/>
      <c r="GMV65" s="470"/>
      <c r="GMW65" s="470"/>
      <c r="GMX65" s="470"/>
      <c r="GMY65" s="470"/>
      <c r="GMZ65" s="470"/>
      <c r="GNA65" s="470"/>
      <c r="GNB65" s="470"/>
      <c r="GNC65" s="470"/>
      <c r="GND65" s="471"/>
      <c r="GNE65" s="469"/>
      <c r="GNF65" s="470"/>
      <c r="GNG65" s="470"/>
      <c r="GNH65" s="470"/>
      <c r="GNI65" s="470"/>
      <c r="GNJ65" s="470"/>
      <c r="GNK65" s="470"/>
      <c r="GNL65" s="470"/>
      <c r="GNM65" s="470"/>
      <c r="GNN65" s="470"/>
      <c r="GNO65" s="470"/>
      <c r="GNP65" s="470"/>
      <c r="GNQ65" s="470"/>
      <c r="GNR65" s="470"/>
      <c r="GNS65" s="470"/>
      <c r="GNT65" s="470"/>
      <c r="GNU65" s="470"/>
      <c r="GNV65" s="470"/>
      <c r="GNW65" s="470"/>
      <c r="GNX65" s="470"/>
      <c r="GNY65" s="470"/>
      <c r="GNZ65" s="470"/>
      <c r="GOA65" s="470"/>
      <c r="GOB65" s="470"/>
      <c r="GOC65" s="470"/>
      <c r="GOD65" s="470"/>
      <c r="GOE65" s="470"/>
      <c r="GOF65" s="470"/>
      <c r="GOG65" s="470"/>
      <c r="GOH65" s="471"/>
      <c r="GOI65" s="469"/>
      <c r="GOJ65" s="470"/>
      <c r="GOK65" s="470"/>
      <c r="GOL65" s="470"/>
      <c r="GOM65" s="470"/>
      <c r="GON65" s="470"/>
      <c r="GOO65" s="470"/>
      <c r="GOP65" s="470"/>
      <c r="GOQ65" s="470"/>
      <c r="GOR65" s="470"/>
      <c r="GOS65" s="470"/>
      <c r="GOT65" s="470"/>
      <c r="GOU65" s="470"/>
      <c r="GOV65" s="470"/>
      <c r="GOW65" s="470"/>
      <c r="GOX65" s="470"/>
      <c r="GOY65" s="470"/>
      <c r="GOZ65" s="470"/>
      <c r="GPA65" s="470"/>
      <c r="GPB65" s="470"/>
      <c r="GPC65" s="470"/>
      <c r="GPD65" s="470"/>
      <c r="GPE65" s="470"/>
      <c r="GPF65" s="470"/>
      <c r="GPG65" s="470"/>
      <c r="GPH65" s="470"/>
      <c r="GPI65" s="470"/>
      <c r="GPJ65" s="470"/>
      <c r="GPK65" s="470"/>
      <c r="GPL65" s="471"/>
      <c r="GPM65" s="469"/>
      <c r="GPN65" s="470"/>
      <c r="GPO65" s="470"/>
      <c r="GPP65" s="470"/>
      <c r="GPQ65" s="470"/>
      <c r="GPR65" s="470"/>
      <c r="GPS65" s="470"/>
      <c r="GPT65" s="470"/>
      <c r="GPU65" s="470"/>
      <c r="GPV65" s="470"/>
      <c r="GPW65" s="470"/>
      <c r="GPX65" s="470"/>
      <c r="GPY65" s="470"/>
      <c r="GPZ65" s="470"/>
      <c r="GQA65" s="470"/>
      <c r="GQB65" s="470"/>
      <c r="GQC65" s="470"/>
      <c r="GQD65" s="470"/>
      <c r="GQE65" s="470"/>
      <c r="GQF65" s="470"/>
      <c r="GQG65" s="470"/>
      <c r="GQH65" s="470"/>
      <c r="GQI65" s="470"/>
      <c r="GQJ65" s="470"/>
      <c r="GQK65" s="470"/>
      <c r="GQL65" s="470"/>
      <c r="GQM65" s="470"/>
      <c r="GQN65" s="470"/>
      <c r="GQO65" s="470"/>
      <c r="GQP65" s="471"/>
      <c r="GQQ65" s="469"/>
      <c r="GQR65" s="470"/>
      <c r="GQS65" s="470"/>
      <c r="GQT65" s="470"/>
      <c r="GQU65" s="470"/>
      <c r="GQV65" s="470"/>
      <c r="GQW65" s="470"/>
      <c r="GQX65" s="470"/>
      <c r="GQY65" s="470"/>
      <c r="GQZ65" s="470"/>
      <c r="GRA65" s="470"/>
      <c r="GRB65" s="470"/>
      <c r="GRC65" s="470"/>
      <c r="GRD65" s="470"/>
      <c r="GRE65" s="470"/>
      <c r="GRF65" s="470"/>
      <c r="GRG65" s="470"/>
      <c r="GRH65" s="470"/>
      <c r="GRI65" s="470"/>
      <c r="GRJ65" s="470"/>
      <c r="GRK65" s="470"/>
      <c r="GRL65" s="470"/>
      <c r="GRM65" s="470"/>
      <c r="GRN65" s="470"/>
      <c r="GRO65" s="470"/>
      <c r="GRP65" s="470"/>
      <c r="GRQ65" s="470"/>
      <c r="GRR65" s="470"/>
      <c r="GRS65" s="470"/>
      <c r="GRT65" s="471"/>
      <c r="GRU65" s="469"/>
      <c r="GRV65" s="470"/>
      <c r="GRW65" s="470"/>
      <c r="GRX65" s="470"/>
      <c r="GRY65" s="470"/>
      <c r="GRZ65" s="470"/>
      <c r="GSA65" s="470"/>
      <c r="GSB65" s="470"/>
      <c r="GSC65" s="470"/>
      <c r="GSD65" s="470"/>
      <c r="GSE65" s="470"/>
      <c r="GSF65" s="470"/>
      <c r="GSG65" s="470"/>
      <c r="GSH65" s="470"/>
      <c r="GSI65" s="470"/>
      <c r="GSJ65" s="470"/>
      <c r="GSK65" s="470"/>
      <c r="GSL65" s="470"/>
      <c r="GSM65" s="470"/>
      <c r="GSN65" s="470"/>
      <c r="GSO65" s="470"/>
      <c r="GSP65" s="470"/>
      <c r="GSQ65" s="470"/>
      <c r="GSR65" s="470"/>
      <c r="GSS65" s="470"/>
      <c r="GST65" s="470"/>
      <c r="GSU65" s="470"/>
      <c r="GSV65" s="470"/>
      <c r="GSW65" s="470"/>
      <c r="GSX65" s="471"/>
      <c r="GSY65" s="469"/>
      <c r="GSZ65" s="470"/>
      <c r="GTA65" s="470"/>
      <c r="GTB65" s="470"/>
      <c r="GTC65" s="470"/>
      <c r="GTD65" s="470"/>
      <c r="GTE65" s="470"/>
      <c r="GTF65" s="470"/>
      <c r="GTG65" s="470"/>
      <c r="GTH65" s="470"/>
      <c r="GTI65" s="470"/>
      <c r="GTJ65" s="470"/>
      <c r="GTK65" s="470"/>
      <c r="GTL65" s="470"/>
      <c r="GTM65" s="470"/>
      <c r="GTN65" s="470"/>
      <c r="GTO65" s="470"/>
      <c r="GTP65" s="470"/>
      <c r="GTQ65" s="470"/>
      <c r="GTR65" s="470"/>
      <c r="GTS65" s="470"/>
      <c r="GTT65" s="470"/>
      <c r="GTU65" s="470"/>
      <c r="GTV65" s="470"/>
      <c r="GTW65" s="470"/>
      <c r="GTX65" s="470"/>
      <c r="GTY65" s="470"/>
      <c r="GTZ65" s="470"/>
      <c r="GUA65" s="470"/>
      <c r="GUB65" s="471"/>
      <c r="GUC65" s="469"/>
      <c r="GUD65" s="470"/>
      <c r="GUE65" s="470"/>
      <c r="GUF65" s="470"/>
      <c r="GUG65" s="470"/>
      <c r="GUH65" s="470"/>
      <c r="GUI65" s="470"/>
      <c r="GUJ65" s="470"/>
      <c r="GUK65" s="470"/>
      <c r="GUL65" s="470"/>
      <c r="GUM65" s="470"/>
      <c r="GUN65" s="470"/>
      <c r="GUO65" s="470"/>
      <c r="GUP65" s="470"/>
      <c r="GUQ65" s="470"/>
      <c r="GUR65" s="470"/>
      <c r="GUS65" s="470"/>
      <c r="GUT65" s="470"/>
      <c r="GUU65" s="470"/>
      <c r="GUV65" s="470"/>
      <c r="GUW65" s="470"/>
      <c r="GUX65" s="470"/>
      <c r="GUY65" s="470"/>
      <c r="GUZ65" s="470"/>
      <c r="GVA65" s="470"/>
      <c r="GVB65" s="470"/>
      <c r="GVC65" s="470"/>
      <c r="GVD65" s="470"/>
      <c r="GVE65" s="470"/>
      <c r="GVF65" s="471"/>
      <c r="GVG65" s="469"/>
      <c r="GVH65" s="470"/>
      <c r="GVI65" s="470"/>
      <c r="GVJ65" s="470"/>
      <c r="GVK65" s="470"/>
      <c r="GVL65" s="470"/>
      <c r="GVM65" s="470"/>
      <c r="GVN65" s="470"/>
      <c r="GVO65" s="470"/>
      <c r="GVP65" s="470"/>
      <c r="GVQ65" s="470"/>
      <c r="GVR65" s="470"/>
      <c r="GVS65" s="470"/>
      <c r="GVT65" s="470"/>
      <c r="GVU65" s="470"/>
      <c r="GVV65" s="470"/>
      <c r="GVW65" s="470"/>
      <c r="GVX65" s="470"/>
      <c r="GVY65" s="470"/>
      <c r="GVZ65" s="470"/>
      <c r="GWA65" s="470"/>
      <c r="GWB65" s="470"/>
      <c r="GWC65" s="470"/>
      <c r="GWD65" s="470"/>
      <c r="GWE65" s="470"/>
      <c r="GWF65" s="470"/>
      <c r="GWG65" s="470"/>
      <c r="GWH65" s="470"/>
      <c r="GWI65" s="470"/>
      <c r="GWJ65" s="471"/>
      <c r="GWK65" s="469"/>
      <c r="GWL65" s="470"/>
      <c r="GWM65" s="470"/>
      <c r="GWN65" s="470"/>
      <c r="GWO65" s="470"/>
      <c r="GWP65" s="470"/>
      <c r="GWQ65" s="470"/>
      <c r="GWR65" s="470"/>
      <c r="GWS65" s="470"/>
      <c r="GWT65" s="470"/>
      <c r="GWU65" s="470"/>
      <c r="GWV65" s="470"/>
      <c r="GWW65" s="470"/>
      <c r="GWX65" s="470"/>
      <c r="GWY65" s="470"/>
      <c r="GWZ65" s="470"/>
      <c r="GXA65" s="470"/>
      <c r="GXB65" s="470"/>
      <c r="GXC65" s="470"/>
      <c r="GXD65" s="470"/>
      <c r="GXE65" s="470"/>
      <c r="GXF65" s="470"/>
      <c r="GXG65" s="470"/>
      <c r="GXH65" s="470"/>
      <c r="GXI65" s="470"/>
      <c r="GXJ65" s="470"/>
      <c r="GXK65" s="470"/>
      <c r="GXL65" s="470"/>
      <c r="GXM65" s="470"/>
      <c r="GXN65" s="471"/>
      <c r="GXO65" s="469"/>
      <c r="GXP65" s="470"/>
      <c r="GXQ65" s="470"/>
      <c r="GXR65" s="470"/>
      <c r="GXS65" s="470"/>
      <c r="GXT65" s="470"/>
      <c r="GXU65" s="470"/>
      <c r="GXV65" s="470"/>
      <c r="GXW65" s="470"/>
      <c r="GXX65" s="470"/>
      <c r="GXY65" s="470"/>
      <c r="GXZ65" s="470"/>
      <c r="GYA65" s="470"/>
      <c r="GYB65" s="470"/>
      <c r="GYC65" s="470"/>
      <c r="GYD65" s="470"/>
      <c r="GYE65" s="470"/>
      <c r="GYF65" s="470"/>
      <c r="GYG65" s="470"/>
      <c r="GYH65" s="470"/>
      <c r="GYI65" s="470"/>
      <c r="GYJ65" s="470"/>
      <c r="GYK65" s="470"/>
      <c r="GYL65" s="470"/>
      <c r="GYM65" s="470"/>
      <c r="GYN65" s="470"/>
      <c r="GYO65" s="470"/>
      <c r="GYP65" s="470"/>
      <c r="GYQ65" s="470"/>
      <c r="GYR65" s="471"/>
      <c r="GYS65" s="469"/>
      <c r="GYT65" s="470"/>
      <c r="GYU65" s="470"/>
      <c r="GYV65" s="470"/>
      <c r="GYW65" s="470"/>
      <c r="GYX65" s="470"/>
      <c r="GYY65" s="470"/>
      <c r="GYZ65" s="470"/>
      <c r="GZA65" s="470"/>
      <c r="GZB65" s="470"/>
      <c r="GZC65" s="470"/>
      <c r="GZD65" s="470"/>
      <c r="GZE65" s="470"/>
      <c r="GZF65" s="470"/>
      <c r="GZG65" s="470"/>
      <c r="GZH65" s="470"/>
      <c r="GZI65" s="470"/>
      <c r="GZJ65" s="470"/>
      <c r="GZK65" s="470"/>
      <c r="GZL65" s="470"/>
      <c r="GZM65" s="470"/>
      <c r="GZN65" s="470"/>
      <c r="GZO65" s="470"/>
      <c r="GZP65" s="470"/>
      <c r="GZQ65" s="470"/>
      <c r="GZR65" s="470"/>
      <c r="GZS65" s="470"/>
      <c r="GZT65" s="470"/>
      <c r="GZU65" s="470"/>
      <c r="GZV65" s="471"/>
      <c r="GZW65" s="469"/>
      <c r="GZX65" s="470"/>
      <c r="GZY65" s="470"/>
      <c r="GZZ65" s="470"/>
      <c r="HAA65" s="470"/>
      <c r="HAB65" s="470"/>
      <c r="HAC65" s="470"/>
      <c r="HAD65" s="470"/>
      <c r="HAE65" s="470"/>
      <c r="HAF65" s="470"/>
      <c r="HAG65" s="470"/>
      <c r="HAH65" s="470"/>
      <c r="HAI65" s="470"/>
      <c r="HAJ65" s="470"/>
      <c r="HAK65" s="470"/>
      <c r="HAL65" s="470"/>
      <c r="HAM65" s="470"/>
      <c r="HAN65" s="470"/>
      <c r="HAO65" s="470"/>
      <c r="HAP65" s="470"/>
      <c r="HAQ65" s="470"/>
      <c r="HAR65" s="470"/>
      <c r="HAS65" s="470"/>
      <c r="HAT65" s="470"/>
      <c r="HAU65" s="470"/>
      <c r="HAV65" s="470"/>
      <c r="HAW65" s="470"/>
      <c r="HAX65" s="470"/>
      <c r="HAY65" s="470"/>
      <c r="HAZ65" s="471"/>
      <c r="HBA65" s="469"/>
      <c r="HBB65" s="470"/>
      <c r="HBC65" s="470"/>
      <c r="HBD65" s="470"/>
      <c r="HBE65" s="470"/>
      <c r="HBF65" s="470"/>
      <c r="HBG65" s="470"/>
      <c r="HBH65" s="470"/>
      <c r="HBI65" s="470"/>
      <c r="HBJ65" s="470"/>
      <c r="HBK65" s="470"/>
      <c r="HBL65" s="470"/>
      <c r="HBM65" s="470"/>
      <c r="HBN65" s="470"/>
      <c r="HBO65" s="470"/>
      <c r="HBP65" s="470"/>
      <c r="HBQ65" s="470"/>
      <c r="HBR65" s="470"/>
      <c r="HBS65" s="470"/>
      <c r="HBT65" s="470"/>
      <c r="HBU65" s="470"/>
      <c r="HBV65" s="470"/>
      <c r="HBW65" s="470"/>
      <c r="HBX65" s="470"/>
      <c r="HBY65" s="470"/>
      <c r="HBZ65" s="470"/>
      <c r="HCA65" s="470"/>
      <c r="HCB65" s="470"/>
      <c r="HCC65" s="470"/>
      <c r="HCD65" s="471"/>
      <c r="HCE65" s="469"/>
      <c r="HCF65" s="470"/>
      <c r="HCG65" s="470"/>
      <c r="HCH65" s="470"/>
      <c r="HCI65" s="470"/>
      <c r="HCJ65" s="470"/>
      <c r="HCK65" s="470"/>
      <c r="HCL65" s="470"/>
      <c r="HCM65" s="470"/>
      <c r="HCN65" s="470"/>
      <c r="HCO65" s="470"/>
      <c r="HCP65" s="470"/>
      <c r="HCQ65" s="470"/>
      <c r="HCR65" s="470"/>
      <c r="HCS65" s="470"/>
      <c r="HCT65" s="470"/>
      <c r="HCU65" s="470"/>
      <c r="HCV65" s="470"/>
      <c r="HCW65" s="470"/>
      <c r="HCX65" s="470"/>
      <c r="HCY65" s="470"/>
      <c r="HCZ65" s="470"/>
      <c r="HDA65" s="470"/>
      <c r="HDB65" s="470"/>
      <c r="HDC65" s="470"/>
      <c r="HDD65" s="470"/>
      <c r="HDE65" s="470"/>
      <c r="HDF65" s="470"/>
      <c r="HDG65" s="470"/>
      <c r="HDH65" s="471"/>
      <c r="HDI65" s="469"/>
      <c r="HDJ65" s="470"/>
      <c r="HDK65" s="470"/>
      <c r="HDL65" s="470"/>
      <c r="HDM65" s="470"/>
      <c r="HDN65" s="470"/>
      <c r="HDO65" s="470"/>
      <c r="HDP65" s="470"/>
      <c r="HDQ65" s="470"/>
      <c r="HDR65" s="470"/>
      <c r="HDS65" s="470"/>
      <c r="HDT65" s="470"/>
      <c r="HDU65" s="470"/>
      <c r="HDV65" s="470"/>
      <c r="HDW65" s="470"/>
      <c r="HDX65" s="470"/>
      <c r="HDY65" s="470"/>
      <c r="HDZ65" s="470"/>
      <c r="HEA65" s="470"/>
      <c r="HEB65" s="470"/>
      <c r="HEC65" s="470"/>
      <c r="HED65" s="470"/>
      <c r="HEE65" s="470"/>
      <c r="HEF65" s="470"/>
      <c r="HEG65" s="470"/>
      <c r="HEH65" s="470"/>
      <c r="HEI65" s="470"/>
      <c r="HEJ65" s="470"/>
      <c r="HEK65" s="470"/>
      <c r="HEL65" s="471"/>
      <c r="HEM65" s="469"/>
      <c r="HEN65" s="470"/>
      <c r="HEO65" s="470"/>
      <c r="HEP65" s="470"/>
      <c r="HEQ65" s="470"/>
      <c r="HER65" s="470"/>
      <c r="HES65" s="470"/>
      <c r="HET65" s="470"/>
      <c r="HEU65" s="470"/>
      <c r="HEV65" s="470"/>
      <c r="HEW65" s="470"/>
      <c r="HEX65" s="470"/>
      <c r="HEY65" s="470"/>
      <c r="HEZ65" s="470"/>
      <c r="HFA65" s="470"/>
      <c r="HFB65" s="470"/>
      <c r="HFC65" s="470"/>
      <c r="HFD65" s="470"/>
      <c r="HFE65" s="470"/>
      <c r="HFF65" s="470"/>
      <c r="HFG65" s="470"/>
      <c r="HFH65" s="470"/>
      <c r="HFI65" s="470"/>
      <c r="HFJ65" s="470"/>
      <c r="HFK65" s="470"/>
      <c r="HFL65" s="470"/>
      <c r="HFM65" s="470"/>
      <c r="HFN65" s="470"/>
      <c r="HFO65" s="470"/>
      <c r="HFP65" s="471"/>
      <c r="HFQ65" s="469"/>
      <c r="HFR65" s="470"/>
      <c r="HFS65" s="470"/>
      <c r="HFT65" s="470"/>
      <c r="HFU65" s="470"/>
      <c r="HFV65" s="470"/>
      <c r="HFW65" s="470"/>
      <c r="HFX65" s="470"/>
      <c r="HFY65" s="470"/>
      <c r="HFZ65" s="470"/>
      <c r="HGA65" s="470"/>
      <c r="HGB65" s="470"/>
      <c r="HGC65" s="470"/>
      <c r="HGD65" s="470"/>
      <c r="HGE65" s="470"/>
      <c r="HGF65" s="470"/>
      <c r="HGG65" s="470"/>
      <c r="HGH65" s="470"/>
      <c r="HGI65" s="470"/>
      <c r="HGJ65" s="470"/>
      <c r="HGK65" s="470"/>
      <c r="HGL65" s="470"/>
      <c r="HGM65" s="470"/>
      <c r="HGN65" s="470"/>
      <c r="HGO65" s="470"/>
      <c r="HGP65" s="470"/>
      <c r="HGQ65" s="470"/>
      <c r="HGR65" s="470"/>
      <c r="HGS65" s="470"/>
      <c r="HGT65" s="471"/>
      <c r="HGU65" s="469"/>
      <c r="HGV65" s="470"/>
      <c r="HGW65" s="470"/>
      <c r="HGX65" s="470"/>
      <c r="HGY65" s="470"/>
      <c r="HGZ65" s="470"/>
      <c r="HHA65" s="470"/>
      <c r="HHB65" s="470"/>
      <c r="HHC65" s="470"/>
      <c r="HHD65" s="470"/>
      <c r="HHE65" s="470"/>
      <c r="HHF65" s="470"/>
      <c r="HHG65" s="470"/>
      <c r="HHH65" s="470"/>
      <c r="HHI65" s="470"/>
      <c r="HHJ65" s="470"/>
      <c r="HHK65" s="470"/>
      <c r="HHL65" s="470"/>
      <c r="HHM65" s="470"/>
      <c r="HHN65" s="470"/>
      <c r="HHO65" s="470"/>
      <c r="HHP65" s="470"/>
      <c r="HHQ65" s="470"/>
      <c r="HHR65" s="470"/>
      <c r="HHS65" s="470"/>
      <c r="HHT65" s="470"/>
      <c r="HHU65" s="470"/>
      <c r="HHV65" s="470"/>
      <c r="HHW65" s="470"/>
      <c r="HHX65" s="471"/>
      <c r="HHY65" s="469"/>
      <c r="HHZ65" s="470"/>
      <c r="HIA65" s="470"/>
      <c r="HIB65" s="470"/>
      <c r="HIC65" s="470"/>
      <c r="HID65" s="470"/>
      <c r="HIE65" s="470"/>
      <c r="HIF65" s="470"/>
      <c r="HIG65" s="470"/>
      <c r="HIH65" s="470"/>
      <c r="HII65" s="470"/>
      <c r="HIJ65" s="470"/>
      <c r="HIK65" s="470"/>
      <c r="HIL65" s="470"/>
      <c r="HIM65" s="470"/>
      <c r="HIN65" s="470"/>
      <c r="HIO65" s="470"/>
      <c r="HIP65" s="470"/>
      <c r="HIQ65" s="470"/>
      <c r="HIR65" s="470"/>
      <c r="HIS65" s="470"/>
      <c r="HIT65" s="470"/>
      <c r="HIU65" s="470"/>
      <c r="HIV65" s="470"/>
      <c r="HIW65" s="470"/>
      <c r="HIX65" s="470"/>
      <c r="HIY65" s="470"/>
      <c r="HIZ65" s="470"/>
      <c r="HJA65" s="470"/>
      <c r="HJB65" s="471"/>
      <c r="HJC65" s="469"/>
      <c r="HJD65" s="470"/>
      <c r="HJE65" s="470"/>
      <c r="HJF65" s="470"/>
      <c r="HJG65" s="470"/>
      <c r="HJH65" s="470"/>
      <c r="HJI65" s="470"/>
      <c r="HJJ65" s="470"/>
      <c r="HJK65" s="470"/>
      <c r="HJL65" s="470"/>
      <c r="HJM65" s="470"/>
      <c r="HJN65" s="470"/>
      <c r="HJO65" s="470"/>
      <c r="HJP65" s="470"/>
      <c r="HJQ65" s="470"/>
      <c r="HJR65" s="470"/>
      <c r="HJS65" s="470"/>
      <c r="HJT65" s="470"/>
      <c r="HJU65" s="470"/>
      <c r="HJV65" s="470"/>
      <c r="HJW65" s="470"/>
      <c r="HJX65" s="470"/>
      <c r="HJY65" s="470"/>
      <c r="HJZ65" s="470"/>
      <c r="HKA65" s="470"/>
      <c r="HKB65" s="470"/>
      <c r="HKC65" s="470"/>
      <c r="HKD65" s="470"/>
      <c r="HKE65" s="470"/>
      <c r="HKF65" s="471"/>
      <c r="HKG65" s="469"/>
      <c r="HKH65" s="470"/>
      <c r="HKI65" s="470"/>
      <c r="HKJ65" s="470"/>
      <c r="HKK65" s="470"/>
      <c r="HKL65" s="470"/>
      <c r="HKM65" s="470"/>
      <c r="HKN65" s="470"/>
      <c r="HKO65" s="470"/>
      <c r="HKP65" s="470"/>
      <c r="HKQ65" s="470"/>
      <c r="HKR65" s="470"/>
      <c r="HKS65" s="470"/>
      <c r="HKT65" s="470"/>
      <c r="HKU65" s="470"/>
      <c r="HKV65" s="470"/>
      <c r="HKW65" s="470"/>
      <c r="HKX65" s="470"/>
      <c r="HKY65" s="470"/>
      <c r="HKZ65" s="470"/>
      <c r="HLA65" s="470"/>
      <c r="HLB65" s="470"/>
      <c r="HLC65" s="470"/>
      <c r="HLD65" s="470"/>
      <c r="HLE65" s="470"/>
      <c r="HLF65" s="470"/>
      <c r="HLG65" s="470"/>
      <c r="HLH65" s="470"/>
      <c r="HLI65" s="470"/>
      <c r="HLJ65" s="471"/>
      <c r="HLK65" s="469"/>
      <c r="HLL65" s="470"/>
      <c r="HLM65" s="470"/>
      <c r="HLN65" s="470"/>
      <c r="HLO65" s="470"/>
      <c r="HLP65" s="470"/>
      <c r="HLQ65" s="470"/>
      <c r="HLR65" s="470"/>
      <c r="HLS65" s="470"/>
      <c r="HLT65" s="470"/>
      <c r="HLU65" s="470"/>
      <c r="HLV65" s="470"/>
      <c r="HLW65" s="470"/>
      <c r="HLX65" s="470"/>
      <c r="HLY65" s="470"/>
      <c r="HLZ65" s="470"/>
      <c r="HMA65" s="470"/>
      <c r="HMB65" s="470"/>
      <c r="HMC65" s="470"/>
      <c r="HMD65" s="470"/>
      <c r="HME65" s="470"/>
      <c r="HMF65" s="470"/>
      <c r="HMG65" s="470"/>
      <c r="HMH65" s="470"/>
      <c r="HMI65" s="470"/>
      <c r="HMJ65" s="470"/>
      <c r="HMK65" s="470"/>
      <c r="HML65" s="470"/>
      <c r="HMM65" s="470"/>
      <c r="HMN65" s="471"/>
      <c r="HMO65" s="469"/>
      <c r="HMP65" s="470"/>
      <c r="HMQ65" s="470"/>
      <c r="HMR65" s="470"/>
      <c r="HMS65" s="470"/>
      <c r="HMT65" s="470"/>
      <c r="HMU65" s="470"/>
      <c r="HMV65" s="470"/>
      <c r="HMW65" s="470"/>
      <c r="HMX65" s="470"/>
      <c r="HMY65" s="470"/>
      <c r="HMZ65" s="470"/>
      <c r="HNA65" s="470"/>
      <c r="HNB65" s="470"/>
      <c r="HNC65" s="470"/>
      <c r="HND65" s="470"/>
      <c r="HNE65" s="470"/>
      <c r="HNF65" s="470"/>
      <c r="HNG65" s="470"/>
      <c r="HNH65" s="470"/>
      <c r="HNI65" s="470"/>
      <c r="HNJ65" s="470"/>
      <c r="HNK65" s="470"/>
      <c r="HNL65" s="470"/>
      <c r="HNM65" s="470"/>
      <c r="HNN65" s="470"/>
      <c r="HNO65" s="470"/>
      <c r="HNP65" s="470"/>
      <c r="HNQ65" s="470"/>
      <c r="HNR65" s="471"/>
      <c r="HNS65" s="469"/>
      <c r="HNT65" s="470"/>
      <c r="HNU65" s="470"/>
      <c r="HNV65" s="470"/>
      <c r="HNW65" s="470"/>
      <c r="HNX65" s="470"/>
      <c r="HNY65" s="470"/>
      <c r="HNZ65" s="470"/>
      <c r="HOA65" s="470"/>
      <c r="HOB65" s="470"/>
      <c r="HOC65" s="470"/>
      <c r="HOD65" s="470"/>
      <c r="HOE65" s="470"/>
      <c r="HOF65" s="470"/>
      <c r="HOG65" s="470"/>
      <c r="HOH65" s="470"/>
      <c r="HOI65" s="470"/>
      <c r="HOJ65" s="470"/>
      <c r="HOK65" s="470"/>
      <c r="HOL65" s="470"/>
      <c r="HOM65" s="470"/>
      <c r="HON65" s="470"/>
      <c r="HOO65" s="470"/>
      <c r="HOP65" s="470"/>
      <c r="HOQ65" s="470"/>
      <c r="HOR65" s="470"/>
      <c r="HOS65" s="470"/>
      <c r="HOT65" s="470"/>
      <c r="HOU65" s="470"/>
      <c r="HOV65" s="471"/>
      <c r="HOW65" s="469"/>
      <c r="HOX65" s="470"/>
      <c r="HOY65" s="470"/>
      <c r="HOZ65" s="470"/>
      <c r="HPA65" s="470"/>
      <c r="HPB65" s="470"/>
      <c r="HPC65" s="470"/>
      <c r="HPD65" s="470"/>
      <c r="HPE65" s="470"/>
      <c r="HPF65" s="470"/>
      <c r="HPG65" s="470"/>
      <c r="HPH65" s="470"/>
      <c r="HPI65" s="470"/>
      <c r="HPJ65" s="470"/>
      <c r="HPK65" s="470"/>
      <c r="HPL65" s="470"/>
      <c r="HPM65" s="470"/>
      <c r="HPN65" s="470"/>
      <c r="HPO65" s="470"/>
      <c r="HPP65" s="470"/>
      <c r="HPQ65" s="470"/>
      <c r="HPR65" s="470"/>
      <c r="HPS65" s="470"/>
      <c r="HPT65" s="470"/>
      <c r="HPU65" s="470"/>
      <c r="HPV65" s="470"/>
      <c r="HPW65" s="470"/>
      <c r="HPX65" s="470"/>
      <c r="HPY65" s="470"/>
      <c r="HPZ65" s="471"/>
      <c r="HQA65" s="469"/>
      <c r="HQB65" s="470"/>
      <c r="HQC65" s="470"/>
      <c r="HQD65" s="470"/>
      <c r="HQE65" s="470"/>
      <c r="HQF65" s="470"/>
      <c r="HQG65" s="470"/>
      <c r="HQH65" s="470"/>
      <c r="HQI65" s="470"/>
      <c r="HQJ65" s="470"/>
      <c r="HQK65" s="470"/>
      <c r="HQL65" s="470"/>
      <c r="HQM65" s="470"/>
      <c r="HQN65" s="470"/>
      <c r="HQO65" s="470"/>
      <c r="HQP65" s="470"/>
      <c r="HQQ65" s="470"/>
      <c r="HQR65" s="470"/>
      <c r="HQS65" s="470"/>
      <c r="HQT65" s="470"/>
      <c r="HQU65" s="470"/>
      <c r="HQV65" s="470"/>
      <c r="HQW65" s="470"/>
      <c r="HQX65" s="470"/>
      <c r="HQY65" s="470"/>
      <c r="HQZ65" s="470"/>
      <c r="HRA65" s="470"/>
      <c r="HRB65" s="470"/>
      <c r="HRC65" s="470"/>
      <c r="HRD65" s="471"/>
      <c r="HRE65" s="469"/>
      <c r="HRF65" s="470"/>
      <c r="HRG65" s="470"/>
      <c r="HRH65" s="470"/>
      <c r="HRI65" s="470"/>
      <c r="HRJ65" s="470"/>
      <c r="HRK65" s="470"/>
      <c r="HRL65" s="470"/>
      <c r="HRM65" s="470"/>
      <c r="HRN65" s="470"/>
      <c r="HRO65" s="470"/>
      <c r="HRP65" s="470"/>
      <c r="HRQ65" s="470"/>
      <c r="HRR65" s="470"/>
      <c r="HRS65" s="470"/>
      <c r="HRT65" s="470"/>
      <c r="HRU65" s="470"/>
      <c r="HRV65" s="470"/>
      <c r="HRW65" s="470"/>
      <c r="HRX65" s="470"/>
      <c r="HRY65" s="470"/>
      <c r="HRZ65" s="470"/>
      <c r="HSA65" s="470"/>
      <c r="HSB65" s="470"/>
      <c r="HSC65" s="470"/>
      <c r="HSD65" s="470"/>
      <c r="HSE65" s="470"/>
      <c r="HSF65" s="470"/>
      <c r="HSG65" s="470"/>
      <c r="HSH65" s="471"/>
      <c r="HSI65" s="469"/>
      <c r="HSJ65" s="470"/>
      <c r="HSK65" s="470"/>
      <c r="HSL65" s="470"/>
      <c r="HSM65" s="470"/>
      <c r="HSN65" s="470"/>
      <c r="HSO65" s="470"/>
      <c r="HSP65" s="470"/>
      <c r="HSQ65" s="470"/>
      <c r="HSR65" s="470"/>
      <c r="HSS65" s="470"/>
      <c r="HST65" s="470"/>
      <c r="HSU65" s="470"/>
      <c r="HSV65" s="470"/>
      <c r="HSW65" s="470"/>
      <c r="HSX65" s="470"/>
      <c r="HSY65" s="470"/>
      <c r="HSZ65" s="470"/>
      <c r="HTA65" s="470"/>
      <c r="HTB65" s="470"/>
      <c r="HTC65" s="470"/>
      <c r="HTD65" s="470"/>
      <c r="HTE65" s="470"/>
      <c r="HTF65" s="470"/>
      <c r="HTG65" s="470"/>
      <c r="HTH65" s="470"/>
      <c r="HTI65" s="470"/>
      <c r="HTJ65" s="470"/>
      <c r="HTK65" s="470"/>
      <c r="HTL65" s="471"/>
      <c r="HTM65" s="469"/>
      <c r="HTN65" s="470"/>
      <c r="HTO65" s="470"/>
      <c r="HTP65" s="470"/>
      <c r="HTQ65" s="470"/>
      <c r="HTR65" s="470"/>
      <c r="HTS65" s="470"/>
      <c r="HTT65" s="470"/>
      <c r="HTU65" s="470"/>
      <c r="HTV65" s="470"/>
      <c r="HTW65" s="470"/>
      <c r="HTX65" s="470"/>
      <c r="HTY65" s="470"/>
      <c r="HTZ65" s="470"/>
      <c r="HUA65" s="470"/>
      <c r="HUB65" s="470"/>
      <c r="HUC65" s="470"/>
      <c r="HUD65" s="470"/>
      <c r="HUE65" s="470"/>
      <c r="HUF65" s="470"/>
      <c r="HUG65" s="470"/>
      <c r="HUH65" s="470"/>
      <c r="HUI65" s="470"/>
      <c r="HUJ65" s="470"/>
      <c r="HUK65" s="470"/>
      <c r="HUL65" s="470"/>
      <c r="HUM65" s="470"/>
      <c r="HUN65" s="470"/>
      <c r="HUO65" s="470"/>
      <c r="HUP65" s="471"/>
      <c r="HUQ65" s="469"/>
      <c r="HUR65" s="470"/>
      <c r="HUS65" s="470"/>
      <c r="HUT65" s="470"/>
      <c r="HUU65" s="470"/>
      <c r="HUV65" s="470"/>
      <c r="HUW65" s="470"/>
      <c r="HUX65" s="470"/>
      <c r="HUY65" s="470"/>
      <c r="HUZ65" s="470"/>
      <c r="HVA65" s="470"/>
      <c r="HVB65" s="470"/>
      <c r="HVC65" s="470"/>
      <c r="HVD65" s="470"/>
      <c r="HVE65" s="470"/>
      <c r="HVF65" s="470"/>
      <c r="HVG65" s="470"/>
      <c r="HVH65" s="470"/>
      <c r="HVI65" s="470"/>
      <c r="HVJ65" s="470"/>
      <c r="HVK65" s="470"/>
      <c r="HVL65" s="470"/>
      <c r="HVM65" s="470"/>
      <c r="HVN65" s="470"/>
      <c r="HVO65" s="470"/>
      <c r="HVP65" s="470"/>
      <c r="HVQ65" s="470"/>
      <c r="HVR65" s="470"/>
      <c r="HVS65" s="470"/>
      <c r="HVT65" s="471"/>
      <c r="HVU65" s="469"/>
      <c r="HVV65" s="470"/>
      <c r="HVW65" s="470"/>
      <c r="HVX65" s="470"/>
      <c r="HVY65" s="470"/>
      <c r="HVZ65" s="470"/>
      <c r="HWA65" s="470"/>
      <c r="HWB65" s="470"/>
      <c r="HWC65" s="470"/>
      <c r="HWD65" s="470"/>
      <c r="HWE65" s="470"/>
      <c r="HWF65" s="470"/>
      <c r="HWG65" s="470"/>
      <c r="HWH65" s="470"/>
      <c r="HWI65" s="470"/>
      <c r="HWJ65" s="470"/>
      <c r="HWK65" s="470"/>
      <c r="HWL65" s="470"/>
      <c r="HWM65" s="470"/>
      <c r="HWN65" s="470"/>
      <c r="HWO65" s="470"/>
      <c r="HWP65" s="470"/>
      <c r="HWQ65" s="470"/>
      <c r="HWR65" s="470"/>
      <c r="HWS65" s="470"/>
      <c r="HWT65" s="470"/>
      <c r="HWU65" s="470"/>
      <c r="HWV65" s="470"/>
      <c r="HWW65" s="470"/>
      <c r="HWX65" s="471"/>
      <c r="HWY65" s="469"/>
      <c r="HWZ65" s="470"/>
      <c r="HXA65" s="470"/>
      <c r="HXB65" s="470"/>
      <c r="HXC65" s="470"/>
      <c r="HXD65" s="470"/>
      <c r="HXE65" s="470"/>
      <c r="HXF65" s="470"/>
      <c r="HXG65" s="470"/>
      <c r="HXH65" s="470"/>
      <c r="HXI65" s="470"/>
      <c r="HXJ65" s="470"/>
      <c r="HXK65" s="470"/>
      <c r="HXL65" s="470"/>
      <c r="HXM65" s="470"/>
      <c r="HXN65" s="470"/>
      <c r="HXO65" s="470"/>
      <c r="HXP65" s="470"/>
      <c r="HXQ65" s="470"/>
      <c r="HXR65" s="470"/>
      <c r="HXS65" s="470"/>
      <c r="HXT65" s="470"/>
      <c r="HXU65" s="470"/>
      <c r="HXV65" s="470"/>
      <c r="HXW65" s="470"/>
      <c r="HXX65" s="470"/>
      <c r="HXY65" s="470"/>
      <c r="HXZ65" s="470"/>
      <c r="HYA65" s="470"/>
      <c r="HYB65" s="471"/>
      <c r="HYC65" s="469"/>
      <c r="HYD65" s="470"/>
      <c r="HYE65" s="470"/>
      <c r="HYF65" s="470"/>
      <c r="HYG65" s="470"/>
      <c r="HYH65" s="470"/>
      <c r="HYI65" s="470"/>
      <c r="HYJ65" s="470"/>
      <c r="HYK65" s="470"/>
      <c r="HYL65" s="470"/>
      <c r="HYM65" s="470"/>
      <c r="HYN65" s="470"/>
      <c r="HYO65" s="470"/>
      <c r="HYP65" s="470"/>
      <c r="HYQ65" s="470"/>
      <c r="HYR65" s="470"/>
      <c r="HYS65" s="470"/>
      <c r="HYT65" s="470"/>
      <c r="HYU65" s="470"/>
      <c r="HYV65" s="470"/>
      <c r="HYW65" s="470"/>
      <c r="HYX65" s="470"/>
      <c r="HYY65" s="470"/>
      <c r="HYZ65" s="470"/>
      <c r="HZA65" s="470"/>
      <c r="HZB65" s="470"/>
      <c r="HZC65" s="470"/>
      <c r="HZD65" s="470"/>
      <c r="HZE65" s="470"/>
      <c r="HZF65" s="471"/>
      <c r="HZG65" s="469"/>
      <c r="HZH65" s="470"/>
      <c r="HZI65" s="470"/>
      <c r="HZJ65" s="470"/>
      <c r="HZK65" s="470"/>
      <c r="HZL65" s="470"/>
      <c r="HZM65" s="470"/>
      <c r="HZN65" s="470"/>
      <c r="HZO65" s="470"/>
      <c r="HZP65" s="470"/>
      <c r="HZQ65" s="470"/>
      <c r="HZR65" s="470"/>
      <c r="HZS65" s="470"/>
      <c r="HZT65" s="470"/>
      <c r="HZU65" s="470"/>
      <c r="HZV65" s="470"/>
      <c r="HZW65" s="470"/>
      <c r="HZX65" s="470"/>
      <c r="HZY65" s="470"/>
      <c r="HZZ65" s="470"/>
      <c r="IAA65" s="470"/>
      <c r="IAB65" s="470"/>
      <c r="IAC65" s="470"/>
      <c r="IAD65" s="470"/>
      <c r="IAE65" s="470"/>
      <c r="IAF65" s="470"/>
      <c r="IAG65" s="470"/>
      <c r="IAH65" s="470"/>
      <c r="IAI65" s="470"/>
      <c r="IAJ65" s="471"/>
      <c r="IAK65" s="469"/>
      <c r="IAL65" s="470"/>
      <c r="IAM65" s="470"/>
      <c r="IAN65" s="470"/>
      <c r="IAO65" s="470"/>
      <c r="IAP65" s="470"/>
      <c r="IAQ65" s="470"/>
      <c r="IAR65" s="470"/>
      <c r="IAS65" s="470"/>
      <c r="IAT65" s="470"/>
      <c r="IAU65" s="470"/>
      <c r="IAV65" s="470"/>
      <c r="IAW65" s="470"/>
      <c r="IAX65" s="470"/>
      <c r="IAY65" s="470"/>
      <c r="IAZ65" s="470"/>
      <c r="IBA65" s="470"/>
      <c r="IBB65" s="470"/>
      <c r="IBC65" s="470"/>
      <c r="IBD65" s="470"/>
      <c r="IBE65" s="470"/>
      <c r="IBF65" s="470"/>
      <c r="IBG65" s="470"/>
      <c r="IBH65" s="470"/>
      <c r="IBI65" s="470"/>
      <c r="IBJ65" s="470"/>
      <c r="IBK65" s="470"/>
      <c r="IBL65" s="470"/>
      <c r="IBM65" s="470"/>
      <c r="IBN65" s="471"/>
      <c r="IBO65" s="469"/>
      <c r="IBP65" s="470"/>
      <c r="IBQ65" s="470"/>
      <c r="IBR65" s="470"/>
      <c r="IBS65" s="470"/>
      <c r="IBT65" s="470"/>
      <c r="IBU65" s="470"/>
      <c r="IBV65" s="470"/>
      <c r="IBW65" s="470"/>
      <c r="IBX65" s="470"/>
      <c r="IBY65" s="470"/>
      <c r="IBZ65" s="470"/>
      <c r="ICA65" s="470"/>
      <c r="ICB65" s="470"/>
      <c r="ICC65" s="470"/>
      <c r="ICD65" s="470"/>
      <c r="ICE65" s="470"/>
      <c r="ICF65" s="470"/>
      <c r="ICG65" s="470"/>
      <c r="ICH65" s="470"/>
      <c r="ICI65" s="470"/>
      <c r="ICJ65" s="470"/>
      <c r="ICK65" s="470"/>
      <c r="ICL65" s="470"/>
      <c r="ICM65" s="470"/>
      <c r="ICN65" s="470"/>
      <c r="ICO65" s="470"/>
      <c r="ICP65" s="470"/>
      <c r="ICQ65" s="470"/>
      <c r="ICR65" s="471"/>
      <c r="ICS65" s="469"/>
      <c r="ICT65" s="470"/>
      <c r="ICU65" s="470"/>
      <c r="ICV65" s="470"/>
      <c r="ICW65" s="470"/>
      <c r="ICX65" s="470"/>
      <c r="ICY65" s="470"/>
      <c r="ICZ65" s="470"/>
      <c r="IDA65" s="470"/>
      <c r="IDB65" s="470"/>
      <c r="IDC65" s="470"/>
      <c r="IDD65" s="470"/>
      <c r="IDE65" s="470"/>
      <c r="IDF65" s="470"/>
      <c r="IDG65" s="470"/>
      <c r="IDH65" s="470"/>
      <c r="IDI65" s="470"/>
      <c r="IDJ65" s="470"/>
      <c r="IDK65" s="470"/>
      <c r="IDL65" s="470"/>
      <c r="IDM65" s="470"/>
      <c r="IDN65" s="470"/>
      <c r="IDO65" s="470"/>
      <c r="IDP65" s="470"/>
      <c r="IDQ65" s="470"/>
      <c r="IDR65" s="470"/>
      <c r="IDS65" s="470"/>
      <c r="IDT65" s="470"/>
      <c r="IDU65" s="470"/>
      <c r="IDV65" s="471"/>
      <c r="IDW65" s="469"/>
      <c r="IDX65" s="470"/>
      <c r="IDY65" s="470"/>
      <c r="IDZ65" s="470"/>
      <c r="IEA65" s="470"/>
      <c r="IEB65" s="470"/>
      <c r="IEC65" s="470"/>
      <c r="IED65" s="470"/>
      <c r="IEE65" s="470"/>
      <c r="IEF65" s="470"/>
      <c r="IEG65" s="470"/>
      <c r="IEH65" s="470"/>
      <c r="IEI65" s="470"/>
      <c r="IEJ65" s="470"/>
      <c r="IEK65" s="470"/>
      <c r="IEL65" s="470"/>
      <c r="IEM65" s="470"/>
      <c r="IEN65" s="470"/>
      <c r="IEO65" s="470"/>
      <c r="IEP65" s="470"/>
      <c r="IEQ65" s="470"/>
      <c r="IER65" s="470"/>
      <c r="IES65" s="470"/>
      <c r="IET65" s="470"/>
      <c r="IEU65" s="470"/>
      <c r="IEV65" s="470"/>
      <c r="IEW65" s="470"/>
      <c r="IEX65" s="470"/>
      <c r="IEY65" s="470"/>
      <c r="IEZ65" s="471"/>
      <c r="IFA65" s="469"/>
      <c r="IFB65" s="470"/>
      <c r="IFC65" s="470"/>
      <c r="IFD65" s="470"/>
      <c r="IFE65" s="470"/>
      <c r="IFF65" s="470"/>
      <c r="IFG65" s="470"/>
      <c r="IFH65" s="470"/>
      <c r="IFI65" s="470"/>
      <c r="IFJ65" s="470"/>
      <c r="IFK65" s="470"/>
      <c r="IFL65" s="470"/>
      <c r="IFM65" s="470"/>
      <c r="IFN65" s="470"/>
      <c r="IFO65" s="470"/>
      <c r="IFP65" s="470"/>
      <c r="IFQ65" s="470"/>
      <c r="IFR65" s="470"/>
      <c r="IFS65" s="470"/>
      <c r="IFT65" s="470"/>
      <c r="IFU65" s="470"/>
      <c r="IFV65" s="470"/>
      <c r="IFW65" s="470"/>
      <c r="IFX65" s="470"/>
      <c r="IFY65" s="470"/>
      <c r="IFZ65" s="470"/>
      <c r="IGA65" s="470"/>
      <c r="IGB65" s="470"/>
      <c r="IGC65" s="470"/>
      <c r="IGD65" s="471"/>
      <c r="IGE65" s="469"/>
      <c r="IGF65" s="470"/>
      <c r="IGG65" s="470"/>
      <c r="IGH65" s="470"/>
      <c r="IGI65" s="470"/>
      <c r="IGJ65" s="470"/>
      <c r="IGK65" s="470"/>
      <c r="IGL65" s="470"/>
      <c r="IGM65" s="470"/>
      <c r="IGN65" s="470"/>
      <c r="IGO65" s="470"/>
      <c r="IGP65" s="470"/>
      <c r="IGQ65" s="470"/>
      <c r="IGR65" s="470"/>
      <c r="IGS65" s="470"/>
      <c r="IGT65" s="470"/>
      <c r="IGU65" s="470"/>
      <c r="IGV65" s="470"/>
      <c r="IGW65" s="470"/>
      <c r="IGX65" s="470"/>
      <c r="IGY65" s="470"/>
      <c r="IGZ65" s="470"/>
      <c r="IHA65" s="470"/>
      <c r="IHB65" s="470"/>
      <c r="IHC65" s="470"/>
      <c r="IHD65" s="470"/>
      <c r="IHE65" s="470"/>
      <c r="IHF65" s="470"/>
      <c r="IHG65" s="470"/>
      <c r="IHH65" s="471"/>
      <c r="IHI65" s="469"/>
      <c r="IHJ65" s="470"/>
      <c r="IHK65" s="470"/>
      <c r="IHL65" s="470"/>
      <c r="IHM65" s="470"/>
      <c r="IHN65" s="470"/>
      <c r="IHO65" s="470"/>
      <c r="IHP65" s="470"/>
      <c r="IHQ65" s="470"/>
      <c r="IHR65" s="470"/>
      <c r="IHS65" s="470"/>
      <c r="IHT65" s="470"/>
      <c r="IHU65" s="470"/>
      <c r="IHV65" s="470"/>
      <c r="IHW65" s="470"/>
      <c r="IHX65" s="470"/>
      <c r="IHY65" s="470"/>
      <c r="IHZ65" s="470"/>
      <c r="IIA65" s="470"/>
      <c r="IIB65" s="470"/>
      <c r="IIC65" s="470"/>
      <c r="IID65" s="470"/>
      <c r="IIE65" s="470"/>
      <c r="IIF65" s="470"/>
      <c r="IIG65" s="470"/>
      <c r="IIH65" s="470"/>
      <c r="III65" s="470"/>
      <c r="IIJ65" s="470"/>
      <c r="IIK65" s="470"/>
      <c r="IIL65" s="471"/>
      <c r="IIM65" s="469"/>
      <c r="IIN65" s="470"/>
      <c r="IIO65" s="470"/>
      <c r="IIP65" s="470"/>
      <c r="IIQ65" s="470"/>
      <c r="IIR65" s="470"/>
      <c r="IIS65" s="470"/>
      <c r="IIT65" s="470"/>
      <c r="IIU65" s="470"/>
      <c r="IIV65" s="470"/>
      <c r="IIW65" s="470"/>
      <c r="IIX65" s="470"/>
      <c r="IIY65" s="470"/>
      <c r="IIZ65" s="470"/>
      <c r="IJA65" s="470"/>
      <c r="IJB65" s="470"/>
      <c r="IJC65" s="470"/>
      <c r="IJD65" s="470"/>
      <c r="IJE65" s="470"/>
      <c r="IJF65" s="470"/>
      <c r="IJG65" s="470"/>
      <c r="IJH65" s="470"/>
      <c r="IJI65" s="470"/>
      <c r="IJJ65" s="470"/>
      <c r="IJK65" s="470"/>
      <c r="IJL65" s="470"/>
      <c r="IJM65" s="470"/>
      <c r="IJN65" s="470"/>
      <c r="IJO65" s="470"/>
      <c r="IJP65" s="471"/>
      <c r="IJQ65" s="469"/>
      <c r="IJR65" s="470"/>
      <c r="IJS65" s="470"/>
      <c r="IJT65" s="470"/>
      <c r="IJU65" s="470"/>
      <c r="IJV65" s="470"/>
      <c r="IJW65" s="470"/>
      <c r="IJX65" s="470"/>
      <c r="IJY65" s="470"/>
      <c r="IJZ65" s="470"/>
      <c r="IKA65" s="470"/>
      <c r="IKB65" s="470"/>
      <c r="IKC65" s="470"/>
      <c r="IKD65" s="470"/>
      <c r="IKE65" s="470"/>
      <c r="IKF65" s="470"/>
      <c r="IKG65" s="470"/>
      <c r="IKH65" s="470"/>
      <c r="IKI65" s="470"/>
      <c r="IKJ65" s="470"/>
      <c r="IKK65" s="470"/>
      <c r="IKL65" s="470"/>
      <c r="IKM65" s="470"/>
      <c r="IKN65" s="470"/>
      <c r="IKO65" s="470"/>
      <c r="IKP65" s="470"/>
      <c r="IKQ65" s="470"/>
      <c r="IKR65" s="470"/>
      <c r="IKS65" s="470"/>
      <c r="IKT65" s="471"/>
      <c r="IKU65" s="469"/>
      <c r="IKV65" s="470"/>
      <c r="IKW65" s="470"/>
      <c r="IKX65" s="470"/>
      <c r="IKY65" s="470"/>
      <c r="IKZ65" s="470"/>
      <c r="ILA65" s="470"/>
      <c r="ILB65" s="470"/>
      <c r="ILC65" s="470"/>
      <c r="ILD65" s="470"/>
      <c r="ILE65" s="470"/>
      <c r="ILF65" s="470"/>
      <c r="ILG65" s="470"/>
      <c r="ILH65" s="470"/>
      <c r="ILI65" s="470"/>
      <c r="ILJ65" s="470"/>
      <c r="ILK65" s="470"/>
      <c r="ILL65" s="470"/>
      <c r="ILM65" s="470"/>
      <c r="ILN65" s="470"/>
      <c r="ILO65" s="470"/>
      <c r="ILP65" s="470"/>
      <c r="ILQ65" s="470"/>
      <c r="ILR65" s="470"/>
      <c r="ILS65" s="470"/>
      <c r="ILT65" s="470"/>
      <c r="ILU65" s="470"/>
      <c r="ILV65" s="470"/>
      <c r="ILW65" s="470"/>
      <c r="ILX65" s="471"/>
      <c r="ILY65" s="469"/>
      <c r="ILZ65" s="470"/>
      <c r="IMA65" s="470"/>
      <c r="IMB65" s="470"/>
      <c r="IMC65" s="470"/>
      <c r="IMD65" s="470"/>
      <c r="IME65" s="470"/>
      <c r="IMF65" s="470"/>
      <c r="IMG65" s="470"/>
      <c r="IMH65" s="470"/>
      <c r="IMI65" s="470"/>
      <c r="IMJ65" s="470"/>
      <c r="IMK65" s="470"/>
      <c r="IML65" s="470"/>
      <c r="IMM65" s="470"/>
      <c r="IMN65" s="470"/>
      <c r="IMO65" s="470"/>
      <c r="IMP65" s="470"/>
      <c r="IMQ65" s="470"/>
      <c r="IMR65" s="470"/>
      <c r="IMS65" s="470"/>
      <c r="IMT65" s="470"/>
      <c r="IMU65" s="470"/>
      <c r="IMV65" s="470"/>
      <c r="IMW65" s="470"/>
      <c r="IMX65" s="470"/>
      <c r="IMY65" s="470"/>
      <c r="IMZ65" s="470"/>
      <c r="INA65" s="470"/>
      <c r="INB65" s="471"/>
      <c r="INC65" s="469"/>
      <c r="IND65" s="470"/>
      <c r="INE65" s="470"/>
      <c r="INF65" s="470"/>
      <c r="ING65" s="470"/>
      <c r="INH65" s="470"/>
      <c r="INI65" s="470"/>
      <c r="INJ65" s="470"/>
      <c r="INK65" s="470"/>
      <c r="INL65" s="470"/>
      <c r="INM65" s="470"/>
      <c r="INN65" s="470"/>
      <c r="INO65" s="470"/>
      <c r="INP65" s="470"/>
      <c r="INQ65" s="470"/>
      <c r="INR65" s="470"/>
      <c r="INS65" s="470"/>
      <c r="INT65" s="470"/>
      <c r="INU65" s="470"/>
      <c r="INV65" s="470"/>
      <c r="INW65" s="470"/>
      <c r="INX65" s="470"/>
      <c r="INY65" s="470"/>
      <c r="INZ65" s="470"/>
      <c r="IOA65" s="470"/>
      <c r="IOB65" s="470"/>
      <c r="IOC65" s="470"/>
      <c r="IOD65" s="470"/>
      <c r="IOE65" s="470"/>
      <c r="IOF65" s="471"/>
      <c r="IOG65" s="469"/>
      <c r="IOH65" s="470"/>
      <c r="IOI65" s="470"/>
      <c r="IOJ65" s="470"/>
      <c r="IOK65" s="470"/>
      <c r="IOL65" s="470"/>
      <c r="IOM65" s="470"/>
      <c r="ION65" s="470"/>
      <c r="IOO65" s="470"/>
      <c r="IOP65" s="470"/>
      <c r="IOQ65" s="470"/>
      <c r="IOR65" s="470"/>
      <c r="IOS65" s="470"/>
      <c r="IOT65" s="470"/>
      <c r="IOU65" s="470"/>
      <c r="IOV65" s="470"/>
      <c r="IOW65" s="470"/>
      <c r="IOX65" s="470"/>
      <c r="IOY65" s="470"/>
      <c r="IOZ65" s="470"/>
      <c r="IPA65" s="470"/>
      <c r="IPB65" s="470"/>
      <c r="IPC65" s="470"/>
      <c r="IPD65" s="470"/>
      <c r="IPE65" s="470"/>
      <c r="IPF65" s="470"/>
      <c r="IPG65" s="470"/>
      <c r="IPH65" s="470"/>
      <c r="IPI65" s="470"/>
      <c r="IPJ65" s="471"/>
      <c r="IPK65" s="469"/>
      <c r="IPL65" s="470"/>
      <c r="IPM65" s="470"/>
      <c r="IPN65" s="470"/>
      <c r="IPO65" s="470"/>
      <c r="IPP65" s="470"/>
      <c r="IPQ65" s="470"/>
      <c r="IPR65" s="470"/>
      <c r="IPS65" s="470"/>
      <c r="IPT65" s="470"/>
      <c r="IPU65" s="470"/>
      <c r="IPV65" s="470"/>
      <c r="IPW65" s="470"/>
      <c r="IPX65" s="470"/>
      <c r="IPY65" s="470"/>
      <c r="IPZ65" s="470"/>
      <c r="IQA65" s="470"/>
      <c r="IQB65" s="470"/>
      <c r="IQC65" s="470"/>
      <c r="IQD65" s="470"/>
      <c r="IQE65" s="470"/>
      <c r="IQF65" s="470"/>
      <c r="IQG65" s="470"/>
      <c r="IQH65" s="470"/>
      <c r="IQI65" s="470"/>
      <c r="IQJ65" s="470"/>
      <c r="IQK65" s="470"/>
      <c r="IQL65" s="470"/>
      <c r="IQM65" s="470"/>
      <c r="IQN65" s="471"/>
      <c r="IQO65" s="469"/>
      <c r="IQP65" s="470"/>
      <c r="IQQ65" s="470"/>
      <c r="IQR65" s="470"/>
      <c r="IQS65" s="470"/>
      <c r="IQT65" s="470"/>
      <c r="IQU65" s="470"/>
      <c r="IQV65" s="470"/>
      <c r="IQW65" s="470"/>
      <c r="IQX65" s="470"/>
      <c r="IQY65" s="470"/>
      <c r="IQZ65" s="470"/>
      <c r="IRA65" s="470"/>
      <c r="IRB65" s="470"/>
      <c r="IRC65" s="470"/>
      <c r="IRD65" s="470"/>
      <c r="IRE65" s="470"/>
      <c r="IRF65" s="470"/>
      <c r="IRG65" s="470"/>
      <c r="IRH65" s="470"/>
      <c r="IRI65" s="470"/>
      <c r="IRJ65" s="470"/>
      <c r="IRK65" s="470"/>
      <c r="IRL65" s="470"/>
      <c r="IRM65" s="470"/>
      <c r="IRN65" s="470"/>
      <c r="IRO65" s="470"/>
      <c r="IRP65" s="470"/>
      <c r="IRQ65" s="470"/>
      <c r="IRR65" s="471"/>
      <c r="IRS65" s="469"/>
      <c r="IRT65" s="470"/>
      <c r="IRU65" s="470"/>
      <c r="IRV65" s="470"/>
      <c r="IRW65" s="470"/>
      <c r="IRX65" s="470"/>
      <c r="IRY65" s="470"/>
      <c r="IRZ65" s="470"/>
      <c r="ISA65" s="470"/>
      <c r="ISB65" s="470"/>
      <c r="ISC65" s="470"/>
      <c r="ISD65" s="470"/>
      <c r="ISE65" s="470"/>
      <c r="ISF65" s="470"/>
      <c r="ISG65" s="470"/>
      <c r="ISH65" s="470"/>
      <c r="ISI65" s="470"/>
      <c r="ISJ65" s="470"/>
      <c r="ISK65" s="470"/>
      <c r="ISL65" s="470"/>
      <c r="ISM65" s="470"/>
      <c r="ISN65" s="470"/>
      <c r="ISO65" s="470"/>
      <c r="ISP65" s="470"/>
      <c r="ISQ65" s="470"/>
      <c r="ISR65" s="470"/>
      <c r="ISS65" s="470"/>
      <c r="IST65" s="470"/>
      <c r="ISU65" s="470"/>
      <c r="ISV65" s="471"/>
      <c r="ISW65" s="469"/>
      <c r="ISX65" s="470"/>
      <c r="ISY65" s="470"/>
      <c r="ISZ65" s="470"/>
      <c r="ITA65" s="470"/>
      <c r="ITB65" s="470"/>
      <c r="ITC65" s="470"/>
      <c r="ITD65" s="470"/>
      <c r="ITE65" s="470"/>
      <c r="ITF65" s="470"/>
      <c r="ITG65" s="470"/>
      <c r="ITH65" s="470"/>
      <c r="ITI65" s="470"/>
      <c r="ITJ65" s="470"/>
      <c r="ITK65" s="470"/>
      <c r="ITL65" s="470"/>
      <c r="ITM65" s="470"/>
      <c r="ITN65" s="470"/>
      <c r="ITO65" s="470"/>
      <c r="ITP65" s="470"/>
      <c r="ITQ65" s="470"/>
      <c r="ITR65" s="470"/>
      <c r="ITS65" s="470"/>
      <c r="ITT65" s="470"/>
      <c r="ITU65" s="470"/>
      <c r="ITV65" s="470"/>
      <c r="ITW65" s="470"/>
      <c r="ITX65" s="470"/>
      <c r="ITY65" s="470"/>
      <c r="ITZ65" s="471"/>
      <c r="IUA65" s="469"/>
      <c r="IUB65" s="470"/>
      <c r="IUC65" s="470"/>
      <c r="IUD65" s="470"/>
      <c r="IUE65" s="470"/>
      <c r="IUF65" s="470"/>
      <c r="IUG65" s="470"/>
      <c r="IUH65" s="470"/>
      <c r="IUI65" s="470"/>
      <c r="IUJ65" s="470"/>
      <c r="IUK65" s="470"/>
      <c r="IUL65" s="470"/>
      <c r="IUM65" s="470"/>
      <c r="IUN65" s="470"/>
      <c r="IUO65" s="470"/>
      <c r="IUP65" s="470"/>
      <c r="IUQ65" s="470"/>
      <c r="IUR65" s="470"/>
      <c r="IUS65" s="470"/>
      <c r="IUT65" s="470"/>
      <c r="IUU65" s="470"/>
      <c r="IUV65" s="470"/>
      <c r="IUW65" s="470"/>
      <c r="IUX65" s="470"/>
      <c r="IUY65" s="470"/>
      <c r="IUZ65" s="470"/>
      <c r="IVA65" s="470"/>
      <c r="IVB65" s="470"/>
      <c r="IVC65" s="470"/>
      <c r="IVD65" s="471"/>
      <c r="IVE65" s="469"/>
      <c r="IVF65" s="470"/>
      <c r="IVG65" s="470"/>
      <c r="IVH65" s="470"/>
      <c r="IVI65" s="470"/>
      <c r="IVJ65" s="470"/>
      <c r="IVK65" s="470"/>
      <c r="IVL65" s="470"/>
      <c r="IVM65" s="470"/>
      <c r="IVN65" s="470"/>
      <c r="IVO65" s="470"/>
      <c r="IVP65" s="470"/>
      <c r="IVQ65" s="470"/>
      <c r="IVR65" s="470"/>
      <c r="IVS65" s="470"/>
      <c r="IVT65" s="470"/>
      <c r="IVU65" s="470"/>
      <c r="IVV65" s="470"/>
      <c r="IVW65" s="470"/>
      <c r="IVX65" s="470"/>
      <c r="IVY65" s="470"/>
      <c r="IVZ65" s="470"/>
      <c r="IWA65" s="470"/>
      <c r="IWB65" s="470"/>
      <c r="IWC65" s="470"/>
      <c r="IWD65" s="470"/>
      <c r="IWE65" s="470"/>
      <c r="IWF65" s="470"/>
      <c r="IWG65" s="470"/>
      <c r="IWH65" s="471"/>
      <c r="IWI65" s="469"/>
      <c r="IWJ65" s="470"/>
      <c r="IWK65" s="470"/>
      <c r="IWL65" s="470"/>
      <c r="IWM65" s="470"/>
      <c r="IWN65" s="470"/>
      <c r="IWO65" s="470"/>
      <c r="IWP65" s="470"/>
      <c r="IWQ65" s="470"/>
      <c r="IWR65" s="470"/>
      <c r="IWS65" s="470"/>
      <c r="IWT65" s="470"/>
      <c r="IWU65" s="470"/>
      <c r="IWV65" s="470"/>
      <c r="IWW65" s="470"/>
      <c r="IWX65" s="470"/>
      <c r="IWY65" s="470"/>
      <c r="IWZ65" s="470"/>
      <c r="IXA65" s="470"/>
      <c r="IXB65" s="470"/>
      <c r="IXC65" s="470"/>
      <c r="IXD65" s="470"/>
      <c r="IXE65" s="470"/>
      <c r="IXF65" s="470"/>
      <c r="IXG65" s="470"/>
      <c r="IXH65" s="470"/>
      <c r="IXI65" s="470"/>
      <c r="IXJ65" s="470"/>
      <c r="IXK65" s="470"/>
      <c r="IXL65" s="471"/>
      <c r="IXM65" s="469"/>
      <c r="IXN65" s="470"/>
      <c r="IXO65" s="470"/>
      <c r="IXP65" s="470"/>
      <c r="IXQ65" s="470"/>
      <c r="IXR65" s="470"/>
      <c r="IXS65" s="470"/>
      <c r="IXT65" s="470"/>
      <c r="IXU65" s="470"/>
      <c r="IXV65" s="470"/>
      <c r="IXW65" s="470"/>
      <c r="IXX65" s="470"/>
      <c r="IXY65" s="470"/>
      <c r="IXZ65" s="470"/>
      <c r="IYA65" s="470"/>
      <c r="IYB65" s="470"/>
      <c r="IYC65" s="470"/>
      <c r="IYD65" s="470"/>
      <c r="IYE65" s="470"/>
      <c r="IYF65" s="470"/>
      <c r="IYG65" s="470"/>
      <c r="IYH65" s="470"/>
      <c r="IYI65" s="470"/>
      <c r="IYJ65" s="470"/>
      <c r="IYK65" s="470"/>
      <c r="IYL65" s="470"/>
      <c r="IYM65" s="470"/>
      <c r="IYN65" s="470"/>
      <c r="IYO65" s="470"/>
      <c r="IYP65" s="471"/>
      <c r="IYQ65" s="469"/>
      <c r="IYR65" s="470"/>
      <c r="IYS65" s="470"/>
      <c r="IYT65" s="470"/>
      <c r="IYU65" s="470"/>
      <c r="IYV65" s="470"/>
      <c r="IYW65" s="470"/>
      <c r="IYX65" s="470"/>
      <c r="IYY65" s="470"/>
      <c r="IYZ65" s="470"/>
      <c r="IZA65" s="470"/>
      <c r="IZB65" s="470"/>
      <c r="IZC65" s="470"/>
      <c r="IZD65" s="470"/>
      <c r="IZE65" s="470"/>
      <c r="IZF65" s="470"/>
      <c r="IZG65" s="470"/>
      <c r="IZH65" s="470"/>
      <c r="IZI65" s="470"/>
      <c r="IZJ65" s="470"/>
      <c r="IZK65" s="470"/>
      <c r="IZL65" s="470"/>
      <c r="IZM65" s="470"/>
      <c r="IZN65" s="470"/>
      <c r="IZO65" s="470"/>
      <c r="IZP65" s="470"/>
      <c r="IZQ65" s="470"/>
      <c r="IZR65" s="470"/>
      <c r="IZS65" s="470"/>
      <c r="IZT65" s="471"/>
      <c r="IZU65" s="469"/>
      <c r="IZV65" s="470"/>
      <c r="IZW65" s="470"/>
      <c r="IZX65" s="470"/>
      <c r="IZY65" s="470"/>
      <c r="IZZ65" s="470"/>
      <c r="JAA65" s="470"/>
      <c r="JAB65" s="470"/>
      <c r="JAC65" s="470"/>
      <c r="JAD65" s="470"/>
      <c r="JAE65" s="470"/>
      <c r="JAF65" s="470"/>
      <c r="JAG65" s="470"/>
      <c r="JAH65" s="470"/>
      <c r="JAI65" s="470"/>
      <c r="JAJ65" s="470"/>
      <c r="JAK65" s="470"/>
      <c r="JAL65" s="470"/>
      <c r="JAM65" s="470"/>
      <c r="JAN65" s="470"/>
      <c r="JAO65" s="470"/>
      <c r="JAP65" s="470"/>
      <c r="JAQ65" s="470"/>
      <c r="JAR65" s="470"/>
      <c r="JAS65" s="470"/>
      <c r="JAT65" s="470"/>
      <c r="JAU65" s="470"/>
      <c r="JAV65" s="470"/>
      <c r="JAW65" s="470"/>
      <c r="JAX65" s="471"/>
      <c r="JAY65" s="469"/>
      <c r="JAZ65" s="470"/>
      <c r="JBA65" s="470"/>
      <c r="JBB65" s="470"/>
      <c r="JBC65" s="470"/>
      <c r="JBD65" s="470"/>
      <c r="JBE65" s="470"/>
      <c r="JBF65" s="470"/>
      <c r="JBG65" s="470"/>
      <c r="JBH65" s="470"/>
      <c r="JBI65" s="470"/>
      <c r="JBJ65" s="470"/>
      <c r="JBK65" s="470"/>
      <c r="JBL65" s="470"/>
      <c r="JBM65" s="470"/>
      <c r="JBN65" s="470"/>
      <c r="JBO65" s="470"/>
      <c r="JBP65" s="470"/>
      <c r="JBQ65" s="470"/>
      <c r="JBR65" s="470"/>
      <c r="JBS65" s="470"/>
      <c r="JBT65" s="470"/>
      <c r="JBU65" s="470"/>
      <c r="JBV65" s="470"/>
      <c r="JBW65" s="470"/>
      <c r="JBX65" s="470"/>
      <c r="JBY65" s="470"/>
      <c r="JBZ65" s="470"/>
      <c r="JCA65" s="470"/>
      <c r="JCB65" s="471"/>
      <c r="JCC65" s="469"/>
      <c r="JCD65" s="470"/>
      <c r="JCE65" s="470"/>
      <c r="JCF65" s="470"/>
      <c r="JCG65" s="470"/>
      <c r="JCH65" s="470"/>
      <c r="JCI65" s="470"/>
      <c r="JCJ65" s="470"/>
      <c r="JCK65" s="470"/>
      <c r="JCL65" s="470"/>
      <c r="JCM65" s="470"/>
      <c r="JCN65" s="470"/>
      <c r="JCO65" s="470"/>
      <c r="JCP65" s="470"/>
      <c r="JCQ65" s="470"/>
      <c r="JCR65" s="470"/>
      <c r="JCS65" s="470"/>
      <c r="JCT65" s="470"/>
      <c r="JCU65" s="470"/>
      <c r="JCV65" s="470"/>
      <c r="JCW65" s="470"/>
      <c r="JCX65" s="470"/>
      <c r="JCY65" s="470"/>
      <c r="JCZ65" s="470"/>
      <c r="JDA65" s="470"/>
      <c r="JDB65" s="470"/>
      <c r="JDC65" s="470"/>
      <c r="JDD65" s="470"/>
      <c r="JDE65" s="470"/>
      <c r="JDF65" s="471"/>
      <c r="JDG65" s="469"/>
      <c r="JDH65" s="470"/>
      <c r="JDI65" s="470"/>
      <c r="JDJ65" s="470"/>
      <c r="JDK65" s="470"/>
      <c r="JDL65" s="470"/>
      <c r="JDM65" s="470"/>
      <c r="JDN65" s="470"/>
      <c r="JDO65" s="470"/>
      <c r="JDP65" s="470"/>
      <c r="JDQ65" s="470"/>
      <c r="JDR65" s="470"/>
      <c r="JDS65" s="470"/>
      <c r="JDT65" s="470"/>
      <c r="JDU65" s="470"/>
      <c r="JDV65" s="470"/>
      <c r="JDW65" s="470"/>
      <c r="JDX65" s="470"/>
      <c r="JDY65" s="470"/>
      <c r="JDZ65" s="470"/>
      <c r="JEA65" s="470"/>
      <c r="JEB65" s="470"/>
      <c r="JEC65" s="470"/>
      <c r="JED65" s="470"/>
      <c r="JEE65" s="470"/>
      <c r="JEF65" s="470"/>
      <c r="JEG65" s="470"/>
      <c r="JEH65" s="470"/>
      <c r="JEI65" s="470"/>
      <c r="JEJ65" s="471"/>
      <c r="JEK65" s="469"/>
      <c r="JEL65" s="470"/>
      <c r="JEM65" s="470"/>
      <c r="JEN65" s="470"/>
      <c r="JEO65" s="470"/>
      <c r="JEP65" s="470"/>
      <c r="JEQ65" s="470"/>
      <c r="JER65" s="470"/>
      <c r="JES65" s="470"/>
      <c r="JET65" s="470"/>
      <c r="JEU65" s="470"/>
      <c r="JEV65" s="470"/>
      <c r="JEW65" s="470"/>
      <c r="JEX65" s="470"/>
      <c r="JEY65" s="470"/>
      <c r="JEZ65" s="470"/>
      <c r="JFA65" s="470"/>
      <c r="JFB65" s="470"/>
      <c r="JFC65" s="470"/>
      <c r="JFD65" s="470"/>
      <c r="JFE65" s="470"/>
      <c r="JFF65" s="470"/>
      <c r="JFG65" s="470"/>
      <c r="JFH65" s="470"/>
      <c r="JFI65" s="470"/>
      <c r="JFJ65" s="470"/>
      <c r="JFK65" s="470"/>
      <c r="JFL65" s="470"/>
      <c r="JFM65" s="470"/>
      <c r="JFN65" s="471"/>
      <c r="JFO65" s="469"/>
      <c r="JFP65" s="470"/>
      <c r="JFQ65" s="470"/>
      <c r="JFR65" s="470"/>
      <c r="JFS65" s="470"/>
      <c r="JFT65" s="470"/>
      <c r="JFU65" s="470"/>
      <c r="JFV65" s="470"/>
      <c r="JFW65" s="470"/>
      <c r="JFX65" s="470"/>
      <c r="JFY65" s="470"/>
      <c r="JFZ65" s="470"/>
      <c r="JGA65" s="470"/>
      <c r="JGB65" s="470"/>
      <c r="JGC65" s="470"/>
      <c r="JGD65" s="470"/>
      <c r="JGE65" s="470"/>
      <c r="JGF65" s="470"/>
      <c r="JGG65" s="470"/>
      <c r="JGH65" s="470"/>
      <c r="JGI65" s="470"/>
      <c r="JGJ65" s="470"/>
      <c r="JGK65" s="470"/>
      <c r="JGL65" s="470"/>
      <c r="JGM65" s="470"/>
      <c r="JGN65" s="470"/>
      <c r="JGO65" s="470"/>
      <c r="JGP65" s="470"/>
      <c r="JGQ65" s="470"/>
      <c r="JGR65" s="471"/>
      <c r="JGS65" s="469"/>
      <c r="JGT65" s="470"/>
      <c r="JGU65" s="470"/>
      <c r="JGV65" s="470"/>
      <c r="JGW65" s="470"/>
      <c r="JGX65" s="470"/>
      <c r="JGY65" s="470"/>
      <c r="JGZ65" s="470"/>
      <c r="JHA65" s="470"/>
      <c r="JHB65" s="470"/>
      <c r="JHC65" s="470"/>
      <c r="JHD65" s="470"/>
      <c r="JHE65" s="470"/>
      <c r="JHF65" s="470"/>
      <c r="JHG65" s="470"/>
      <c r="JHH65" s="470"/>
      <c r="JHI65" s="470"/>
      <c r="JHJ65" s="470"/>
      <c r="JHK65" s="470"/>
      <c r="JHL65" s="470"/>
      <c r="JHM65" s="470"/>
      <c r="JHN65" s="470"/>
      <c r="JHO65" s="470"/>
      <c r="JHP65" s="470"/>
      <c r="JHQ65" s="470"/>
      <c r="JHR65" s="470"/>
      <c r="JHS65" s="470"/>
      <c r="JHT65" s="470"/>
      <c r="JHU65" s="470"/>
      <c r="JHV65" s="471"/>
      <c r="JHW65" s="469"/>
      <c r="JHX65" s="470"/>
      <c r="JHY65" s="470"/>
      <c r="JHZ65" s="470"/>
      <c r="JIA65" s="470"/>
      <c r="JIB65" s="470"/>
      <c r="JIC65" s="470"/>
      <c r="JID65" s="470"/>
      <c r="JIE65" s="470"/>
      <c r="JIF65" s="470"/>
      <c r="JIG65" s="470"/>
      <c r="JIH65" s="470"/>
      <c r="JII65" s="470"/>
      <c r="JIJ65" s="470"/>
      <c r="JIK65" s="470"/>
      <c r="JIL65" s="470"/>
      <c r="JIM65" s="470"/>
      <c r="JIN65" s="470"/>
      <c r="JIO65" s="470"/>
      <c r="JIP65" s="470"/>
      <c r="JIQ65" s="470"/>
      <c r="JIR65" s="470"/>
      <c r="JIS65" s="470"/>
      <c r="JIT65" s="470"/>
      <c r="JIU65" s="470"/>
      <c r="JIV65" s="470"/>
      <c r="JIW65" s="470"/>
      <c r="JIX65" s="470"/>
      <c r="JIY65" s="470"/>
      <c r="JIZ65" s="471"/>
      <c r="JJA65" s="469"/>
      <c r="JJB65" s="470"/>
      <c r="JJC65" s="470"/>
      <c r="JJD65" s="470"/>
      <c r="JJE65" s="470"/>
      <c r="JJF65" s="470"/>
      <c r="JJG65" s="470"/>
      <c r="JJH65" s="470"/>
      <c r="JJI65" s="470"/>
      <c r="JJJ65" s="470"/>
      <c r="JJK65" s="470"/>
      <c r="JJL65" s="470"/>
      <c r="JJM65" s="470"/>
      <c r="JJN65" s="470"/>
      <c r="JJO65" s="470"/>
      <c r="JJP65" s="470"/>
      <c r="JJQ65" s="470"/>
      <c r="JJR65" s="470"/>
      <c r="JJS65" s="470"/>
      <c r="JJT65" s="470"/>
      <c r="JJU65" s="470"/>
      <c r="JJV65" s="470"/>
      <c r="JJW65" s="470"/>
      <c r="JJX65" s="470"/>
      <c r="JJY65" s="470"/>
      <c r="JJZ65" s="470"/>
      <c r="JKA65" s="470"/>
      <c r="JKB65" s="470"/>
      <c r="JKC65" s="470"/>
      <c r="JKD65" s="471"/>
      <c r="JKE65" s="469"/>
      <c r="JKF65" s="470"/>
      <c r="JKG65" s="470"/>
      <c r="JKH65" s="470"/>
      <c r="JKI65" s="470"/>
      <c r="JKJ65" s="470"/>
      <c r="JKK65" s="470"/>
      <c r="JKL65" s="470"/>
      <c r="JKM65" s="470"/>
      <c r="JKN65" s="470"/>
      <c r="JKO65" s="470"/>
      <c r="JKP65" s="470"/>
      <c r="JKQ65" s="470"/>
      <c r="JKR65" s="470"/>
      <c r="JKS65" s="470"/>
      <c r="JKT65" s="470"/>
      <c r="JKU65" s="470"/>
      <c r="JKV65" s="470"/>
      <c r="JKW65" s="470"/>
      <c r="JKX65" s="470"/>
      <c r="JKY65" s="470"/>
      <c r="JKZ65" s="470"/>
      <c r="JLA65" s="470"/>
      <c r="JLB65" s="470"/>
      <c r="JLC65" s="470"/>
      <c r="JLD65" s="470"/>
      <c r="JLE65" s="470"/>
      <c r="JLF65" s="470"/>
      <c r="JLG65" s="470"/>
      <c r="JLH65" s="471"/>
      <c r="JLI65" s="469"/>
      <c r="JLJ65" s="470"/>
      <c r="JLK65" s="470"/>
      <c r="JLL65" s="470"/>
      <c r="JLM65" s="470"/>
      <c r="JLN65" s="470"/>
      <c r="JLO65" s="470"/>
      <c r="JLP65" s="470"/>
      <c r="JLQ65" s="470"/>
      <c r="JLR65" s="470"/>
      <c r="JLS65" s="470"/>
      <c r="JLT65" s="470"/>
      <c r="JLU65" s="470"/>
      <c r="JLV65" s="470"/>
      <c r="JLW65" s="470"/>
      <c r="JLX65" s="470"/>
      <c r="JLY65" s="470"/>
      <c r="JLZ65" s="470"/>
      <c r="JMA65" s="470"/>
      <c r="JMB65" s="470"/>
      <c r="JMC65" s="470"/>
      <c r="JMD65" s="470"/>
      <c r="JME65" s="470"/>
      <c r="JMF65" s="470"/>
      <c r="JMG65" s="470"/>
      <c r="JMH65" s="470"/>
      <c r="JMI65" s="470"/>
      <c r="JMJ65" s="470"/>
      <c r="JMK65" s="470"/>
      <c r="JML65" s="471"/>
      <c r="JMM65" s="469"/>
      <c r="JMN65" s="470"/>
      <c r="JMO65" s="470"/>
      <c r="JMP65" s="470"/>
      <c r="JMQ65" s="470"/>
      <c r="JMR65" s="470"/>
      <c r="JMS65" s="470"/>
      <c r="JMT65" s="470"/>
      <c r="JMU65" s="470"/>
      <c r="JMV65" s="470"/>
      <c r="JMW65" s="470"/>
      <c r="JMX65" s="470"/>
      <c r="JMY65" s="470"/>
      <c r="JMZ65" s="470"/>
      <c r="JNA65" s="470"/>
      <c r="JNB65" s="470"/>
      <c r="JNC65" s="470"/>
      <c r="JND65" s="470"/>
      <c r="JNE65" s="470"/>
      <c r="JNF65" s="470"/>
      <c r="JNG65" s="470"/>
      <c r="JNH65" s="470"/>
      <c r="JNI65" s="470"/>
      <c r="JNJ65" s="470"/>
      <c r="JNK65" s="470"/>
      <c r="JNL65" s="470"/>
      <c r="JNM65" s="470"/>
      <c r="JNN65" s="470"/>
      <c r="JNO65" s="470"/>
      <c r="JNP65" s="471"/>
      <c r="JNQ65" s="469"/>
      <c r="JNR65" s="470"/>
      <c r="JNS65" s="470"/>
      <c r="JNT65" s="470"/>
      <c r="JNU65" s="470"/>
      <c r="JNV65" s="470"/>
      <c r="JNW65" s="470"/>
      <c r="JNX65" s="470"/>
      <c r="JNY65" s="470"/>
      <c r="JNZ65" s="470"/>
      <c r="JOA65" s="470"/>
      <c r="JOB65" s="470"/>
      <c r="JOC65" s="470"/>
      <c r="JOD65" s="470"/>
      <c r="JOE65" s="470"/>
      <c r="JOF65" s="470"/>
      <c r="JOG65" s="470"/>
      <c r="JOH65" s="470"/>
      <c r="JOI65" s="470"/>
      <c r="JOJ65" s="470"/>
      <c r="JOK65" s="470"/>
      <c r="JOL65" s="470"/>
      <c r="JOM65" s="470"/>
      <c r="JON65" s="470"/>
      <c r="JOO65" s="470"/>
      <c r="JOP65" s="470"/>
      <c r="JOQ65" s="470"/>
      <c r="JOR65" s="470"/>
      <c r="JOS65" s="470"/>
      <c r="JOT65" s="471"/>
      <c r="JOU65" s="469"/>
      <c r="JOV65" s="470"/>
      <c r="JOW65" s="470"/>
      <c r="JOX65" s="470"/>
      <c r="JOY65" s="470"/>
      <c r="JOZ65" s="470"/>
      <c r="JPA65" s="470"/>
      <c r="JPB65" s="470"/>
      <c r="JPC65" s="470"/>
      <c r="JPD65" s="470"/>
      <c r="JPE65" s="470"/>
      <c r="JPF65" s="470"/>
      <c r="JPG65" s="470"/>
      <c r="JPH65" s="470"/>
      <c r="JPI65" s="470"/>
      <c r="JPJ65" s="470"/>
      <c r="JPK65" s="470"/>
      <c r="JPL65" s="470"/>
      <c r="JPM65" s="470"/>
      <c r="JPN65" s="470"/>
      <c r="JPO65" s="470"/>
      <c r="JPP65" s="470"/>
      <c r="JPQ65" s="470"/>
      <c r="JPR65" s="470"/>
      <c r="JPS65" s="470"/>
      <c r="JPT65" s="470"/>
      <c r="JPU65" s="470"/>
      <c r="JPV65" s="470"/>
      <c r="JPW65" s="470"/>
      <c r="JPX65" s="471"/>
      <c r="JPY65" s="469"/>
      <c r="JPZ65" s="470"/>
      <c r="JQA65" s="470"/>
      <c r="JQB65" s="470"/>
      <c r="JQC65" s="470"/>
      <c r="JQD65" s="470"/>
      <c r="JQE65" s="470"/>
      <c r="JQF65" s="470"/>
      <c r="JQG65" s="470"/>
      <c r="JQH65" s="470"/>
      <c r="JQI65" s="470"/>
      <c r="JQJ65" s="470"/>
      <c r="JQK65" s="470"/>
      <c r="JQL65" s="470"/>
      <c r="JQM65" s="470"/>
      <c r="JQN65" s="470"/>
      <c r="JQO65" s="470"/>
      <c r="JQP65" s="470"/>
      <c r="JQQ65" s="470"/>
      <c r="JQR65" s="470"/>
      <c r="JQS65" s="470"/>
      <c r="JQT65" s="470"/>
      <c r="JQU65" s="470"/>
      <c r="JQV65" s="470"/>
      <c r="JQW65" s="470"/>
      <c r="JQX65" s="470"/>
      <c r="JQY65" s="470"/>
      <c r="JQZ65" s="470"/>
      <c r="JRA65" s="470"/>
      <c r="JRB65" s="471"/>
      <c r="JRC65" s="469"/>
      <c r="JRD65" s="470"/>
      <c r="JRE65" s="470"/>
      <c r="JRF65" s="470"/>
      <c r="JRG65" s="470"/>
      <c r="JRH65" s="470"/>
      <c r="JRI65" s="470"/>
      <c r="JRJ65" s="470"/>
      <c r="JRK65" s="470"/>
      <c r="JRL65" s="470"/>
      <c r="JRM65" s="470"/>
      <c r="JRN65" s="470"/>
      <c r="JRO65" s="470"/>
      <c r="JRP65" s="470"/>
      <c r="JRQ65" s="470"/>
      <c r="JRR65" s="470"/>
      <c r="JRS65" s="470"/>
      <c r="JRT65" s="470"/>
      <c r="JRU65" s="470"/>
      <c r="JRV65" s="470"/>
      <c r="JRW65" s="470"/>
      <c r="JRX65" s="470"/>
      <c r="JRY65" s="470"/>
      <c r="JRZ65" s="470"/>
      <c r="JSA65" s="470"/>
      <c r="JSB65" s="470"/>
      <c r="JSC65" s="470"/>
      <c r="JSD65" s="470"/>
      <c r="JSE65" s="470"/>
      <c r="JSF65" s="471"/>
      <c r="JSG65" s="469"/>
      <c r="JSH65" s="470"/>
      <c r="JSI65" s="470"/>
      <c r="JSJ65" s="470"/>
      <c r="JSK65" s="470"/>
      <c r="JSL65" s="470"/>
      <c r="JSM65" s="470"/>
      <c r="JSN65" s="470"/>
      <c r="JSO65" s="470"/>
      <c r="JSP65" s="470"/>
      <c r="JSQ65" s="470"/>
      <c r="JSR65" s="470"/>
      <c r="JSS65" s="470"/>
      <c r="JST65" s="470"/>
      <c r="JSU65" s="470"/>
      <c r="JSV65" s="470"/>
      <c r="JSW65" s="470"/>
      <c r="JSX65" s="470"/>
      <c r="JSY65" s="470"/>
      <c r="JSZ65" s="470"/>
      <c r="JTA65" s="470"/>
      <c r="JTB65" s="470"/>
      <c r="JTC65" s="470"/>
      <c r="JTD65" s="470"/>
      <c r="JTE65" s="470"/>
      <c r="JTF65" s="470"/>
      <c r="JTG65" s="470"/>
      <c r="JTH65" s="470"/>
      <c r="JTI65" s="470"/>
      <c r="JTJ65" s="471"/>
      <c r="JTK65" s="469"/>
      <c r="JTL65" s="470"/>
      <c r="JTM65" s="470"/>
      <c r="JTN65" s="470"/>
      <c r="JTO65" s="470"/>
      <c r="JTP65" s="470"/>
      <c r="JTQ65" s="470"/>
      <c r="JTR65" s="470"/>
      <c r="JTS65" s="470"/>
      <c r="JTT65" s="470"/>
      <c r="JTU65" s="470"/>
      <c r="JTV65" s="470"/>
      <c r="JTW65" s="470"/>
      <c r="JTX65" s="470"/>
      <c r="JTY65" s="470"/>
      <c r="JTZ65" s="470"/>
      <c r="JUA65" s="470"/>
      <c r="JUB65" s="470"/>
      <c r="JUC65" s="470"/>
      <c r="JUD65" s="470"/>
      <c r="JUE65" s="470"/>
      <c r="JUF65" s="470"/>
      <c r="JUG65" s="470"/>
      <c r="JUH65" s="470"/>
      <c r="JUI65" s="470"/>
      <c r="JUJ65" s="470"/>
      <c r="JUK65" s="470"/>
      <c r="JUL65" s="470"/>
      <c r="JUM65" s="470"/>
      <c r="JUN65" s="471"/>
      <c r="JUO65" s="469"/>
      <c r="JUP65" s="470"/>
      <c r="JUQ65" s="470"/>
      <c r="JUR65" s="470"/>
      <c r="JUS65" s="470"/>
      <c r="JUT65" s="470"/>
      <c r="JUU65" s="470"/>
      <c r="JUV65" s="470"/>
      <c r="JUW65" s="470"/>
      <c r="JUX65" s="470"/>
      <c r="JUY65" s="470"/>
      <c r="JUZ65" s="470"/>
      <c r="JVA65" s="470"/>
      <c r="JVB65" s="470"/>
      <c r="JVC65" s="470"/>
      <c r="JVD65" s="470"/>
      <c r="JVE65" s="470"/>
      <c r="JVF65" s="470"/>
      <c r="JVG65" s="470"/>
      <c r="JVH65" s="470"/>
      <c r="JVI65" s="470"/>
      <c r="JVJ65" s="470"/>
      <c r="JVK65" s="470"/>
      <c r="JVL65" s="470"/>
      <c r="JVM65" s="470"/>
      <c r="JVN65" s="470"/>
      <c r="JVO65" s="470"/>
      <c r="JVP65" s="470"/>
      <c r="JVQ65" s="470"/>
      <c r="JVR65" s="471"/>
      <c r="JVS65" s="469"/>
      <c r="JVT65" s="470"/>
      <c r="JVU65" s="470"/>
      <c r="JVV65" s="470"/>
      <c r="JVW65" s="470"/>
      <c r="JVX65" s="470"/>
      <c r="JVY65" s="470"/>
      <c r="JVZ65" s="470"/>
      <c r="JWA65" s="470"/>
      <c r="JWB65" s="470"/>
      <c r="JWC65" s="470"/>
      <c r="JWD65" s="470"/>
      <c r="JWE65" s="470"/>
      <c r="JWF65" s="470"/>
      <c r="JWG65" s="470"/>
      <c r="JWH65" s="470"/>
      <c r="JWI65" s="470"/>
      <c r="JWJ65" s="470"/>
      <c r="JWK65" s="470"/>
      <c r="JWL65" s="470"/>
      <c r="JWM65" s="470"/>
      <c r="JWN65" s="470"/>
      <c r="JWO65" s="470"/>
      <c r="JWP65" s="470"/>
      <c r="JWQ65" s="470"/>
      <c r="JWR65" s="470"/>
      <c r="JWS65" s="470"/>
      <c r="JWT65" s="470"/>
      <c r="JWU65" s="470"/>
      <c r="JWV65" s="471"/>
      <c r="JWW65" s="469"/>
      <c r="JWX65" s="470"/>
      <c r="JWY65" s="470"/>
      <c r="JWZ65" s="470"/>
      <c r="JXA65" s="470"/>
      <c r="JXB65" s="470"/>
      <c r="JXC65" s="470"/>
      <c r="JXD65" s="470"/>
      <c r="JXE65" s="470"/>
      <c r="JXF65" s="470"/>
      <c r="JXG65" s="470"/>
      <c r="JXH65" s="470"/>
      <c r="JXI65" s="470"/>
      <c r="JXJ65" s="470"/>
      <c r="JXK65" s="470"/>
      <c r="JXL65" s="470"/>
      <c r="JXM65" s="470"/>
      <c r="JXN65" s="470"/>
      <c r="JXO65" s="470"/>
      <c r="JXP65" s="470"/>
      <c r="JXQ65" s="470"/>
      <c r="JXR65" s="470"/>
      <c r="JXS65" s="470"/>
      <c r="JXT65" s="470"/>
      <c r="JXU65" s="470"/>
      <c r="JXV65" s="470"/>
      <c r="JXW65" s="470"/>
      <c r="JXX65" s="470"/>
      <c r="JXY65" s="470"/>
      <c r="JXZ65" s="471"/>
      <c r="JYA65" s="469"/>
      <c r="JYB65" s="470"/>
      <c r="JYC65" s="470"/>
      <c r="JYD65" s="470"/>
      <c r="JYE65" s="470"/>
      <c r="JYF65" s="470"/>
      <c r="JYG65" s="470"/>
      <c r="JYH65" s="470"/>
      <c r="JYI65" s="470"/>
      <c r="JYJ65" s="470"/>
      <c r="JYK65" s="470"/>
      <c r="JYL65" s="470"/>
      <c r="JYM65" s="470"/>
      <c r="JYN65" s="470"/>
      <c r="JYO65" s="470"/>
      <c r="JYP65" s="470"/>
      <c r="JYQ65" s="470"/>
      <c r="JYR65" s="470"/>
      <c r="JYS65" s="470"/>
      <c r="JYT65" s="470"/>
      <c r="JYU65" s="470"/>
      <c r="JYV65" s="470"/>
      <c r="JYW65" s="470"/>
      <c r="JYX65" s="470"/>
      <c r="JYY65" s="470"/>
      <c r="JYZ65" s="470"/>
      <c r="JZA65" s="470"/>
      <c r="JZB65" s="470"/>
      <c r="JZC65" s="470"/>
      <c r="JZD65" s="471"/>
      <c r="JZE65" s="469"/>
      <c r="JZF65" s="470"/>
      <c r="JZG65" s="470"/>
      <c r="JZH65" s="470"/>
      <c r="JZI65" s="470"/>
      <c r="JZJ65" s="470"/>
      <c r="JZK65" s="470"/>
      <c r="JZL65" s="470"/>
      <c r="JZM65" s="470"/>
      <c r="JZN65" s="470"/>
      <c r="JZO65" s="470"/>
      <c r="JZP65" s="470"/>
      <c r="JZQ65" s="470"/>
      <c r="JZR65" s="470"/>
      <c r="JZS65" s="470"/>
      <c r="JZT65" s="470"/>
      <c r="JZU65" s="470"/>
      <c r="JZV65" s="470"/>
      <c r="JZW65" s="470"/>
      <c r="JZX65" s="470"/>
      <c r="JZY65" s="470"/>
      <c r="JZZ65" s="470"/>
      <c r="KAA65" s="470"/>
      <c r="KAB65" s="470"/>
      <c r="KAC65" s="470"/>
      <c r="KAD65" s="470"/>
      <c r="KAE65" s="470"/>
      <c r="KAF65" s="470"/>
      <c r="KAG65" s="470"/>
      <c r="KAH65" s="471"/>
      <c r="KAI65" s="469"/>
      <c r="KAJ65" s="470"/>
      <c r="KAK65" s="470"/>
      <c r="KAL65" s="470"/>
      <c r="KAM65" s="470"/>
      <c r="KAN65" s="470"/>
      <c r="KAO65" s="470"/>
      <c r="KAP65" s="470"/>
      <c r="KAQ65" s="470"/>
      <c r="KAR65" s="470"/>
      <c r="KAS65" s="470"/>
      <c r="KAT65" s="470"/>
      <c r="KAU65" s="470"/>
      <c r="KAV65" s="470"/>
      <c r="KAW65" s="470"/>
      <c r="KAX65" s="470"/>
      <c r="KAY65" s="470"/>
      <c r="KAZ65" s="470"/>
      <c r="KBA65" s="470"/>
      <c r="KBB65" s="470"/>
      <c r="KBC65" s="470"/>
      <c r="KBD65" s="470"/>
      <c r="KBE65" s="470"/>
      <c r="KBF65" s="470"/>
      <c r="KBG65" s="470"/>
      <c r="KBH65" s="470"/>
      <c r="KBI65" s="470"/>
      <c r="KBJ65" s="470"/>
      <c r="KBK65" s="470"/>
      <c r="KBL65" s="471"/>
      <c r="KBM65" s="469"/>
      <c r="KBN65" s="470"/>
      <c r="KBO65" s="470"/>
      <c r="KBP65" s="470"/>
      <c r="KBQ65" s="470"/>
      <c r="KBR65" s="470"/>
      <c r="KBS65" s="470"/>
      <c r="KBT65" s="470"/>
      <c r="KBU65" s="470"/>
      <c r="KBV65" s="470"/>
      <c r="KBW65" s="470"/>
      <c r="KBX65" s="470"/>
      <c r="KBY65" s="470"/>
      <c r="KBZ65" s="470"/>
      <c r="KCA65" s="470"/>
      <c r="KCB65" s="470"/>
      <c r="KCC65" s="470"/>
      <c r="KCD65" s="470"/>
      <c r="KCE65" s="470"/>
      <c r="KCF65" s="470"/>
      <c r="KCG65" s="470"/>
      <c r="KCH65" s="470"/>
      <c r="KCI65" s="470"/>
      <c r="KCJ65" s="470"/>
      <c r="KCK65" s="470"/>
      <c r="KCL65" s="470"/>
      <c r="KCM65" s="470"/>
      <c r="KCN65" s="470"/>
      <c r="KCO65" s="470"/>
      <c r="KCP65" s="471"/>
      <c r="KCQ65" s="469"/>
      <c r="KCR65" s="470"/>
      <c r="KCS65" s="470"/>
      <c r="KCT65" s="470"/>
      <c r="KCU65" s="470"/>
      <c r="KCV65" s="470"/>
      <c r="KCW65" s="470"/>
      <c r="KCX65" s="470"/>
      <c r="KCY65" s="470"/>
      <c r="KCZ65" s="470"/>
      <c r="KDA65" s="470"/>
      <c r="KDB65" s="470"/>
      <c r="KDC65" s="470"/>
      <c r="KDD65" s="470"/>
      <c r="KDE65" s="470"/>
      <c r="KDF65" s="470"/>
      <c r="KDG65" s="470"/>
      <c r="KDH65" s="470"/>
      <c r="KDI65" s="470"/>
      <c r="KDJ65" s="470"/>
      <c r="KDK65" s="470"/>
      <c r="KDL65" s="470"/>
      <c r="KDM65" s="470"/>
      <c r="KDN65" s="470"/>
      <c r="KDO65" s="470"/>
      <c r="KDP65" s="470"/>
      <c r="KDQ65" s="470"/>
      <c r="KDR65" s="470"/>
      <c r="KDS65" s="470"/>
      <c r="KDT65" s="471"/>
      <c r="KDU65" s="469"/>
      <c r="KDV65" s="470"/>
      <c r="KDW65" s="470"/>
      <c r="KDX65" s="470"/>
      <c r="KDY65" s="470"/>
      <c r="KDZ65" s="470"/>
      <c r="KEA65" s="470"/>
      <c r="KEB65" s="470"/>
      <c r="KEC65" s="470"/>
      <c r="KED65" s="470"/>
      <c r="KEE65" s="470"/>
      <c r="KEF65" s="470"/>
      <c r="KEG65" s="470"/>
      <c r="KEH65" s="470"/>
      <c r="KEI65" s="470"/>
      <c r="KEJ65" s="470"/>
      <c r="KEK65" s="470"/>
      <c r="KEL65" s="470"/>
      <c r="KEM65" s="470"/>
      <c r="KEN65" s="470"/>
      <c r="KEO65" s="470"/>
      <c r="KEP65" s="470"/>
      <c r="KEQ65" s="470"/>
      <c r="KER65" s="470"/>
      <c r="KES65" s="470"/>
      <c r="KET65" s="470"/>
      <c r="KEU65" s="470"/>
      <c r="KEV65" s="470"/>
      <c r="KEW65" s="470"/>
      <c r="KEX65" s="471"/>
      <c r="KEY65" s="469"/>
      <c r="KEZ65" s="470"/>
      <c r="KFA65" s="470"/>
      <c r="KFB65" s="470"/>
      <c r="KFC65" s="470"/>
      <c r="KFD65" s="470"/>
      <c r="KFE65" s="470"/>
      <c r="KFF65" s="470"/>
      <c r="KFG65" s="470"/>
      <c r="KFH65" s="470"/>
      <c r="KFI65" s="470"/>
      <c r="KFJ65" s="470"/>
      <c r="KFK65" s="470"/>
      <c r="KFL65" s="470"/>
      <c r="KFM65" s="470"/>
      <c r="KFN65" s="470"/>
      <c r="KFO65" s="470"/>
      <c r="KFP65" s="470"/>
      <c r="KFQ65" s="470"/>
      <c r="KFR65" s="470"/>
      <c r="KFS65" s="470"/>
      <c r="KFT65" s="470"/>
      <c r="KFU65" s="470"/>
      <c r="KFV65" s="470"/>
      <c r="KFW65" s="470"/>
      <c r="KFX65" s="470"/>
      <c r="KFY65" s="470"/>
      <c r="KFZ65" s="470"/>
      <c r="KGA65" s="470"/>
      <c r="KGB65" s="471"/>
      <c r="KGC65" s="469"/>
      <c r="KGD65" s="470"/>
      <c r="KGE65" s="470"/>
      <c r="KGF65" s="470"/>
      <c r="KGG65" s="470"/>
      <c r="KGH65" s="470"/>
      <c r="KGI65" s="470"/>
      <c r="KGJ65" s="470"/>
      <c r="KGK65" s="470"/>
      <c r="KGL65" s="470"/>
      <c r="KGM65" s="470"/>
      <c r="KGN65" s="470"/>
      <c r="KGO65" s="470"/>
      <c r="KGP65" s="470"/>
      <c r="KGQ65" s="470"/>
      <c r="KGR65" s="470"/>
      <c r="KGS65" s="470"/>
      <c r="KGT65" s="470"/>
      <c r="KGU65" s="470"/>
      <c r="KGV65" s="470"/>
      <c r="KGW65" s="470"/>
      <c r="KGX65" s="470"/>
      <c r="KGY65" s="470"/>
      <c r="KGZ65" s="470"/>
      <c r="KHA65" s="470"/>
      <c r="KHB65" s="470"/>
      <c r="KHC65" s="470"/>
      <c r="KHD65" s="470"/>
      <c r="KHE65" s="470"/>
      <c r="KHF65" s="471"/>
      <c r="KHG65" s="469"/>
      <c r="KHH65" s="470"/>
      <c r="KHI65" s="470"/>
      <c r="KHJ65" s="470"/>
      <c r="KHK65" s="470"/>
      <c r="KHL65" s="470"/>
      <c r="KHM65" s="470"/>
      <c r="KHN65" s="470"/>
      <c r="KHO65" s="470"/>
      <c r="KHP65" s="470"/>
      <c r="KHQ65" s="470"/>
      <c r="KHR65" s="470"/>
      <c r="KHS65" s="470"/>
      <c r="KHT65" s="470"/>
      <c r="KHU65" s="470"/>
      <c r="KHV65" s="470"/>
      <c r="KHW65" s="470"/>
      <c r="KHX65" s="470"/>
      <c r="KHY65" s="470"/>
      <c r="KHZ65" s="470"/>
      <c r="KIA65" s="470"/>
      <c r="KIB65" s="470"/>
      <c r="KIC65" s="470"/>
      <c r="KID65" s="470"/>
      <c r="KIE65" s="470"/>
      <c r="KIF65" s="470"/>
      <c r="KIG65" s="470"/>
      <c r="KIH65" s="470"/>
      <c r="KII65" s="470"/>
      <c r="KIJ65" s="471"/>
      <c r="KIK65" s="469"/>
      <c r="KIL65" s="470"/>
      <c r="KIM65" s="470"/>
      <c r="KIN65" s="470"/>
      <c r="KIO65" s="470"/>
      <c r="KIP65" s="470"/>
      <c r="KIQ65" s="470"/>
      <c r="KIR65" s="470"/>
      <c r="KIS65" s="470"/>
      <c r="KIT65" s="470"/>
      <c r="KIU65" s="470"/>
      <c r="KIV65" s="470"/>
      <c r="KIW65" s="470"/>
      <c r="KIX65" s="470"/>
      <c r="KIY65" s="470"/>
      <c r="KIZ65" s="470"/>
      <c r="KJA65" s="470"/>
      <c r="KJB65" s="470"/>
      <c r="KJC65" s="470"/>
      <c r="KJD65" s="470"/>
      <c r="KJE65" s="470"/>
      <c r="KJF65" s="470"/>
      <c r="KJG65" s="470"/>
      <c r="KJH65" s="470"/>
      <c r="KJI65" s="470"/>
      <c r="KJJ65" s="470"/>
      <c r="KJK65" s="470"/>
      <c r="KJL65" s="470"/>
      <c r="KJM65" s="470"/>
      <c r="KJN65" s="471"/>
      <c r="KJO65" s="469"/>
      <c r="KJP65" s="470"/>
      <c r="KJQ65" s="470"/>
      <c r="KJR65" s="470"/>
      <c r="KJS65" s="470"/>
      <c r="KJT65" s="470"/>
      <c r="KJU65" s="470"/>
      <c r="KJV65" s="470"/>
      <c r="KJW65" s="470"/>
      <c r="KJX65" s="470"/>
      <c r="KJY65" s="470"/>
      <c r="KJZ65" s="470"/>
      <c r="KKA65" s="470"/>
      <c r="KKB65" s="470"/>
      <c r="KKC65" s="470"/>
      <c r="KKD65" s="470"/>
      <c r="KKE65" s="470"/>
      <c r="KKF65" s="470"/>
      <c r="KKG65" s="470"/>
      <c r="KKH65" s="470"/>
      <c r="KKI65" s="470"/>
      <c r="KKJ65" s="470"/>
      <c r="KKK65" s="470"/>
      <c r="KKL65" s="470"/>
      <c r="KKM65" s="470"/>
      <c r="KKN65" s="470"/>
      <c r="KKO65" s="470"/>
      <c r="KKP65" s="470"/>
      <c r="KKQ65" s="470"/>
      <c r="KKR65" s="471"/>
      <c r="KKS65" s="469"/>
      <c r="KKT65" s="470"/>
      <c r="KKU65" s="470"/>
      <c r="KKV65" s="470"/>
      <c r="KKW65" s="470"/>
      <c r="KKX65" s="470"/>
      <c r="KKY65" s="470"/>
      <c r="KKZ65" s="470"/>
      <c r="KLA65" s="470"/>
      <c r="KLB65" s="470"/>
      <c r="KLC65" s="470"/>
      <c r="KLD65" s="470"/>
      <c r="KLE65" s="470"/>
      <c r="KLF65" s="470"/>
      <c r="KLG65" s="470"/>
      <c r="KLH65" s="470"/>
      <c r="KLI65" s="470"/>
      <c r="KLJ65" s="470"/>
      <c r="KLK65" s="470"/>
      <c r="KLL65" s="470"/>
      <c r="KLM65" s="470"/>
      <c r="KLN65" s="470"/>
      <c r="KLO65" s="470"/>
      <c r="KLP65" s="470"/>
      <c r="KLQ65" s="470"/>
      <c r="KLR65" s="470"/>
      <c r="KLS65" s="470"/>
      <c r="KLT65" s="470"/>
      <c r="KLU65" s="470"/>
      <c r="KLV65" s="471"/>
      <c r="KLW65" s="469"/>
      <c r="KLX65" s="470"/>
      <c r="KLY65" s="470"/>
      <c r="KLZ65" s="470"/>
      <c r="KMA65" s="470"/>
      <c r="KMB65" s="470"/>
      <c r="KMC65" s="470"/>
      <c r="KMD65" s="470"/>
      <c r="KME65" s="470"/>
      <c r="KMF65" s="470"/>
      <c r="KMG65" s="470"/>
      <c r="KMH65" s="470"/>
      <c r="KMI65" s="470"/>
      <c r="KMJ65" s="470"/>
      <c r="KMK65" s="470"/>
      <c r="KML65" s="470"/>
      <c r="KMM65" s="470"/>
      <c r="KMN65" s="470"/>
      <c r="KMO65" s="470"/>
      <c r="KMP65" s="470"/>
      <c r="KMQ65" s="470"/>
      <c r="KMR65" s="470"/>
      <c r="KMS65" s="470"/>
      <c r="KMT65" s="470"/>
      <c r="KMU65" s="470"/>
      <c r="KMV65" s="470"/>
      <c r="KMW65" s="470"/>
      <c r="KMX65" s="470"/>
      <c r="KMY65" s="470"/>
      <c r="KMZ65" s="471"/>
      <c r="KNA65" s="469"/>
      <c r="KNB65" s="470"/>
      <c r="KNC65" s="470"/>
      <c r="KND65" s="470"/>
      <c r="KNE65" s="470"/>
      <c r="KNF65" s="470"/>
      <c r="KNG65" s="470"/>
      <c r="KNH65" s="470"/>
      <c r="KNI65" s="470"/>
      <c r="KNJ65" s="470"/>
      <c r="KNK65" s="470"/>
      <c r="KNL65" s="470"/>
      <c r="KNM65" s="470"/>
      <c r="KNN65" s="470"/>
      <c r="KNO65" s="470"/>
      <c r="KNP65" s="470"/>
      <c r="KNQ65" s="470"/>
      <c r="KNR65" s="470"/>
      <c r="KNS65" s="470"/>
      <c r="KNT65" s="470"/>
      <c r="KNU65" s="470"/>
      <c r="KNV65" s="470"/>
      <c r="KNW65" s="470"/>
      <c r="KNX65" s="470"/>
      <c r="KNY65" s="470"/>
      <c r="KNZ65" s="470"/>
      <c r="KOA65" s="470"/>
      <c r="KOB65" s="470"/>
      <c r="KOC65" s="470"/>
      <c r="KOD65" s="471"/>
      <c r="KOE65" s="469"/>
      <c r="KOF65" s="470"/>
      <c r="KOG65" s="470"/>
      <c r="KOH65" s="470"/>
      <c r="KOI65" s="470"/>
      <c r="KOJ65" s="470"/>
      <c r="KOK65" s="470"/>
      <c r="KOL65" s="470"/>
      <c r="KOM65" s="470"/>
      <c r="KON65" s="470"/>
      <c r="KOO65" s="470"/>
      <c r="KOP65" s="470"/>
      <c r="KOQ65" s="470"/>
      <c r="KOR65" s="470"/>
      <c r="KOS65" s="470"/>
      <c r="KOT65" s="470"/>
      <c r="KOU65" s="470"/>
      <c r="KOV65" s="470"/>
      <c r="KOW65" s="470"/>
      <c r="KOX65" s="470"/>
      <c r="KOY65" s="470"/>
      <c r="KOZ65" s="470"/>
      <c r="KPA65" s="470"/>
      <c r="KPB65" s="470"/>
      <c r="KPC65" s="470"/>
      <c r="KPD65" s="470"/>
      <c r="KPE65" s="470"/>
      <c r="KPF65" s="470"/>
      <c r="KPG65" s="470"/>
      <c r="KPH65" s="471"/>
      <c r="KPI65" s="469"/>
      <c r="KPJ65" s="470"/>
      <c r="KPK65" s="470"/>
      <c r="KPL65" s="470"/>
      <c r="KPM65" s="470"/>
      <c r="KPN65" s="470"/>
      <c r="KPO65" s="470"/>
      <c r="KPP65" s="470"/>
      <c r="KPQ65" s="470"/>
      <c r="KPR65" s="470"/>
      <c r="KPS65" s="470"/>
      <c r="KPT65" s="470"/>
      <c r="KPU65" s="470"/>
      <c r="KPV65" s="470"/>
      <c r="KPW65" s="470"/>
      <c r="KPX65" s="470"/>
      <c r="KPY65" s="470"/>
      <c r="KPZ65" s="470"/>
      <c r="KQA65" s="470"/>
      <c r="KQB65" s="470"/>
      <c r="KQC65" s="470"/>
      <c r="KQD65" s="470"/>
      <c r="KQE65" s="470"/>
      <c r="KQF65" s="470"/>
      <c r="KQG65" s="470"/>
      <c r="KQH65" s="470"/>
      <c r="KQI65" s="470"/>
      <c r="KQJ65" s="470"/>
      <c r="KQK65" s="470"/>
      <c r="KQL65" s="471"/>
      <c r="KQM65" s="469"/>
      <c r="KQN65" s="470"/>
      <c r="KQO65" s="470"/>
      <c r="KQP65" s="470"/>
      <c r="KQQ65" s="470"/>
      <c r="KQR65" s="470"/>
      <c r="KQS65" s="470"/>
      <c r="KQT65" s="470"/>
      <c r="KQU65" s="470"/>
      <c r="KQV65" s="470"/>
      <c r="KQW65" s="470"/>
      <c r="KQX65" s="470"/>
      <c r="KQY65" s="470"/>
      <c r="KQZ65" s="470"/>
      <c r="KRA65" s="470"/>
      <c r="KRB65" s="470"/>
      <c r="KRC65" s="470"/>
      <c r="KRD65" s="470"/>
      <c r="KRE65" s="470"/>
      <c r="KRF65" s="470"/>
      <c r="KRG65" s="470"/>
      <c r="KRH65" s="470"/>
      <c r="KRI65" s="470"/>
      <c r="KRJ65" s="470"/>
      <c r="KRK65" s="470"/>
      <c r="KRL65" s="470"/>
      <c r="KRM65" s="470"/>
      <c r="KRN65" s="470"/>
      <c r="KRO65" s="470"/>
      <c r="KRP65" s="471"/>
      <c r="KRQ65" s="469"/>
      <c r="KRR65" s="470"/>
      <c r="KRS65" s="470"/>
      <c r="KRT65" s="470"/>
      <c r="KRU65" s="470"/>
      <c r="KRV65" s="470"/>
      <c r="KRW65" s="470"/>
      <c r="KRX65" s="470"/>
      <c r="KRY65" s="470"/>
      <c r="KRZ65" s="470"/>
      <c r="KSA65" s="470"/>
      <c r="KSB65" s="470"/>
      <c r="KSC65" s="470"/>
      <c r="KSD65" s="470"/>
      <c r="KSE65" s="470"/>
      <c r="KSF65" s="470"/>
      <c r="KSG65" s="470"/>
      <c r="KSH65" s="470"/>
      <c r="KSI65" s="470"/>
      <c r="KSJ65" s="470"/>
      <c r="KSK65" s="470"/>
      <c r="KSL65" s="470"/>
      <c r="KSM65" s="470"/>
      <c r="KSN65" s="470"/>
      <c r="KSO65" s="470"/>
      <c r="KSP65" s="470"/>
      <c r="KSQ65" s="470"/>
      <c r="KSR65" s="470"/>
      <c r="KSS65" s="470"/>
      <c r="KST65" s="471"/>
      <c r="KSU65" s="469"/>
      <c r="KSV65" s="470"/>
      <c r="KSW65" s="470"/>
      <c r="KSX65" s="470"/>
      <c r="KSY65" s="470"/>
      <c r="KSZ65" s="470"/>
      <c r="KTA65" s="470"/>
      <c r="KTB65" s="470"/>
      <c r="KTC65" s="470"/>
      <c r="KTD65" s="470"/>
      <c r="KTE65" s="470"/>
      <c r="KTF65" s="470"/>
      <c r="KTG65" s="470"/>
      <c r="KTH65" s="470"/>
      <c r="KTI65" s="470"/>
      <c r="KTJ65" s="470"/>
      <c r="KTK65" s="470"/>
      <c r="KTL65" s="470"/>
      <c r="KTM65" s="470"/>
      <c r="KTN65" s="470"/>
      <c r="KTO65" s="470"/>
      <c r="KTP65" s="470"/>
      <c r="KTQ65" s="470"/>
      <c r="KTR65" s="470"/>
      <c r="KTS65" s="470"/>
      <c r="KTT65" s="470"/>
      <c r="KTU65" s="470"/>
      <c r="KTV65" s="470"/>
      <c r="KTW65" s="470"/>
      <c r="KTX65" s="471"/>
      <c r="KTY65" s="469"/>
      <c r="KTZ65" s="470"/>
      <c r="KUA65" s="470"/>
      <c r="KUB65" s="470"/>
      <c r="KUC65" s="470"/>
      <c r="KUD65" s="470"/>
      <c r="KUE65" s="470"/>
      <c r="KUF65" s="470"/>
      <c r="KUG65" s="470"/>
      <c r="KUH65" s="470"/>
      <c r="KUI65" s="470"/>
      <c r="KUJ65" s="470"/>
      <c r="KUK65" s="470"/>
      <c r="KUL65" s="470"/>
      <c r="KUM65" s="470"/>
      <c r="KUN65" s="470"/>
      <c r="KUO65" s="470"/>
      <c r="KUP65" s="470"/>
      <c r="KUQ65" s="470"/>
      <c r="KUR65" s="470"/>
      <c r="KUS65" s="470"/>
      <c r="KUT65" s="470"/>
      <c r="KUU65" s="470"/>
      <c r="KUV65" s="470"/>
      <c r="KUW65" s="470"/>
      <c r="KUX65" s="470"/>
      <c r="KUY65" s="470"/>
      <c r="KUZ65" s="470"/>
      <c r="KVA65" s="470"/>
      <c r="KVB65" s="471"/>
      <c r="KVC65" s="469"/>
      <c r="KVD65" s="470"/>
      <c r="KVE65" s="470"/>
      <c r="KVF65" s="470"/>
      <c r="KVG65" s="470"/>
      <c r="KVH65" s="470"/>
      <c r="KVI65" s="470"/>
      <c r="KVJ65" s="470"/>
      <c r="KVK65" s="470"/>
      <c r="KVL65" s="470"/>
      <c r="KVM65" s="470"/>
      <c r="KVN65" s="470"/>
      <c r="KVO65" s="470"/>
      <c r="KVP65" s="470"/>
      <c r="KVQ65" s="470"/>
      <c r="KVR65" s="470"/>
      <c r="KVS65" s="470"/>
      <c r="KVT65" s="470"/>
      <c r="KVU65" s="470"/>
      <c r="KVV65" s="470"/>
      <c r="KVW65" s="470"/>
      <c r="KVX65" s="470"/>
      <c r="KVY65" s="470"/>
      <c r="KVZ65" s="470"/>
      <c r="KWA65" s="470"/>
      <c r="KWB65" s="470"/>
      <c r="KWC65" s="470"/>
      <c r="KWD65" s="470"/>
      <c r="KWE65" s="470"/>
      <c r="KWF65" s="471"/>
      <c r="KWG65" s="469"/>
      <c r="KWH65" s="470"/>
      <c r="KWI65" s="470"/>
      <c r="KWJ65" s="470"/>
      <c r="KWK65" s="470"/>
      <c r="KWL65" s="470"/>
      <c r="KWM65" s="470"/>
      <c r="KWN65" s="470"/>
      <c r="KWO65" s="470"/>
      <c r="KWP65" s="470"/>
      <c r="KWQ65" s="470"/>
      <c r="KWR65" s="470"/>
      <c r="KWS65" s="470"/>
      <c r="KWT65" s="470"/>
      <c r="KWU65" s="470"/>
      <c r="KWV65" s="470"/>
      <c r="KWW65" s="470"/>
      <c r="KWX65" s="470"/>
      <c r="KWY65" s="470"/>
      <c r="KWZ65" s="470"/>
      <c r="KXA65" s="470"/>
      <c r="KXB65" s="470"/>
      <c r="KXC65" s="470"/>
      <c r="KXD65" s="470"/>
      <c r="KXE65" s="470"/>
      <c r="KXF65" s="470"/>
      <c r="KXG65" s="470"/>
      <c r="KXH65" s="470"/>
      <c r="KXI65" s="470"/>
      <c r="KXJ65" s="471"/>
      <c r="KXK65" s="469"/>
      <c r="KXL65" s="470"/>
      <c r="KXM65" s="470"/>
      <c r="KXN65" s="470"/>
      <c r="KXO65" s="470"/>
      <c r="KXP65" s="470"/>
      <c r="KXQ65" s="470"/>
      <c r="KXR65" s="470"/>
      <c r="KXS65" s="470"/>
      <c r="KXT65" s="470"/>
      <c r="KXU65" s="470"/>
      <c r="KXV65" s="470"/>
      <c r="KXW65" s="470"/>
      <c r="KXX65" s="470"/>
      <c r="KXY65" s="470"/>
      <c r="KXZ65" s="470"/>
      <c r="KYA65" s="470"/>
      <c r="KYB65" s="470"/>
      <c r="KYC65" s="470"/>
      <c r="KYD65" s="470"/>
      <c r="KYE65" s="470"/>
      <c r="KYF65" s="470"/>
      <c r="KYG65" s="470"/>
      <c r="KYH65" s="470"/>
      <c r="KYI65" s="470"/>
      <c r="KYJ65" s="470"/>
      <c r="KYK65" s="470"/>
      <c r="KYL65" s="470"/>
      <c r="KYM65" s="470"/>
      <c r="KYN65" s="471"/>
      <c r="KYO65" s="469"/>
      <c r="KYP65" s="470"/>
      <c r="KYQ65" s="470"/>
      <c r="KYR65" s="470"/>
      <c r="KYS65" s="470"/>
      <c r="KYT65" s="470"/>
      <c r="KYU65" s="470"/>
      <c r="KYV65" s="470"/>
      <c r="KYW65" s="470"/>
      <c r="KYX65" s="470"/>
      <c r="KYY65" s="470"/>
      <c r="KYZ65" s="470"/>
      <c r="KZA65" s="470"/>
      <c r="KZB65" s="470"/>
      <c r="KZC65" s="470"/>
      <c r="KZD65" s="470"/>
      <c r="KZE65" s="470"/>
      <c r="KZF65" s="470"/>
      <c r="KZG65" s="470"/>
      <c r="KZH65" s="470"/>
      <c r="KZI65" s="470"/>
      <c r="KZJ65" s="470"/>
      <c r="KZK65" s="470"/>
      <c r="KZL65" s="470"/>
      <c r="KZM65" s="470"/>
      <c r="KZN65" s="470"/>
      <c r="KZO65" s="470"/>
      <c r="KZP65" s="470"/>
      <c r="KZQ65" s="470"/>
      <c r="KZR65" s="471"/>
      <c r="KZS65" s="469"/>
      <c r="KZT65" s="470"/>
      <c r="KZU65" s="470"/>
      <c r="KZV65" s="470"/>
      <c r="KZW65" s="470"/>
      <c r="KZX65" s="470"/>
      <c r="KZY65" s="470"/>
      <c r="KZZ65" s="470"/>
      <c r="LAA65" s="470"/>
      <c r="LAB65" s="470"/>
      <c r="LAC65" s="470"/>
      <c r="LAD65" s="470"/>
      <c r="LAE65" s="470"/>
      <c r="LAF65" s="470"/>
      <c r="LAG65" s="470"/>
      <c r="LAH65" s="470"/>
      <c r="LAI65" s="470"/>
      <c r="LAJ65" s="470"/>
      <c r="LAK65" s="470"/>
      <c r="LAL65" s="470"/>
      <c r="LAM65" s="470"/>
      <c r="LAN65" s="470"/>
      <c r="LAO65" s="470"/>
      <c r="LAP65" s="470"/>
      <c r="LAQ65" s="470"/>
      <c r="LAR65" s="470"/>
      <c r="LAS65" s="470"/>
      <c r="LAT65" s="470"/>
      <c r="LAU65" s="470"/>
      <c r="LAV65" s="471"/>
      <c r="LAW65" s="469"/>
      <c r="LAX65" s="470"/>
      <c r="LAY65" s="470"/>
      <c r="LAZ65" s="470"/>
      <c r="LBA65" s="470"/>
      <c r="LBB65" s="470"/>
      <c r="LBC65" s="470"/>
      <c r="LBD65" s="470"/>
      <c r="LBE65" s="470"/>
      <c r="LBF65" s="470"/>
      <c r="LBG65" s="470"/>
      <c r="LBH65" s="470"/>
      <c r="LBI65" s="470"/>
      <c r="LBJ65" s="470"/>
      <c r="LBK65" s="470"/>
      <c r="LBL65" s="470"/>
      <c r="LBM65" s="470"/>
      <c r="LBN65" s="470"/>
      <c r="LBO65" s="470"/>
      <c r="LBP65" s="470"/>
      <c r="LBQ65" s="470"/>
      <c r="LBR65" s="470"/>
      <c r="LBS65" s="470"/>
      <c r="LBT65" s="470"/>
      <c r="LBU65" s="470"/>
      <c r="LBV65" s="470"/>
      <c r="LBW65" s="470"/>
      <c r="LBX65" s="470"/>
      <c r="LBY65" s="470"/>
      <c r="LBZ65" s="471"/>
      <c r="LCA65" s="469"/>
      <c r="LCB65" s="470"/>
      <c r="LCC65" s="470"/>
      <c r="LCD65" s="470"/>
      <c r="LCE65" s="470"/>
      <c r="LCF65" s="470"/>
      <c r="LCG65" s="470"/>
      <c r="LCH65" s="470"/>
      <c r="LCI65" s="470"/>
      <c r="LCJ65" s="470"/>
      <c r="LCK65" s="470"/>
      <c r="LCL65" s="470"/>
      <c r="LCM65" s="470"/>
      <c r="LCN65" s="470"/>
      <c r="LCO65" s="470"/>
      <c r="LCP65" s="470"/>
      <c r="LCQ65" s="470"/>
      <c r="LCR65" s="470"/>
      <c r="LCS65" s="470"/>
      <c r="LCT65" s="470"/>
      <c r="LCU65" s="470"/>
      <c r="LCV65" s="470"/>
      <c r="LCW65" s="470"/>
      <c r="LCX65" s="470"/>
      <c r="LCY65" s="470"/>
      <c r="LCZ65" s="470"/>
      <c r="LDA65" s="470"/>
      <c r="LDB65" s="470"/>
      <c r="LDC65" s="470"/>
      <c r="LDD65" s="471"/>
      <c r="LDE65" s="469"/>
      <c r="LDF65" s="470"/>
      <c r="LDG65" s="470"/>
      <c r="LDH65" s="470"/>
      <c r="LDI65" s="470"/>
      <c r="LDJ65" s="470"/>
      <c r="LDK65" s="470"/>
      <c r="LDL65" s="470"/>
      <c r="LDM65" s="470"/>
      <c r="LDN65" s="470"/>
      <c r="LDO65" s="470"/>
      <c r="LDP65" s="470"/>
      <c r="LDQ65" s="470"/>
      <c r="LDR65" s="470"/>
      <c r="LDS65" s="470"/>
      <c r="LDT65" s="470"/>
      <c r="LDU65" s="470"/>
      <c r="LDV65" s="470"/>
      <c r="LDW65" s="470"/>
      <c r="LDX65" s="470"/>
      <c r="LDY65" s="470"/>
      <c r="LDZ65" s="470"/>
      <c r="LEA65" s="470"/>
      <c r="LEB65" s="470"/>
      <c r="LEC65" s="470"/>
      <c r="LED65" s="470"/>
      <c r="LEE65" s="470"/>
      <c r="LEF65" s="470"/>
      <c r="LEG65" s="470"/>
      <c r="LEH65" s="471"/>
      <c r="LEI65" s="469"/>
      <c r="LEJ65" s="470"/>
      <c r="LEK65" s="470"/>
      <c r="LEL65" s="470"/>
      <c r="LEM65" s="470"/>
      <c r="LEN65" s="470"/>
      <c r="LEO65" s="470"/>
      <c r="LEP65" s="470"/>
      <c r="LEQ65" s="470"/>
      <c r="LER65" s="470"/>
      <c r="LES65" s="470"/>
      <c r="LET65" s="470"/>
      <c r="LEU65" s="470"/>
      <c r="LEV65" s="470"/>
      <c r="LEW65" s="470"/>
      <c r="LEX65" s="470"/>
      <c r="LEY65" s="470"/>
      <c r="LEZ65" s="470"/>
      <c r="LFA65" s="470"/>
      <c r="LFB65" s="470"/>
      <c r="LFC65" s="470"/>
      <c r="LFD65" s="470"/>
      <c r="LFE65" s="470"/>
      <c r="LFF65" s="470"/>
      <c r="LFG65" s="470"/>
      <c r="LFH65" s="470"/>
      <c r="LFI65" s="470"/>
      <c r="LFJ65" s="470"/>
      <c r="LFK65" s="470"/>
      <c r="LFL65" s="471"/>
      <c r="LFM65" s="469"/>
      <c r="LFN65" s="470"/>
      <c r="LFO65" s="470"/>
      <c r="LFP65" s="470"/>
      <c r="LFQ65" s="470"/>
      <c r="LFR65" s="470"/>
      <c r="LFS65" s="470"/>
      <c r="LFT65" s="470"/>
      <c r="LFU65" s="470"/>
      <c r="LFV65" s="470"/>
      <c r="LFW65" s="470"/>
      <c r="LFX65" s="470"/>
      <c r="LFY65" s="470"/>
      <c r="LFZ65" s="470"/>
      <c r="LGA65" s="470"/>
      <c r="LGB65" s="470"/>
      <c r="LGC65" s="470"/>
      <c r="LGD65" s="470"/>
      <c r="LGE65" s="470"/>
      <c r="LGF65" s="470"/>
      <c r="LGG65" s="470"/>
      <c r="LGH65" s="470"/>
      <c r="LGI65" s="470"/>
      <c r="LGJ65" s="470"/>
      <c r="LGK65" s="470"/>
      <c r="LGL65" s="470"/>
      <c r="LGM65" s="470"/>
      <c r="LGN65" s="470"/>
      <c r="LGO65" s="470"/>
      <c r="LGP65" s="471"/>
      <c r="LGQ65" s="469"/>
      <c r="LGR65" s="470"/>
      <c r="LGS65" s="470"/>
      <c r="LGT65" s="470"/>
      <c r="LGU65" s="470"/>
      <c r="LGV65" s="470"/>
      <c r="LGW65" s="470"/>
      <c r="LGX65" s="470"/>
      <c r="LGY65" s="470"/>
      <c r="LGZ65" s="470"/>
      <c r="LHA65" s="470"/>
      <c r="LHB65" s="470"/>
      <c r="LHC65" s="470"/>
      <c r="LHD65" s="470"/>
      <c r="LHE65" s="470"/>
      <c r="LHF65" s="470"/>
      <c r="LHG65" s="470"/>
      <c r="LHH65" s="470"/>
      <c r="LHI65" s="470"/>
      <c r="LHJ65" s="470"/>
      <c r="LHK65" s="470"/>
      <c r="LHL65" s="470"/>
      <c r="LHM65" s="470"/>
      <c r="LHN65" s="470"/>
      <c r="LHO65" s="470"/>
      <c r="LHP65" s="470"/>
      <c r="LHQ65" s="470"/>
      <c r="LHR65" s="470"/>
      <c r="LHS65" s="470"/>
      <c r="LHT65" s="471"/>
      <c r="LHU65" s="469"/>
      <c r="LHV65" s="470"/>
      <c r="LHW65" s="470"/>
      <c r="LHX65" s="470"/>
      <c r="LHY65" s="470"/>
      <c r="LHZ65" s="470"/>
      <c r="LIA65" s="470"/>
      <c r="LIB65" s="470"/>
      <c r="LIC65" s="470"/>
      <c r="LID65" s="470"/>
      <c r="LIE65" s="470"/>
      <c r="LIF65" s="470"/>
      <c r="LIG65" s="470"/>
      <c r="LIH65" s="470"/>
      <c r="LII65" s="470"/>
      <c r="LIJ65" s="470"/>
      <c r="LIK65" s="470"/>
      <c r="LIL65" s="470"/>
      <c r="LIM65" s="470"/>
      <c r="LIN65" s="470"/>
      <c r="LIO65" s="470"/>
      <c r="LIP65" s="470"/>
      <c r="LIQ65" s="470"/>
      <c r="LIR65" s="470"/>
      <c r="LIS65" s="470"/>
      <c r="LIT65" s="470"/>
      <c r="LIU65" s="470"/>
      <c r="LIV65" s="470"/>
      <c r="LIW65" s="470"/>
      <c r="LIX65" s="471"/>
      <c r="LIY65" s="469"/>
      <c r="LIZ65" s="470"/>
      <c r="LJA65" s="470"/>
      <c r="LJB65" s="470"/>
      <c r="LJC65" s="470"/>
      <c r="LJD65" s="470"/>
      <c r="LJE65" s="470"/>
      <c r="LJF65" s="470"/>
      <c r="LJG65" s="470"/>
      <c r="LJH65" s="470"/>
      <c r="LJI65" s="470"/>
      <c r="LJJ65" s="470"/>
      <c r="LJK65" s="470"/>
      <c r="LJL65" s="470"/>
      <c r="LJM65" s="470"/>
      <c r="LJN65" s="470"/>
      <c r="LJO65" s="470"/>
      <c r="LJP65" s="470"/>
      <c r="LJQ65" s="470"/>
      <c r="LJR65" s="470"/>
      <c r="LJS65" s="470"/>
      <c r="LJT65" s="470"/>
      <c r="LJU65" s="470"/>
      <c r="LJV65" s="470"/>
      <c r="LJW65" s="470"/>
      <c r="LJX65" s="470"/>
      <c r="LJY65" s="470"/>
      <c r="LJZ65" s="470"/>
      <c r="LKA65" s="470"/>
      <c r="LKB65" s="471"/>
      <c r="LKC65" s="469"/>
      <c r="LKD65" s="470"/>
      <c r="LKE65" s="470"/>
      <c r="LKF65" s="470"/>
      <c r="LKG65" s="470"/>
      <c r="LKH65" s="470"/>
      <c r="LKI65" s="470"/>
      <c r="LKJ65" s="470"/>
      <c r="LKK65" s="470"/>
      <c r="LKL65" s="470"/>
      <c r="LKM65" s="470"/>
      <c r="LKN65" s="470"/>
      <c r="LKO65" s="470"/>
      <c r="LKP65" s="470"/>
      <c r="LKQ65" s="470"/>
      <c r="LKR65" s="470"/>
      <c r="LKS65" s="470"/>
      <c r="LKT65" s="470"/>
      <c r="LKU65" s="470"/>
      <c r="LKV65" s="470"/>
      <c r="LKW65" s="470"/>
      <c r="LKX65" s="470"/>
      <c r="LKY65" s="470"/>
      <c r="LKZ65" s="470"/>
      <c r="LLA65" s="470"/>
      <c r="LLB65" s="470"/>
      <c r="LLC65" s="470"/>
      <c r="LLD65" s="470"/>
      <c r="LLE65" s="470"/>
      <c r="LLF65" s="471"/>
      <c r="LLG65" s="469"/>
      <c r="LLH65" s="470"/>
      <c r="LLI65" s="470"/>
      <c r="LLJ65" s="470"/>
      <c r="LLK65" s="470"/>
      <c r="LLL65" s="470"/>
      <c r="LLM65" s="470"/>
      <c r="LLN65" s="470"/>
      <c r="LLO65" s="470"/>
      <c r="LLP65" s="470"/>
      <c r="LLQ65" s="470"/>
      <c r="LLR65" s="470"/>
      <c r="LLS65" s="470"/>
      <c r="LLT65" s="470"/>
      <c r="LLU65" s="470"/>
      <c r="LLV65" s="470"/>
      <c r="LLW65" s="470"/>
      <c r="LLX65" s="470"/>
      <c r="LLY65" s="470"/>
      <c r="LLZ65" s="470"/>
      <c r="LMA65" s="470"/>
      <c r="LMB65" s="470"/>
      <c r="LMC65" s="470"/>
      <c r="LMD65" s="470"/>
      <c r="LME65" s="470"/>
      <c r="LMF65" s="470"/>
      <c r="LMG65" s="470"/>
      <c r="LMH65" s="470"/>
      <c r="LMI65" s="470"/>
      <c r="LMJ65" s="471"/>
      <c r="LMK65" s="469"/>
      <c r="LML65" s="470"/>
      <c r="LMM65" s="470"/>
      <c r="LMN65" s="470"/>
      <c r="LMO65" s="470"/>
      <c r="LMP65" s="470"/>
      <c r="LMQ65" s="470"/>
      <c r="LMR65" s="470"/>
      <c r="LMS65" s="470"/>
      <c r="LMT65" s="470"/>
      <c r="LMU65" s="470"/>
      <c r="LMV65" s="470"/>
      <c r="LMW65" s="470"/>
      <c r="LMX65" s="470"/>
      <c r="LMY65" s="470"/>
      <c r="LMZ65" s="470"/>
      <c r="LNA65" s="470"/>
      <c r="LNB65" s="470"/>
      <c r="LNC65" s="470"/>
      <c r="LND65" s="470"/>
      <c r="LNE65" s="470"/>
      <c r="LNF65" s="470"/>
      <c r="LNG65" s="470"/>
      <c r="LNH65" s="470"/>
      <c r="LNI65" s="470"/>
      <c r="LNJ65" s="470"/>
      <c r="LNK65" s="470"/>
      <c r="LNL65" s="470"/>
      <c r="LNM65" s="470"/>
      <c r="LNN65" s="471"/>
      <c r="LNO65" s="469"/>
      <c r="LNP65" s="470"/>
      <c r="LNQ65" s="470"/>
      <c r="LNR65" s="470"/>
      <c r="LNS65" s="470"/>
      <c r="LNT65" s="470"/>
      <c r="LNU65" s="470"/>
      <c r="LNV65" s="470"/>
      <c r="LNW65" s="470"/>
      <c r="LNX65" s="470"/>
      <c r="LNY65" s="470"/>
      <c r="LNZ65" s="470"/>
      <c r="LOA65" s="470"/>
      <c r="LOB65" s="470"/>
      <c r="LOC65" s="470"/>
      <c r="LOD65" s="470"/>
      <c r="LOE65" s="470"/>
      <c r="LOF65" s="470"/>
      <c r="LOG65" s="470"/>
      <c r="LOH65" s="470"/>
      <c r="LOI65" s="470"/>
      <c r="LOJ65" s="470"/>
      <c r="LOK65" s="470"/>
      <c r="LOL65" s="470"/>
      <c r="LOM65" s="470"/>
      <c r="LON65" s="470"/>
      <c r="LOO65" s="470"/>
      <c r="LOP65" s="470"/>
      <c r="LOQ65" s="470"/>
      <c r="LOR65" s="471"/>
      <c r="LOS65" s="469"/>
      <c r="LOT65" s="470"/>
      <c r="LOU65" s="470"/>
      <c r="LOV65" s="470"/>
      <c r="LOW65" s="470"/>
      <c r="LOX65" s="470"/>
      <c r="LOY65" s="470"/>
      <c r="LOZ65" s="470"/>
      <c r="LPA65" s="470"/>
      <c r="LPB65" s="470"/>
      <c r="LPC65" s="470"/>
      <c r="LPD65" s="470"/>
      <c r="LPE65" s="470"/>
      <c r="LPF65" s="470"/>
      <c r="LPG65" s="470"/>
      <c r="LPH65" s="470"/>
      <c r="LPI65" s="470"/>
      <c r="LPJ65" s="470"/>
      <c r="LPK65" s="470"/>
      <c r="LPL65" s="470"/>
      <c r="LPM65" s="470"/>
      <c r="LPN65" s="470"/>
      <c r="LPO65" s="470"/>
      <c r="LPP65" s="470"/>
      <c r="LPQ65" s="470"/>
      <c r="LPR65" s="470"/>
      <c r="LPS65" s="470"/>
      <c r="LPT65" s="470"/>
      <c r="LPU65" s="470"/>
      <c r="LPV65" s="471"/>
      <c r="LPW65" s="469"/>
      <c r="LPX65" s="470"/>
      <c r="LPY65" s="470"/>
      <c r="LPZ65" s="470"/>
      <c r="LQA65" s="470"/>
      <c r="LQB65" s="470"/>
      <c r="LQC65" s="470"/>
      <c r="LQD65" s="470"/>
      <c r="LQE65" s="470"/>
      <c r="LQF65" s="470"/>
      <c r="LQG65" s="470"/>
      <c r="LQH65" s="470"/>
      <c r="LQI65" s="470"/>
      <c r="LQJ65" s="470"/>
      <c r="LQK65" s="470"/>
      <c r="LQL65" s="470"/>
      <c r="LQM65" s="470"/>
      <c r="LQN65" s="470"/>
      <c r="LQO65" s="470"/>
      <c r="LQP65" s="470"/>
      <c r="LQQ65" s="470"/>
      <c r="LQR65" s="470"/>
      <c r="LQS65" s="470"/>
      <c r="LQT65" s="470"/>
      <c r="LQU65" s="470"/>
      <c r="LQV65" s="470"/>
      <c r="LQW65" s="470"/>
      <c r="LQX65" s="470"/>
      <c r="LQY65" s="470"/>
      <c r="LQZ65" s="471"/>
      <c r="LRA65" s="469"/>
      <c r="LRB65" s="470"/>
      <c r="LRC65" s="470"/>
      <c r="LRD65" s="470"/>
      <c r="LRE65" s="470"/>
      <c r="LRF65" s="470"/>
      <c r="LRG65" s="470"/>
      <c r="LRH65" s="470"/>
      <c r="LRI65" s="470"/>
      <c r="LRJ65" s="470"/>
      <c r="LRK65" s="470"/>
      <c r="LRL65" s="470"/>
      <c r="LRM65" s="470"/>
      <c r="LRN65" s="470"/>
      <c r="LRO65" s="470"/>
      <c r="LRP65" s="470"/>
      <c r="LRQ65" s="470"/>
      <c r="LRR65" s="470"/>
      <c r="LRS65" s="470"/>
      <c r="LRT65" s="470"/>
      <c r="LRU65" s="470"/>
      <c r="LRV65" s="470"/>
      <c r="LRW65" s="470"/>
      <c r="LRX65" s="470"/>
      <c r="LRY65" s="470"/>
      <c r="LRZ65" s="470"/>
      <c r="LSA65" s="470"/>
      <c r="LSB65" s="470"/>
      <c r="LSC65" s="470"/>
      <c r="LSD65" s="471"/>
      <c r="LSE65" s="469"/>
      <c r="LSF65" s="470"/>
      <c r="LSG65" s="470"/>
      <c r="LSH65" s="470"/>
      <c r="LSI65" s="470"/>
      <c r="LSJ65" s="470"/>
      <c r="LSK65" s="470"/>
      <c r="LSL65" s="470"/>
      <c r="LSM65" s="470"/>
      <c r="LSN65" s="470"/>
      <c r="LSO65" s="470"/>
      <c r="LSP65" s="470"/>
      <c r="LSQ65" s="470"/>
      <c r="LSR65" s="470"/>
      <c r="LSS65" s="470"/>
      <c r="LST65" s="470"/>
      <c r="LSU65" s="470"/>
      <c r="LSV65" s="470"/>
      <c r="LSW65" s="470"/>
      <c r="LSX65" s="470"/>
      <c r="LSY65" s="470"/>
      <c r="LSZ65" s="470"/>
      <c r="LTA65" s="470"/>
      <c r="LTB65" s="470"/>
      <c r="LTC65" s="470"/>
      <c r="LTD65" s="470"/>
      <c r="LTE65" s="470"/>
      <c r="LTF65" s="470"/>
      <c r="LTG65" s="470"/>
      <c r="LTH65" s="471"/>
      <c r="LTI65" s="469"/>
      <c r="LTJ65" s="470"/>
      <c r="LTK65" s="470"/>
      <c r="LTL65" s="470"/>
      <c r="LTM65" s="470"/>
      <c r="LTN65" s="470"/>
      <c r="LTO65" s="470"/>
      <c r="LTP65" s="470"/>
      <c r="LTQ65" s="470"/>
      <c r="LTR65" s="470"/>
      <c r="LTS65" s="470"/>
      <c r="LTT65" s="470"/>
      <c r="LTU65" s="470"/>
      <c r="LTV65" s="470"/>
      <c r="LTW65" s="470"/>
      <c r="LTX65" s="470"/>
      <c r="LTY65" s="470"/>
      <c r="LTZ65" s="470"/>
      <c r="LUA65" s="470"/>
      <c r="LUB65" s="470"/>
      <c r="LUC65" s="470"/>
      <c r="LUD65" s="470"/>
      <c r="LUE65" s="470"/>
      <c r="LUF65" s="470"/>
      <c r="LUG65" s="470"/>
      <c r="LUH65" s="470"/>
      <c r="LUI65" s="470"/>
      <c r="LUJ65" s="470"/>
      <c r="LUK65" s="470"/>
      <c r="LUL65" s="471"/>
      <c r="LUM65" s="469"/>
      <c r="LUN65" s="470"/>
      <c r="LUO65" s="470"/>
      <c r="LUP65" s="470"/>
      <c r="LUQ65" s="470"/>
      <c r="LUR65" s="470"/>
      <c r="LUS65" s="470"/>
      <c r="LUT65" s="470"/>
      <c r="LUU65" s="470"/>
      <c r="LUV65" s="470"/>
      <c r="LUW65" s="470"/>
      <c r="LUX65" s="470"/>
      <c r="LUY65" s="470"/>
      <c r="LUZ65" s="470"/>
      <c r="LVA65" s="470"/>
      <c r="LVB65" s="470"/>
      <c r="LVC65" s="470"/>
      <c r="LVD65" s="470"/>
      <c r="LVE65" s="470"/>
      <c r="LVF65" s="470"/>
      <c r="LVG65" s="470"/>
      <c r="LVH65" s="470"/>
      <c r="LVI65" s="470"/>
      <c r="LVJ65" s="470"/>
      <c r="LVK65" s="470"/>
      <c r="LVL65" s="470"/>
      <c r="LVM65" s="470"/>
      <c r="LVN65" s="470"/>
      <c r="LVO65" s="470"/>
      <c r="LVP65" s="471"/>
      <c r="LVQ65" s="469"/>
      <c r="LVR65" s="470"/>
      <c r="LVS65" s="470"/>
      <c r="LVT65" s="470"/>
      <c r="LVU65" s="470"/>
      <c r="LVV65" s="470"/>
      <c r="LVW65" s="470"/>
      <c r="LVX65" s="470"/>
      <c r="LVY65" s="470"/>
      <c r="LVZ65" s="470"/>
      <c r="LWA65" s="470"/>
      <c r="LWB65" s="470"/>
      <c r="LWC65" s="470"/>
      <c r="LWD65" s="470"/>
      <c r="LWE65" s="470"/>
      <c r="LWF65" s="470"/>
      <c r="LWG65" s="470"/>
      <c r="LWH65" s="470"/>
      <c r="LWI65" s="470"/>
      <c r="LWJ65" s="470"/>
      <c r="LWK65" s="470"/>
      <c r="LWL65" s="470"/>
      <c r="LWM65" s="470"/>
      <c r="LWN65" s="470"/>
      <c r="LWO65" s="470"/>
      <c r="LWP65" s="470"/>
      <c r="LWQ65" s="470"/>
      <c r="LWR65" s="470"/>
      <c r="LWS65" s="470"/>
      <c r="LWT65" s="471"/>
      <c r="LWU65" s="469"/>
      <c r="LWV65" s="470"/>
      <c r="LWW65" s="470"/>
      <c r="LWX65" s="470"/>
      <c r="LWY65" s="470"/>
      <c r="LWZ65" s="470"/>
      <c r="LXA65" s="470"/>
      <c r="LXB65" s="470"/>
      <c r="LXC65" s="470"/>
      <c r="LXD65" s="470"/>
      <c r="LXE65" s="470"/>
      <c r="LXF65" s="470"/>
      <c r="LXG65" s="470"/>
      <c r="LXH65" s="470"/>
      <c r="LXI65" s="470"/>
      <c r="LXJ65" s="470"/>
      <c r="LXK65" s="470"/>
      <c r="LXL65" s="470"/>
      <c r="LXM65" s="470"/>
      <c r="LXN65" s="470"/>
      <c r="LXO65" s="470"/>
      <c r="LXP65" s="470"/>
      <c r="LXQ65" s="470"/>
      <c r="LXR65" s="470"/>
      <c r="LXS65" s="470"/>
      <c r="LXT65" s="470"/>
      <c r="LXU65" s="470"/>
      <c r="LXV65" s="470"/>
      <c r="LXW65" s="470"/>
      <c r="LXX65" s="471"/>
      <c r="LXY65" s="469"/>
      <c r="LXZ65" s="470"/>
      <c r="LYA65" s="470"/>
      <c r="LYB65" s="470"/>
      <c r="LYC65" s="470"/>
      <c r="LYD65" s="470"/>
      <c r="LYE65" s="470"/>
      <c r="LYF65" s="470"/>
      <c r="LYG65" s="470"/>
      <c r="LYH65" s="470"/>
      <c r="LYI65" s="470"/>
      <c r="LYJ65" s="470"/>
      <c r="LYK65" s="470"/>
      <c r="LYL65" s="470"/>
      <c r="LYM65" s="470"/>
      <c r="LYN65" s="470"/>
      <c r="LYO65" s="470"/>
      <c r="LYP65" s="470"/>
      <c r="LYQ65" s="470"/>
      <c r="LYR65" s="470"/>
      <c r="LYS65" s="470"/>
      <c r="LYT65" s="470"/>
      <c r="LYU65" s="470"/>
      <c r="LYV65" s="470"/>
      <c r="LYW65" s="470"/>
      <c r="LYX65" s="470"/>
      <c r="LYY65" s="470"/>
      <c r="LYZ65" s="470"/>
      <c r="LZA65" s="470"/>
      <c r="LZB65" s="471"/>
      <c r="LZC65" s="469"/>
      <c r="LZD65" s="470"/>
      <c r="LZE65" s="470"/>
      <c r="LZF65" s="470"/>
      <c r="LZG65" s="470"/>
      <c r="LZH65" s="470"/>
      <c r="LZI65" s="470"/>
      <c r="LZJ65" s="470"/>
      <c r="LZK65" s="470"/>
      <c r="LZL65" s="470"/>
      <c r="LZM65" s="470"/>
      <c r="LZN65" s="470"/>
      <c r="LZO65" s="470"/>
      <c r="LZP65" s="470"/>
      <c r="LZQ65" s="470"/>
      <c r="LZR65" s="470"/>
      <c r="LZS65" s="470"/>
      <c r="LZT65" s="470"/>
      <c r="LZU65" s="470"/>
      <c r="LZV65" s="470"/>
      <c r="LZW65" s="470"/>
      <c r="LZX65" s="470"/>
      <c r="LZY65" s="470"/>
      <c r="LZZ65" s="470"/>
      <c r="MAA65" s="470"/>
      <c r="MAB65" s="470"/>
      <c r="MAC65" s="470"/>
      <c r="MAD65" s="470"/>
      <c r="MAE65" s="470"/>
      <c r="MAF65" s="471"/>
      <c r="MAG65" s="469"/>
      <c r="MAH65" s="470"/>
      <c r="MAI65" s="470"/>
      <c r="MAJ65" s="470"/>
      <c r="MAK65" s="470"/>
      <c r="MAL65" s="470"/>
      <c r="MAM65" s="470"/>
      <c r="MAN65" s="470"/>
      <c r="MAO65" s="470"/>
      <c r="MAP65" s="470"/>
      <c r="MAQ65" s="470"/>
      <c r="MAR65" s="470"/>
      <c r="MAS65" s="470"/>
      <c r="MAT65" s="470"/>
      <c r="MAU65" s="470"/>
      <c r="MAV65" s="470"/>
      <c r="MAW65" s="470"/>
      <c r="MAX65" s="470"/>
      <c r="MAY65" s="470"/>
      <c r="MAZ65" s="470"/>
      <c r="MBA65" s="470"/>
      <c r="MBB65" s="470"/>
      <c r="MBC65" s="470"/>
      <c r="MBD65" s="470"/>
      <c r="MBE65" s="470"/>
      <c r="MBF65" s="470"/>
      <c r="MBG65" s="470"/>
      <c r="MBH65" s="470"/>
      <c r="MBI65" s="470"/>
      <c r="MBJ65" s="471"/>
      <c r="MBK65" s="469"/>
      <c r="MBL65" s="470"/>
      <c r="MBM65" s="470"/>
      <c r="MBN65" s="470"/>
      <c r="MBO65" s="470"/>
      <c r="MBP65" s="470"/>
      <c r="MBQ65" s="470"/>
      <c r="MBR65" s="470"/>
      <c r="MBS65" s="470"/>
      <c r="MBT65" s="470"/>
      <c r="MBU65" s="470"/>
      <c r="MBV65" s="470"/>
      <c r="MBW65" s="470"/>
      <c r="MBX65" s="470"/>
      <c r="MBY65" s="470"/>
      <c r="MBZ65" s="470"/>
      <c r="MCA65" s="470"/>
      <c r="MCB65" s="470"/>
      <c r="MCC65" s="470"/>
      <c r="MCD65" s="470"/>
      <c r="MCE65" s="470"/>
      <c r="MCF65" s="470"/>
      <c r="MCG65" s="470"/>
      <c r="MCH65" s="470"/>
      <c r="MCI65" s="470"/>
      <c r="MCJ65" s="470"/>
      <c r="MCK65" s="470"/>
      <c r="MCL65" s="470"/>
      <c r="MCM65" s="470"/>
      <c r="MCN65" s="471"/>
      <c r="MCO65" s="469"/>
      <c r="MCP65" s="470"/>
      <c r="MCQ65" s="470"/>
      <c r="MCR65" s="470"/>
      <c r="MCS65" s="470"/>
      <c r="MCT65" s="470"/>
      <c r="MCU65" s="470"/>
      <c r="MCV65" s="470"/>
      <c r="MCW65" s="470"/>
      <c r="MCX65" s="470"/>
      <c r="MCY65" s="470"/>
      <c r="MCZ65" s="470"/>
      <c r="MDA65" s="470"/>
      <c r="MDB65" s="470"/>
      <c r="MDC65" s="470"/>
      <c r="MDD65" s="470"/>
      <c r="MDE65" s="470"/>
      <c r="MDF65" s="470"/>
      <c r="MDG65" s="470"/>
      <c r="MDH65" s="470"/>
      <c r="MDI65" s="470"/>
      <c r="MDJ65" s="470"/>
      <c r="MDK65" s="470"/>
      <c r="MDL65" s="470"/>
      <c r="MDM65" s="470"/>
      <c r="MDN65" s="470"/>
      <c r="MDO65" s="470"/>
      <c r="MDP65" s="470"/>
      <c r="MDQ65" s="470"/>
      <c r="MDR65" s="471"/>
      <c r="MDS65" s="469"/>
      <c r="MDT65" s="470"/>
      <c r="MDU65" s="470"/>
      <c r="MDV65" s="470"/>
      <c r="MDW65" s="470"/>
      <c r="MDX65" s="470"/>
      <c r="MDY65" s="470"/>
      <c r="MDZ65" s="470"/>
      <c r="MEA65" s="470"/>
      <c r="MEB65" s="470"/>
      <c r="MEC65" s="470"/>
      <c r="MED65" s="470"/>
      <c r="MEE65" s="470"/>
      <c r="MEF65" s="470"/>
      <c r="MEG65" s="470"/>
      <c r="MEH65" s="470"/>
      <c r="MEI65" s="470"/>
      <c r="MEJ65" s="470"/>
      <c r="MEK65" s="470"/>
      <c r="MEL65" s="470"/>
      <c r="MEM65" s="470"/>
      <c r="MEN65" s="470"/>
      <c r="MEO65" s="470"/>
      <c r="MEP65" s="470"/>
      <c r="MEQ65" s="470"/>
      <c r="MER65" s="470"/>
      <c r="MES65" s="470"/>
      <c r="MET65" s="470"/>
      <c r="MEU65" s="470"/>
      <c r="MEV65" s="471"/>
      <c r="MEW65" s="469"/>
      <c r="MEX65" s="470"/>
      <c r="MEY65" s="470"/>
      <c r="MEZ65" s="470"/>
      <c r="MFA65" s="470"/>
      <c r="MFB65" s="470"/>
      <c r="MFC65" s="470"/>
      <c r="MFD65" s="470"/>
      <c r="MFE65" s="470"/>
      <c r="MFF65" s="470"/>
      <c r="MFG65" s="470"/>
      <c r="MFH65" s="470"/>
      <c r="MFI65" s="470"/>
      <c r="MFJ65" s="470"/>
      <c r="MFK65" s="470"/>
      <c r="MFL65" s="470"/>
      <c r="MFM65" s="470"/>
      <c r="MFN65" s="470"/>
      <c r="MFO65" s="470"/>
      <c r="MFP65" s="470"/>
      <c r="MFQ65" s="470"/>
      <c r="MFR65" s="470"/>
      <c r="MFS65" s="470"/>
      <c r="MFT65" s="470"/>
      <c r="MFU65" s="470"/>
      <c r="MFV65" s="470"/>
      <c r="MFW65" s="470"/>
      <c r="MFX65" s="470"/>
      <c r="MFY65" s="470"/>
      <c r="MFZ65" s="471"/>
      <c r="MGA65" s="469"/>
      <c r="MGB65" s="470"/>
      <c r="MGC65" s="470"/>
      <c r="MGD65" s="470"/>
      <c r="MGE65" s="470"/>
      <c r="MGF65" s="470"/>
      <c r="MGG65" s="470"/>
      <c r="MGH65" s="470"/>
      <c r="MGI65" s="470"/>
      <c r="MGJ65" s="470"/>
      <c r="MGK65" s="470"/>
      <c r="MGL65" s="470"/>
      <c r="MGM65" s="470"/>
      <c r="MGN65" s="470"/>
      <c r="MGO65" s="470"/>
      <c r="MGP65" s="470"/>
      <c r="MGQ65" s="470"/>
      <c r="MGR65" s="470"/>
      <c r="MGS65" s="470"/>
      <c r="MGT65" s="470"/>
      <c r="MGU65" s="470"/>
      <c r="MGV65" s="470"/>
      <c r="MGW65" s="470"/>
      <c r="MGX65" s="470"/>
      <c r="MGY65" s="470"/>
      <c r="MGZ65" s="470"/>
      <c r="MHA65" s="470"/>
      <c r="MHB65" s="470"/>
      <c r="MHC65" s="470"/>
      <c r="MHD65" s="471"/>
      <c r="MHE65" s="469"/>
      <c r="MHF65" s="470"/>
      <c r="MHG65" s="470"/>
      <c r="MHH65" s="470"/>
      <c r="MHI65" s="470"/>
      <c r="MHJ65" s="470"/>
      <c r="MHK65" s="470"/>
      <c r="MHL65" s="470"/>
      <c r="MHM65" s="470"/>
      <c r="MHN65" s="470"/>
      <c r="MHO65" s="470"/>
      <c r="MHP65" s="470"/>
      <c r="MHQ65" s="470"/>
      <c r="MHR65" s="470"/>
      <c r="MHS65" s="470"/>
      <c r="MHT65" s="470"/>
      <c r="MHU65" s="470"/>
      <c r="MHV65" s="470"/>
      <c r="MHW65" s="470"/>
      <c r="MHX65" s="470"/>
      <c r="MHY65" s="470"/>
      <c r="MHZ65" s="470"/>
      <c r="MIA65" s="470"/>
      <c r="MIB65" s="470"/>
      <c r="MIC65" s="470"/>
      <c r="MID65" s="470"/>
      <c r="MIE65" s="470"/>
      <c r="MIF65" s="470"/>
      <c r="MIG65" s="470"/>
      <c r="MIH65" s="471"/>
      <c r="MII65" s="469"/>
      <c r="MIJ65" s="470"/>
      <c r="MIK65" s="470"/>
      <c r="MIL65" s="470"/>
      <c r="MIM65" s="470"/>
      <c r="MIN65" s="470"/>
      <c r="MIO65" s="470"/>
      <c r="MIP65" s="470"/>
      <c r="MIQ65" s="470"/>
      <c r="MIR65" s="470"/>
      <c r="MIS65" s="470"/>
      <c r="MIT65" s="470"/>
      <c r="MIU65" s="470"/>
      <c r="MIV65" s="470"/>
      <c r="MIW65" s="470"/>
      <c r="MIX65" s="470"/>
      <c r="MIY65" s="470"/>
      <c r="MIZ65" s="470"/>
      <c r="MJA65" s="470"/>
      <c r="MJB65" s="470"/>
      <c r="MJC65" s="470"/>
      <c r="MJD65" s="470"/>
      <c r="MJE65" s="470"/>
      <c r="MJF65" s="470"/>
      <c r="MJG65" s="470"/>
      <c r="MJH65" s="470"/>
      <c r="MJI65" s="470"/>
      <c r="MJJ65" s="470"/>
      <c r="MJK65" s="470"/>
      <c r="MJL65" s="471"/>
      <c r="MJM65" s="469"/>
      <c r="MJN65" s="470"/>
      <c r="MJO65" s="470"/>
      <c r="MJP65" s="470"/>
      <c r="MJQ65" s="470"/>
      <c r="MJR65" s="470"/>
      <c r="MJS65" s="470"/>
      <c r="MJT65" s="470"/>
      <c r="MJU65" s="470"/>
      <c r="MJV65" s="470"/>
      <c r="MJW65" s="470"/>
      <c r="MJX65" s="470"/>
      <c r="MJY65" s="470"/>
      <c r="MJZ65" s="470"/>
      <c r="MKA65" s="470"/>
      <c r="MKB65" s="470"/>
      <c r="MKC65" s="470"/>
      <c r="MKD65" s="470"/>
      <c r="MKE65" s="470"/>
      <c r="MKF65" s="470"/>
      <c r="MKG65" s="470"/>
      <c r="MKH65" s="470"/>
      <c r="MKI65" s="470"/>
      <c r="MKJ65" s="470"/>
      <c r="MKK65" s="470"/>
      <c r="MKL65" s="470"/>
      <c r="MKM65" s="470"/>
      <c r="MKN65" s="470"/>
      <c r="MKO65" s="470"/>
      <c r="MKP65" s="471"/>
      <c r="MKQ65" s="469"/>
      <c r="MKR65" s="470"/>
      <c r="MKS65" s="470"/>
      <c r="MKT65" s="470"/>
      <c r="MKU65" s="470"/>
      <c r="MKV65" s="470"/>
      <c r="MKW65" s="470"/>
      <c r="MKX65" s="470"/>
      <c r="MKY65" s="470"/>
      <c r="MKZ65" s="470"/>
      <c r="MLA65" s="470"/>
      <c r="MLB65" s="470"/>
      <c r="MLC65" s="470"/>
      <c r="MLD65" s="470"/>
      <c r="MLE65" s="470"/>
      <c r="MLF65" s="470"/>
      <c r="MLG65" s="470"/>
      <c r="MLH65" s="470"/>
      <c r="MLI65" s="470"/>
      <c r="MLJ65" s="470"/>
      <c r="MLK65" s="470"/>
      <c r="MLL65" s="470"/>
      <c r="MLM65" s="470"/>
      <c r="MLN65" s="470"/>
      <c r="MLO65" s="470"/>
      <c r="MLP65" s="470"/>
      <c r="MLQ65" s="470"/>
      <c r="MLR65" s="470"/>
      <c r="MLS65" s="470"/>
      <c r="MLT65" s="471"/>
      <c r="MLU65" s="469"/>
      <c r="MLV65" s="470"/>
      <c r="MLW65" s="470"/>
      <c r="MLX65" s="470"/>
      <c r="MLY65" s="470"/>
      <c r="MLZ65" s="470"/>
      <c r="MMA65" s="470"/>
      <c r="MMB65" s="470"/>
      <c r="MMC65" s="470"/>
      <c r="MMD65" s="470"/>
      <c r="MME65" s="470"/>
      <c r="MMF65" s="470"/>
      <c r="MMG65" s="470"/>
      <c r="MMH65" s="470"/>
      <c r="MMI65" s="470"/>
      <c r="MMJ65" s="470"/>
      <c r="MMK65" s="470"/>
      <c r="MML65" s="470"/>
      <c r="MMM65" s="470"/>
      <c r="MMN65" s="470"/>
      <c r="MMO65" s="470"/>
      <c r="MMP65" s="470"/>
      <c r="MMQ65" s="470"/>
      <c r="MMR65" s="470"/>
      <c r="MMS65" s="470"/>
      <c r="MMT65" s="470"/>
      <c r="MMU65" s="470"/>
      <c r="MMV65" s="470"/>
      <c r="MMW65" s="470"/>
      <c r="MMX65" s="471"/>
      <c r="MMY65" s="469"/>
      <c r="MMZ65" s="470"/>
      <c r="MNA65" s="470"/>
      <c r="MNB65" s="470"/>
      <c r="MNC65" s="470"/>
      <c r="MND65" s="470"/>
      <c r="MNE65" s="470"/>
      <c r="MNF65" s="470"/>
      <c r="MNG65" s="470"/>
      <c r="MNH65" s="470"/>
      <c r="MNI65" s="470"/>
      <c r="MNJ65" s="470"/>
      <c r="MNK65" s="470"/>
      <c r="MNL65" s="470"/>
      <c r="MNM65" s="470"/>
      <c r="MNN65" s="470"/>
      <c r="MNO65" s="470"/>
      <c r="MNP65" s="470"/>
      <c r="MNQ65" s="470"/>
      <c r="MNR65" s="470"/>
      <c r="MNS65" s="470"/>
      <c r="MNT65" s="470"/>
      <c r="MNU65" s="470"/>
      <c r="MNV65" s="470"/>
      <c r="MNW65" s="470"/>
      <c r="MNX65" s="470"/>
      <c r="MNY65" s="470"/>
      <c r="MNZ65" s="470"/>
      <c r="MOA65" s="470"/>
      <c r="MOB65" s="471"/>
      <c r="MOC65" s="469"/>
      <c r="MOD65" s="470"/>
      <c r="MOE65" s="470"/>
      <c r="MOF65" s="470"/>
      <c r="MOG65" s="470"/>
      <c r="MOH65" s="470"/>
      <c r="MOI65" s="470"/>
      <c r="MOJ65" s="470"/>
      <c r="MOK65" s="470"/>
      <c r="MOL65" s="470"/>
      <c r="MOM65" s="470"/>
      <c r="MON65" s="470"/>
      <c r="MOO65" s="470"/>
      <c r="MOP65" s="470"/>
      <c r="MOQ65" s="470"/>
      <c r="MOR65" s="470"/>
      <c r="MOS65" s="470"/>
      <c r="MOT65" s="470"/>
      <c r="MOU65" s="470"/>
      <c r="MOV65" s="470"/>
      <c r="MOW65" s="470"/>
      <c r="MOX65" s="470"/>
      <c r="MOY65" s="470"/>
      <c r="MOZ65" s="470"/>
      <c r="MPA65" s="470"/>
      <c r="MPB65" s="470"/>
      <c r="MPC65" s="470"/>
      <c r="MPD65" s="470"/>
      <c r="MPE65" s="470"/>
      <c r="MPF65" s="471"/>
      <c r="MPG65" s="469"/>
      <c r="MPH65" s="470"/>
      <c r="MPI65" s="470"/>
      <c r="MPJ65" s="470"/>
      <c r="MPK65" s="470"/>
      <c r="MPL65" s="470"/>
      <c r="MPM65" s="470"/>
      <c r="MPN65" s="470"/>
      <c r="MPO65" s="470"/>
      <c r="MPP65" s="470"/>
      <c r="MPQ65" s="470"/>
      <c r="MPR65" s="470"/>
      <c r="MPS65" s="470"/>
      <c r="MPT65" s="470"/>
      <c r="MPU65" s="470"/>
      <c r="MPV65" s="470"/>
      <c r="MPW65" s="470"/>
      <c r="MPX65" s="470"/>
      <c r="MPY65" s="470"/>
      <c r="MPZ65" s="470"/>
      <c r="MQA65" s="470"/>
      <c r="MQB65" s="470"/>
      <c r="MQC65" s="470"/>
      <c r="MQD65" s="470"/>
      <c r="MQE65" s="470"/>
      <c r="MQF65" s="470"/>
      <c r="MQG65" s="470"/>
      <c r="MQH65" s="470"/>
      <c r="MQI65" s="470"/>
      <c r="MQJ65" s="471"/>
      <c r="MQK65" s="469"/>
      <c r="MQL65" s="470"/>
      <c r="MQM65" s="470"/>
      <c r="MQN65" s="470"/>
      <c r="MQO65" s="470"/>
      <c r="MQP65" s="470"/>
      <c r="MQQ65" s="470"/>
      <c r="MQR65" s="470"/>
      <c r="MQS65" s="470"/>
      <c r="MQT65" s="470"/>
      <c r="MQU65" s="470"/>
      <c r="MQV65" s="470"/>
      <c r="MQW65" s="470"/>
      <c r="MQX65" s="470"/>
      <c r="MQY65" s="470"/>
      <c r="MQZ65" s="470"/>
      <c r="MRA65" s="470"/>
      <c r="MRB65" s="470"/>
      <c r="MRC65" s="470"/>
      <c r="MRD65" s="470"/>
      <c r="MRE65" s="470"/>
      <c r="MRF65" s="470"/>
      <c r="MRG65" s="470"/>
      <c r="MRH65" s="470"/>
      <c r="MRI65" s="470"/>
      <c r="MRJ65" s="470"/>
      <c r="MRK65" s="470"/>
      <c r="MRL65" s="470"/>
      <c r="MRM65" s="470"/>
      <c r="MRN65" s="471"/>
      <c r="MRO65" s="469"/>
      <c r="MRP65" s="470"/>
      <c r="MRQ65" s="470"/>
      <c r="MRR65" s="470"/>
      <c r="MRS65" s="470"/>
      <c r="MRT65" s="470"/>
      <c r="MRU65" s="470"/>
      <c r="MRV65" s="470"/>
      <c r="MRW65" s="470"/>
      <c r="MRX65" s="470"/>
      <c r="MRY65" s="470"/>
      <c r="MRZ65" s="470"/>
      <c r="MSA65" s="470"/>
      <c r="MSB65" s="470"/>
      <c r="MSC65" s="470"/>
      <c r="MSD65" s="470"/>
      <c r="MSE65" s="470"/>
      <c r="MSF65" s="470"/>
      <c r="MSG65" s="470"/>
      <c r="MSH65" s="470"/>
      <c r="MSI65" s="470"/>
      <c r="MSJ65" s="470"/>
      <c r="MSK65" s="470"/>
      <c r="MSL65" s="470"/>
      <c r="MSM65" s="470"/>
      <c r="MSN65" s="470"/>
      <c r="MSO65" s="470"/>
      <c r="MSP65" s="470"/>
      <c r="MSQ65" s="470"/>
      <c r="MSR65" s="471"/>
      <c r="MSS65" s="469"/>
      <c r="MST65" s="470"/>
      <c r="MSU65" s="470"/>
      <c r="MSV65" s="470"/>
      <c r="MSW65" s="470"/>
      <c r="MSX65" s="470"/>
      <c r="MSY65" s="470"/>
      <c r="MSZ65" s="470"/>
      <c r="MTA65" s="470"/>
      <c r="MTB65" s="470"/>
      <c r="MTC65" s="470"/>
      <c r="MTD65" s="470"/>
      <c r="MTE65" s="470"/>
      <c r="MTF65" s="470"/>
      <c r="MTG65" s="470"/>
      <c r="MTH65" s="470"/>
      <c r="MTI65" s="470"/>
      <c r="MTJ65" s="470"/>
      <c r="MTK65" s="470"/>
      <c r="MTL65" s="470"/>
      <c r="MTM65" s="470"/>
      <c r="MTN65" s="470"/>
      <c r="MTO65" s="470"/>
      <c r="MTP65" s="470"/>
      <c r="MTQ65" s="470"/>
      <c r="MTR65" s="470"/>
      <c r="MTS65" s="470"/>
      <c r="MTT65" s="470"/>
      <c r="MTU65" s="470"/>
      <c r="MTV65" s="471"/>
      <c r="MTW65" s="469"/>
      <c r="MTX65" s="470"/>
      <c r="MTY65" s="470"/>
      <c r="MTZ65" s="470"/>
      <c r="MUA65" s="470"/>
      <c r="MUB65" s="470"/>
      <c r="MUC65" s="470"/>
      <c r="MUD65" s="470"/>
      <c r="MUE65" s="470"/>
      <c r="MUF65" s="470"/>
      <c r="MUG65" s="470"/>
      <c r="MUH65" s="470"/>
      <c r="MUI65" s="470"/>
      <c r="MUJ65" s="470"/>
      <c r="MUK65" s="470"/>
      <c r="MUL65" s="470"/>
      <c r="MUM65" s="470"/>
      <c r="MUN65" s="470"/>
      <c r="MUO65" s="470"/>
      <c r="MUP65" s="470"/>
      <c r="MUQ65" s="470"/>
      <c r="MUR65" s="470"/>
      <c r="MUS65" s="470"/>
      <c r="MUT65" s="470"/>
      <c r="MUU65" s="470"/>
      <c r="MUV65" s="470"/>
      <c r="MUW65" s="470"/>
      <c r="MUX65" s="470"/>
      <c r="MUY65" s="470"/>
      <c r="MUZ65" s="471"/>
      <c r="MVA65" s="469"/>
      <c r="MVB65" s="470"/>
      <c r="MVC65" s="470"/>
      <c r="MVD65" s="470"/>
      <c r="MVE65" s="470"/>
      <c r="MVF65" s="470"/>
      <c r="MVG65" s="470"/>
      <c r="MVH65" s="470"/>
      <c r="MVI65" s="470"/>
      <c r="MVJ65" s="470"/>
      <c r="MVK65" s="470"/>
      <c r="MVL65" s="470"/>
      <c r="MVM65" s="470"/>
      <c r="MVN65" s="470"/>
      <c r="MVO65" s="470"/>
      <c r="MVP65" s="470"/>
      <c r="MVQ65" s="470"/>
      <c r="MVR65" s="470"/>
      <c r="MVS65" s="470"/>
      <c r="MVT65" s="470"/>
      <c r="MVU65" s="470"/>
      <c r="MVV65" s="470"/>
      <c r="MVW65" s="470"/>
      <c r="MVX65" s="470"/>
      <c r="MVY65" s="470"/>
      <c r="MVZ65" s="470"/>
      <c r="MWA65" s="470"/>
      <c r="MWB65" s="470"/>
      <c r="MWC65" s="470"/>
      <c r="MWD65" s="471"/>
      <c r="MWE65" s="469"/>
      <c r="MWF65" s="470"/>
      <c r="MWG65" s="470"/>
      <c r="MWH65" s="470"/>
      <c r="MWI65" s="470"/>
      <c r="MWJ65" s="470"/>
      <c r="MWK65" s="470"/>
      <c r="MWL65" s="470"/>
      <c r="MWM65" s="470"/>
      <c r="MWN65" s="470"/>
      <c r="MWO65" s="470"/>
      <c r="MWP65" s="470"/>
      <c r="MWQ65" s="470"/>
      <c r="MWR65" s="470"/>
      <c r="MWS65" s="470"/>
      <c r="MWT65" s="470"/>
      <c r="MWU65" s="470"/>
      <c r="MWV65" s="470"/>
      <c r="MWW65" s="470"/>
      <c r="MWX65" s="470"/>
      <c r="MWY65" s="470"/>
      <c r="MWZ65" s="470"/>
      <c r="MXA65" s="470"/>
      <c r="MXB65" s="470"/>
      <c r="MXC65" s="470"/>
      <c r="MXD65" s="470"/>
      <c r="MXE65" s="470"/>
      <c r="MXF65" s="470"/>
      <c r="MXG65" s="470"/>
      <c r="MXH65" s="471"/>
      <c r="MXI65" s="469"/>
      <c r="MXJ65" s="470"/>
      <c r="MXK65" s="470"/>
      <c r="MXL65" s="470"/>
      <c r="MXM65" s="470"/>
      <c r="MXN65" s="470"/>
      <c r="MXO65" s="470"/>
      <c r="MXP65" s="470"/>
      <c r="MXQ65" s="470"/>
      <c r="MXR65" s="470"/>
      <c r="MXS65" s="470"/>
      <c r="MXT65" s="470"/>
      <c r="MXU65" s="470"/>
      <c r="MXV65" s="470"/>
      <c r="MXW65" s="470"/>
      <c r="MXX65" s="470"/>
      <c r="MXY65" s="470"/>
      <c r="MXZ65" s="470"/>
      <c r="MYA65" s="470"/>
      <c r="MYB65" s="470"/>
      <c r="MYC65" s="470"/>
      <c r="MYD65" s="470"/>
      <c r="MYE65" s="470"/>
      <c r="MYF65" s="470"/>
      <c r="MYG65" s="470"/>
      <c r="MYH65" s="470"/>
      <c r="MYI65" s="470"/>
      <c r="MYJ65" s="470"/>
      <c r="MYK65" s="470"/>
      <c r="MYL65" s="471"/>
      <c r="MYM65" s="469"/>
      <c r="MYN65" s="470"/>
      <c r="MYO65" s="470"/>
      <c r="MYP65" s="470"/>
      <c r="MYQ65" s="470"/>
      <c r="MYR65" s="470"/>
      <c r="MYS65" s="470"/>
      <c r="MYT65" s="470"/>
      <c r="MYU65" s="470"/>
      <c r="MYV65" s="470"/>
      <c r="MYW65" s="470"/>
      <c r="MYX65" s="470"/>
      <c r="MYY65" s="470"/>
      <c r="MYZ65" s="470"/>
      <c r="MZA65" s="470"/>
      <c r="MZB65" s="470"/>
      <c r="MZC65" s="470"/>
      <c r="MZD65" s="470"/>
      <c r="MZE65" s="470"/>
      <c r="MZF65" s="470"/>
      <c r="MZG65" s="470"/>
      <c r="MZH65" s="470"/>
      <c r="MZI65" s="470"/>
      <c r="MZJ65" s="470"/>
      <c r="MZK65" s="470"/>
      <c r="MZL65" s="470"/>
      <c r="MZM65" s="470"/>
      <c r="MZN65" s="470"/>
      <c r="MZO65" s="470"/>
      <c r="MZP65" s="471"/>
      <c r="MZQ65" s="469"/>
      <c r="MZR65" s="470"/>
      <c r="MZS65" s="470"/>
      <c r="MZT65" s="470"/>
      <c r="MZU65" s="470"/>
      <c r="MZV65" s="470"/>
      <c r="MZW65" s="470"/>
      <c r="MZX65" s="470"/>
      <c r="MZY65" s="470"/>
      <c r="MZZ65" s="470"/>
      <c r="NAA65" s="470"/>
      <c r="NAB65" s="470"/>
      <c r="NAC65" s="470"/>
      <c r="NAD65" s="470"/>
      <c r="NAE65" s="470"/>
      <c r="NAF65" s="470"/>
      <c r="NAG65" s="470"/>
      <c r="NAH65" s="470"/>
      <c r="NAI65" s="470"/>
      <c r="NAJ65" s="470"/>
      <c r="NAK65" s="470"/>
      <c r="NAL65" s="470"/>
      <c r="NAM65" s="470"/>
      <c r="NAN65" s="470"/>
      <c r="NAO65" s="470"/>
      <c r="NAP65" s="470"/>
      <c r="NAQ65" s="470"/>
      <c r="NAR65" s="470"/>
      <c r="NAS65" s="470"/>
      <c r="NAT65" s="471"/>
      <c r="NAU65" s="469"/>
      <c r="NAV65" s="470"/>
      <c r="NAW65" s="470"/>
      <c r="NAX65" s="470"/>
      <c r="NAY65" s="470"/>
      <c r="NAZ65" s="470"/>
      <c r="NBA65" s="470"/>
      <c r="NBB65" s="470"/>
      <c r="NBC65" s="470"/>
      <c r="NBD65" s="470"/>
      <c r="NBE65" s="470"/>
      <c r="NBF65" s="470"/>
      <c r="NBG65" s="470"/>
      <c r="NBH65" s="470"/>
      <c r="NBI65" s="470"/>
      <c r="NBJ65" s="470"/>
      <c r="NBK65" s="470"/>
      <c r="NBL65" s="470"/>
      <c r="NBM65" s="470"/>
      <c r="NBN65" s="470"/>
      <c r="NBO65" s="470"/>
      <c r="NBP65" s="470"/>
      <c r="NBQ65" s="470"/>
      <c r="NBR65" s="470"/>
      <c r="NBS65" s="470"/>
      <c r="NBT65" s="470"/>
      <c r="NBU65" s="470"/>
      <c r="NBV65" s="470"/>
      <c r="NBW65" s="470"/>
      <c r="NBX65" s="471"/>
      <c r="NBY65" s="469"/>
      <c r="NBZ65" s="470"/>
      <c r="NCA65" s="470"/>
      <c r="NCB65" s="470"/>
      <c r="NCC65" s="470"/>
      <c r="NCD65" s="470"/>
      <c r="NCE65" s="470"/>
      <c r="NCF65" s="470"/>
      <c r="NCG65" s="470"/>
      <c r="NCH65" s="470"/>
      <c r="NCI65" s="470"/>
      <c r="NCJ65" s="470"/>
      <c r="NCK65" s="470"/>
      <c r="NCL65" s="470"/>
      <c r="NCM65" s="470"/>
      <c r="NCN65" s="470"/>
      <c r="NCO65" s="470"/>
      <c r="NCP65" s="470"/>
      <c r="NCQ65" s="470"/>
      <c r="NCR65" s="470"/>
      <c r="NCS65" s="470"/>
      <c r="NCT65" s="470"/>
      <c r="NCU65" s="470"/>
      <c r="NCV65" s="470"/>
      <c r="NCW65" s="470"/>
      <c r="NCX65" s="470"/>
      <c r="NCY65" s="470"/>
      <c r="NCZ65" s="470"/>
      <c r="NDA65" s="470"/>
      <c r="NDB65" s="471"/>
      <c r="NDC65" s="469"/>
      <c r="NDD65" s="470"/>
      <c r="NDE65" s="470"/>
      <c r="NDF65" s="470"/>
      <c r="NDG65" s="470"/>
      <c r="NDH65" s="470"/>
      <c r="NDI65" s="470"/>
      <c r="NDJ65" s="470"/>
      <c r="NDK65" s="470"/>
      <c r="NDL65" s="470"/>
      <c r="NDM65" s="470"/>
      <c r="NDN65" s="470"/>
      <c r="NDO65" s="470"/>
      <c r="NDP65" s="470"/>
      <c r="NDQ65" s="470"/>
      <c r="NDR65" s="470"/>
      <c r="NDS65" s="470"/>
      <c r="NDT65" s="470"/>
      <c r="NDU65" s="470"/>
      <c r="NDV65" s="470"/>
      <c r="NDW65" s="470"/>
      <c r="NDX65" s="470"/>
      <c r="NDY65" s="470"/>
      <c r="NDZ65" s="470"/>
      <c r="NEA65" s="470"/>
      <c r="NEB65" s="470"/>
      <c r="NEC65" s="470"/>
      <c r="NED65" s="470"/>
      <c r="NEE65" s="470"/>
      <c r="NEF65" s="471"/>
      <c r="NEG65" s="469"/>
      <c r="NEH65" s="470"/>
      <c r="NEI65" s="470"/>
      <c r="NEJ65" s="470"/>
      <c r="NEK65" s="470"/>
      <c r="NEL65" s="470"/>
      <c r="NEM65" s="470"/>
      <c r="NEN65" s="470"/>
      <c r="NEO65" s="470"/>
      <c r="NEP65" s="470"/>
      <c r="NEQ65" s="470"/>
      <c r="NER65" s="470"/>
      <c r="NES65" s="470"/>
      <c r="NET65" s="470"/>
      <c r="NEU65" s="470"/>
      <c r="NEV65" s="470"/>
      <c r="NEW65" s="470"/>
      <c r="NEX65" s="470"/>
      <c r="NEY65" s="470"/>
      <c r="NEZ65" s="470"/>
      <c r="NFA65" s="470"/>
      <c r="NFB65" s="470"/>
      <c r="NFC65" s="470"/>
      <c r="NFD65" s="470"/>
      <c r="NFE65" s="470"/>
      <c r="NFF65" s="470"/>
      <c r="NFG65" s="470"/>
      <c r="NFH65" s="470"/>
      <c r="NFI65" s="470"/>
      <c r="NFJ65" s="471"/>
      <c r="NFK65" s="469"/>
      <c r="NFL65" s="470"/>
      <c r="NFM65" s="470"/>
      <c r="NFN65" s="470"/>
      <c r="NFO65" s="470"/>
      <c r="NFP65" s="470"/>
      <c r="NFQ65" s="470"/>
      <c r="NFR65" s="470"/>
      <c r="NFS65" s="470"/>
      <c r="NFT65" s="470"/>
      <c r="NFU65" s="470"/>
      <c r="NFV65" s="470"/>
      <c r="NFW65" s="470"/>
      <c r="NFX65" s="470"/>
      <c r="NFY65" s="470"/>
      <c r="NFZ65" s="470"/>
      <c r="NGA65" s="470"/>
      <c r="NGB65" s="470"/>
      <c r="NGC65" s="470"/>
      <c r="NGD65" s="470"/>
      <c r="NGE65" s="470"/>
      <c r="NGF65" s="470"/>
      <c r="NGG65" s="470"/>
      <c r="NGH65" s="470"/>
      <c r="NGI65" s="470"/>
      <c r="NGJ65" s="470"/>
      <c r="NGK65" s="470"/>
      <c r="NGL65" s="470"/>
      <c r="NGM65" s="470"/>
      <c r="NGN65" s="471"/>
      <c r="NGO65" s="469"/>
      <c r="NGP65" s="470"/>
      <c r="NGQ65" s="470"/>
      <c r="NGR65" s="470"/>
      <c r="NGS65" s="470"/>
      <c r="NGT65" s="470"/>
      <c r="NGU65" s="470"/>
      <c r="NGV65" s="470"/>
      <c r="NGW65" s="470"/>
      <c r="NGX65" s="470"/>
      <c r="NGY65" s="470"/>
      <c r="NGZ65" s="470"/>
      <c r="NHA65" s="470"/>
      <c r="NHB65" s="470"/>
      <c r="NHC65" s="470"/>
      <c r="NHD65" s="470"/>
      <c r="NHE65" s="470"/>
      <c r="NHF65" s="470"/>
      <c r="NHG65" s="470"/>
      <c r="NHH65" s="470"/>
      <c r="NHI65" s="470"/>
      <c r="NHJ65" s="470"/>
      <c r="NHK65" s="470"/>
      <c r="NHL65" s="470"/>
      <c r="NHM65" s="470"/>
      <c r="NHN65" s="470"/>
      <c r="NHO65" s="470"/>
      <c r="NHP65" s="470"/>
      <c r="NHQ65" s="470"/>
      <c r="NHR65" s="471"/>
      <c r="NHS65" s="469"/>
      <c r="NHT65" s="470"/>
      <c r="NHU65" s="470"/>
      <c r="NHV65" s="470"/>
      <c r="NHW65" s="470"/>
      <c r="NHX65" s="470"/>
      <c r="NHY65" s="470"/>
      <c r="NHZ65" s="470"/>
      <c r="NIA65" s="470"/>
      <c r="NIB65" s="470"/>
      <c r="NIC65" s="470"/>
      <c r="NID65" s="470"/>
      <c r="NIE65" s="470"/>
      <c r="NIF65" s="470"/>
      <c r="NIG65" s="470"/>
      <c r="NIH65" s="470"/>
      <c r="NII65" s="470"/>
      <c r="NIJ65" s="470"/>
      <c r="NIK65" s="470"/>
      <c r="NIL65" s="470"/>
      <c r="NIM65" s="470"/>
      <c r="NIN65" s="470"/>
      <c r="NIO65" s="470"/>
      <c r="NIP65" s="470"/>
      <c r="NIQ65" s="470"/>
      <c r="NIR65" s="470"/>
      <c r="NIS65" s="470"/>
      <c r="NIT65" s="470"/>
      <c r="NIU65" s="470"/>
      <c r="NIV65" s="471"/>
      <c r="NIW65" s="469"/>
      <c r="NIX65" s="470"/>
      <c r="NIY65" s="470"/>
      <c r="NIZ65" s="470"/>
      <c r="NJA65" s="470"/>
      <c r="NJB65" s="470"/>
      <c r="NJC65" s="470"/>
      <c r="NJD65" s="470"/>
      <c r="NJE65" s="470"/>
      <c r="NJF65" s="470"/>
      <c r="NJG65" s="470"/>
      <c r="NJH65" s="470"/>
      <c r="NJI65" s="470"/>
      <c r="NJJ65" s="470"/>
      <c r="NJK65" s="470"/>
      <c r="NJL65" s="470"/>
      <c r="NJM65" s="470"/>
      <c r="NJN65" s="470"/>
      <c r="NJO65" s="470"/>
      <c r="NJP65" s="470"/>
      <c r="NJQ65" s="470"/>
      <c r="NJR65" s="470"/>
      <c r="NJS65" s="470"/>
      <c r="NJT65" s="470"/>
      <c r="NJU65" s="470"/>
      <c r="NJV65" s="470"/>
      <c r="NJW65" s="470"/>
      <c r="NJX65" s="470"/>
      <c r="NJY65" s="470"/>
      <c r="NJZ65" s="471"/>
      <c r="NKA65" s="469"/>
      <c r="NKB65" s="470"/>
      <c r="NKC65" s="470"/>
      <c r="NKD65" s="470"/>
      <c r="NKE65" s="470"/>
      <c r="NKF65" s="470"/>
      <c r="NKG65" s="470"/>
      <c r="NKH65" s="470"/>
      <c r="NKI65" s="470"/>
      <c r="NKJ65" s="470"/>
      <c r="NKK65" s="470"/>
      <c r="NKL65" s="470"/>
      <c r="NKM65" s="470"/>
      <c r="NKN65" s="470"/>
      <c r="NKO65" s="470"/>
      <c r="NKP65" s="470"/>
      <c r="NKQ65" s="470"/>
      <c r="NKR65" s="470"/>
      <c r="NKS65" s="470"/>
      <c r="NKT65" s="470"/>
      <c r="NKU65" s="470"/>
      <c r="NKV65" s="470"/>
      <c r="NKW65" s="470"/>
      <c r="NKX65" s="470"/>
      <c r="NKY65" s="470"/>
      <c r="NKZ65" s="470"/>
      <c r="NLA65" s="470"/>
      <c r="NLB65" s="470"/>
      <c r="NLC65" s="470"/>
      <c r="NLD65" s="471"/>
      <c r="NLE65" s="469"/>
      <c r="NLF65" s="470"/>
      <c r="NLG65" s="470"/>
      <c r="NLH65" s="470"/>
      <c r="NLI65" s="470"/>
      <c r="NLJ65" s="470"/>
      <c r="NLK65" s="470"/>
      <c r="NLL65" s="470"/>
      <c r="NLM65" s="470"/>
      <c r="NLN65" s="470"/>
      <c r="NLO65" s="470"/>
      <c r="NLP65" s="470"/>
      <c r="NLQ65" s="470"/>
      <c r="NLR65" s="470"/>
      <c r="NLS65" s="470"/>
      <c r="NLT65" s="470"/>
      <c r="NLU65" s="470"/>
      <c r="NLV65" s="470"/>
      <c r="NLW65" s="470"/>
      <c r="NLX65" s="470"/>
      <c r="NLY65" s="470"/>
      <c r="NLZ65" s="470"/>
      <c r="NMA65" s="470"/>
      <c r="NMB65" s="470"/>
      <c r="NMC65" s="470"/>
      <c r="NMD65" s="470"/>
      <c r="NME65" s="470"/>
      <c r="NMF65" s="470"/>
      <c r="NMG65" s="470"/>
      <c r="NMH65" s="471"/>
      <c r="NMI65" s="469"/>
      <c r="NMJ65" s="470"/>
      <c r="NMK65" s="470"/>
      <c r="NML65" s="470"/>
      <c r="NMM65" s="470"/>
      <c r="NMN65" s="470"/>
      <c r="NMO65" s="470"/>
      <c r="NMP65" s="470"/>
      <c r="NMQ65" s="470"/>
      <c r="NMR65" s="470"/>
      <c r="NMS65" s="470"/>
      <c r="NMT65" s="470"/>
      <c r="NMU65" s="470"/>
      <c r="NMV65" s="470"/>
      <c r="NMW65" s="470"/>
      <c r="NMX65" s="470"/>
      <c r="NMY65" s="470"/>
      <c r="NMZ65" s="470"/>
      <c r="NNA65" s="470"/>
      <c r="NNB65" s="470"/>
      <c r="NNC65" s="470"/>
      <c r="NND65" s="470"/>
      <c r="NNE65" s="470"/>
      <c r="NNF65" s="470"/>
      <c r="NNG65" s="470"/>
      <c r="NNH65" s="470"/>
      <c r="NNI65" s="470"/>
      <c r="NNJ65" s="470"/>
      <c r="NNK65" s="470"/>
      <c r="NNL65" s="471"/>
      <c r="NNM65" s="469"/>
      <c r="NNN65" s="470"/>
      <c r="NNO65" s="470"/>
      <c r="NNP65" s="470"/>
      <c r="NNQ65" s="470"/>
      <c r="NNR65" s="470"/>
      <c r="NNS65" s="470"/>
      <c r="NNT65" s="470"/>
      <c r="NNU65" s="470"/>
      <c r="NNV65" s="470"/>
      <c r="NNW65" s="470"/>
      <c r="NNX65" s="470"/>
      <c r="NNY65" s="470"/>
      <c r="NNZ65" s="470"/>
      <c r="NOA65" s="470"/>
      <c r="NOB65" s="470"/>
      <c r="NOC65" s="470"/>
      <c r="NOD65" s="470"/>
      <c r="NOE65" s="470"/>
      <c r="NOF65" s="470"/>
      <c r="NOG65" s="470"/>
      <c r="NOH65" s="470"/>
      <c r="NOI65" s="470"/>
      <c r="NOJ65" s="470"/>
      <c r="NOK65" s="470"/>
      <c r="NOL65" s="470"/>
      <c r="NOM65" s="470"/>
      <c r="NON65" s="470"/>
      <c r="NOO65" s="470"/>
      <c r="NOP65" s="471"/>
      <c r="NOQ65" s="469"/>
      <c r="NOR65" s="470"/>
      <c r="NOS65" s="470"/>
      <c r="NOT65" s="470"/>
      <c r="NOU65" s="470"/>
      <c r="NOV65" s="470"/>
      <c r="NOW65" s="470"/>
      <c r="NOX65" s="470"/>
      <c r="NOY65" s="470"/>
      <c r="NOZ65" s="470"/>
      <c r="NPA65" s="470"/>
      <c r="NPB65" s="470"/>
      <c r="NPC65" s="470"/>
      <c r="NPD65" s="470"/>
      <c r="NPE65" s="470"/>
      <c r="NPF65" s="470"/>
      <c r="NPG65" s="470"/>
      <c r="NPH65" s="470"/>
      <c r="NPI65" s="470"/>
      <c r="NPJ65" s="470"/>
      <c r="NPK65" s="470"/>
      <c r="NPL65" s="470"/>
      <c r="NPM65" s="470"/>
      <c r="NPN65" s="470"/>
      <c r="NPO65" s="470"/>
      <c r="NPP65" s="470"/>
      <c r="NPQ65" s="470"/>
      <c r="NPR65" s="470"/>
      <c r="NPS65" s="470"/>
      <c r="NPT65" s="471"/>
      <c r="NPU65" s="469"/>
      <c r="NPV65" s="470"/>
      <c r="NPW65" s="470"/>
      <c r="NPX65" s="470"/>
      <c r="NPY65" s="470"/>
      <c r="NPZ65" s="470"/>
      <c r="NQA65" s="470"/>
      <c r="NQB65" s="470"/>
      <c r="NQC65" s="470"/>
      <c r="NQD65" s="470"/>
      <c r="NQE65" s="470"/>
      <c r="NQF65" s="470"/>
      <c r="NQG65" s="470"/>
      <c r="NQH65" s="470"/>
      <c r="NQI65" s="470"/>
      <c r="NQJ65" s="470"/>
      <c r="NQK65" s="470"/>
      <c r="NQL65" s="470"/>
      <c r="NQM65" s="470"/>
      <c r="NQN65" s="470"/>
      <c r="NQO65" s="470"/>
      <c r="NQP65" s="470"/>
      <c r="NQQ65" s="470"/>
      <c r="NQR65" s="470"/>
      <c r="NQS65" s="470"/>
      <c r="NQT65" s="470"/>
      <c r="NQU65" s="470"/>
      <c r="NQV65" s="470"/>
      <c r="NQW65" s="470"/>
      <c r="NQX65" s="471"/>
      <c r="NQY65" s="469"/>
      <c r="NQZ65" s="470"/>
      <c r="NRA65" s="470"/>
      <c r="NRB65" s="470"/>
      <c r="NRC65" s="470"/>
      <c r="NRD65" s="470"/>
      <c r="NRE65" s="470"/>
      <c r="NRF65" s="470"/>
      <c r="NRG65" s="470"/>
      <c r="NRH65" s="470"/>
      <c r="NRI65" s="470"/>
      <c r="NRJ65" s="470"/>
      <c r="NRK65" s="470"/>
      <c r="NRL65" s="470"/>
      <c r="NRM65" s="470"/>
      <c r="NRN65" s="470"/>
      <c r="NRO65" s="470"/>
      <c r="NRP65" s="470"/>
      <c r="NRQ65" s="470"/>
      <c r="NRR65" s="470"/>
      <c r="NRS65" s="470"/>
      <c r="NRT65" s="470"/>
      <c r="NRU65" s="470"/>
      <c r="NRV65" s="470"/>
      <c r="NRW65" s="470"/>
      <c r="NRX65" s="470"/>
      <c r="NRY65" s="470"/>
      <c r="NRZ65" s="470"/>
      <c r="NSA65" s="470"/>
      <c r="NSB65" s="471"/>
      <c r="NSC65" s="469"/>
      <c r="NSD65" s="470"/>
      <c r="NSE65" s="470"/>
      <c r="NSF65" s="470"/>
      <c r="NSG65" s="470"/>
      <c r="NSH65" s="470"/>
      <c r="NSI65" s="470"/>
      <c r="NSJ65" s="470"/>
      <c r="NSK65" s="470"/>
      <c r="NSL65" s="470"/>
      <c r="NSM65" s="470"/>
      <c r="NSN65" s="470"/>
      <c r="NSO65" s="470"/>
      <c r="NSP65" s="470"/>
      <c r="NSQ65" s="470"/>
      <c r="NSR65" s="470"/>
      <c r="NSS65" s="470"/>
      <c r="NST65" s="470"/>
      <c r="NSU65" s="470"/>
      <c r="NSV65" s="470"/>
      <c r="NSW65" s="470"/>
      <c r="NSX65" s="470"/>
      <c r="NSY65" s="470"/>
      <c r="NSZ65" s="470"/>
      <c r="NTA65" s="470"/>
      <c r="NTB65" s="470"/>
      <c r="NTC65" s="470"/>
      <c r="NTD65" s="470"/>
      <c r="NTE65" s="470"/>
      <c r="NTF65" s="471"/>
      <c r="NTG65" s="469"/>
      <c r="NTH65" s="470"/>
      <c r="NTI65" s="470"/>
      <c r="NTJ65" s="470"/>
      <c r="NTK65" s="470"/>
      <c r="NTL65" s="470"/>
      <c r="NTM65" s="470"/>
      <c r="NTN65" s="470"/>
      <c r="NTO65" s="470"/>
      <c r="NTP65" s="470"/>
      <c r="NTQ65" s="470"/>
      <c r="NTR65" s="470"/>
      <c r="NTS65" s="470"/>
      <c r="NTT65" s="470"/>
      <c r="NTU65" s="470"/>
      <c r="NTV65" s="470"/>
      <c r="NTW65" s="470"/>
      <c r="NTX65" s="470"/>
      <c r="NTY65" s="470"/>
      <c r="NTZ65" s="470"/>
      <c r="NUA65" s="470"/>
      <c r="NUB65" s="470"/>
      <c r="NUC65" s="470"/>
      <c r="NUD65" s="470"/>
      <c r="NUE65" s="470"/>
      <c r="NUF65" s="470"/>
      <c r="NUG65" s="470"/>
      <c r="NUH65" s="470"/>
      <c r="NUI65" s="470"/>
      <c r="NUJ65" s="471"/>
      <c r="NUK65" s="469"/>
      <c r="NUL65" s="470"/>
      <c r="NUM65" s="470"/>
      <c r="NUN65" s="470"/>
      <c r="NUO65" s="470"/>
      <c r="NUP65" s="470"/>
      <c r="NUQ65" s="470"/>
      <c r="NUR65" s="470"/>
      <c r="NUS65" s="470"/>
      <c r="NUT65" s="470"/>
      <c r="NUU65" s="470"/>
      <c r="NUV65" s="470"/>
      <c r="NUW65" s="470"/>
      <c r="NUX65" s="470"/>
      <c r="NUY65" s="470"/>
      <c r="NUZ65" s="470"/>
      <c r="NVA65" s="470"/>
      <c r="NVB65" s="470"/>
      <c r="NVC65" s="470"/>
      <c r="NVD65" s="470"/>
      <c r="NVE65" s="470"/>
      <c r="NVF65" s="470"/>
      <c r="NVG65" s="470"/>
      <c r="NVH65" s="470"/>
      <c r="NVI65" s="470"/>
      <c r="NVJ65" s="470"/>
      <c r="NVK65" s="470"/>
      <c r="NVL65" s="470"/>
      <c r="NVM65" s="470"/>
      <c r="NVN65" s="471"/>
      <c r="NVO65" s="469"/>
      <c r="NVP65" s="470"/>
      <c r="NVQ65" s="470"/>
      <c r="NVR65" s="470"/>
      <c r="NVS65" s="470"/>
      <c r="NVT65" s="470"/>
      <c r="NVU65" s="470"/>
      <c r="NVV65" s="470"/>
      <c r="NVW65" s="470"/>
      <c r="NVX65" s="470"/>
      <c r="NVY65" s="470"/>
      <c r="NVZ65" s="470"/>
      <c r="NWA65" s="470"/>
      <c r="NWB65" s="470"/>
      <c r="NWC65" s="470"/>
      <c r="NWD65" s="470"/>
      <c r="NWE65" s="470"/>
      <c r="NWF65" s="470"/>
      <c r="NWG65" s="470"/>
      <c r="NWH65" s="470"/>
      <c r="NWI65" s="470"/>
      <c r="NWJ65" s="470"/>
      <c r="NWK65" s="470"/>
      <c r="NWL65" s="470"/>
      <c r="NWM65" s="470"/>
      <c r="NWN65" s="470"/>
      <c r="NWO65" s="470"/>
      <c r="NWP65" s="470"/>
      <c r="NWQ65" s="470"/>
      <c r="NWR65" s="471"/>
      <c r="NWS65" s="469"/>
      <c r="NWT65" s="470"/>
      <c r="NWU65" s="470"/>
      <c r="NWV65" s="470"/>
      <c r="NWW65" s="470"/>
      <c r="NWX65" s="470"/>
      <c r="NWY65" s="470"/>
      <c r="NWZ65" s="470"/>
      <c r="NXA65" s="470"/>
      <c r="NXB65" s="470"/>
      <c r="NXC65" s="470"/>
      <c r="NXD65" s="470"/>
      <c r="NXE65" s="470"/>
      <c r="NXF65" s="470"/>
      <c r="NXG65" s="470"/>
      <c r="NXH65" s="470"/>
      <c r="NXI65" s="470"/>
      <c r="NXJ65" s="470"/>
      <c r="NXK65" s="470"/>
      <c r="NXL65" s="470"/>
      <c r="NXM65" s="470"/>
      <c r="NXN65" s="470"/>
      <c r="NXO65" s="470"/>
      <c r="NXP65" s="470"/>
      <c r="NXQ65" s="470"/>
      <c r="NXR65" s="470"/>
      <c r="NXS65" s="470"/>
      <c r="NXT65" s="470"/>
      <c r="NXU65" s="470"/>
      <c r="NXV65" s="471"/>
      <c r="NXW65" s="469"/>
      <c r="NXX65" s="470"/>
      <c r="NXY65" s="470"/>
      <c r="NXZ65" s="470"/>
      <c r="NYA65" s="470"/>
      <c r="NYB65" s="470"/>
      <c r="NYC65" s="470"/>
      <c r="NYD65" s="470"/>
      <c r="NYE65" s="470"/>
      <c r="NYF65" s="470"/>
      <c r="NYG65" s="470"/>
      <c r="NYH65" s="470"/>
      <c r="NYI65" s="470"/>
      <c r="NYJ65" s="470"/>
      <c r="NYK65" s="470"/>
      <c r="NYL65" s="470"/>
      <c r="NYM65" s="470"/>
      <c r="NYN65" s="470"/>
      <c r="NYO65" s="470"/>
      <c r="NYP65" s="470"/>
      <c r="NYQ65" s="470"/>
      <c r="NYR65" s="470"/>
      <c r="NYS65" s="470"/>
      <c r="NYT65" s="470"/>
      <c r="NYU65" s="470"/>
      <c r="NYV65" s="470"/>
      <c r="NYW65" s="470"/>
      <c r="NYX65" s="470"/>
      <c r="NYY65" s="470"/>
      <c r="NYZ65" s="471"/>
      <c r="NZA65" s="469"/>
      <c r="NZB65" s="470"/>
      <c r="NZC65" s="470"/>
      <c r="NZD65" s="470"/>
      <c r="NZE65" s="470"/>
      <c r="NZF65" s="470"/>
      <c r="NZG65" s="470"/>
      <c r="NZH65" s="470"/>
      <c r="NZI65" s="470"/>
      <c r="NZJ65" s="470"/>
      <c r="NZK65" s="470"/>
      <c r="NZL65" s="470"/>
      <c r="NZM65" s="470"/>
      <c r="NZN65" s="470"/>
      <c r="NZO65" s="470"/>
      <c r="NZP65" s="470"/>
      <c r="NZQ65" s="470"/>
      <c r="NZR65" s="470"/>
      <c r="NZS65" s="470"/>
      <c r="NZT65" s="470"/>
      <c r="NZU65" s="470"/>
      <c r="NZV65" s="470"/>
      <c r="NZW65" s="470"/>
      <c r="NZX65" s="470"/>
      <c r="NZY65" s="470"/>
      <c r="NZZ65" s="470"/>
      <c r="OAA65" s="470"/>
      <c r="OAB65" s="470"/>
      <c r="OAC65" s="470"/>
      <c r="OAD65" s="471"/>
      <c r="OAE65" s="469"/>
      <c r="OAF65" s="470"/>
      <c r="OAG65" s="470"/>
      <c r="OAH65" s="470"/>
      <c r="OAI65" s="470"/>
      <c r="OAJ65" s="470"/>
      <c r="OAK65" s="470"/>
      <c r="OAL65" s="470"/>
      <c r="OAM65" s="470"/>
      <c r="OAN65" s="470"/>
      <c r="OAO65" s="470"/>
      <c r="OAP65" s="470"/>
      <c r="OAQ65" s="470"/>
      <c r="OAR65" s="470"/>
      <c r="OAS65" s="470"/>
      <c r="OAT65" s="470"/>
      <c r="OAU65" s="470"/>
      <c r="OAV65" s="470"/>
      <c r="OAW65" s="470"/>
      <c r="OAX65" s="470"/>
      <c r="OAY65" s="470"/>
      <c r="OAZ65" s="470"/>
      <c r="OBA65" s="470"/>
      <c r="OBB65" s="470"/>
      <c r="OBC65" s="470"/>
      <c r="OBD65" s="470"/>
      <c r="OBE65" s="470"/>
      <c r="OBF65" s="470"/>
      <c r="OBG65" s="470"/>
      <c r="OBH65" s="471"/>
      <c r="OBI65" s="469"/>
      <c r="OBJ65" s="470"/>
      <c r="OBK65" s="470"/>
      <c r="OBL65" s="470"/>
      <c r="OBM65" s="470"/>
      <c r="OBN65" s="470"/>
      <c r="OBO65" s="470"/>
      <c r="OBP65" s="470"/>
      <c r="OBQ65" s="470"/>
      <c r="OBR65" s="470"/>
      <c r="OBS65" s="470"/>
      <c r="OBT65" s="470"/>
      <c r="OBU65" s="470"/>
      <c r="OBV65" s="470"/>
      <c r="OBW65" s="470"/>
      <c r="OBX65" s="470"/>
      <c r="OBY65" s="470"/>
      <c r="OBZ65" s="470"/>
      <c r="OCA65" s="470"/>
      <c r="OCB65" s="470"/>
      <c r="OCC65" s="470"/>
      <c r="OCD65" s="470"/>
      <c r="OCE65" s="470"/>
      <c r="OCF65" s="470"/>
      <c r="OCG65" s="470"/>
      <c r="OCH65" s="470"/>
      <c r="OCI65" s="470"/>
      <c r="OCJ65" s="470"/>
      <c r="OCK65" s="470"/>
      <c r="OCL65" s="471"/>
      <c r="OCM65" s="469"/>
      <c r="OCN65" s="470"/>
      <c r="OCO65" s="470"/>
      <c r="OCP65" s="470"/>
      <c r="OCQ65" s="470"/>
      <c r="OCR65" s="470"/>
      <c r="OCS65" s="470"/>
      <c r="OCT65" s="470"/>
      <c r="OCU65" s="470"/>
      <c r="OCV65" s="470"/>
      <c r="OCW65" s="470"/>
      <c r="OCX65" s="470"/>
      <c r="OCY65" s="470"/>
      <c r="OCZ65" s="470"/>
      <c r="ODA65" s="470"/>
      <c r="ODB65" s="470"/>
      <c r="ODC65" s="470"/>
      <c r="ODD65" s="470"/>
      <c r="ODE65" s="470"/>
      <c r="ODF65" s="470"/>
      <c r="ODG65" s="470"/>
      <c r="ODH65" s="470"/>
      <c r="ODI65" s="470"/>
      <c r="ODJ65" s="470"/>
      <c r="ODK65" s="470"/>
      <c r="ODL65" s="470"/>
      <c r="ODM65" s="470"/>
      <c r="ODN65" s="470"/>
      <c r="ODO65" s="470"/>
      <c r="ODP65" s="471"/>
      <c r="ODQ65" s="469"/>
      <c r="ODR65" s="470"/>
      <c r="ODS65" s="470"/>
      <c r="ODT65" s="470"/>
      <c r="ODU65" s="470"/>
      <c r="ODV65" s="470"/>
      <c r="ODW65" s="470"/>
      <c r="ODX65" s="470"/>
      <c r="ODY65" s="470"/>
      <c r="ODZ65" s="470"/>
      <c r="OEA65" s="470"/>
      <c r="OEB65" s="470"/>
      <c r="OEC65" s="470"/>
      <c r="OED65" s="470"/>
      <c r="OEE65" s="470"/>
      <c r="OEF65" s="470"/>
      <c r="OEG65" s="470"/>
      <c r="OEH65" s="470"/>
      <c r="OEI65" s="470"/>
      <c r="OEJ65" s="470"/>
      <c r="OEK65" s="470"/>
      <c r="OEL65" s="470"/>
      <c r="OEM65" s="470"/>
      <c r="OEN65" s="470"/>
      <c r="OEO65" s="470"/>
      <c r="OEP65" s="470"/>
      <c r="OEQ65" s="470"/>
      <c r="OER65" s="470"/>
      <c r="OES65" s="470"/>
      <c r="OET65" s="471"/>
      <c r="OEU65" s="469"/>
      <c r="OEV65" s="470"/>
      <c r="OEW65" s="470"/>
      <c r="OEX65" s="470"/>
      <c r="OEY65" s="470"/>
      <c r="OEZ65" s="470"/>
      <c r="OFA65" s="470"/>
      <c r="OFB65" s="470"/>
      <c r="OFC65" s="470"/>
      <c r="OFD65" s="470"/>
      <c r="OFE65" s="470"/>
      <c r="OFF65" s="470"/>
      <c r="OFG65" s="470"/>
      <c r="OFH65" s="470"/>
      <c r="OFI65" s="470"/>
      <c r="OFJ65" s="470"/>
      <c r="OFK65" s="470"/>
      <c r="OFL65" s="470"/>
      <c r="OFM65" s="470"/>
      <c r="OFN65" s="470"/>
      <c r="OFO65" s="470"/>
      <c r="OFP65" s="470"/>
      <c r="OFQ65" s="470"/>
      <c r="OFR65" s="470"/>
      <c r="OFS65" s="470"/>
      <c r="OFT65" s="470"/>
      <c r="OFU65" s="470"/>
      <c r="OFV65" s="470"/>
      <c r="OFW65" s="470"/>
      <c r="OFX65" s="471"/>
      <c r="OFY65" s="469"/>
      <c r="OFZ65" s="470"/>
      <c r="OGA65" s="470"/>
      <c r="OGB65" s="470"/>
      <c r="OGC65" s="470"/>
      <c r="OGD65" s="470"/>
      <c r="OGE65" s="470"/>
      <c r="OGF65" s="470"/>
      <c r="OGG65" s="470"/>
      <c r="OGH65" s="470"/>
      <c r="OGI65" s="470"/>
      <c r="OGJ65" s="470"/>
      <c r="OGK65" s="470"/>
      <c r="OGL65" s="470"/>
      <c r="OGM65" s="470"/>
      <c r="OGN65" s="470"/>
      <c r="OGO65" s="470"/>
      <c r="OGP65" s="470"/>
      <c r="OGQ65" s="470"/>
      <c r="OGR65" s="470"/>
      <c r="OGS65" s="470"/>
      <c r="OGT65" s="470"/>
      <c r="OGU65" s="470"/>
      <c r="OGV65" s="470"/>
      <c r="OGW65" s="470"/>
      <c r="OGX65" s="470"/>
      <c r="OGY65" s="470"/>
      <c r="OGZ65" s="470"/>
      <c r="OHA65" s="470"/>
      <c r="OHB65" s="471"/>
      <c r="OHC65" s="469"/>
      <c r="OHD65" s="470"/>
      <c r="OHE65" s="470"/>
      <c r="OHF65" s="470"/>
      <c r="OHG65" s="470"/>
      <c r="OHH65" s="470"/>
      <c r="OHI65" s="470"/>
      <c r="OHJ65" s="470"/>
      <c r="OHK65" s="470"/>
      <c r="OHL65" s="470"/>
      <c r="OHM65" s="470"/>
      <c r="OHN65" s="470"/>
      <c r="OHO65" s="470"/>
      <c r="OHP65" s="470"/>
      <c r="OHQ65" s="470"/>
      <c r="OHR65" s="470"/>
      <c r="OHS65" s="470"/>
      <c r="OHT65" s="470"/>
      <c r="OHU65" s="470"/>
      <c r="OHV65" s="470"/>
      <c r="OHW65" s="470"/>
      <c r="OHX65" s="470"/>
      <c r="OHY65" s="470"/>
      <c r="OHZ65" s="470"/>
      <c r="OIA65" s="470"/>
      <c r="OIB65" s="470"/>
      <c r="OIC65" s="470"/>
      <c r="OID65" s="470"/>
      <c r="OIE65" s="470"/>
      <c r="OIF65" s="471"/>
      <c r="OIG65" s="469"/>
      <c r="OIH65" s="470"/>
      <c r="OII65" s="470"/>
      <c r="OIJ65" s="470"/>
      <c r="OIK65" s="470"/>
      <c r="OIL65" s="470"/>
      <c r="OIM65" s="470"/>
      <c r="OIN65" s="470"/>
      <c r="OIO65" s="470"/>
      <c r="OIP65" s="470"/>
      <c r="OIQ65" s="470"/>
      <c r="OIR65" s="470"/>
      <c r="OIS65" s="470"/>
      <c r="OIT65" s="470"/>
      <c r="OIU65" s="470"/>
      <c r="OIV65" s="470"/>
      <c r="OIW65" s="470"/>
      <c r="OIX65" s="470"/>
      <c r="OIY65" s="470"/>
      <c r="OIZ65" s="470"/>
      <c r="OJA65" s="470"/>
      <c r="OJB65" s="470"/>
      <c r="OJC65" s="470"/>
      <c r="OJD65" s="470"/>
      <c r="OJE65" s="470"/>
      <c r="OJF65" s="470"/>
      <c r="OJG65" s="470"/>
      <c r="OJH65" s="470"/>
      <c r="OJI65" s="470"/>
      <c r="OJJ65" s="471"/>
      <c r="OJK65" s="469"/>
      <c r="OJL65" s="470"/>
      <c r="OJM65" s="470"/>
      <c r="OJN65" s="470"/>
      <c r="OJO65" s="470"/>
      <c r="OJP65" s="470"/>
      <c r="OJQ65" s="470"/>
      <c r="OJR65" s="470"/>
      <c r="OJS65" s="470"/>
      <c r="OJT65" s="470"/>
      <c r="OJU65" s="470"/>
      <c r="OJV65" s="470"/>
      <c r="OJW65" s="470"/>
      <c r="OJX65" s="470"/>
      <c r="OJY65" s="470"/>
      <c r="OJZ65" s="470"/>
      <c r="OKA65" s="470"/>
      <c r="OKB65" s="470"/>
      <c r="OKC65" s="470"/>
      <c r="OKD65" s="470"/>
      <c r="OKE65" s="470"/>
      <c r="OKF65" s="470"/>
      <c r="OKG65" s="470"/>
      <c r="OKH65" s="470"/>
      <c r="OKI65" s="470"/>
      <c r="OKJ65" s="470"/>
      <c r="OKK65" s="470"/>
      <c r="OKL65" s="470"/>
      <c r="OKM65" s="470"/>
      <c r="OKN65" s="471"/>
      <c r="OKO65" s="469"/>
      <c r="OKP65" s="470"/>
      <c r="OKQ65" s="470"/>
      <c r="OKR65" s="470"/>
      <c r="OKS65" s="470"/>
      <c r="OKT65" s="470"/>
      <c r="OKU65" s="470"/>
      <c r="OKV65" s="470"/>
      <c r="OKW65" s="470"/>
      <c r="OKX65" s="470"/>
      <c r="OKY65" s="470"/>
      <c r="OKZ65" s="470"/>
      <c r="OLA65" s="470"/>
      <c r="OLB65" s="470"/>
      <c r="OLC65" s="470"/>
      <c r="OLD65" s="470"/>
      <c r="OLE65" s="470"/>
      <c r="OLF65" s="470"/>
      <c r="OLG65" s="470"/>
      <c r="OLH65" s="470"/>
      <c r="OLI65" s="470"/>
      <c r="OLJ65" s="470"/>
      <c r="OLK65" s="470"/>
      <c r="OLL65" s="470"/>
      <c r="OLM65" s="470"/>
      <c r="OLN65" s="470"/>
      <c r="OLO65" s="470"/>
      <c r="OLP65" s="470"/>
      <c r="OLQ65" s="470"/>
      <c r="OLR65" s="471"/>
      <c r="OLS65" s="469"/>
      <c r="OLT65" s="470"/>
      <c r="OLU65" s="470"/>
      <c r="OLV65" s="470"/>
      <c r="OLW65" s="470"/>
      <c r="OLX65" s="470"/>
      <c r="OLY65" s="470"/>
      <c r="OLZ65" s="470"/>
      <c r="OMA65" s="470"/>
      <c r="OMB65" s="470"/>
      <c r="OMC65" s="470"/>
      <c r="OMD65" s="470"/>
      <c r="OME65" s="470"/>
      <c r="OMF65" s="470"/>
      <c r="OMG65" s="470"/>
      <c r="OMH65" s="470"/>
      <c r="OMI65" s="470"/>
      <c r="OMJ65" s="470"/>
      <c r="OMK65" s="470"/>
      <c r="OML65" s="470"/>
      <c r="OMM65" s="470"/>
      <c r="OMN65" s="470"/>
      <c r="OMO65" s="470"/>
      <c r="OMP65" s="470"/>
      <c r="OMQ65" s="470"/>
      <c r="OMR65" s="470"/>
      <c r="OMS65" s="470"/>
      <c r="OMT65" s="470"/>
      <c r="OMU65" s="470"/>
      <c r="OMV65" s="471"/>
      <c r="OMW65" s="469"/>
      <c r="OMX65" s="470"/>
      <c r="OMY65" s="470"/>
      <c r="OMZ65" s="470"/>
      <c r="ONA65" s="470"/>
      <c r="ONB65" s="470"/>
      <c r="ONC65" s="470"/>
      <c r="OND65" s="470"/>
      <c r="ONE65" s="470"/>
      <c r="ONF65" s="470"/>
      <c r="ONG65" s="470"/>
      <c r="ONH65" s="470"/>
      <c r="ONI65" s="470"/>
      <c r="ONJ65" s="470"/>
      <c r="ONK65" s="470"/>
      <c r="ONL65" s="470"/>
      <c r="ONM65" s="470"/>
      <c r="ONN65" s="470"/>
      <c r="ONO65" s="470"/>
      <c r="ONP65" s="470"/>
      <c r="ONQ65" s="470"/>
      <c r="ONR65" s="470"/>
      <c r="ONS65" s="470"/>
      <c r="ONT65" s="470"/>
      <c r="ONU65" s="470"/>
      <c r="ONV65" s="470"/>
      <c r="ONW65" s="470"/>
      <c r="ONX65" s="470"/>
      <c r="ONY65" s="470"/>
      <c r="ONZ65" s="471"/>
      <c r="OOA65" s="469"/>
      <c r="OOB65" s="470"/>
      <c r="OOC65" s="470"/>
      <c r="OOD65" s="470"/>
      <c r="OOE65" s="470"/>
      <c r="OOF65" s="470"/>
      <c r="OOG65" s="470"/>
      <c r="OOH65" s="470"/>
      <c r="OOI65" s="470"/>
      <c r="OOJ65" s="470"/>
      <c r="OOK65" s="470"/>
      <c r="OOL65" s="470"/>
      <c r="OOM65" s="470"/>
      <c r="OON65" s="470"/>
      <c r="OOO65" s="470"/>
      <c r="OOP65" s="470"/>
      <c r="OOQ65" s="470"/>
      <c r="OOR65" s="470"/>
      <c r="OOS65" s="470"/>
      <c r="OOT65" s="470"/>
      <c r="OOU65" s="470"/>
      <c r="OOV65" s="470"/>
      <c r="OOW65" s="470"/>
      <c r="OOX65" s="470"/>
      <c r="OOY65" s="470"/>
      <c r="OOZ65" s="470"/>
      <c r="OPA65" s="470"/>
      <c r="OPB65" s="470"/>
      <c r="OPC65" s="470"/>
      <c r="OPD65" s="471"/>
      <c r="OPE65" s="469"/>
      <c r="OPF65" s="470"/>
      <c r="OPG65" s="470"/>
      <c r="OPH65" s="470"/>
      <c r="OPI65" s="470"/>
      <c r="OPJ65" s="470"/>
      <c r="OPK65" s="470"/>
      <c r="OPL65" s="470"/>
      <c r="OPM65" s="470"/>
      <c r="OPN65" s="470"/>
      <c r="OPO65" s="470"/>
      <c r="OPP65" s="470"/>
      <c r="OPQ65" s="470"/>
      <c r="OPR65" s="470"/>
      <c r="OPS65" s="470"/>
      <c r="OPT65" s="470"/>
      <c r="OPU65" s="470"/>
      <c r="OPV65" s="470"/>
      <c r="OPW65" s="470"/>
      <c r="OPX65" s="470"/>
      <c r="OPY65" s="470"/>
      <c r="OPZ65" s="470"/>
      <c r="OQA65" s="470"/>
      <c r="OQB65" s="470"/>
      <c r="OQC65" s="470"/>
      <c r="OQD65" s="470"/>
      <c r="OQE65" s="470"/>
      <c r="OQF65" s="470"/>
      <c r="OQG65" s="470"/>
      <c r="OQH65" s="471"/>
      <c r="OQI65" s="469"/>
      <c r="OQJ65" s="470"/>
      <c r="OQK65" s="470"/>
      <c r="OQL65" s="470"/>
      <c r="OQM65" s="470"/>
      <c r="OQN65" s="470"/>
      <c r="OQO65" s="470"/>
      <c r="OQP65" s="470"/>
      <c r="OQQ65" s="470"/>
      <c r="OQR65" s="470"/>
      <c r="OQS65" s="470"/>
      <c r="OQT65" s="470"/>
      <c r="OQU65" s="470"/>
      <c r="OQV65" s="470"/>
      <c r="OQW65" s="470"/>
      <c r="OQX65" s="470"/>
      <c r="OQY65" s="470"/>
      <c r="OQZ65" s="470"/>
      <c r="ORA65" s="470"/>
      <c r="ORB65" s="470"/>
      <c r="ORC65" s="470"/>
      <c r="ORD65" s="470"/>
      <c r="ORE65" s="470"/>
      <c r="ORF65" s="470"/>
      <c r="ORG65" s="470"/>
      <c r="ORH65" s="470"/>
      <c r="ORI65" s="470"/>
      <c r="ORJ65" s="470"/>
      <c r="ORK65" s="470"/>
      <c r="ORL65" s="471"/>
      <c r="ORM65" s="469"/>
      <c r="ORN65" s="470"/>
      <c r="ORO65" s="470"/>
      <c r="ORP65" s="470"/>
      <c r="ORQ65" s="470"/>
      <c r="ORR65" s="470"/>
      <c r="ORS65" s="470"/>
      <c r="ORT65" s="470"/>
      <c r="ORU65" s="470"/>
      <c r="ORV65" s="470"/>
      <c r="ORW65" s="470"/>
      <c r="ORX65" s="470"/>
      <c r="ORY65" s="470"/>
      <c r="ORZ65" s="470"/>
      <c r="OSA65" s="470"/>
      <c r="OSB65" s="470"/>
      <c r="OSC65" s="470"/>
      <c r="OSD65" s="470"/>
      <c r="OSE65" s="470"/>
      <c r="OSF65" s="470"/>
      <c r="OSG65" s="470"/>
      <c r="OSH65" s="470"/>
      <c r="OSI65" s="470"/>
      <c r="OSJ65" s="470"/>
      <c r="OSK65" s="470"/>
      <c r="OSL65" s="470"/>
      <c r="OSM65" s="470"/>
      <c r="OSN65" s="470"/>
      <c r="OSO65" s="470"/>
      <c r="OSP65" s="471"/>
      <c r="OSQ65" s="469"/>
      <c r="OSR65" s="470"/>
      <c r="OSS65" s="470"/>
      <c r="OST65" s="470"/>
      <c r="OSU65" s="470"/>
      <c r="OSV65" s="470"/>
      <c r="OSW65" s="470"/>
      <c r="OSX65" s="470"/>
      <c r="OSY65" s="470"/>
      <c r="OSZ65" s="470"/>
      <c r="OTA65" s="470"/>
      <c r="OTB65" s="470"/>
      <c r="OTC65" s="470"/>
      <c r="OTD65" s="470"/>
      <c r="OTE65" s="470"/>
      <c r="OTF65" s="470"/>
      <c r="OTG65" s="470"/>
      <c r="OTH65" s="470"/>
      <c r="OTI65" s="470"/>
      <c r="OTJ65" s="470"/>
      <c r="OTK65" s="470"/>
      <c r="OTL65" s="470"/>
      <c r="OTM65" s="470"/>
      <c r="OTN65" s="470"/>
      <c r="OTO65" s="470"/>
      <c r="OTP65" s="470"/>
      <c r="OTQ65" s="470"/>
      <c r="OTR65" s="470"/>
      <c r="OTS65" s="470"/>
      <c r="OTT65" s="471"/>
      <c r="OTU65" s="469"/>
      <c r="OTV65" s="470"/>
      <c r="OTW65" s="470"/>
      <c r="OTX65" s="470"/>
      <c r="OTY65" s="470"/>
      <c r="OTZ65" s="470"/>
      <c r="OUA65" s="470"/>
      <c r="OUB65" s="470"/>
      <c r="OUC65" s="470"/>
      <c r="OUD65" s="470"/>
      <c r="OUE65" s="470"/>
      <c r="OUF65" s="470"/>
      <c r="OUG65" s="470"/>
      <c r="OUH65" s="470"/>
      <c r="OUI65" s="470"/>
      <c r="OUJ65" s="470"/>
      <c r="OUK65" s="470"/>
      <c r="OUL65" s="470"/>
      <c r="OUM65" s="470"/>
      <c r="OUN65" s="470"/>
      <c r="OUO65" s="470"/>
      <c r="OUP65" s="470"/>
      <c r="OUQ65" s="470"/>
      <c r="OUR65" s="470"/>
      <c r="OUS65" s="470"/>
      <c r="OUT65" s="470"/>
      <c r="OUU65" s="470"/>
      <c r="OUV65" s="470"/>
      <c r="OUW65" s="470"/>
      <c r="OUX65" s="471"/>
      <c r="OUY65" s="469"/>
      <c r="OUZ65" s="470"/>
      <c r="OVA65" s="470"/>
      <c r="OVB65" s="470"/>
      <c r="OVC65" s="470"/>
      <c r="OVD65" s="470"/>
      <c r="OVE65" s="470"/>
      <c r="OVF65" s="470"/>
      <c r="OVG65" s="470"/>
      <c r="OVH65" s="470"/>
      <c r="OVI65" s="470"/>
      <c r="OVJ65" s="470"/>
      <c r="OVK65" s="470"/>
      <c r="OVL65" s="470"/>
      <c r="OVM65" s="470"/>
      <c r="OVN65" s="470"/>
      <c r="OVO65" s="470"/>
      <c r="OVP65" s="470"/>
      <c r="OVQ65" s="470"/>
      <c r="OVR65" s="470"/>
      <c r="OVS65" s="470"/>
      <c r="OVT65" s="470"/>
      <c r="OVU65" s="470"/>
      <c r="OVV65" s="470"/>
      <c r="OVW65" s="470"/>
      <c r="OVX65" s="470"/>
      <c r="OVY65" s="470"/>
      <c r="OVZ65" s="470"/>
      <c r="OWA65" s="470"/>
      <c r="OWB65" s="471"/>
      <c r="OWC65" s="469"/>
      <c r="OWD65" s="470"/>
      <c r="OWE65" s="470"/>
      <c r="OWF65" s="470"/>
      <c r="OWG65" s="470"/>
      <c r="OWH65" s="470"/>
      <c r="OWI65" s="470"/>
      <c r="OWJ65" s="470"/>
      <c r="OWK65" s="470"/>
      <c r="OWL65" s="470"/>
      <c r="OWM65" s="470"/>
      <c r="OWN65" s="470"/>
      <c r="OWO65" s="470"/>
      <c r="OWP65" s="470"/>
      <c r="OWQ65" s="470"/>
      <c r="OWR65" s="470"/>
      <c r="OWS65" s="470"/>
      <c r="OWT65" s="470"/>
      <c r="OWU65" s="470"/>
      <c r="OWV65" s="470"/>
      <c r="OWW65" s="470"/>
      <c r="OWX65" s="470"/>
      <c r="OWY65" s="470"/>
      <c r="OWZ65" s="470"/>
      <c r="OXA65" s="470"/>
      <c r="OXB65" s="470"/>
      <c r="OXC65" s="470"/>
      <c r="OXD65" s="470"/>
      <c r="OXE65" s="470"/>
      <c r="OXF65" s="471"/>
      <c r="OXG65" s="469"/>
      <c r="OXH65" s="470"/>
      <c r="OXI65" s="470"/>
      <c r="OXJ65" s="470"/>
      <c r="OXK65" s="470"/>
      <c r="OXL65" s="470"/>
      <c r="OXM65" s="470"/>
      <c r="OXN65" s="470"/>
      <c r="OXO65" s="470"/>
      <c r="OXP65" s="470"/>
      <c r="OXQ65" s="470"/>
      <c r="OXR65" s="470"/>
      <c r="OXS65" s="470"/>
      <c r="OXT65" s="470"/>
      <c r="OXU65" s="470"/>
      <c r="OXV65" s="470"/>
      <c r="OXW65" s="470"/>
      <c r="OXX65" s="470"/>
      <c r="OXY65" s="470"/>
      <c r="OXZ65" s="470"/>
      <c r="OYA65" s="470"/>
      <c r="OYB65" s="470"/>
      <c r="OYC65" s="470"/>
      <c r="OYD65" s="470"/>
      <c r="OYE65" s="470"/>
      <c r="OYF65" s="470"/>
      <c r="OYG65" s="470"/>
      <c r="OYH65" s="470"/>
      <c r="OYI65" s="470"/>
      <c r="OYJ65" s="471"/>
      <c r="OYK65" s="469"/>
      <c r="OYL65" s="470"/>
      <c r="OYM65" s="470"/>
      <c r="OYN65" s="470"/>
      <c r="OYO65" s="470"/>
      <c r="OYP65" s="470"/>
      <c r="OYQ65" s="470"/>
      <c r="OYR65" s="470"/>
      <c r="OYS65" s="470"/>
      <c r="OYT65" s="470"/>
      <c r="OYU65" s="470"/>
      <c r="OYV65" s="470"/>
      <c r="OYW65" s="470"/>
      <c r="OYX65" s="470"/>
      <c r="OYY65" s="470"/>
      <c r="OYZ65" s="470"/>
      <c r="OZA65" s="470"/>
      <c r="OZB65" s="470"/>
      <c r="OZC65" s="470"/>
      <c r="OZD65" s="470"/>
      <c r="OZE65" s="470"/>
      <c r="OZF65" s="470"/>
      <c r="OZG65" s="470"/>
      <c r="OZH65" s="470"/>
      <c r="OZI65" s="470"/>
      <c r="OZJ65" s="470"/>
      <c r="OZK65" s="470"/>
      <c r="OZL65" s="470"/>
      <c r="OZM65" s="470"/>
      <c r="OZN65" s="471"/>
      <c r="OZO65" s="469"/>
      <c r="OZP65" s="470"/>
      <c r="OZQ65" s="470"/>
      <c r="OZR65" s="470"/>
      <c r="OZS65" s="470"/>
      <c r="OZT65" s="470"/>
      <c r="OZU65" s="470"/>
      <c r="OZV65" s="470"/>
      <c r="OZW65" s="470"/>
      <c r="OZX65" s="470"/>
      <c r="OZY65" s="470"/>
      <c r="OZZ65" s="470"/>
      <c r="PAA65" s="470"/>
      <c r="PAB65" s="470"/>
      <c r="PAC65" s="470"/>
      <c r="PAD65" s="470"/>
      <c r="PAE65" s="470"/>
      <c r="PAF65" s="470"/>
      <c r="PAG65" s="470"/>
      <c r="PAH65" s="470"/>
      <c r="PAI65" s="470"/>
      <c r="PAJ65" s="470"/>
      <c r="PAK65" s="470"/>
      <c r="PAL65" s="470"/>
      <c r="PAM65" s="470"/>
      <c r="PAN65" s="470"/>
      <c r="PAO65" s="470"/>
      <c r="PAP65" s="470"/>
      <c r="PAQ65" s="470"/>
      <c r="PAR65" s="471"/>
      <c r="PAS65" s="469"/>
      <c r="PAT65" s="470"/>
      <c r="PAU65" s="470"/>
      <c r="PAV65" s="470"/>
      <c r="PAW65" s="470"/>
      <c r="PAX65" s="470"/>
      <c r="PAY65" s="470"/>
      <c r="PAZ65" s="470"/>
      <c r="PBA65" s="470"/>
      <c r="PBB65" s="470"/>
      <c r="PBC65" s="470"/>
      <c r="PBD65" s="470"/>
      <c r="PBE65" s="470"/>
      <c r="PBF65" s="470"/>
      <c r="PBG65" s="470"/>
      <c r="PBH65" s="470"/>
      <c r="PBI65" s="470"/>
      <c r="PBJ65" s="470"/>
      <c r="PBK65" s="470"/>
      <c r="PBL65" s="470"/>
      <c r="PBM65" s="470"/>
      <c r="PBN65" s="470"/>
      <c r="PBO65" s="470"/>
      <c r="PBP65" s="470"/>
      <c r="PBQ65" s="470"/>
      <c r="PBR65" s="470"/>
      <c r="PBS65" s="470"/>
      <c r="PBT65" s="470"/>
      <c r="PBU65" s="470"/>
      <c r="PBV65" s="471"/>
      <c r="PBW65" s="469"/>
      <c r="PBX65" s="470"/>
      <c r="PBY65" s="470"/>
      <c r="PBZ65" s="470"/>
      <c r="PCA65" s="470"/>
      <c r="PCB65" s="470"/>
      <c r="PCC65" s="470"/>
      <c r="PCD65" s="470"/>
      <c r="PCE65" s="470"/>
      <c r="PCF65" s="470"/>
      <c r="PCG65" s="470"/>
      <c r="PCH65" s="470"/>
      <c r="PCI65" s="470"/>
      <c r="PCJ65" s="470"/>
      <c r="PCK65" s="470"/>
      <c r="PCL65" s="470"/>
      <c r="PCM65" s="470"/>
      <c r="PCN65" s="470"/>
      <c r="PCO65" s="470"/>
      <c r="PCP65" s="470"/>
      <c r="PCQ65" s="470"/>
      <c r="PCR65" s="470"/>
      <c r="PCS65" s="470"/>
      <c r="PCT65" s="470"/>
      <c r="PCU65" s="470"/>
      <c r="PCV65" s="470"/>
      <c r="PCW65" s="470"/>
      <c r="PCX65" s="470"/>
      <c r="PCY65" s="470"/>
      <c r="PCZ65" s="471"/>
      <c r="PDA65" s="469"/>
      <c r="PDB65" s="470"/>
      <c r="PDC65" s="470"/>
      <c r="PDD65" s="470"/>
      <c r="PDE65" s="470"/>
      <c r="PDF65" s="470"/>
      <c r="PDG65" s="470"/>
      <c r="PDH65" s="470"/>
      <c r="PDI65" s="470"/>
      <c r="PDJ65" s="470"/>
      <c r="PDK65" s="470"/>
      <c r="PDL65" s="470"/>
      <c r="PDM65" s="470"/>
      <c r="PDN65" s="470"/>
      <c r="PDO65" s="470"/>
      <c r="PDP65" s="470"/>
      <c r="PDQ65" s="470"/>
      <c r="PDR65" s="470"/>
      <c r="PDS65" s="470"/>
      <c r="PDT65" s="470"/>
      <c r="PDU65" s="470"/>
      <c r="PDV65" s="470"/>
      <c r="PDW65" s="470"/>
      <c r="PDX65" s="470"/>
      <c r="PDY65" s="470"/>
      <c r="PDZ65" s="470"/>
      <c r="PEA65" s="470"/>
      <c r="PEB65" s="470"/>
      <c r="PEC65" s="470"/>
      <c r="PED65" s="471"/>
      <c r="PEE65" s="469"/>
      <c r="PEF65" s="470"/>
      <c r="PEG65" s="470"/>
      <c r="PEH65" s="470"/>
      <c r="PEI65" s="470"/>
      <c r="PEJ65" s="470"/>
      <c r="PEK65" s="470"/>
      <c r="PEL65" s="470"/>
      <c r="PEM65" s="470"/>
      <c r="PEN65" s="470"/>
      <c r="PEO65" s="470"/>
      <c r="PEP65" s="470"/>
      <c r="PEQ65" s="470"/>
      <c r="PER65" s="470"/>
      <c r="PES65" s="470"/>
      <c r="PET65" s="470"/>
      <c r="PEU65" s="470"/>
      <c r="PEV65" s="470"/>
      <c r="PEW65" s="470"/>
      <c r="PEX65" s="470"/>
      <c r="PEY65" s="470"/>
      <c r="PEZ65" s="470"/>
      <c r="PFA65" s="470"/>
      <c r="PFB65" s="470"/>
      <c r="PFC65" s="470"/>
      <c r="PFD65" s="470"/>
      <c r="PFE65" s="470"/>
      <c r="PFF65" s="470"/>
      <c r="PFG65" s="470"/>
      <c r="PFH65" s="471"/>
      <c r="PFI65" s="469"/>
      <c r="PFJ65" s="470"/>
      <c r="PFK65" s="470"/>
      <c r="PFL65" s="470"/>
      <c r="PFM65" s="470"/>
      <c r="PFN65" s="470"/>
      <c r="PFO65" s="470"/>
      <c r="PFP65" s="470"/>
      <c r="PFQ65" s="470"/>
      <c r="PFR65" s="470"/>
      <c r="PFS65" s="470"/>
      <c r="PFT65" s="470"/>
      <c r="PFU65" s="470"/>
      <c r="PFV65" s="470"/>
      <c r="PFW65" s="470"/>
      <c r="PFX65" s="470"/>
      <c r="PFY65" s="470"/>
      <c r="PFZ65" s="470"/>
      <c r="PGA65" s="470"/>
      <c r="PGB65" s="470"/>
      <c r="PGC65" s="470"/>
      <c r="PGD65" s="470"/>
      <c r="PGE65" s="470"/>
      <c r="PGF65" s="470"/>
      <c r="PGG65" s="470"/>
      <c r="PGH65" s="470"/>
      <c r="PGI65" s="470"/>
      <c r="PGJ65" s="470"/>
      <c r="PGK65" s="470"/>
      <c r="PGL65" s="471"/>
      <c r="PGM65" s="469"/>
      <c r="PGN65" s="470"/>
      <c r="PGO65" s="470"/>
      <c r="PGP65" s="470"/>
      <c r="PGQ65" s="470"/>
      <c r="PGR65" s="470"/>
      <c r="PGS65" s="470"/>
      <c r="PGT65" s="470"/>
      <c r="PGU65" s="470"/>
      <c r="PGV65" s="470"/>
      <c r="PGW65" s="470"/>
      <c r="PGX65" s="470"/>
      <c r="PGY65" s="470"/>
      <c r="PGZ65" s="470"/>
      <c r="PHA65" s="470"/>
      <c r="PHB65" s="470"/>
      <c r="PHC65" s="470"/>
      <c r="PHD65" s="470"/>
      <c r="PHE65" s="470"/>
      <c r="PHF65" s="470"/>
      <c r="PHG65" s="470"/>
      <c r="PHH65" s="470"/>
      <c r="PHI65" s="470"/>
      <c r="PHJ65" s="470"/>
      <c r="PHK65" s="470"/>
      <c r="PHL65" s="470"/>
      <c r="PHM65" s="470"/>
      <c r="PHN65" s="470"/>
      <c r="PHO65" s="470"/>
      <c r="PHP65" s="471"/>
      <c r="PHQ65" s="469"/>
      <c r="PHR65" s="470"/>
      <c r="PHS65" s="470"/>
      <c r="PHT65" s="470"/>
      <c r="PHU65" s="470"/>
      <c r="PHV65" s="470"/>
      <c r="PHW65" s="470"/>
      <c r="PHX65" s="470"/>
      <c r="PHY65" s="470"/>
      <c r="PHZ65" s="470"/>
      <c r="PIA65" s="470"/>
      <c r="PIB65" s="470"/>
      <c r="PIC65" s="470"/>
      <c r="PID65" s="470"/>
      <c r="PIE65" s="470"/>
      <c r="PIF65" s="470"/>
      <c r="PIG65" s="470"/>
      <c r="PIH65" s="470"/>
      <c r="PII65" s="470"/>
      <c r="PIJ65" s="470"/>
      <c r="PIK65" s="470"/>
      <c r="PIL65" s="470"/>
      <c r="PIM65" s="470"/>
      <c r="PIN65" s="470"/>
      <c r="PIO65" s="470"/>
      <c r="PIP65" s="470"/>
      <c r="PIQ65" s="470"/>
      <c r="PIR65" s="470"/>
      <c r="PIS65" s="470"/>
      <c r="PIT65" s="471"/>
      <c r="PIU65" s="469"/>
      <c r="PIV65" s="470"/>
      <c r="PIW65" s="470"/>
      <c r="PIX65" s="470"/>
      <c r="PIY65" s="470"/>
      <c r="PIZ65" s="470"/>
      <c r="PJA65" s="470"/>
      <c r="PJB65" s="470"/>
      <c r="PJC65" s="470"/>
      <c r="PJD65" s="470"/>
      <c r="PJE65" s="470"/>
      <c r="PJF65" s="470"/>
      <c r="PJG65" s="470"/>
      <c r="PJH65" s="470"/>
      <c r="PJI65" s="470"/>
      <c r="PJJ65" s="470"/>
      <c r="PJK65" s="470"/>
      <c r="PJL65" s="470"/>
      <c r="PJM65" s="470"/>
      <c r="PJN65" s="470"/>
      <c r="PJO65" s="470"/>
      <c r="PJP65" s="470"/>
      <c r="PJQ65" s="470"/>
      <c r="PJR65" s="470"/>
      <c r="PJS65" s="470"/>
      <c r="PJT65" s="470"/>
      <c r="PJU65" s="470"/>
      <c r="PJV65" s="470"/>
      <c r="PJW65" s="470"/>
      <c r="PJX65" s="471"/>
      <c r="PJY65" s="469"/>
      <c r="PJZ65" s="470"/>
      <c r="PKA65" s="470"/>
      <c r="PKB65" s="470"/>
      <c r="PKC65" s="470"/>
      <c r="PKD65" s="470"/>
      <c r="PKE65" s="470"/>
      <c r="PKF65" s="470"/>
      <c r="PKG65" s="470"/>
      <c r="PKH65" s="470"/>
      <c r="PKI65" s="470"/>
      <c r="PKJ65" s="470"/>
      <c r="PKK65" s="470"/>
      <c r="PKL65" s="470"/>
      <c r="PKM65" s="470"/>
      <c r="PKN65" s="470"/>
      <c r="PKO65" s="470"/>
      <c r="PKP65" s="470"/>
      <c r="PKQ65" s="470"/>
      <c r="PKR65" s="470"/>
      <c r="PKS65" s="470"/>
      <c r="PKT65" s="470"/>
      <c r="PKU65" s="470"/>
      <c r="PKV65" s="470"/>
      <c r="PKW65" s="470"/>
      <c r="PKX65" s="470"/>
      <c r="PKY65" s="470"/>
      <c r="PKZ65" s="470"/>
      <c r="PLA65" s="470"/>
      <c r="PLB65" s="471"/>
      <c r="PLC65" s="469"/>
      <c r="PLD65" s="470"/>
      <c r="PLE65" s="470"/>
      <c r="PLF65" s="470"/>
      <c r="PLG65" s="470"/>
      <c r="PLH65" s="470"/>
      <c r="PLI65" s="470"/>
      <c r="PLJ65" s="470"/>
      <c r="PLK65" s="470"/>
      <c r="PLL65" s="470"/>
      <c r="PLM65" s="470"/>
      <c r="PLN65" s="470"/>
      <c r="PLO65" s="470"/>
      <c r="PLP65" s="470"/>
      <c r="PLQ65" s="470"/>
      <c r="PLR65" s="470"/>
      <c r="PLS65" s="470"/>
      <c r="PLT65" s="470"/>
      <c r="PLU65" s="470"/>
      <c r="PLV65" s="470"/>
      <c r="PLW65" s="470"/>
      <c r="PLX65" s="470"/>
      <c r="PLY65" s="470"/>
      <c r="PLZ65" s="470"/>
      <c r="PMA65" s="470"/>
      <c r="PMB65" s="470"/>
      <c r="PMC65" s="470"/>
      <c r="PMD65" s="470"/>
      <c r="PME65" s="470"/>
      <c r="PMF65" s="471"/>
      <c r="PMG65" s="469"/>
      <c r="PMH65" s="470"/>
      <c r="PMI65" s="470"/>
      <c r="PMJ65" s="470"/>
      <c r="PMK65" s="470"/>
      <c r="PML65" s="470"/>
      <c r="PMM65" s="470"/>
      <c r="PMN65" s="470"/>
      <c r="PMO65" s="470"/>
      <c r="PMP65" s="470"/>
      <c r="PMQ65" s="470"/>
      <c r="PMR65" s="470"/>
      <c r="PMS65" s="470"/>
      <c r="PMT65" s="470"/>
      <c r="PMU65" s="470"/>
      <c r="PMV65" s="470"/>
      <c r="PMW65" s="470"/>
      <c r="PMX65" s="470"/>
      <c r="PMY65" s="470"/>
      <c r="PMZ65" s="470"/>
      <c r="PNA65" s="470"/>
      <c r="PNB65" s="470"/>
      <c r="PNC65" s="470"/>
      <c r="PND65" s="470"/>
      <c r="PNE65" s="470"/>
      <c r="PNF65" s="470"/>
      <c r="PNG65" s="470"/>
      <c r="PNH65" s="470"/>
      <c r="PNI65" s="470"/>
      <c r="PNJ65" s="471"/>
      <c r="PNK65" s="469"/>
      <c r="PNL65" s="470"/>
      <c r="PNM65" s="470"/>
      <c r="PNN65" s="470"/>
      <c r="PNO65" s="470"/>
      <c r="PNP65" s="470"/>
      <c r="PNQ65" s="470"/>
      <c r="PNR65" s="470"/>
      <c r="PNS65" s="470"/>
      <c r="PNT65" s="470"/>
      <c r="PNU65" s="470"/>
      <c r="PNV65" s="470"/>
      <c r="PNW65" s="470"/>
      <c r="PNX65" s="470"/>
      <c r="PNY65" s="470"/>
      <c r="PNZ65" s="470"/>
      <c r="POA65" s="470"/>
      <c r="POB65" s="470"/>
      <c r="POC65" s="470"/>
      <c r="POD65" s="470"/>
      <c r="POE65" s="470"/>
      <c r="POF65" s="470"/>
      <c r="POG65" s="470"/>
      <c r="POH65" s="470"/>
      <c r="POI65" s="470"/>
      <c r="POJ65" s="470"/>
      <c r="POK65" s="470"/>
      <c r="POL65" s="470"/>
      <c r="POM65" s="470"/>
      <c r="PON65" s="471"/>
      <c r="POO65" s="469"/>
      <c r="POP65" s="470"/>
      <c r="POQ65" s="470"/>
      <c r="POR65" s="470"/>
      <c r="POS65" s="470"/>
      <c r="POT65" s="470"/>
      <c r="POU65" s="470"/>
      <c r="POV65" s="470"/>
      <c r="POW65" s="470"/>
      <c r="POX65" s="470"/>
      <c r="POY65" s="470"/>
      <c r="POZ65" s="470"/>
      <c r="PPA65" s="470"/>
      <c r="PPB65" s="470"/>
      <c r="PPC65" s="470"/>
      <c r="PPD65" s="470"/>
      <c r="PPE65" s="470"/>
      <c r="PPF65" s="470"/>
      <c r="PPG65" s="470"/>
      <c r="PPH65" s="470"/>
      <c r="PPI65" s="470"/>
      <c r="PPJ65" s="470"/>
      <c r="PPK65" s="470"/>
      <c r="PPL65" s="470"/>
      <c r="PPM65" s="470"/>
      <c r="PPN65" s="470"/>
      <c r="PPO65" s="470"/>
      <c r="PPP65" s="470"/>
      <c r="PPQ65" s="470"/>
      <c r="PPR65" s="471"/>
      <c r="PPS65" s="469"/>
      <c r="PPT65" s="470"/>
      <c r="PPU65" s="470"/>
      <c r="PPV65" s="470"/>
      <c r="PPW65" s="470"/>
      <c r="PPX65" s="470"/>
      <c r="PPY65" s="470"/>
      <c r="PPZ65" s="470"/>
      <c r="PQA65" s="470"/>
      <c r="PQB65" s="470"/>
      <c r="PQC65" s="470"/>
      <c r="PQD65" s="470"/>
      <c r="PQE65" s="470"/>
      <c r="PQF65" s="470"/>
      <c r="PQG65" s="470"/>
      <c r="PQH65" s="470"/>
      <c r="PQI65" s="470"/>
      <c r="PQJ65" s="470"/>
      <c r="PQK65" s="470"/>
      <c r="PQL65" s="470"/>
      <c r="PQM65" s="470"/>
      <c r="PQN65" s="470"/>
      <c r="PQO65" s="470"/>
      <c r="PQP65" s="470"/>
      <c r="PQQ65" s="470"/>
      <c r="PQR65" s="470"/>
      <c r="PQS65" s="470"/>
      <c r="PQT65" s="470"/>
      <c r="PQU65" s="470"/>
      <c r="PQV65" s="471"/>
      <c r="PQW65" s="469"/>
      <c r="PQX65" s="470"/>
      <c r="PQY65" s="470"/>
      <c r="PQZ65" s="470"/>
      <c r="PRA65" s="470"/>
      <c r="PRB65" s="470"/>
      <c r="PRC65" s="470"/>
      <c r="PRD65" s="470"/>
      <c r="PRE65" s="470"/>
      <c r="PRF65" s="470"/>
      <c r="PRG65" s="470"/>
      <c r="PRH65" s="470"/>
      <c r="PRI65" s="470"/>
      <c r="PRJ65" s="470"/>
      <c r="PRK65" s="470"/>
      <c r="PRL65" s="470"/>
      <c r="PRM65" s="470"/>
      <c r="PRN65" s="470"/>
      <c r="PRO65" s="470"/>
      <c r="PRP65" s="470"/>
      <c r="PRQ65" s="470"/>
      <c r="PRR65" s="470"/>
      <c r="PRS65" s="470"/>
      <c r="PRT65" s="470"/>
      <c r="PRU65" s="470"/>
      <c r="PRV65" s="470"/>
      <c r="PRW65" s="470"/>
      <c r="PRX65" s="470"/>
      <c r="PRY65" s="470"/>
      <c r="PRZ65" s="471"/>
      <c r="PSA65" s="469"/>
      <c r="PSB65" s="470"/>
      <c r="PSC65" s="470"/>
      <c r="PSD65" s="470"/>
      <c r="PSE65" s="470"/>
      <c r="PSF65" s="470"/>
      <c r="PSG65" s="470"/>
      <c r="PSH65" s="470"/>
      <c r="PSI65" s="470"/>
      <c r="PSJ65" s="470"/>
      <c r="PSK65" s="470"/>
      <c r="PSL65" s="470"/>
      <c r="PSM65" s="470"/>
      <c r="PSN65" s="470"/>
      <c r="PSO65" s="470"/>
      <c r="PSP65" s="470"/>
      <c r="PSQ65" s="470"/>
      <c r="PSR65" s="470"/>
      <c r="PSS65" s="470"/>
      <c r="PST65" s="470"/>
      <c r="PSU65" s="470"/>
      <c r="PSV65" s="470"/>
      <c r="PSW65" s="470"/>
      <c r="PSX65" s="470"/>
      <c r="PSY65" s="470"/>
      <c r="PSZ65" s="470"/>
      <c r="PTA65" s="470"/>
      <c r="PTB65" s="470"/>
      <c r="PTC65" s="470"/>
      <c r="PTD65" s="471"/>
      <c r="PTE65" s="469"/>
      <c r="PTF65" s="470"/>
      <c r="PTG65" s="470"/>
      <c r="PTH65" s="470"/>
      <c r="PTI65" s="470"/>
      <c r="PTJ65" s="470"/>
      <c r="PTK65" s="470"/>
      <c r="PTL65" s="470"/>
      <c r="PTM65" s="470"/>
      <c r="PTN65" s="470"/>
      <c r="PTO65" s="470"/>
      <c r="PTP65" s="470"/>
      <c r="PTQ65" s="470"/>
      <c r="PTR65" s="470"/>
      <c r="PTS65" s="470"/>
      <c r="PTT65" s="470"/>
      <c r="PTU65" s="470"/>
      <c r="PTV65" s="470"/>
      <c r="PTW65" s="470"/>
      <c r="PTX65" s="470"/>
      <c r="PTY65" s="470"/>
      <c r="PTZ65" s="470"/>
      <c r="PUA65" s="470"/>
      <c r="PUB65" s="470"/>
      <c r="PUC65" s="470"/>
      <c r="PUD65" s="470"/>
      <c r="PUE65" s="470"/>
      <c r="PUF65" s="470"/>
      <c r="PUG65" s="470"/>
      <c r="PUH65" s="471"/>
      <c r="PUI65" s="469"/>
      <c r="PUJ65" s="470"/>
      <c r="PUK65" s="470"/>
      <c r="PUL65" s="470"/>
      <c r="PUM65" s="470"/>
      <c r="PUN65" s="470"/>
      <c r="PUO65" s="470"/>
      <c r="PUP65" s="470"/>
      <c r="PUQ65" s="470"/>
      <c r="PUR65" s="470"/>
      <c r="PUS65" s="470"/>
      <c r="PUT65" s="470"/>
      <c r="PUU65" s="470"/>
      <c r="PUV65" s="470"/>
      <c r="PUW65" s="470"/>
      <c r="PUX65" s="470"/>
      <c r="PUY65" s="470"/>
      <c r="PUZ65" s="470"/>
      <c r="PVA65" s="470"/>
      <c r="PVB65" s="470"/>
      <c r="PVC65" s="470"/>
      <c r="PVD65" s="470"/>
      <c r="PVE65" s="470"/>
      <c r="PVF65" s="470"/>
      <c r="PVG65" s="470"/>
      <c r="PVH65" s="470"/>
      <c r="PVI65" s="470"/>
      <c r="PVJ65" s="470"/>
      <c r="PVK65" s="470"/>
      <c r="PVL65" s="471"/>
      <c r="PVM65" s="469"/>
      <c r="PVN65" s="470"/>
      <c r="PVO65" s="470"/>
      <c r="PVP65" s="470"/>
      <c r="PVQ65" s="470"/>
      <c r="PVR65" s="470"/>
      <c r="PVS65" s="470"/>
      <c r="PVT65" s="470"/>
      <c r="PVU65" s="470"/>
      <c r="PVV65" s="470"/>
      <c r="PVW65" s="470"/>
      <c r="PVX65" s="470"/>
      <c r="PVY65" s="470"/>
      <c r="PVZ65" s="470"/>
      <c r="PWA65" s="470"/>
      <c r="PWB65" s="470"/>
      <c r="PWC65" s="470"/>
      <c r="PWD65" s="470"/>
      <c r="PWE65" s="470"/>
      <c r="PWF65" s="470"/>
      <c r="PWG65" s="470"/>
      <c r="PWH65" s="470"/>
      <c r="PWI65" s="470"/>
      <c r="PWJ65" s="470"/>
      <c r="PWK65" s="470"/>
      <c r="PWL65" s="470"/>
      <c r="PWM65" s="470"/>
      <c r="PWN65" s="470"/>
      <c r="PWO65" s="470"/>
      <c r="PWP65" s="471"/>
      <c r="PWQ65" s="469"/>
      <c r="PWR65" s="470"/>
      <c r="PWS65" s="470"/>
      <c r="PWT65" s="470"/>
      <c r="PWU65" s="470"/>
      <c r="PWV65" s="470"/>
      <c r="PWW65" s="470"/>
      <c r="PWX65" s="470"/>
      <c r="PWY65" s="470"/>
      <c r="PWZ65" s="470"/>
      <c r="PXA65" s="470"/>
      <c r="PXB65" s="470"/>
      <c r="PXC65" s="470"/>
      <c r="PXD65" s="470"/>
      <c r="PXE65" s="470"/>
      <c r="PXF65" s="470"/>
      <c r="PXG65" s="470"/>
      <c r="PXH65" s="470"/>
      <c r="PXI65" s="470"/>
      <c r="PXJ65" s="470"/>
      <c r="PXK65" s="470"/>
      <c r="PXL65" s="470"/>
      <c r="PXM65" s="470"/>
      <c r="PXN65" s="470"/>
      <c r="PXO65" s="470"/>
      <c r="PXP65" s="470"/>
      <c r="PXQ65" s="470"/>
      <c r="PXR65" s="470"/>
      <c r="PXS65" s="470"/>
      <c r="PXT65" s="471"/>
      <c r="PXU65" s="469"/>
      <c r="PXV65" s="470"/>
      <c r="PXW65" s="470"/>
      <c r="PXX65" s="470"/>
      <c r="PXY65" s="470"/>
      <c r="PXZ65" s="470"/>
      <c r="PYA65" s="470"/>
      <c r="PYB65" s="470"/>
      <c r="PYC65" s="470"/>
      <c r="PYD65" s="470"/>
      <c r="PYE65" s="470"/>
      <c r="PYF65" s="470"/>
      <c r="PYG65" s="470"/>
      <c r="PYH65" s="470"/>
      <c r="PYI65" s="470"/>
      <c r="PYJ65" s="470"/>
      <c r="PYK65" s="470"/>
      <c r="PYL65" s="470"/>
      <c r="PYM65" s="470"/>
      <c r="PYN65" s="470"/>
      <c r="PYO65" s="470"/>
      <c r="PYP65" s="470"/>
      <c r="PYQ65" s="470"/>
      <c r="PYR65" s="470"/>
      <c r="PYS65" s="470"/>
      <c r="PYT65" s="470"/>
      <c r="PYU65" s="470"/>
      <c r="PYV65" s="470"/>
      <c r="PYW65" s="470"/>
      <c r="PYX65" s="471"/>
      <c r="PYY65" s="469"/>
      <c r="PYZ65" s="470"/>
      <c r="PZA65" s="470"/>
      <c r="PZB65" s="470"/>
      <c r="PZC65" s="470"/>
      <c r="PZD65" s="470"/>
      <c r="PZE65" s="470"/>
      <c r="PZF65" s="470"/>
      <c r="PZG65" s="470"/>
      <c r="PZH65" s="470"/>
      <c r="PZI65" s="470"/>
      <c r="PZJ65" s="470"/>
      <c r="PZK65" s="470"/>
      <c r="PZL65" s="470"/>
      <c r="PZM65" s="470"/>
      <c r="PZN65" s="470"/>
      <c r="PZO65" s="470"/>
      <c r="PZP65" s="470"/>
      <c r="PZQ65" s="470"/>
      <c r="PZR65" s="470"/>
      <c r="PZS65" s="470"/>
      <c r="PZT65" s="470"/>
      <c r="PZU65" s="470"/>
      <c r="PZV65" s="470"/>
      <c r="PZW65" s="470"/>
      <c r="PZX65" s="470"/>
      <c r="PZY65" s="470"/>
      <c r="PZZ65" s="470"/>
      <c r="QAA65" s="470"/>
      <c r="QAB65" s="471"/>
      <c r="QAC65" s="469"/>
      <c r="QAD65" s="470"/>
      <c r="QAE65" s="470"/>
      <c r="QAF65" s="470"/>
      <c r="QAG65" s="470"/>
      <c r="QAH65" s="470"/>
      <c r="QAI65" s="470"/>
      <c r="QAJ65" s="470"/>
      <c r="QAK65" s="470"/>
      <c r="QAL65" s="470"/>
      <c r="QAM65" s="470"/>
      <c r="QAN65" s="470"/>
      <c r="QAO65" s="470"/>
      <c r="QAP65" s="470"/>
      <c r="QAQ65" s="470"/>
      <c r="QAR65" s="470"/>
      <c r="QAS65" s="470"/>
      <c r="QAT65" s="470"/>
      <c r="QAU65" s="470"/>
      <c r="QAV65" s="470"/>
      <c r="QAW65" s="470"/>
      <c r="QAX65" s="470"/>
      <c r="QAY65" s="470"/>
      <c r="QAZ65" s="470"/>
      <c r="QBA65" s="470"/>
      <c r="QBB65" s="470"/>
      <c r="QBC65" s="470"/>
      <c r="QBD65" s="470"/>
      <c r="QBE65" s="470"/>
      <c r="QBF65" s="471"/>
      <c r="QBG65" s="469"/>
      <c r="QBH65" s="470"/>
      <c r="QBI65" s="470"/>
      <c r="QBJ65" s="470"/>
      <c r="QBK65" s="470"/>
      <c r="QBL65" s="470"/>
      <c r="QBM65" s="470"/>
      <c r="QBN65" s="470"/>
      <c r="QBO65" s="470"/>
      <c r="QBP65" s="470"/>
      <c r="QBQ65" s="470"/>
      <c r="QBR65" s="470"/>
      <c r="QBS65" s="470"/>
      <c r="QBT65" s="470"/>
      <c r="QBU65" s="470"/>
      <c r="QBV65" s="470"/>
      <c r="QBW65" s="470"/>
      <c r="QBX65" s="470"/>
      <c r="QBY65" s="470"/>
      <c r="QBZ65" s="470"/>
      <c r="QCA65" s="470"/>
      <c r="QCB65" s="470"/>
      <c r="QCC65" s="470"/>
      <c r="QCD65" s="470"/>
      <c r="QCE65" s="470"/>
      <c r="QCF65" s="470"/>
      <c r="QCG65" s="470"/>
      <c r="QCH65" s="470"/>
      <c r="QCI65" s="470"/>
      <c r="QCJ65" s="471"/>
      <c r="QCK65" s="469"/>
      <c r="QCL65" s="470"/>
      <c r="QCM65" s="470"/>
      <c r="QCN65" s="470"/>
      <c r="QCO65" s="470"/>
      <c r="QCP65" s="470"/>
      <c r="QCQ65" s="470"/>
      <c r="QCR65" s="470"/>
      <c r="QCS65" s="470"/>
      <c r="QCT65" s="470"/>
      <c r="QCU65" s="470"/>
      <c r="QCV65" s="470"/>
      <c r="QCW65" s="470"/>
      <c r="QCX65" s="470"/>
      <c r="QCY65" s="470"/>
      <c r="QCZ65" s="470"/>
      <c r="QDA65" s="470"/>
      <c r="QDB65" s="470"/>
      <c r="QDC65" s="470"/>
      <c r="QDD65" s="470"/>
      <c r="QDE65" s="470"/>
      <c r="QDF65" s="470"/>
      <c r="QDG65" s="470"/>
      <c r="QDH65" s="470"/>
      <c r="QDI65" s="470"/>
      <c r="QDJ65" s="470"/>
      <c r="QDK65" s="470"/>
      <c r="QDL65" s="470"/>
      <c r="QDM65" s="470"/>
      <c r="QDN65" s="471"/>
      <c r="QDO65" s="469"/>
      <c r="QDP65" s="470"/>
      <c r="QDQ65" s="470"/>
      <c r="QDR65" s="470"/>
      <c r="QDS65" s="470"/>
      <c r="QDT65" s="470"/>
      <c r="QDU65" s="470"/>
      <c r="QDV65" s="470"/>
      <c r="QDW65" s="470"/>
      <c r="QDX65" s="470"/>
      <c r="QDY65" s="470"/>
      <c r="QDZ65" s="470"/>
      <c r="QEA65" s="470"/>
      <c r="QEB65" s="470"/>
      <c r="QEC65" s="470"/>
      <c r="QED65" s="470"/>
      <c r="QEE65" s="470"/>
      <c r="QEF65" s="470"/>
      <c r="QEG65" s="470"/>
      <c r="QEH65" s="470"/>
      <c r="QEI65" s="470"/>
      <c r="QEJ65" s="470"/>
      <c r="QEK65" s="470"/>
      <c r="QEL65" s="470"/>
      <c r="QEM65" s="470"/>
      <c r="QEN65" s="470"/>
      <c r="QEO65" s="470"/>
      <c r="QEP65" s="470"/>
      <c r="QEQ65" s="470"/>
      <c r="QER65" s="471"/>
      <c r="QES65" s="469"/>
      <c r="QET65" s="470"/>
      <c r="QEU65" s="470"/>
      <c r="QEV65" s="470"/>
      <c r="QEW65" s="470"/>
      <c r="QEX65" s="470"/>
      <c r="QEY65" s="470"/>
      <c r="QEZ65" s="470"/>
      <c r="QFA65" s="470"/>
      <c r="QFB65" s="470"/>
      <c r="QFC65" s="470"/>
      <c r="QFD65" s="470"/>
      <c r="QFE65" s="470"/>
      <c r="QFF65" s="470"/>
      <c r="QFG65" s="470"/>
      <c r="QFH65" s="470"/>
      <c r="QFI65" s="470"/>
      <c r="QFJ65" s="470"/>
      <c r="QFK65" s="470"/>
      <c r="QFL65" s="470"/>
      <c r="QFM65" s="470"/>
      <c r="QFN65" s="470"/>
      <c r="QFO65" s="470"/>
      <c r="QFP65" s="470"/>
      <c r="QFQ65" s="470"/>
      <c r="QFR65" s="470"/>
      <c r="QFS65" s="470"/>
      <c r="QFT65" s="470"/>
      <c r="QFU65" s="470"/>
      <c r="QFV65" s="471"/>
      <c r="QFW65" s="469"/>
      <c r="QFX65" s="470"/>
      <c r="QFY65" s="470"/>
      <c r="QFZ65" s="470"/>
      <c r="QGA65" s="470"/>
      <c r="QGB65" s="470"/>
      <c r="QGC65" s="470"/>
      <c r="QGD65" s="470"/>
      <c r="QGE65" s="470"/>
      <c r="QGF65" s="470"/>
      <c r="QGG65" s="470"/>
      <c r="QGH65" s="470"/>
      <c r="QGI65" s="470"/>
      <c r="QGJ65" s="470"/>
      <c r="QGK65" s="470"/>
      <c r="QGL65" s="470"/>
      <c r="QGM65" s="470"/>
      <c r="QGN65" s="470"/>
      <c r="QGO65" s="470"/>
      <c r="QGP65" s="470"/>
      <c r="QGQ65" s="470"/>
      <c r="QGR65" s="470"/>
      <c r="QGS65" s="470"/>
      <c r="QGT65" s="470"/>
      <c r="QGU65" s="470"/>
      <c r="QGV65" s="470"/>
      <c r="QGW65" s="470"/>
      <c r="QGX65" s="470"/>
      <c r="QGY65" s="470"/>
      <c r="QGZ65" s="471"/>
      <c r="QHA65" s="469"/>
      <c r="QHB65" s="470"/>
      <c r="QHC65" s="470"/>
      <c r="QHD65" s="470"/>
      <c r="QHE65" s="470"/>
      <c r="QHF65" s="470"/>
      <c r="QHG65" s="470"/>
      <c r="QHH65" s="470"/>
      <c r="QHI65" s="470"/>
      <c r="QHJ65" s="470"/>
      <c r="QHK65" s="470"/>
      <c r="QHL65" s="470"/>
      <c r="QHM65" s="470"/>
      <c r="QHN65" s="470"/>
      <c r="QHO65" s="470"/>
      <c r="QHP65" s="470"/>
      <c r="QHQ65" s="470"/>
      <c r="QHR65" s="470"/>
      <c r="QHS65" s="470"/>
      <c r="QHT65" s="470"/>
      <c r="QHU65" s="470"/>
      <c r="QHV65" s="470"/>
      <c r="QHW65" s="470"/>
      <c r="QHX65" s="470"/>
      <c r="QHY65" s="470"/>
      <c r="QHZ65" s="470"/>
      <c r="QIA65" s="470"/>
      <c r="QIB65" s="470"/>
      <c r="QIC65" s="470"/>
      <c r="QID65" s="471"/>
      <c r="QIE65" s="469"/>
      <c r="QIF65" s="470"/>
      <c r="QIG65" s="470"/>
      <c r="QIH65" s="470"/>
      <c r="QII65" s="470"/>
      <c r="QIJ65" s="470"/>
      <c r="QIK65" s="470"/>
      <c r="QIL65" s="470"/>
      <c r="QIM65" s="470"/>
      <c r="QIN65" s="470"/>
      <c r="QIO65" s="470"/>
      <c r="QIP65" s="470"/>
      <c r="QIQ65" s="470"/>
      <c r="QIR65" s="470"/>
      <c r="QIS65" s="470"/>
      <c r="QIT65" s="470"/>
      <c r="QIU65" s="470"/>
      <c r="QIV65" s="470"/>
      <c r="QIW65" s="470"/>
      <c r="QIX65" s="470"/>
      <c r="QIY65" s="470"/>
      <c r="QIZ65" s="470"/>
      <c r="QJA65" s="470"/>
      <c r="QJB65" s="470"/>
      <c r="QJC65" s="470"/>
      <c r="QJD65" s="470"/>
      <c r="QJE65" s="470"/>
      <c r="QJF65" s="470"/>
      <c r="QJG65" s="470"/>
      <c r="QJH65" s="471"/>
      <c r="QJI65" s="469"/>
      <c r="QJJ65" s="470"/>
      <c r="QJK65" s="470"/>
      <c r="QJL65" s="470"/>
      <c r="QJM65" s="470"/>
      <c r="QJN65" s="470"/>
      <c r="QJO65" s="470"/>
      <c r="QJP65" s="470"/>
      <c r="QJQ65" s="470"/>
      <c r="QJR65" s="470"/>
      <c r="QJS65" s="470"/>
      <c r="QJT65" s="470"/>
      <c r="QJU65" s="470"/>
      <c r="QJV65" s="470"/>
      <c r="QJW65" s="470"/>
      <c r="QJX65" s="470"/>
      <c r="QJY65" s="470"/>
      <c r="QJZ65" s="470"/>
      <c r="QKA65" s="470"/>
      <c r="QKB65" s="470"/>
      <c r="QKC65" s="470"/>
      <c r="QKD65" s="470"/>
      <c r="QKE65" s="470"/>
      <c r="QKF65" s="470"/>
      <c r="QKG65" s="470"/>
      <c r="QKH65" s="470"/>
      <c r="QKI65" s="470"/>
      <c r="QKJ65" s="470"/>
      <c r="QKK65" s="470"/>
      <c r="QKL65" s="471"/>
      <c r="QKM65" s="469"/>
      <c r="QKN65" s="470"/>
      <c r="QKO65" s="470"/>
      <c r="QKP65" s="470"/>
      <c r="QKQ65" s="470"/>
      <c r="QKR65" s="470"/>
      <c r="QKS65" s="470"/>
      <c r="QKT65" s="470"/>
      <c r="QKU65" s="470"/>
      <c r="QKV65" s="470"/>
      <c r="QKW65" s="470"/>
      <c r="QKX65" s="470"/>
      <c r="QKY65" s="470"/>
      <c r="QKZ65" s="470"/>
      <c r="QLA65" s="470"/>
      <c r="QLB65" s="470"/>
      <c r="QLC65" s="470"/>
      <c r="QLD65" s="470"/>
      <c r="QLE65" s="470"/>
      <c r="QLF65" s="470"/>
      <c r="QLG65" s="470"/>
      <c r="QLH65" s="470"/>
      <c r="QLI65" s="470"/>
      <c r="QLJ65" s="470"/>
      <c r="QLK65" s="470"/>
      <c r="QLL65" s="470"/>
      <c r="QLM65" s="470"/>
      <c r="QLN65" s="470"/>
      <c r="QLO65" s="470"/>
      <c r="QLP65" s="471"/>
      <c r="QLQ65" s="469"/>
      <c r="QLR65" s="470"/>
      <c r="QLS65" s="470"/>
      <c r="QLT65" s="470"/>
      <c r="QLU65" s="470"/>
      <c r="QLV65" s="470"/>
      <c r="QLW65" s="470"/>
      <c r="QLX65" s="470"/>
      <c r="QLY65" s="470"/>
      <c r="QLZ65" s="470"/>
      <c r="QMA65" s="470"/>
      <c r="QMB65" s="470"/>
      <c r="QMC65" s="470"/>
      <c r="QMD65" s="470"/>
      <c r="QME65" s="470"/>
      <c r="QMF65" s="470"/>
      <c r="QMG65" s="470"/>
      <c r="QMH65" s="470"/>
      <c r="QMI65" s="470"/>
      <c r="QMJ65" s="470"/>
      <c r="QMK65" s="470"/>
      <c r="QML65" s="470"/>
      <c r="QMM65" s="470"/>
      <c r="QMN65" s="470"/>
      <c r="QMO65" s="470"/>
      <c r="QMP65" s="470"/>
      <c r="QMQ65" s="470"/>
      <c r="QMR65" s="470"/>
      <c r="QMS65" s="470"/>
      <c r="QMT65" s="471"/>
      <c r="QMU65" s="469"/>
      <c r="QMV65" s="470"/>
      <c r="QMW65" s="470"/>
      <c r="QMX65" s="470"/>
      <c r="QMY65" s="470"/>
      <c r="QMZ65" s="470"/>
      <c r="QNA65" s="470"/>
      <c r="QNB65" s="470"/>
      <c r="QNC65" s="470"/>
      <c r="QND65" s="470"/>
      <c r="QNE65" s="470"/>
      <c r="QNF65" s="470"/>
      <c r="QNG65" s="470"/>
      <c r="QNH65" s="470"/>
      <c r="QNI65" s="470"/>
      <c r="QNJ65" s="470"/>
      <c r="QNK65" s="470"/>
      <c r="QNL65" s="470"/>
      <c r="QNM65" s="470"/>
      <c r="QNN65" s="470"/>
      <c r="QNO65" s="470"/>
      <c r="QNP65" s="470"/>
      <c r="QNQ65" s="470"/>
      <c r="QNR65" s="470"/>
      <c r="QNS65" s="470"/>
      <c r="QNT65" s="470"/>
      <c r="QNU65" s="470"/>
      <c r="QNV65" s="470"/>
      <c r="QNW65" s="470"/>
      <c r="QNX65" s="471"/>
      <c r="QNY65" s="469"/>
      <c r="QNZ65" s="470"/>
      <c r="QOA65" s="470"/>
      <c r="QOB65" s="470"/>
      <c r="QOC65" s="470"/>
      <c r="QOD65" s="470"/>
      <c r="QOE65" s="470"/>
      <c r="QOF65" s="470"/>
      <c r="QOG65" s="470"/>
      <c r="QOH65" s="470"/>
      <c r="QOI65" s="470"/>
      <c r="QOJ65" s="470"/>
      <c r="QOK65" s="470"/>
      <c r="QOL65" s="470"/>
      <c r="QOM65" s="470"/>
      <c r="QON65" s="470"/>
      <c r="QOO65" s="470"/>
      <c r="QOP65" s="470"/>
      <c r="QOQ65" s="470"/>
      <c r="QOR65" s="470"/>
      <c r="QOS65" s="470"/>
      <c r="QOT65" s="470"/>
      <c r="QOU65" s="470"/>
      <c r="QOV65" s="470"/>
      <c r="QOW65" s="470"/>
      <c r="QOX65" s="470"/>
      <c r="QOY65" s="470"/>
      <c r="QOZ65" s="470"/>
      <c r="QPA65" s="470"/>
      <c r="QPB65" s="471"/>
      <c r="QPC65" s="469"/>
      <c r="QPD65" s="470"/>
      <c r="QPE65" s="470"/>
      <c r="QPF65" s="470"/>
      <c r="QPG65" s="470"/>
      <c r="QPH65" s="470"/>
      <c r="QPI65" s="470"/>
      <c r="QPJ65" s="470"/>
      <c r="QPK65" s="470"/>
      <c r="QPL65" s="470"/>
      <c r="QPM65" s="470"/>
      <c r="QPN65" s="470"/>
      <c r="QPO65" s="470"/>
      <c r="QPP65" s="470"/>
      <c r="QPQ65" s="470"/>
      <c r="QPR65" s="470"/>
      <c r="QPS65" s="470"/>
      <c r="QPT65" s="470"/>
      <c r="QPU65" s="470"/>
      <c r="QPV65" s="470"/>
      <c r="QPW65" s="470"/>
      <c r="QPX65" s="470"/>
      <c r="QPY65" s="470"/>
      <c r="QPZ65" s="470"/>
      <c r="QQA65" s="470"/>
      <c r="QQB65" s="470"/>
      <c r="QQC65" s="470"/>
      <c r="QQD65" s="470"/>
      <c r="QQE65" s="470"/>
      <c r="QQF65" s="471"/>
      <c r="QQG65" s="469"/>
      <c r="QQH65" s="470"/>
      <c r="QQI65" s="470"/>
      <c r="QQJ65" s="470"/>
      <c r="QQK65" s="470"/>
      <c r="QQL65" s="470"/>
      <c r="QQM65" s="470"/>
      <c r="QQN65" s="470"/>
      <c r="QQO65" s="470"/>
      <c r="QQP65" s="470"/>
      <c r="QQQ65" s="470"/>
      <c r="QQR65" s="470"/>
      <c r="QQS65" s="470"/>
      <c r="QQT65" s="470"/>
      <c r="QQU65" s="470"/>
      <c r="QQV65" s="470"/>
      <c r="QQW65" s="470"/>
      <c r="QQX65" s="470"/>
      <c r="QQY65" s="470"/>
      <c r="QQZ65" s="470"/>
      <c r="QRA65" s="470"/>
      <c r="QRB65" s="470"/>
      <c r="QRC65" s="470"/>
      <c r="QRD65" s="470"/>
      <c r="QRE65" s="470"/>
      <c r="QRF65" s="470"/>
      <c r="QRG65" s="470"/>
      <c r="QRH65" s="470"/>
      <c r="QRI65" s="470"/>
      <c r="QRJ65" s="471"/>
      <c r="QRK65" s="469"/>
      <c r="QRL65" s="470"/>
      <c r="QRM65" s="470"/>
      <c r="QRN65" s="470"/>
      <c r="QRO65" s="470"/>
      <c r="QRP65" s="470"/>
      <c r="QRQ65" s="470"/>
      <c r="QRR65" s="470"/>
      <c r="QRS65" s="470"/>
      <c r="QRT65" s="470"/>
      <c r="QRU65" s="470"/>
      <c r="QRV65" s="470"/>
      <c r="QRW65" s="470"/>
      <c r="QRX65" s="470"/>
      <c r="QRY65" s="470"/>
      <c r="QRZ65" s="470"/>
      <c r="QSA65" s="470"/>
      <c r="QSB65" s="470"/>
      <c r="QSC65" s="470"/>
      <c r="QSD65" s="470"/>
      <c r="QSE65" s="470"/>
      <c r="QSF65" s="470"/>
      <c r="QSG65" s="470"/>
      <c r="QSH65" s="470"/>
      <c r="QSI65" s="470"/>
      <c r="QSJ65" s="470"/>
      <c r="QSK65" s="470"/>
      <c r="QSL65" s="470"/>
      <c r="QSM65" s="470"/>
      <c r="QSN65" s="471"/>
      <c r="QSO65" s="469"/>
      <c r="QSP65" s="470"/>
      <c r="QSQ65" s="470"/>
      <c r="QSR65" s="470"/>
      <c r="QSS65" s="470"/>
      <c r="QST65" s="470"/>
      <c r="QSU65" s="470"/>
      <c r="QSV65" s="470"/>
      <c r="QSW65" s="470"/>
      <c r="QSX65" s="470"/>
      <c r="QSY65" s="470"/>
      <c r="QSZ65" s="470"/>
      <c r="QTA65" s="470"/>
      <c r="QTB65" s="470"/>
      <c r="QTC65" s="470"/>
      <c r="QTD65" s="470"/>
      <c r="QTE65" s="470"/>
      <c r="QTF65" s="470"/>
      <c r="QTG65" s="470"/>
      <c r="QTH65" s="470"/>
      <c r="QTI65" s="470"/>
      <c r="QTJ65" s="470"/>
      <c r="QTK65" s="470"/>
      <c r="QTL65" s="470"/>
      <c r="QTM65" s="470"/>
      <c r="QTN65" s="470"/>
      <c r="QTO65" s="470"/>
      <c r="QTP65" s="470"/>
      <c r="QTQ65" s="470"/>
      <c r="QTR65" s="471"/>
      <c r="QTS65" s="469"/>
      <c r="QTT65" s="470"/>
      <c r="QTU65" s="470"/>
      <c r="QTV65" s="470"/>
      <c r="QTW65" s="470"/>
      <c r="QTX65" s="470"/>
      <c r="QTY65" s="470"/>
      <c r="QTZ65" s="470"/>
      <c r="QUA65" s="470"/>
      <c r="QUB65" s="470"/>
      <c r="QUC65" s="470"/>
      <c r="QUD65" s="470"/>
      <c r="QUE65" s="470"/>
      <c r="QUF65" s="470"/>
      <c r="QUG65" s="470"/>
      <c r="QUH65" s="470"/>
      <c r="QUI65" s="470"/>
      <c r="QUJ65" s="470"/>
      <c r="QUK65" s="470"/>
      <c r="QUL65" s="470"/>
      <c r="QUM65" s="470"/>
      <c r="QUN65" s="470"/>
      <c r="QUO65" s="470"/>
      <c r="QUP65" s="470"/>
      <c r="QUQ65" s="470"/>
      <c r="QUR65" s="470"/>
      <c r="QUS65" s="470"/>
      <c r="QUT65" s="470"/>
      <c r="QUU65" s="470"/>
      <c r="QUV65" s="471"/>
      <c r="QUW65" s="469"/>
      <c r="QUX65" s="470"/>
      <c r="QUY65" s="470"/>
      <c r="QUZ65" s="470"/>
      <c r="QVA65" s="470"/>
      <c r="QVB65" s="470"/>
      <c r="QVC65" s="470"/>
      <c r="QVD65" s="470"/>
      <c r="QVE65" s="470"/>
      <c r="QVF65" s="470"/>
      <c r="QVG65" s="470"/>
      <c r="QVH65" s="470"/>
      <c r="QVI65" s="470"/>
      <c r="QVJ65" s="470"/>
      <c r="QVK65" s="470"/>
      <c r="QVL65" s="470"/>
      <c r="QVM65" s="470"/>
      <c r="QVN65" s="470"/>
      <c r="QVO65" s="470"/>
      <c r="QVP65" s="470"/>
      <c r="QVQ65" s="470"/>
      <c r="QVR65" s="470"/>
      <c r="QVS65" s="470"/>
      <c r="QVT65" s="470"/>
      <c r="QVU65" s="470"/>
      <c r="QVV65" s="470"/>
      <c r="QVW65" s="470"/>
      <c r="QVX65" s="470"/>
      <c r="QVY65" s="470"/>
      <c r="QVZ65" s="471"/>
      <c r="QWA65" s="469"/>
      <c r="QWB65" s="470"/>
      <c r="QWC65" s="470"/>
      <c r="QWD65" s="470"/>
      <c r="QWE65" s="470"/>
      <c r="QWF65" s="470"/>
      <c r="QWG65" s="470"/>
      <c r="QWH65" s="470"/>
      <c r="QWI65" s="470"/>
      <c r="QWJ65" s="470"/>
      <c r="QWK65" s="470"/>
      <c r="QWL65" s="470"/>
      <c r="QWM65" s="470"/>
      <c r="QWN65" s="470"/>
      <c r="QWO65" s="470"/>
      <c r="QWP65" s="470"/>
      <c r="QWQ65" s="470"/>
      <c r="QWR65" s="470"/>
      <c r="QWS65" s="470"/>
      <c r="QWT65" s="470"/>
      <c r="QWU65" s="470"/>
      <c r="QWV65" s="470"/>
      <c r="QWW65" s="470"/>
      <c r="QWX65" s="470"/>
      <c r="QWY65" s="470"/>
      <c r="QWZ65" s="470"/>
      <c r="QXA65" s="470"/>
      <c r="QXB65" s="470"/>
      <c r="QXC65" s="470"/>
      <c r="QXD65" s="471"/>
      <c r="QXE65" s="469"/>
      <c r="QXF65" s="470"/>
      <c r="QXG65" s="470"/>
      <c r="QXH65" s="470"/>
      <c r="QXI65" s="470"/>
      <c r="QXJ65" s="470"/>
      <c r="QXK65" s="470"/>
      <c r="QXL65" s="470"/>
      <c r="QXM65" s="470"/>
      <c r="QXN65" s="470"/>
      <c r="QXO65" s="470"/>
      <c r="QXP65" s="470"/>
      <c r="QXQ65" s="470"/>
      <c r="QXR65" s="470"/>
      <c r="QXS65" s="470"/>
      <c r="QXT65" s="470"/>
      <c r="QXU65" s="470"/>
      <c r="QXV65" s="470"/>
      <c r="QXW65" s="470"/>
      <c r="QXX65" s="470"/>
      <c r="QXY65" s="470"/>
      <c r="QXZ65" s="470"/>
      <c r="QYA65" s="470"/>
      <c r="QYB65" s="470"/>
      <c r="QYC65" s="470"/>
      <c r="QYD65" s="470"/>
      <c r="QYE65" s="470"/>
      <c r="QYF65" s="470"/>
      <c r="QYG65" s="470"/>
      <c r="QYH65" s="471"/>
      <c r="QYI65" s="469"/>
      <c r="QYJ65" s="470"/>
      <c r="QYK65" s="470"/>
      <c r="QYL65" s="470"/>
      <c r="QYM65" s="470"/>
      <c r="QYN65" s="470"/>
      <c r="QYO65" s="470"/>
      <c r="QYP65" s="470"/>
      <c r="QYQ65" s="470"/>
      <c r="QYR65" s="470"/>
      <c r="QYS65" s="470"/>
      <c r="QYT65" s="470"/>
      <c r="QYU65" s="470"/>
      <c r="QYV65" s="470"/>
      <c r="QYW65" s="470"/>
      <c r="QYX65" s="470"/>
      <c r="QYY65" s="470"/>
      <c r="QYZ65" s="470"/>
      <c r="QZA65" s="470"/>
      <c r="QZB65" s="470"/>
      <c r="QZC65" s="470"/>
      <c r="QZD65" s="470"/>
      <c r="QZE65" s="470"/>
      <c r="QZF65" s="470"/>
      <c r="QZG65" s="470"/>
      <c r="QZH65" s="470"/>
      <c r="QZI65" s="470"/>
      <c r="QZJ65" s="470"/>
      <c r="QZK65" s="470"/>
      <c r="QZL65" s="471"/>
      <c r="QZM65" s="469"/>
      <c r="QZN65" s="470"/>
      <c r="QZO65" s="470"/>
      <c r="QZP65" s="470"/>
      <c r="QZQ65" s="470"/>
      <c r="QZR65" s="470"/>
      <c r="QZS65" s="470"/>
      <c r="QZT65" s="470"/>
      <c r="QZU65" s="470"/>
      <c r="QZV65" s="470"/>
      <c r="QZW65" s="470"/>
      <c r="QZX65" s="470"/>
      <c r="QZY65" s="470"/>
      <c r="QZZ65" s="470"/>
      <c r="RAA65" s="470"/>
      <c r="RAB65" s="470"/>
      <c r="RAC65" s="470"/>
      <c r="RAD65" s="470"/>
      <c r="RAE65" s="470"/>
      <c r="RAF65" s="470"/>
      <c r="RAG65" s="470"/>
      <c r="RAH65" s="470"/>
      <c r="RAI65" s="470"/>
      <c r="RAJ65" s="470"/>
      <c r="RAK65" s="470"/>
      <c r="RAL65" s="470"/>
      <c r="RAM65" s="470"/>
      <c r="RAN65" s="470"/>
      <c r="RAO65" s="470"/>
      <c r="RAP65" s="471"/>
      <c r="RAQ65" s="469"/>
      <c r="RAR65" s="470"/>
      <c r="RAS65" s="470"/>
      <c r="RAT65" s="470"/>
      <c r="RAU65" s="470"/>
      <c r="RAV65" s="470"/>
      <c r="RAW65" s="470"/>
      <c r="RAX65" s="470"/>
      <c r="RAY65" s="470"/>
      <c r="RAZ65" s="470"/>
      <c r="RBA65" s="470"/>
      <c r="RBB65" s="470"/>
      <c r="RBC65" s="470"/>
      <c r="RBD65" s="470"/>
      <c r="RBE65" s="470"/>
      <c r="RBF65" s="470"/>
      <c r="RBG65" s="470"/>
      <c r="RBH65" s="470"/>
      <c r="RBI65" s="470"/>
      <c r="RBJ65" s="470"/>
      <c r="RBK65" s="470"/>
      <c r="RBL65" s="470"/>
      <c r="RBM65" s="470"/>
      <c r="RBN65" s="470"/>
      <c r="RBO65" s="470"/>
      <c r="RBP65" s="470"/>
      <c r="RBQ65" s="470"/>
      <c r="RBR65" s="470"/>
      <c r="RBS65" s="470"/>
      <c r="RBT65" s="471"/>
      <c r="RBU65" s="469"/>
      <c r="RBV65" s="470"/>
      <c r="RBW65" s="470"/>
      <c r="RBX65" s="470"/>
      <c r="RBY65" s="470"/>
      <c r="RBZ65" s="470"/>
      <c r="RCA65" s="470"/>
      <c r="RCB65" s="470"/>
      <c r="RCC65" s="470"/>
      <c r="RCD65" s="470"/>
      <c r="RCE65" s="470"/>
      <c r="RCF65" s="470"/>
      <c r="RCG65" s="470"/>
      <c r="RCH65" s="470"/>
      <c r="RCI65" s="470"/>
      <c r="RCJ65" s="470"/>
      <c r="RCK65" s="470"/>
      <c r="RCL65" s="470"/>
      <c r="RCM65" s="470"/>
      <c r="RCN65" s="470"/>
      <c r="RCO65" s="470"/>
      <c r="RCP65" s="470"/>
      <c r="RCQ65" s="470"/>
      <c r="RCR65" s="470"/>
      <c r="RCS65" s="470"/>
      <c r="RCT65" s="470"/>
      <c r="RCU65" s="470"/>
      <c r="RCV65" s="470"/>
      <c r="RCW65" s="470"/>
      <c r="RCX65" s="471"/>
      <c r="RCY65" s="469"/>
      <c r="RCZ65" s="470"/>
      <c r="RDA65" s="470"/>
      <c r="RDB65" s="470"/>
      <c r="RDC65" s="470"/>
      <c r="RDD65" s="470"/>
      <c r="RDE65" s="470"/>
      <c r="RDF65" s="470"/>
      <c r="RDG65" s="470"/>
      <c r="RDH65" s="470"/>
      <c r="RDI65" s="470"/>
      <c r="RDJ65" s="470"/>
      <c r="RDK65" s="470"/>
      <c r="RDL65" s="470"/>
      <c r="RDM65" s="470"/>
      <c r="RDN65" s="470"/>
      <c r="RDO65" s="470"/>
      <c r="RDP65" s="470"/>
      <c r="RDQ65" s="470"/>
      <c r="RDR65" s="470"/>
      <c r="RDS65" s="470"/>
      <c r="RDT65" s="470"/>
      <c r="RDU65" s="470"/>
      <c r="RDV65" s="470"/>
      <c r="RDW65" s="470"/>
      <c r="RDX65" s="470"/>
      <c r="RDY65" s="470"/>
      <c r="RDZ65" s="470"/>
      <c r="REA65" s="470"/>
      <c r="REB65" s="471"/>
      <c r="REC65" s="469"/>
      <c r="RED65" s="470"/>
      <c r="REE65" s="470"/>
      <c r="REF65" s="470"/>
      <c r="REG65" s="470"/>
      <c r="REH65" s="470"/>
      <c r="REI65" s="470"/>
      <c r="REJ65" s="470"/>
      <c r="REK65" s="470"/>
      <c r="REL65" s="470"/>
      <c r="REM65" s="470"/>
      <c r="REN65" s="470"/>
      <c r="REO65" s="470"/>
      <c r="REP65" s="470"/>
      <c r="REQ65" s="470"/>
      <c r="RER65" s="470"/>
      <c r="RES65" s="470"/>
      <c r="RET65" s="470"/>
      <c r="REU65" s="470"/>
      <c r="REV65" s="470"/>
      <c r="REW65" s="470"/>
      <c r="REX65" s="470"/>
      <c r="REY65" s="470"/>
      <c r="REZ65" s="470"/>
      <c r="RFA65" s="470"/>
      <c r="RFB65" s="470"/>
      <c r="RFC65" s="470"/>
      <c r="RFD65" s="470"/>
      <c r="RFE65" s="470"/>
      <c r="RFF65" s="471"/>
      <c r="RFG65" s="469"/>
      <c r="RFH65" s="470"/>
      <c r="RFI65" s="470"/>
      <c r="RFJ65" s="470"/>
      <c r="RFK65" s="470"/>
      <c r="RFL65" s="470"/>
      <c r="RFM65" s="470"/>
      <c r="RFN65" s="470"/>
      <c r="RFO65" s="470"/>
      <c r="RFP65" s="470"/>
      <c r="RFQ65" s="470"/>
      <c r="RFR65" s="470"/>
      <c r="RFS65" s="470"/>
      <c r="RFT65" s="470"/>
      <c r="RFU65" s="470"/>
      <c r="RFV65" s="470"/>
      <c r="RFW65" s="470"/>
      <c r="RFX65" s="470"/>
      <c r="RFY65" s="470"/>
      <c r="RFZ65" s="470"/>
      <c r="RGA65" s="470"/>
      <c r="RGB65" s="470"/>
      <c r="RGC65" s="470"/>
      <c r="RGD65" s="470"/>
      <c r="RGE65" s="470"/>
      <c r="RGF65" s="470"/>
      <c r="RGG65" s="470"/>
      <c r="RGH65" s="470"/>
      <c r="RGI65" s="470"/>
      <c r="RGJ65" s="471"/>
      <c r="RGK65" s="469"/>
      <c r="RGL65" s="470"/>
      <c r="RGM65" s="470"/>
      <c r="RGN65" s="470"/>
      <c r="RGO65" s="470"/>
      <c r="RGP65" s="470"/>
      <c r="RGQ65" s="470"/>
      <c r="RGR65" s="470"/>
      <c r="RGS65" s="470"/>
      <c r="RGT65" s="470"/>
      <c r="RGU65" s="470"/>
      <c r="RGV65" s="470"/>
      <c r="RGW65" s="470"/>
      <c r="RGX65" s="470"/>
      <c r="RGY65" s="470"/>
      <c r="RGZ65" s="470"/>
      <c r="RHA65" s="470"/>
      <c r="RHB65" s="470"/>
      <c r="RHC65" s="470"/>
      <c r="RHD65" s="470"/>
      <c r="RHE65" s="470"/>
      <c r="RHF65" s="470"/>
      <c r="RHG65" s="470"/>
      <c r="RHH65" s="470"/>
      <c r="RHI65" s="470"/>
      <c r="RHJ65" s="470"/>
      <c r="RHK65" s="470"/>
      <c r="RHL65" s="470"/>
      <c r="RHM65" s="470"/>
      <c r="RHN65" s="471"/>
      <c r="RHO65" s="469"/>
      <c r="RHP65" s="470"/>
      <c r="RHQ65" s="470"/>
      <c r="RHR65" s="470"/>
      <c r="RHS65" s="470"/>
      <c r="RHT65" s="470"/>
      <c r="RHU65" s="470"/>
      <c r="RHV65" s="470"/>
      <c r="RHW65" s="470"/>
      <c r="RHX65" s="470"/>
      <c r="RHY65" s="470"/>
      <c r="RHZ65" s="470"/>
      <c r="RIA65" s="470"/>
      <c r="RIB65" s="470"/>
      <c r="RIC65" s="470"/>
      <c r="RID65" s="470"/>
      <c r="RIE65" s="470"/>
      <c r="RIF65" s="470"/>
      <c r="RIG65" s="470"/>
      <c r="RIH65" s="470"/>
      <c r="RII65" s="470"/>
      <c r="RIJ65" s="470"/>
      <c r="RIK65" s="470"/>
      <c r="RIL65" s="470"/>
      <c r="RIM65" s="470"/>
      <c r="RIN65" s="470"/>
      <c r="RIO65" s="470"/>
      <c r="RIP65" s="470"/>
      <c r="RIQ65" s="470"/>
      <c r="RIR65" s="471"/>
      <c r="RIS65" s="469"/>
      <c r="RIT65" s="470"/>
      <c r="RIU65" s="470"/>
      <c r="RIV65" s="470"/>
      <c r="RIW65" s="470"/>
      <c r="RIX65" s="470"/>
      <c r="RIY65" s="470"/>
      <c r="RIZ65" s="470"/>
      <c r="RJA65" s="470"/>
      <c r="RJB65" s="470"/>
      <c r="RJC65" s="470"/>
      <c r="RJD65" s="470"/>
      <c r="RJE65" s="470"/>
      <c r="RJF65" s="470"/>
      <c r="RJG65" s="470"/>
      <c r="RJH65" s="470"/>
      <c r="RJI65" s="470"/>
      <c r="RJJ65" s="470"/>
      <c r="RJK65" s="470"/>
      <c r="RJL65" s="470"/>
      <c r="RJM65" s="470"/>
      <c r="RJN65" s="470"/>
      <c r="RJO65" s="470"/>
      <c r="RJP65" s="470"/>
      <c r="RJQ65" s="470"/>
      <c r="RJR65" s="470"/>
      <c r="RJS65" s="470"/>
      <c r="RJT65" s="470"/>
      <c r="RJU65" s="470"/>
      <c r="RJV65" s="471"/>
      <c r="RJW65" s="469"/>
      <c r="RJX65" s="470"/>
      <c r="RJY65" s="470"/>
      <c r="RJZ65" s="470"/>
      <c r="RKA65" s="470"/>
      <c r="RKB65" s="470"/>
      <c r="RKC65" s="470"/>
      <c r="RKD65" s="470"/>
      <c r="RKE65" s="470"/>
      <c r="RKF65" s="470"/>
      <c r="RKG65" s="470"/>
      <c r="RKH65" s="470"/>
      <c r="RKI65" s="470"/>
      <c r="RKJ65" s="470"/>
      <c r="RKK65" s="470"/>
      <c r="RKL65" s="470"/>
      <c r="RKM65" s="470"/>
      <c r="RKN65" s="470"/>
      <c r="RKO65" s="470"/>
      <c r="RKP65" s="470"/>
      <c r="RKQ65" s="470"/>
      <c r="RKR65" s="470"/>
      <c r="RKS65" s="470"/>
      <c r="RKT65" s="470"/>
      <c r="RKU65" s="470"/>
      <c r="RKV65" s="470"/>
      <c r="RKW65" s="470"/>
      <c r="RKX65" s="470"/>
      <c r="RKY65" s="470"/>
      <c r="RKZ65" s="471"/>
      <c r="RLA65" s="469"/>
      <c r="RLB65" s="470"/>
      <c r="RLC65" s="470"/>
      <c r="RLD65" s="470"/>
      <c r="RLE65" s="470"/>
      <c r="RLF65" s="470"/>
      <c r="RLG65" s="470"/>
      <c r="RLH65" s="470"/>
      <c r="RLI65" s="470"/>
      <c r="RLJ65" s="470"/>
      <c r="RLK65" s="470"/>
      <c r="RLL65" s="470"/>
      <c r="RLM65" s="470"/>
      <c r="RLN65" s="470"/>
      <c r="RLO65" s="470"/>
      <c r="RLP65" s="470"/>
      <c r="RLQ65" s="470"/>
      <c r="RLR65" s="470"/>
      <c r="RLS65" s="470"/>
      <c r="RLT65" s="470"/>
      <c r="RLU65" s="470"/>
      <c r="RLV65" s="470"/>
      <c r="RLW65" s="470"/>
      <c r="RLX65" s="470"/>
      <c r="RLY65" s="470"/>
      <c r="RLZ65" s="470"/>
      <c r="RMA65" s="470"/>
      <c r="RMB65" s="470"/>
      <c r="RMC65" s="470"/>
      <c r="RMD65" s="471"/>
      <c r="RME65" s="469"/>
      <c r="RMF65" s="470"/>
      <c r="RMG65" s="470"/>
      <c r="RMH65" s="470"/>
      <c r="RMI65" s="470"/>
      <c r="RMJ65" s="470"/>
      <c r="RMK65" s="470"/>
      <c r="RML65" s="470"/>
      <c r="RMM65" s="470"/>
      <c r="RMN65" s="470"/>
      <c r="RMO65" s="470"/>
      <c r="RMP65" s="470"/>
      <c r="RMQ65" s="470"/>
      <c r="RMR65" s="470"/>
      <c r="RMS65" s="470"/>
      <c r="RMT65" s="470"/>
      <c r="RMU65" s="470"/>
      <c r="RMV65" s="470"/>
      <c r="RMW65" s="470"/>
      <c r="RMX65" s="470"/>
      <c r="RMY65" s="470"/>
      <c r="RMZ65" s="470"/>
      <c r="RNA65" s="470"/>
      <c r="RNB65" s="470"/>
      <c r="RNC65" s="470"/>
      <c r="RND65" s="470"/>
      <c r="RNE65" s="470"/>
      <c r="RNF65" s="470"/>
      <c r="RNG65" s="470"/>
      <c r="RNH65" s="471"/>
      <c r="RNI65" s="469"/>
      <c r="RNJ65" s="470"/>
      <c r="RNK65" s="470"/>
      <c r="RNL65" s="470"/>
      <c r="RNM65" s="470"/>
      <c r="RNN65" s="470"/>
      <c r="RNO65" s="470"/>
      <c r="RNP65" s="470"/>
      <c r="RNQ65" s="470"/>
      <c r="RNR65" s="470"/>
      <c r="RNS65" s="470"/>
      <c r="RNT65" s="470"/>
      <c r="RNU65" s="470"/>
      <c r="RNV65" s="470"/>
      <c r="RNW65" s="470"/>
      <c r="RNX65" s="470"/>
      <c r="RNY65" s="470"/>
      <c r="RNZ65" s="470"/>
      <c r="ROA65" s="470"/>
      <c r="ROB65" s="470"/>
      <c r="ROC65" s="470"/>
      <c r="ROD65" s="470"/>
      <c r="ROE65" s="470"/>
      <c r="ROF65" s="470"/>
      <c r="ROG65" s="470"/>
      <c r="ROH65" s="470"/>
      <c r="ROI65" s="470"/>
      <c r="ROJ65" s="470"/>
      <c r="ROK65" s="470"/>
      <c r="ROL65" s="471"/>
      <c r="ROM65" s="469"/>
      <c r="RON65" s="470"/>
      <c r="ROO65" s="470"/>
      <c r="ROP65" s="470"/>
      <c r="ROQ65" s="470"/>
      <c r="ROR65" s="470"/>
      <c r="ROS65" s="470"/>
      <c r="ROT65" s="470"/>
      <c r="ROU65" s="470"/>
      <c r="ROV65" s="470"/>
      <c r="ROW65" s="470"/>
      <c r="ROX65" s="470"/>
      <c r="ROY65" s="470"/>
      <c r="ROZ65" s="470"/>
      <c r="RPA65" s="470"/>
      <c r="RPB65" s="470"/>
      <c r="RPC65" s="470"/>
      <c r="RPD65" s="470"/>
      <c r="RPE65" s="470"/>
      <c r="RPF65" s="470"/>
      <c r="RPG65" s="470"/>
      <c r="RPH65" s="470"/>
      <c r="RPI65" s="470"/>
      <c r="RPJ65" s="470"/>
      <c r="RPK65" s="470"/>
      <c r="RPL65" s="470"/>
      <c r="RPM65" s="470"/>
      <c r="RPN65" s="470"/>
      <c r="RPO65" s="470"/>
      <c r="RPP65" s="471"/>
      <c r="RPQ65" s="469"/>
      <c r="RPR65" s="470"/>
      <c r="RPS65" s="470"/>
      <c r="RPT65" s="470"/>
      <c r="RPU65" s="470"/>
      <c r="RPV65" s="470"/>
      <c r="RPW65" s="470"/>
      <c r="RPX65" s="470"/>
      <c r="RPY65" s="470"/>
      <c r="RPZ65" s="470"/>
      <c r="RQA65" s="470"/>
      <c r="RQB65" s="470"/>
      <c r="RQC65" s="470"/>
      <c r="RQD65" s="470"/>
      <c r="RQE65" s="470"/>
      <c r="RQF65" s="470"/>
      <c r="RQG65" s="470"/>
      <c r="RQH65" s="470"/>
      <c r="RQI65" s="470"/>
      <c r="RQJ65" s="470"/>
      <c r="RQK65" s="470"/>
      <c r="RQL65" s="470"/>
      <c r="RQM65" s="470"/>
      <c r="RQN65" s="470"/>
      <c r="RQO65" s="470"/>
      <c r="RQP65" s="470"/>
      <c r="RQQ65" s="470"/>
      <c r="RQR65" s="470"/>
      <c r="RQS65" s="470"/>
      <c r="RQT65" s="471"/>
      <c r="RQU65" s="469"/>
      <c r="RQV65" s="470"/>
      <c r="RQW65" s="470"/>
      <c r="RQX65" s="470"/>
      <c r="RQY65" s="470"/>
      <c r="RQZ65" s="470"/>
      <c r="RRA65" s="470"/>
      <c r="RRB65" s="470"/>
      <c r="RRC65" s="470"/>
      <c r="RRD65" s="470"/>
      <c r="RRE65" s="470"/>
      <c r="RRF65" s="470"/>
      <c r="RRG65" s="470"/>
      <c r="RRH65" s="470"/>
      <c r="RRI65" s="470"/>
      <c r="RRJ65" s="470"/>
      <c r="RRK65" s="470"/>
      <c r="RRL65" s="470"/>
      <c r="RRM65" s="470"/>
      <c r="RRN65" s="470"/>
      <c r="RRO65" s="470"/>
      <c r="RRP65" s="470"/>
      <c r="RRQ65" s="470"/>
      <c r="RRR65" s="470"/>
      <c r="RRS65" s="470"/>
      <c r="RRT65" s="470"/>
      <c r="RRU65" s="470"/>
      <c r="RRV65" s="470"/>
      <c r="RRW65" s="470"/>
      <c r="RRX65" s="471"/>
      <c r="RRY65" s="469"/>
      <c r="RRZ65" s="470"/>
      <c r="RSA65" s="470"/>
      <c r="RSB65" s="470"/>
      <c r="RSC65" s="470"/>
      <c r="RSD65" s="470"/>
      <c r="RSE65" s="470"/>
      <c r="RSF65" s="470"/>
      <c r="RSG65" s="470"/>
      <c r="RSH65" s="470"/>
      <c r="RSI65" s="470"/>
      <c r="RSJ65" s="470"/>
      <c r="RSK65" s="470"/>
      <c r="RSL65" s="470"/>
      <c r="RSM65" s="470"/>
      <c r="RSN65" s="470"/>
      <c r="RSO65" s="470"/>
      <c r="RSP65" s="470"/>
      <c r="RSQ65" s="470"/>
      <c r="RSR65" s="470"/>
      <c r="RSS65" s="470"/>
      <c r="RST65" s="470"/>
      <c r="RSU65" s="470"/>
      <c r="RSV65" s="470"/>
      <c r="RSW65" s="470"/>
      <c r="RSX65" s="470"/>
      <c r="RSY65" s="470"/>
      <c r="RSZ65" s="470"/>
      <c r="RTA65" s="470"/>
      <c r="RTB65" s="471"/>
      <c r="RTC65" s="469"/>
      <c r="RTD65" s="470"/>
      <c r="RTE65" s="470"/>
      <c r="RTF65" s="470"/>
      <c r="RTG65" s="470"/>
      <c r="RTH65" s="470"/>
      <c r="RTI65" s="470"/>
      <c r="RTJ65" s="470"/>
      <c r="RTK65" s="470"/>
      <c r="RTL65" s="470"/>
      <c r="RTM65" s="470"/>
      <c r="RTN65" s="470"/>
      <c r="RTO65" s="470"/>
      <c r="RTP65" s="470"/>
      <c r="RTQ65" s="470"/>
      <c r="RTR65" s="470"/>
      <c r="RTS65" s="470"/>
      <c r="RTT65" s="470"/>
      <c r="RTU65" s="470"/>
      <c r="RTV65" s="470"/>
      <c r="RTW65" s="470"/>
      <c r="RTX65" s="470"/>
      <c r="RTY65" s="470"/>
      <c r="RTZ65" s="470"/>
      <c r="RUA65" s="470"/>
      <c r="RUB65" s="470"/>
      <c r="RUC65" s="470"/>
      <c r="RUD65" s="470"/>
      <c r="RUE65" s="470"/>
      <c r="RUF65" s="471"/>
      <c r="RUG65" s="469"/>
      <c r="RUH65" s="470"/>
      <c r="RUI65" s="470"/>
      <c r="RUJ65" s="470"/>
      <c r="RUK65" s="470"/>
      <c r="RUL65" s="470"/>
      <c r="RUM65" s="470"/>
      <c r="RUN65" s="470"/>
      <c r="RUO65" s="470"/>
      <c r="RUP65" s="470"/>
      <c r="RUQ65" s="470"/>
      <c r="RUR65" s="470"/>
      <c r="RUS65" s="470"/>
      <c r="RUT65" s="470"/>
      <c r="RUU65" s="470"/>
      <c r="RUV65" s="470"/>
      <c r="RUW65" s="470"/>
      <c r="RUX65" s="470"/>
      <c r="RUY65" s="470"/>
      <c r="RUZ65" s="470"/>
      <c r="RVA65" s="470"/>
      <c r="RVB65" s="470"/>
      <c r="RVC65" s="470"/>
      <c r="RVD65" s="470"/>
      <c r="RVE65" s="470"/>
      <c r="RVF65" s="470"/>
      <c r="RVG65" s="470"/>
      <c r="RVH65" s="470"/>
      <c r="RVI65" s="470"/>
      <c r="RVJ65" s="471"/>
      <c r="RVK65" s="469"/>
      <c r="RVL65" s="470"/>
      <c r="RVM65" s="470"/>
      <c r="RVN65" s="470"/>
      <c r="RVO65" s="470"/>
      <c r="RVP65" s="470"/>
      <c r="RVQ65" s="470"/>
      <c r="RVR65" s="470"/>
      <c r="RVS65" s="470"/>
      <c r="RVT65" s="470"/>
      <c r="RVU65" s="470"/>
      <c r="RVV65" s="470"/>
      <c r="RVW65" s="470"/>
      <c r="RVX65" s="470"/>
      <c r="RVY65" s="470"/>
      <c r="RVZ65" s="470"/>
      <c r="RWA65" s="470"/>
      <c r="RWB65" s="470"/>
      <c r="RWC65" s="470"/>
      <c r="RWD65" s="470"/>
      <c r="RWE65" s="470"/>
      <c r="RWF65" s="470"/>
      <c r="RWG65" s="470"/>
      <c r="RWH65" s="470"/>
      <c r="RWI65" s="470"/>
      <c r="RWJ65" s="470"/>
      <c r="RWK65" s="470"/>
      <c r="RWL65" s="470"/>
      <c r="RWM65" s="470"/>
      <c r="RWN65" s="471"/>
      <c r="RWO65" s="469"/>
      <c r="RWP65" s="470"/>
      <c r="RWQ65" s="470"/>
      <c r="RWR65" s="470"/>
      <c r="RWS65" s="470"/>
      <c r="RWT65" s="470"/>
      <c r="RWU65" s="470"/>
      <c r="RWV65" s="470"/>
      <c r="RWW65" s="470"/>
      <c r="RWX65" s="470"/>
      <c r="RWY65" s="470"/>
      <c r="RWZ65" s="470"/>
      <c r="RXA65" s="470"/>
      <c r="RXB65" s="470"/>
      <c r="RXC65" s="470"/>
      <c r="RXD65" s="470"/>
      <c r="RXE65" s="470"/>
      <c r="RXF65" s="470"/>
      <c r="RXG65" s="470"/>
      <c r="RXH65" s="470"/>
      <c r="RXI65" s="470"/>
      <c r="RXJ65" s="470"/>
      <c r="RXK65" s="470"/>
      <c r="RXL65" s="470"/>
      <c r="RXM65" s="470"/>
      <c r="RXN65" s="470"/>
      <c r="RXO65" s="470"/>
      <c r="RXP65" s="470"/>
      <c r="RXQ65" s="470"/>
      <c r="RXR65" s="471"/>
      <c r="RXS65" s="469"/>
      <c r="RXT65" s="470"/>
      <c r="RXU65" s="470"/>
      <c r="RXV65" s="470"/>
      <c r="RXW65" s="470"/>
      <c r="RXX65" s="470"/>
      <c r="RXY65" s="470"/>
      <c r="RXZ65" s="470"/>
      <c r="RYA65" s="470"/>
      <c r="RYB65" s="470"/>
      <c r="RYC65" s="470"/>
      <c r="RYD65" s="470"/>
      <c r="RYE65" s="470"/>
      <c r="RYF65" s="470"/>
      <c r="RYG65" s="470"/>
      <c r="RYH65" s="470"/>
      <c r="RYI65" s="470"/>
      <c r="RYJ65" s="470"/>
      <c r="RYK65" s="470"/>
      <c r="RYL65" s="470"/>
      <c r="RYM65" s="470"/>
      <c r="RYN65" s="470"/>
      <c r="RYO65" s="470"/>
      <c r="RYP65" s="470"/>
      <c r="RYQ65" s="470"/>
      <c r="RYR65" s="470"/>
      <c r="RYS65" s="470"/>
      <c r="RYT65" s="470"/>
      <c r="RYU65" s="470"/>
      <c r="RYV65" s="471"/>
      <c r="RYW65" s="469"/>
      <c r="RYX65" s="470"/>
      <c r="RYY65" s="470"/>
      <c r="RYZ65" s="470"/>
      <c r="RZA65" s="470"/>
      <c r="RZB65" s="470"/>
      <c r="RZC65" s="470"/>
      <c r="RZD65" s="470"/>
      <c r="RZE65" s="470"/>
      <c r="RZF65" s="470"/>
      <c r="RZG65" s="470"/>
      <c r="RZH65" s="470"/>
      <c r="RZI65" s="470"/>
      <c r="RZJ65" s="470"/>
      <c r="RZK65" s="470"/>
      <c r="RZL65" s="470"/>
      <c r="RZM65" s="470"/>
      <c r="RZN65" s="470"/>
      <c r="RZO65" s="470"/>
      <c r="RZP65" s="470"/>
      <c r="RZQ65" s="470"/>
      <c r="RZR65" s="470"/>
      <c r="RZS65" s="470"/>
      <c r="RZT65" s="470"/>
      <c r="RZU65" s="470"/>
      <c r="RZV65" s="470"/>
      <c r="RZW65" s="470"/>
      <c r="RZX65" s="470"/>
      <c r="RZY65" s="470"/>
      <c r="RZZ65" s="471"/>
      <c r="SAA65" s="469"/>
      <c r="SAB65" s="470"/>
      <c r="SAC65" s="470"/>
      <c r="SAD65" s="470"/>
      <c r="SAE65" s="470"/>
      <c r="SAF65" s="470"/>
      <c r="SAG65" s="470"/>
      <c r="SAH65" s="470"/>
      <c r="SAI65" s="470"/>
      <c r="SAJ65" s="470"/>
      <c r="SAK65" s="470"/>
      <c r="SAL65" s="470"/>
      <c r="SAM65" s="470"/>
      <c r="SAN65" s="470"/>
      <c r="SAO65" s="470"/>
      <c r="SAP65" s="470"/>
      <c r="SAQ65" s="470"/>
      <c r="SAR65" s="470"/>
      <c r="SAS65" s="470"/>
      <c r="SAT65" s="470"/>
      <c r="SAU65" s="470"/>
      <c r="SAV65" s="470"/>
      <c r="SAW65" s="470"/>
      <c r="SAX65" s="470"/>
      <c r="SAY65" s="470"/>
      <c r="SAZ65" s="470"/>
      <c r="SBA65" s="470"/>
      <c r="SBB65" s="470"/>
      <c r="SBC65" s="470"/>
      <c r="SBD65" s="471"/>
      <c r="SBE65" s="469"/>
      <c r="SBF65" s="470"/>
      <c r="SBG65" s="470"/>
      <c r="SBH65" s="470"/>
      <c r="SBI65" s="470"/>
      <c r="SBJ65" s="470"/>
      <c r="SBK65" s="470"/>
      <c r="SBL65" s="470"/>
      <c r="SBM65" s="470"/>
      <c r="SBN65" s="470"/>
      <c r="SBO65" s="470"/>
      <c r="SBP65" s="470"/>
      <c r="SBQ65" s="470"/>
      <c r="SBR65" s="470"/>
      <c r="SBS65" s="470"/>
      <c r="SBT65" s="470"/>
      <c r="SBU65" s="470"/>
      <c r="SBV65" s="470"/>
      <c r="SBW65" s="470"/>
      <c r="SBX65" s="470"/>
      <c r="SBY65" s="470"/>
      <c r="SBZ65" s="470"/>
      <c r="SCA65" s="470"/>
      <c r="SCB65" s="470"/>
      <c r="SCC65" s="470"/>
      <c r="SCD65" s="470"/>
      <c r="SCE65" s="470"/>
      <c r="SCF65" s="470"/>
      <c r="SCG65" s="470"/>
      <c r="SCH65" s="471"/>
      <c r="SCI65" s="469"/>
      <c r="SCJ65" s="470"/>
      <c r="SCK65" s="470"/>
      <c r="SCL65" s="470"/>
      <c r="SCM65" s="470"/>
      <c r="SCN65" s="470"/>
      <c r="SCO65" s="470"/>
      <c r="SCP65" s="470"/>
      <c r="SCQ65" s="470"/>
      <c r="SCR65" s="470"/>
      <c r="SCS65" s="470"/>
      <c r="SCT65" s="470"/>
      <c r="SCU65" s="470"/>
      <c r="SCV65" s="470"/>
      <c r="SCW65" s="470"/>
      <c r="SCX65" s="470"/>
      <c r="SCY65" s="470"/>
      <c r="SCZ65" s="470"/>
      <c r="SDA65" s="470"/>
      <c r="SDB65" s="470"/>
      <c r="SDC65" s="470"/>
      <c r="SDD65" s="470"/>
      <c r="SDE65" s="470"/>
      <c r="SDF65" s="470"/>
      <c r="SDG65" s="470"/>
      <c r="SDH65" s="470"/>
      <c r="SDI65" s="470"/>
      <c r="SDJ65" s="470"/>
      <c r="SDK65" s="470"/>
      <c r="SDL65" s="471"/>
      <c r="SDM65" s="469"/>
      <c r="SDN65" s="470"/>
      <c r="SDO65" s="470"/>
      <c r="SDP65" s="470"/>
      <c r="SDQ65" s="470"/>
      <c r="SDR65" s="470"/>
      <c r="SDS65" s="470"/>
      <c r="SDT65" s="470"/>
      <c r="SDU65" s="470"/>
      <c r="SDV65" s="470"/>
      <c r="SDW65" s="470"/>
      <c r="SDX65" s="470"/>
      <c r="SDY65" s="470"/>
      <c r="SDZ65" s="470"/>
      <c r="SEA65" s="470"/>
      <c r="SEB65" s="470"/>
      <c r="SEC65" s="470"/>
      <c r="SED65" s="470"/>
      <c r="SEE65" s="470"/>
      <c r="SEF65" s="470"/>
      <c r="SEG65" s="470"/>
      <c r="SEH65" s="470"/>
      <c r="SEI65" s="470"/>
      <c r="SEJ65" s="470"/>
      <c r="SEK65" s="470"/>
      <c r="SEL65" s="470"/>
      <c r="SEM65" s="470"/>
      <c r="SEN65" s="470"/>
      <c r="SEO65" s="470"/>
      <c r="SEP65" s="471"/>
      <c r="SEQ65" s="469"/>
      <c r="SER65" s="470"/>
      <c r="SES65" s="470"/>
      <c r="SET65" s="470"/>
      <c r="SEU65" s="470"/>
      <c r="SEV65" s="470"/>
      <c r="SEW65" s="470"/>
      <c r="SEX65" s="470"/>
      <c r="SEY65" s="470"/>
      <c r="SEZ65" s="470"/>
      <c r="SFA65" s="470"/>
      <c r="SFB65" s="470"/>
      <c r="SFC65" s="470"/>
      <c r="SFD65" s="470"/>
      <c r="SFE65" s="470"/>
      <c r="SFF65" s="470"/>
      <c r="SFG65" s="470"/>
      <c r="SFH65" s="470"/>
      <c r="SFI65" s="470"/>
      <c r="SFJ65" s="470"/>
      <c r="SFK65" s="470"/>
      <c r="SFL65" s="470"/>
      <c r="SFM65" s="470"/>
      <c r="SFN65" s="470"/>
      <c r="SFO65" s="470"/>
      <c r="SFP65" s="470"/>
      <c r="SFQ65" s="470"/>
      <c r="SFR65" s="470"/>
      <c r="SFS65" s="470"/>
      <c r="SFT65" s="471"/>
      <c r="SFU65" s="469"/>
      <c r="SFV65" s="470"/>
      <c r="SFW65" s="470"/>
      <c r="SFX65" s="470"/>
      <c r="SFY65" s="470"/>
      <c r="SFZ65" s="470"/>
      <c r="SGA65" s="470"/>
      <c r="SGB65" s="470"/>
      <c r="SGC65" s="470"/>
      <c r="SGD65" s="470"/>
      <c r="SGE65" s="470"/>
      <c r="SGF65" s="470"/>
      <c r="SGG65" s="470"/>
      <c r="SGH65" s="470"/>
      <c r="SGI65" s="470"/>
      <c r="SGJ65" s="470"/>
      <c r="SGK65" s="470"/>
      <c r="SGL65" s="470"/>
      <c r="SGM65" s="470"/>
      <c r="SGN65" s="470"/>
      <c r="SGO65" s="470"/>
      <c r="SGP65" s="470"/>
      <c r="SGQ65" s="470"/>
      <c r="SGR65" s="470"/>
      <c r="SGS65" s="470"/>
      <c r="SGT65" s="470"/>
      <c r="SGU65" s="470"/>
      <c r="SGV65" s="470"/>
      <c r="SGW65" s="470"/>
      <c r="SGX65" s="471"/>
      <c r="SGY65" s="469"/>
      <c r="SGZ65" s="470"/>
      <c r="SHA65" s="470"/>
      <c r="SHB65" s="470"/>
      <c r="SHC65" s="470"/>
      <c r="SHD65" s="470"/>
      <c r="SHE65" s="470"/>
      <c r="SHF65" s="470"/>
      <c r="SHG65" s="470"/>
      <c r="SHH65" s="470"/>
      <c r="SHI65" s="470"/>
      <c r="SHJ65" s="470"/>
      <c r="SHK65" s="470"/>
      <c r="SHL65" s="470"/>
      <c r="SHM65" s="470"/>
      <c r="SHN65" s="470"/>
      <c r="SHO65" s="470"/>
      <c r="SHP65" s="470"/>
      <c r="SHQ65" s="470"/>
      <c r="SHR65" s="470"/>
      <c r="SHS65" s="470"/>
      <c r="SHT65" s="470"/>
      <c r="SHU65" s="470"/>
      <c r="SHV65" s="470"/>
      <c r="SHW65" s="470"/>
      <c r="SHX65" s="470"/>
      <c r="SHY65" s="470"/>
      <c r="SHZ65" s="470"/>
      <c r="SIA65" s="470"/>
      <c r="SIB65" s="471"/>
      <c r="SIC65" s="469"/>
      <c r="SID65" s="470"/>
      <c r="SIE65" s="470"/>
      <c r="SIF65" s="470"/>
      <c r="SIG65" s="470"/>
      <c r="SIH65" s="470"/>
      <c r="SII65" s="470"/>
      <c r="SIJ65" s="470"/>
      <c r="SIK65" s="470"/>
      <c r="SIL65" s="470"/>
      <c r="SIM65" s="470"/>
      <c r="SIN65" s="470"/>
      <c r="SIO65" s="470"/>
      <c r="SIP65" s="470"/>
      <c r="SIQ65" s="470"/>
      <c r="SIR65" s="470"/>
      <c r="SIS65" s="470"/>
      <c r="SIT65" s="470"/>
      <c r="SIU65" s="470"/>
      <c r="SIV65" s="470"/>
      <c r="SIW65" s="470"/>
      <c r="SIX65" s="470"/>
      <c r="SIY65" s="470"/>
      <c r="SIZ65" s="470"/>
      <c r="SJA65" s="470"/>
      <c r="SJB65" s="470"/>
      <c r="SJC65" s="470"/>
      <c r="SJD65" s="470"/>
      <c r="SJE65" s="470"/>
      <c r="SJF65" s="471"/>
      <c r="SJG65" s="469"/>
      <c r="SJH65" s="470"/>
      <c r="SJI65" s="470"/>
      <c r="SJJ65" s="470"/>
      <c r="SJK65" s="470"/>
      <c r="SJL65" s="470"/>
      <c r="SJM65" s="470"/>
      <c r="SJN65" s="470"/>
      <c r="SJO65" s="470"/>
      <c r="SJP65" s="470"/>
      <c r="SJQ65" s="470"/>
      <c r="SJR65" s="470"/>
      <c r="SJS65" s="470"/>
      <c r="SJT65" s="470"/>
      <c r="SJU65" s="470"/>
      <c r="SJV65" s="470"/>
      <c r="SJW65" s="470"/>
      <c r="SJX65" s="470"/>
      <c r="SJY65" s="470"/>
      <c r="SJZ65" s="470"/>
      <c r="SKA65" s="470"/>
      <c r="SKB65" s="470"/>
      <c r="SKC65" s="470"/>
      <c r="SKD65" s="470"/>
      <c r="SKE65" s="470"/>
      <c r="SKF65" s="470"/>
      <c r="SKG65" s="470"/>
      <c r="SKH65" s="470"/>
      <c r="SKI65" s="470"/>
      <c r="SKJ65" s="471"/>
      <c r="SKK65" s="469"/>
      <c r="SKL65" s="470"/>
      <c r="SKM65" s="470"/>
      <c r="SKN65" s="470"/>
      <c r="SKO65" s="470"/>
      <c r="SKP65" s="470"/>
      <c r="SKQ65" s="470"/>
      <c r="SKR65" s="470"/>
      <c r="SKS65" s="470"/>
      <c r="SKT65" s="470"/>
      <c r="SKU65" s="470"/>
      <c r="SKV65" s="470"/>
      <c r="SKW65" s="470"/>
      <c r="SKX65" s="470"/>
      <c r="SKY65" s="470"/>
      <c r="SKZ65" s="470"/>
      <c r="SLA65" s="470"/>
      <c r="SLB65" s="470"/>
      <c r="SLC65" s="470"/>
      <c r="SLD65" s="470"/>
      <c r="SLE65" s="470"/>
      <c r="SLF65" s="470"/>
      <c r="SLG65" s="470"/>
      <c r="SLH65" s="470"/>
      <c r="SLI65" s="470"/>
      <c r="SLJ65" s="470"/>
      <c r="SLK65" s="470"/>
      <c r="SLL65" s="470"/>
      <c r="SLM65" s="470"/>
      <c r="SLN65" s="471"/>
      <c r="SLO65" s="469"/>
      <c r="SLP65" s="470"/>
      <c r="SLQ65" s="470"/>
      <c r="SLR65" s="470"/>
      <c r="SLS65" s="470"/>
      <c r="SLT65" s="470"/>
      <c r="SLU65" s="470"/>
      <c r="SLV65" s="470"/>
      <c r="SLW65" s="470"/>
      <c r="SLX65" s="470"/>
      <c r="SLY65" s="470"/>
      <c r="SLZ65" s="470"/>
      <c r="SMA65" s="470"/>
      <c r="SMB65" s="470"/>
      <c r="SMC65" s="470"/>
      <c r="SMD65" s="470"/>
      <c r="SME65" s="470"/>
      <c r="SMF65" s="470"/>
      <c r="SMG65" s="470"/>
      <c r="SMH65" s="470"/>
      <c r="SMI65" s="470"/>
      <c r="SMJ65" s="470"/>
      <c r="SMK65" s="470"/>
      <c r="SML65" s="470"/>
      <c r="SMM65" s="470"/>
      <c r="SMN65" s="470"/>
      <c r="SMO65" s="470"/>
      <c r="SMP65" s="470"/>
      <c r="SMQ65" s="470"/>
      <c r="SMR65" s="471"/>
      <c r="SMS65" s="469"/>
      <c r="SMT65" s="470"/>
      <c r="SMU65" s="470"/>
      <c r="SMV65" s="470"/>
      <c r="SMW65" s="470"/>
      <c r="SMX65" s="470"/>
      <c r="SMY65" s="470"/>
      <c r="SMZ65" s="470"/>
      <c r="SNA65" s="470"/>
      <c r="SNB65" s="470"/>
      <c r="SNC65" s="470"/>
      <c r="SND65" s="470"/>
      <c r="SNE65" s="470"/>
      <c r="SNF65" s="470"/>
      <c r="SNG65" s="470"/>
      <c r="SNH65" s="470"/>
      <c r="SNI65" s="470"/>
      <c r="SNJ65" s="470"/>
      <c r="SNK65" s="470"/>
      <c r="SNL65" s="470"/>
      <c r="SNM65" s="470"/>
      <c r="SNN65" s="470"/>
      <c r="SNO65" s="470"/>
      <c r="SNP65" s="470"/>
      <c r="SNQ65" s="470"/>
      <c r="SNR65" s="470"/>
      <c r="SNS65" s="470"/>
      <c r="SNT65" s="470"/>
      <c r="SNU65" s="470"/>
      <c r="SNV65" s="471"/>
      <c r="SNW65" s="469"/>
      <c r="SNX65" s="470"/>
      <c r="SNY65" s="470"/>
      <c r="SNZ65" s="470"/>
      <c r="SOA65" s="470"/>
      <c r="SOB65" s="470"/>
      <c r="SOC65" s="470"/>
      <c r="SOD65" s="470"/>
      <c r="SOE65" s="470"/>
      <c r="SOF65" s="470"/>
      <c r="SOG65" s="470"/>
      <c r="SOH65" s="470"/>
      <c r="SOI65" s="470"/>
      <c r="SOJ65" s="470"/>
      <c r="SOK65" s="470"/>
      <c r="SOL65" s="470"/>
      <c r="SOM65" s="470"/>
      <c r="SON65" s="470"/>
      <c r="SOO65" s="470"/>
      <c r="SOP65" s="470"/>
      <c r="SOQ65" s="470"/>
      <c r="SOR65" s="470"/>
      <c r="SOS65" s="470"/>
      <c r="SOT65" s="470"/>
      <c r="SOU65" s="470"/>
      <c r="SOV65" s="470"/>
      <c r="SOW65" s="470"/>
      <c r="SOX65" s="470"/>
      <c r="SOY65" s="470"/>
      <c r="SOZ65" s="471"/>
      <c r="SPA65" s="469"/>
      <c r="SPB65" s="470"/>
      <c r="SPC65" s="470"/>
      <c r="SPD65" s="470"/>
      <c r="SPE65" s="470"/>
      <c r="SPF65" s="470"/>
      <c r="SPG65" s="470"/>
      <c r="SPH65" s="470"/>
      <c r="SPI65" s="470"/>
      <c r="SPJ65" s="470"/>
      <c r="SPK65" s="470"/>
      <c r="SPL65" s="470"/>
      <c r="SPM65" s="470"/>
      <c r="SPN65" s="470"/>
      <c r="SPO65" s="470"/>
      <c r="SPP65" s="470"/>
      <c r="SPQ65" s="470"/>
      <c r="SPR65" s="470"/>
      <c r="SPS65" s="470"/>
      <c r="SPT65" s="470"/>
      <c r="SPU65" s="470"/>
      <c r="SPV65" s="470"/>
      <c r="SPW65" s="470"/>
      <c r="SPX65" s="470"/>
      <c r="SPY65" s="470"/>
      <c r="SPZ65" s="470"/>
      <c r="SQA65" s="470"/>
      <c r="SQB65" s="470"/>
      <c r="SQC65" s="470"/>
      <c r="SQD65" s="471"/>
      <c r="SQE65" s="469"/>
      <c r="SQF65" s="470"/>
      <c r="SQG65" s="470"/>
      <c r="SQH65" s="470"/>
      <c r="SQI65" s="470"/>
      <c r="SQJ65" s="470"/>
      <c r="SQK65" s="470"/>
      <c r="SQL65" s="470"/>
      <c r="SQM65" s="470"/>
      <c r="SQN65" s="470"/>
      <c r="SQO65" s="470"/>
      <c r="SQP65" s="470"/>
      <c r="SQQ65" s="470"/>
      <c r="SQR65" s="470"/>
      <c r="SQS65" s="470"/>
      <c r="SQT65" s="470"/>
      <c r="SQU65" s="470"/>
      <c r="SQV65" s="470"/>
      <c r="SQW65" s="470"/>
      <c r="SQX65" s="470"/>
      <c r="SQY65" s="470"/>
      <c r="SQZ65" s="470"/>
      <c r="SRA65" s="470"/>
      <c r="SRB65" s="470"/>
      <c r="SRC65" s="470"/>
      <c r="SRD65" s="470"/>
      <c r="SRE65" s="470"/>
      <c r="SRF65" s="470"/>
      <c r="SRG65" s="470"/>
      <c r="SRH65" s="471"/>
      <c r="SRI65" s="469"/>
      <c r="SRJ65" s="470"/>
      <c r="SRK65" s="470"/>
      <c r="SRL65" s="470"/>
      <c r="SRM65" s="470"/>
      <c r="SRN65" s="470"/>
      <c r="SRO65" s="470"/>
      <c r="SRP65" s="470"/>
      <c r="SRQ65" s="470"/>
      <c r="SRR65" s="470"/>
      <c r="SRS65" s="470"/>
      <c r="SRT65" s="470"/>
      <c r="SRU65" s="470"/>
      <c r="SRV65" s="470"/>
      <c r="SRW65" s="470"/>
      <c r="SRX65" s="470"/>
      <c r="SRY65" s="470"/>
      <c r="SRZ65" s="470"/>
      <c r="SSA65" s="470"/>
      <c r="SSB65" s="470"/>
      <c r="SSC65" s="470"/>
      <c r="SSD65" s="470"/>
      <c r="SSE65" s="470"/>
      <c r="SSF65" s="470"/>
      <c r="SSG65" s="470"/>
      <c r="SSH65" s="470"/>
      <c r="SSI65" s="470"/>
      <c r="SSJ65" s="470"/>
      <c r="SSK65" s="470"/>
      <c r="SSL65" s="471"/>
      <c r="SSM65" s="469"/>
      <c r="SSN65" s="470"/>
      <c r="SSO65" s="470"/>
      <c r="SSP65" s="470"/>
      <c r="SSQ65" s="470"/>
      <c r="SSR65" s="470"/>
      <c r="SSS65" s="470"/>
      <c r="SST65" s="470"/>
      <c r="SSU65" s="470"/>
      <c r="SSV65" s="470"/>
      <c r="SSW65" s="470"/>
      <c r="SSX65" s="470"/>
      <c r="SSY65" s="470"/>
      <c r="SSZ65" s="470"/>
      <c r="STA65" s="470"/>
      <c r="STB65" s="470"/>
      <c r="STC65" s="470"/>
      <c r="STD65" s="470"/>
      <c r="STE65" s="470"/>
      <c r="STF65" s="470"/>
      <c r="STG65" s="470"/>
      <c r="STH65" s="470"/>
      <c r="STI65" s="470"/>
      <c r="STJ65" s="470"/>
      <c r="STK65" s="470"/>
      <c r="STL65" s="470"/>
      <c r="STM65" s="470"/>
      <c r="STN65" s="470"/>
      <c r="STO65" s="470"/>
      <c r="STP65" s="471"/>
      <c r="STQ65" s="469"/>
      <c r="STR65" s="470"/>
      <c r="STS65" s="470"/>
      <c r="STT65" s="470"/>
      <c r="STU65" s="470"/>
      <c r="STV65" s="470"/>
      <c r="STW65" s="470"/>
      <c r="STX65" s="470"/>
      <c r="STY65" s="470"/>
      <c r="STZ65" s="470"/>
      <c r="SUA65" s="470"/>
      <c r="SUB65" s="470"/>
      <c r="SUC65" s="470"/>
      <c r="SUD65" s="470"/>
      <c r="SUE65" s="470"/>
      <c r="SUF65" s="470"/>
      <c r="SUG65" s="470"/>
      <c r="SUH65" s="470"/>
      <c r="SUI65" s="470"/>
      <c r="SUJ65" s="470"/>
      <c r="SUK65" s="470"/>
      <c r="SUL65" s="470"/>
      <c r="SUM65" s="470"/>
      <c r="SUN65" s="470"/>
      <c r="SUO65" s="470"/>
      <c r="SUP65" s="470"/>
      <c r="SUQ65" s="470"/>
      <c r="SUR65" s="470"/>
      <c r="SUS65" s="470"/>
      <c r="SUT65" s="471"/>
      <c r="SUU65" s="469"/>
      <c r="SUV65" s="470"/>
      <c r="SUW65" s="470"/>
      <c r="SUX65" s="470"/>
      <c r="SUY65" s="470"/>
      <c r="SUZ65" s="470"/>
      <c r="SVA65" s="470"/>
      <c r="SVB65" s="470"/>
      <c r="SVC65" s="470"/>
      <c r="SVD65" s="470"/>
      <c r="SVE65" s="470"/>
      <c r="SVF65" s="470"/>
      <c r="SVG65" s="470"/>
      <c r="SVH65" s="470"/>
      <c r="SVI65" s="470"/>
      <c r="SVJ65" s="470"/>
      <c r="SVK65" s="470"/>
      <c r="SVL65" s="470"/>
      <c r="SVM65" s="470"/>
      <c r="SVN65" s="470"/>
      <c r="SVO65" s="470"/>
      <c r="SVP65" s="470"/>
      <c r="SVQ65" s="470"/>
      <c r="SVR65" s="470"/>
      <c r="SVS65" s="470"/>
      <c r="SVT65" s="470"/>
      <c r="SVU65" s="470"/>
      <c r="SVV65" s="470"/>
      <c r="SVW65" s="470"/>
      <c r="SVX65" s="471"/>
      <c r="SVY65" s="469"/>
      <c r="SVZ65" s="470"/>
      <c r="SWA65" s="470"/>
      <c r="SWB65" s="470"/>
      <c r="SWC65" s="470"/>
      <c r="SWD65" s="470"/>
      <c r="SWE65" s="470"/>
      <c r="SWF65" s="470"/>
      <c r="SWG65" s="470"/>
      <c r="SWH65" s="470"/>
      <c r="SWI65" s="470"/>
      <c r="SWJ65" s="470"/>
      <c r="SWK65" s="470"/>
      <c r="SWL65" s="470"/>
      <c r="SWM65" s="470"/>
      <c r="SWN65" s="470"/>
      <c r="SWO65" s="470"/>
      <c r="SWP65" s="470"/>
      <c r="SWQ65" s="470"/>
      <c r="SWR65" s="470"/>
      <c r="SWS65" s="470"/>
      <c r="SWT65" s="470"/>
      <c r="SWU65" s="470"/>
      <c r="SWV65" s="470"/>
      <c r="SWW65" s="470"/>
      <c r="SWX65" s="470"/>
      <c r="SWY65" s="470"/>
      <c r="SWZ65" s="470"/>
      <c r="SXA65" s="470"/>
      <c r="SXB65" s="471"/>
      <c r="SXC65" s="469"/>
      <c r="SXD65" s="470"/>
      <c r="SXE65" s="470"/>
      <c r="SXF65" s="470"/>
      <c r="SXG65" s="470"/>
      <c r="SXH65" s="470"/>
      <c r="SXI65" s="470"/>
      <c r="SXJ65" s="470"/>
      <c r="SXK65" s="470"/>
      <c r="SXL65" s="470"/>
      <c r="SXM65" s="470"/>
      <c r="SXN65" s="470"/>
      <c r="SXO65" s="470"/>
      <c r="SXP65" s="470"/>
      <c r="SXQ65" s="470"/>
      <c r="SXR65" s="470"/>
      <c r="SXS65" s="470"/>
      <c r="SXT65" s="470"/>
      <c r="SXU65" s="470"/>
      <c r="SXV65" s="470"/>
      <c r="SXW65" s="470"/>
      <c r="SXX65" s="470"/>
      <c r="SXY65" s="470"/>
      <c r="SXZ65" s="470"/>
      <c r="SYA65" s="470"/>
      <c r="SYB65" s="470"/>
      <c r="SYC65" s="470"/>
      <c r="SYD65" s="470"/>
      <c r="SYE65" s="470"/>
      <c r="SYF65" s="471"/>
      <c r="SYG65" s="469"/>
      <c r="SYH65" s="470"/>
      <c r="SYI65" s="470"/>
      <c r="SYJ65" s="470"/>
      <c r="SYK65" s="470"/>
      <c r="SYL65" s="470"/>
      <c r="SYM65" s="470"/>
      <c r="SYN65" s="470"/>
      <c r="SYO65" s="470"/>
      <c r="SYP65" s="470"/>
      <c r="SYQ65" s="470"/>
      <c r="SYR65" s="470"/>
      <c r="SYS65" s="470"/>
      <c r="SYT65" s="470"/>
      <c r="SYU65" s="470"/>
      <c r="SYV65" s="470"/>
      <c r="SYW65" s="470"/>
      <c r="SYX65" s="470"/>
      <c r="SYY65" s="470"/>
      <c r="SYZ65" s="470"/>
      <c r="SZA65" s="470"/>
      <c r="SZB65" s="470"/>
      <c r="SZC65" s="470"/>
      <c r="SZD65" s="470"/>
      <c r="SZE65" s="470"/>
      <c r="SZF65" s="470"/>
      <c r="SZG65" s="470"/>
      <c r="SZH65" s="470"/>
      <c r="SZI65" s="470"/>
      <c r="SZJ65" s="471"/>
      <c r="SZK65" s="469"/>
      <c r="SZL65" s="470"/>
      <c r="SZM65" s="470"/>
      <c r="SZN65" s="470"/>
      <c r="SZO65" s="470"/>
      <c r="SZP65" s="470"/>
      <c r="SZQ65" s="470"/>
      <c r="SZR65" s="470"/>
      <c r="SZS65" s="470"/>
      <c r="SZT65" s="470"/>
      <c r="SZU65" s="470"/>
      <c r="SZV65" s="470"/>
      <c r="SZW65" s="470"/>
      <c r="SZX65" s="470"/>
      <c r="SZY65" s="470"/>
      <c r="SZZ65" s="470"/>
      <c r="TAA65" s="470"/>
      <c r="TAB65" s="470"/>
      <c r="TAC65" s="470"/>
      <c r="TAD65" s="470"/>
      <c r="TAE65" s="470"/>
      <c r="TAF65" s="470"/>
      <c r="TAG65" s="470"/>
      <c r="TAH65" s="470"/>
      <c r="TAI65" s="470"/>
      <c r="TAJ65" s="470"/>
      <c r="TAK65" s="470"/>
      <c r="TAL65" s="470"/>
      <c r="TAM65" s="470"/>
      <c r="TAN65" s="471"/>
      <c r="TAO65" s="469"/>
      <c r="TAP65" s="470"/>
      <c r="TAQ65" s="470"/>
      <c r="TAR65" s="470"/>
      <c r="TAS65" s="470"/>
      <c r="TAT65" s="470"/>
      <c r="TAU65" s="470"/>
      <c r="TAV65" s="470"/>
      <c r="TAW65" s="470"/>
      <c r="TAX65" s="470"/>
      <c r="TAY65" s="470"/>
      <c r="TAZ65" s="470"/>
      <c r="TBA65" s="470"/>
      <c r="TBB65" s="470"/>
      <c r="TBC65" s="470"/>
      <c r="TBD65" s="470"/>
      <c r="TBE65" s="470"/>
      <c r="TBF65" s="470"/>
      <c r="TBG65" s="470"/>
      <c r="TBH65" s="470"/>
      <c r="TBI65" s="470"/>
      <c r="TBJ65" s="470"/>
      <c r="TBK65" s="470"/>
      <c r="TBL65" s="470"/>
      <c r="TBM65" s="470"/>
      <c r="TBN65" s="470"/>
      <c r="TBO65" s="470"/>
      <c r="TBP65" s="470"/>
      <c r="TBQ65" s="470"/>
      <c r="TBR65" s="471"/>
      <c r="TBS65" s="469"/>
      <c r="TBT65" s="470"/>
      <c r="TBU65" s="470"/>
      <c r="TBV65" s="470"/>
      <c r="TBW65" s="470"/>
      <c r="TBX65" s="470"/>
      <c r="TBY65" s="470"/>
      <c r="TBZ65" s="470"/>
      <c r="TCA65" s="470"/>
      <c r="TCB65" s="470"/>
      <c r="TCC65" s="470"/>
      <c r="TCD65" s="470"/>
      <c r="TCE65" s="470"/>
      <c r="TCF65" s="470"/>
      <c r="TCG65" s="470"/>
      <c r="TCH65" s="470"/>
      <c r="TCI65" s="470"/>
      <c r="TCJ65" s="470"/>
      <c r="TCK65" s="470"/>
      <c r="TCL65" s="470"/>
      <c r="TCM65" s="470"/>
      <c r="TCN65" s="470"/>
      <c r="TCO65" s="470"/>
      <c r="TCP65" s="470"/>
      <c r="TCQ65" s="470"/>
      <c r="TCR65" s="470"/>
      <c r="TCS65" s="470"/>
      <c r="TCT65" s="470"/>
      <c r="TCU65" s="470"/>
      <c r="TCV65" s="471"/>
      <c r="TCW65" s="469"/>
      <c r="TCX65" s="470"/>
      <c r="TCY65" s="470"/>
      <c r="TCZ65" s="470"/>
      <c r="TDA65" s="470"/>
      <c r="TDB65" s="470"/>
      <c r="TDC65" s="470"/>
      <c r="TDD65" s="470"/>
      <c r="TDE65" s="470"/>
      <c r="TDF65" s="470"/>
      <c r="TDG65" s="470"/>
      <c r="TDH65" s="470"/>
      <c r="TDI65" s="470"/>
      <c r="TDJ65" s="470"/>
      <c r="TDK65" s="470"/>
      <c r="TDL65" s="470"/>
      <c r="TDM65" s="470"/>
      <c r="TDN65" s="470"/>
      <c r="TDO65" s="470"/>
      <c r="TDP65" s="470"/>
      <c r="TDQ65" s="470"/>
      <c r="TDR65" s="470"/>
      <c r="TDS65" s="470"/>
      <c r="TDT65" s="470"/>
      <c r="TDU65" s="470"/>
      <c r="TDV65" s="470"/>
      <c r="TDW65" s="470"/>
      <c r="TDX65" s="470"/>
      <c r="TDY65" s="470"/>
      <c r="TDZ65" s="471"/>
      <c r="TEA65" s="469"/>
      <c r="TEB65" s="470"/>
      <c r="TEC65" s="470"/>
      <c r="TED65" s="470"/>
      <c r="TEE65" s="470"/>
      <c r="TEF65" s="470"/>
      <c r="TEG65" s="470"/>
      <c r="TEH65" s="470"/>
      <c r="TEI65" s="470"/>
      <c r="TEJ65" s="470"/>
      <c r="TEK65" s="470"/>
      <c r="TEL65" s="470"/>
      <c r="TEM65" s="470"/>
      <c r="TEN65" s="470"/>
      <c r="TEO65" s="470"/>
      <c r="TEP65" s="470"/>
      <c r="TEQ65" s="470"/>
      <c r="TER65" s="470"/>
      <c r="TES65" s="470"/>
      <c r="TET65" s="470"/>
      <c r="TEU65" s="470"/>
      <c r="TEV65" s="470"/>
      <c r="TEW65" s="470"/>
      <c r="TEX65" s="470"/>
      <c r="TEY65" s="470"/>
      <c r="TEZ65" s="470"/>
      <c r="TFA65" s="470"/>
      <c r="TFB65" s="470"/>
      <c r="TFC65" s="470"/>
      <c r="TFD65" s="471"/>
      <c r="TFE65" s="469"/>
      <c r="TFF65" s="470"/>
      <c r="TFG65" s="470"/>
      <c r="TFH65" s="470"/>
      <c r="TFI65" s="470"/>
      <c r="TFJ65" s="470"/>
      <c r="TFK65" s="470"/>
      <c r="TFL65" s="470"/>
      <c r="TFM65" s="470"/>
      <c r="TFN65" s="470"/>
      <c r="TFO65" s="470"/>
      <c r="TFP65" s="470"/>
      <c r="TFQ65" s="470"/>
      <c r="TFR65" s="470"/>
      <c r="TFS65" s="470"/>
      <c r="TFT65" s="470"/>
      <c r="TFU65" s="470"/>
      <c r="TFV65" s="470"/>
      <c r="TFW65" s="470"/>
      <c r="TFX65" s="470"/>
      <c r="TFY65" s="470"/>
      <c r="TFZ65" s="470"/>
      <c r="TGA65" s="470"/>
      <c r="TGB65" s="470"/>
      <c r="TGC65" s="470"/>
      <c r="TGD65" s="470"/>
      <c r="TGE65" s="470"/>
      <c r="TGF65" s="470"/>
      <c r="TGG65" s="470"/>
      <c r="TGH65" s="471"/>
      <c r="TGI65" s="469"/>
      <c r="TGJ65" s="470"/>
      <c r="TGK65" s="470"/>
      <c r="TGL65" s="470"/>
      <c r="TGM65" s="470"/>
      <c r="TGN65" s="470"/>
      <c r="TGO65" s="470"/>
      <c r="TGP65" s="470"/>
      <c r="TGQ65" s="470"/>
      <c r="TGR65" s="470"/>
      <c r="TGS65" s="470"/>
      <c r="TGT65" s="470"/>
      <c r="TGU65" s="470"/>
      <c r="TGV65" s="470"/>
      <c r="TGW65" s="470"/>
      <c r="TGX65" s="470"/>
      <c r="TGY65" s="470"/>
      <c r="TGZ65" s="470"/>
      <c r="THA65" s="470"/>
      <c r="THB65" s="470"/>
      <c r="THC65" s="470"/>
      <c r="THD65" s="470"/>
      <c r="THE65" s="470"/>
      <c r="THF65" s="470"/>
      <c r="THG65" s="470"/>
      <c r="THH65" s="470"/>
      <c r="THI65" s="470"/>
      <c r="THJ65" s="470"/>
      <c r="THK65" s="470"/>
      <c r="THL65" s="471"/>
      <c r="THM65" s="469"/>
      <c r="THN65" s="470"/>
      <c r="THO65" s="470"/>
      <c r="THP65" s="470"/>
      <c r="THQ65" s="470"/>
      <c r="THR65" s="470"/>
      <c r="THS65" s="470"/>
      <c r="THT65" s="470"/>
      <c r="THU65" s="470"/>
      <c r="THV65" s="470"/>
      <c r="THW65" s="470"/>
      <c r="THX65" s="470"/>
      <c r="THY65" s="470"/>
      <c r="THZ65" s="470"/>
      <c r="TIA65" s="470"/>
      <c r="TIB65" s="470"/>
      <c r="TIC65" s="470"/>
      <c r="TID65" s="470"/>
      <c r="TIE65" s="470"/>
      <c r="TIF65" s="470"/>
      <c r="TIG65" s="470"/>
      <c r="TIH65" s="470"/>
      <c r="TII65" s="470"/>
      <c r="TIJ65" s="470"/>
      <c r="TIK65" s="470"/>
      <c r="TIL65" s="470"/>
      <c r="TIM65" s="470"/>
      <c r="TIN65" s="470"/>
      <c r="TIO65" s="470"/>
      <c r="TIP65" s="471"/>
      <c r="TIQ65" s="469"/>
      <c r="TIR65" s="470"/>
      <c r="TIS65" s="470"/>
      <c r="TIT65" s="470"/>
      <c r="TIU65" s="470"/>
      <c r="TIV65" s="470"/>
      <c r="TIW65" s="470"/>
      <c r="TIX65" s="470"/>
      <c r="TIY65" s="470"/>
      <c r="TIZ65" s="470"/>
      <c r="TJA65" s="470"/>
      <c r="TJB65" s="470"/>
      <c r="TJC65" s="470"/>
      <c r="TJD65" s="470"/>
      <c r="TJE65" s="470"/>
      <c r="TJF65" s="470"/>
      <c r="TJG65" s="470"/>
      <c r="TJH65" s="470"/>
      <c r="TJI65" s="470"/>
      <c r="TJJ65" s="470"/>
      <c r="TJK65" s="470"/>
      <c r="TJL65" s="470"/>
      <c r="TJM65" s="470"/>
      <c r="TJN65" s="470"/>
      <c r="TJO65" s="470"/>
      <c r="TJP65" s="470"/>
      <c r="TJQ65" s="470"/>
      <c r="TJR65" s="470"/>
      <c r="TJS65" s="470"/>
      <c r="TJT65" s="471"/>
      <c r="TJU65" s="469"/>
      <c r="TJV65" s="470"/>
      <c r="TJW65" s="470"/>
      <c r="TJX65" s="470"/>
      <c r="TJY65" s="470"/>
      <c r="TJZ65" s="470"/>
      <c r="TKA65" s="470"/>
      <c r="TKB65" s="470"/>
      <c r="TKC65" s="470"/>
      <c r="TKD65" s="470"/>
      <c r="TKE65" s="470"/>
      <c r="TKF65" s="470"/>
      <c r="TKG65" s="470"/>
      <c r="TKH65" s="470"/>
      <c r="TKI65" s="470"/>
      <c r="TKJ65" s="470"/>
      <c r="TKK65" s="470"/>
      <c r="TKL65" s="470"/>
      <c r="TKM65" s="470"/>
      <c r="TKN65" s="470"/>
      <c r="TKO65" s="470"/>
      <c r="TKP65" s="470"/>
      <c r="TKQ65" s="470"/>
      <c r="TKR65" s="470"/>
      <c r="TKS65" s="470"/>
      <c r="TKT65" s="470"/>
      <c r="TKU65" s="470"/>
      <c r="TKV65" s="470"/>
      <c r="TKW65" s="470"/>
      <c r="TKX65" s="471"/>
      <c r="TKY65" s="469"/>
      <c r="TKZ65" s="470"/>
      <c r="TLA65" s="470"/>
      <c r="TLB65" s="470"/>
      <c r="TLC65" s="470"/>
      <c r="TLD65" s="470"/>
      <c r="TLE65" s="470"/>
      <c r="TLF65" s="470"/>
      <c r="TLG65" s="470"/>
      <c r="TLH65" s="470"/>
      <c r="TLI65" s="470"/>
      <c r="TLJ65" s="470"/>
      <c r="TLK65" s="470"/>
      <c r="TLL65" s="470"/>
      <c r="TLM65" s="470"/>
      <c r="TLN65" s="470"/>
      <c r="TLO65" s="470"/>
      <c r="TLP65" s="470"/>
      <c r="TLQ65" s="470"/>
      <c r="TLR65" s="470"/>
      <c r="TLS65" s="470"/>
      <c r="TLT65" s="470"/>
      <c r="TLU65" s="470"/>
      <c r="TLV65" s="470"/>
      <c r="TLW65" s="470"/>
      <c r="TLX65" s="470"/>
      <c r="TLY65" s="470"/>
      <c r="TLZ65" s="470"/>
      <c r="TMA65" s="470"/>
      <c r="TMB65" s="471"/>
      <c r="TMC65" s="469"/>
      <c r="TMD65" s="470"/>
      <c r="TME65" s="470"/>
      <c r="TMF65" s="470"/>
      <c r="TMG65" s="470"/>
      <c r="TMH65" s="470"/>
      <c r="TMI65" s="470"/>
      <c r="TMJ65" s="470"/>
      <c r="TMK65" s="470"/>
      <c r="TML65" s="470"/>
      <c r="TMM65" s="470"/>
      <c r="TMN65" s="470"/>
      <c r="TMO65" s="470"/>
      <c r="TMP65" s="470"/>
      <c r="TMQ65" s="470"/>
      <c r="TMR65" s="470"/>
      <c r="TMS65" s="470"/>
      <c r="TMT65" s="470"/>
      <c r="TMU65" s="470"/>
      <c r="TMV65" s="470"/>
      <c r="TMW65" s="470"/>
      <c r="TMX65" s="470"/>
      <c r="TMY65" s="470"/>
      <c r="TMZ65" s="470"/>
      <c r="TNA65" s="470"/>
      <c r="TNB65" s="470"/>
      <c r="TNC65" s="470"/>
      <c r="TND65" s="470"/>
      <c r="TNE65" s="470"/>
      <c r="TNF65" s="471"/>
      <c r="TNG65" s="469"/>
      <c r="TNH65" s="470"/>
      <c r="TNI65" s="470"/>
      <c r="TNJ65" s="470"/>
      <c r="TNK65" s="470"/>
      <c r="TNL65" s="470"/>
      <c r="TNM65" s="470"/>
      <c r="TNN65" s="470"/>
      <c r="TNO65" s="470"/>
      <c r="TNP65" s="470"/>
      <c r="TNQ65" s="470"/>
      <c r="TNR65" s="470"/>
      <c r="TNS65" s="470"/>
      <c r="TNT65" s="470"/>
      <c r="TNU65" s="470"/>
      <c r="TNV65" s="470"/>
      <c r="TNW65" s="470"/>
      <c r="TNX65" s="470"/>
      <c r="TNY65" s="470"/>
      <c r="TNZ65" s="470"/>
      <c r="TOA65" s="470"/>
      <c r="TOB65" s="470"/>
      <c r="TOC65" s="470"/>
      <c r="TOD65" s="470"/>
      <c r="TOE65" s="470"/>
      <c r="TOF65" s="470"/>
      <c r="TOG65" s="470"/>
      <c r="TOH65" s="470"/>
      <c r="TOI65" s="470"/>
      <c r="TOJ65" s="471"/>
      <c r="TOK65" s="469"/>
      <c r="TOL65" s="470"/>
      <c r="TOM65" s="470"/>
      <c r="TON65" s="470"/>
      <c r="TOO65" s="470"/>
      <c r="TOP65" s="470"/>
      <c r="TOQ65" s="470"/>
      <c r="TOR65" s="470"/>
      <c r="TOS65" s="470"/>
      <c r="TOT65" s="470"/>
      <c r="TOU65" s="470"/>
      <c r="TOV65" s="470"/>
      <c r="TOW65" s="470"/>
      <c r="TOX65" s="470"/>
      <c r="TOY65" s="470"/>
      <c r="TOZ65" s="470"/>
      <c r="TPA65" s="470"/>
      <c r="TPB65" s="470"/>
      <c r="TPC65" s="470"/>
      <c r="TPD65" s="470"/>
      <c r="TPE65" s="470"/>
      <c r="TPF65" s="470"/>
      <c r="TPG65" s="470"/>
      <c r="TPH65" s="470"/>
      <c r="TPI65" s="470"/>
      <c r="TPJ65" s="470"/>
      <c r="TPK65" s="470"/>
      <c r="TPL65" s="470"/>
      <c r="TPM65" s="470"/>
      <c r="TPN65" s="471"/>
      <c r="TPO65" s="469"/>
      <c r="TPP65" s="470"/>
      <c r="TPQ65" s="470"/>
      <c r="TPR65" s="470"/>
      <c r="TPS65" s="470"/>
      <c r="TPT65" s="470"/>
      <c r="TPU65" s="470"/>
      <c r="TPV65" s="470"/>
      <c r="TPW65" s="470"/>
      <c r="TPX65" s="470"/>
      <c r="TPY65" s="470"/>
      <c r="TPZ65" s="470"/>
      <c r="TQA65" s="470"/>
      <c r="TQB65" s="470"/>
      <c r="TQC65" s="470"/>
      <c r="TQD65" s="470"/>
      <c r="TQE65" s="470"/>
      <c r="TQF65" s="470"/>
      <c r="TQG65" s="470"/>
      <c r="TQH65" s="470"/>
      <c r="TQI65" s="470"/>
      <c r="TQJ65" s="470"/>
      <c r="TQK65" s="470"/>
      <c r="TQL65" s="470"/>
      <c r="TQM65" s="470"/>
      <c r="TQN65" s="470"/>
      <c r="TQO65" s="470"/>
      <c r="TQP65" s="470"/>
      <c r="TQQ65" s="470"/>
      <c r="TQR65" s="471"/>
      <c r="TQS65" s="469"/>
      <c r="TQT65" s="470"/>
      <c r="TQU65" s="470"/>
      <c r="TQV65" s="470"/>
      <c r="TQW65" s="470"/>
      <c r="TQX65" s="470"/>
      <c r="TQY65" s="470"/>
      <c r="TQZ65" s="470"/>
      <c r="TRA65" s="470"/>
      <c r="TRB65" s="470"/>
      <c r="TRC65" s="470"/>
      <c r="TRD65" s="470"/>
      <c r="TRE65" s="470"/>
      <c r="TRF65" s="470"/>
      <c r="TRG65" s="470"/>
      <c r="TRH65" s="470"/>
      <c r="TRI65" s="470"/>
      <c r="TRJ65" s="470"/>
      <c r="TRK65" s="470"/>
      <c r="TRL65" s="470"/>
      <c r="TRM65" s="470"/>
      <c r="TRN65" s="470"/>
      <c r="TRO65" s="470"/>
      <c r="TRP65" s="470"/>
      <c r="TRQ65" s="470"/>
      <c r="TRR65" s="470"/>
      <c r="TRS65" s="470"/>
      <c r="TRT65" s="470"/>
      <c r="TRU65" s="470"/>
      <c r="TRV65" s="471"/>
      <c r="TRW65" s="469"/>
      <c r="TRX65" s="470"/>
      <c r="TRY65" s="470"/>
      <c r="TRZ65" s="470"/>
      <c r="TSA65" s="470"/>
      <c r="TSB65" s="470"/>
      <c r="TSC65" s="470"/>
      <c r="TSD65" s="470"/>
      <c r="TSE65" s="470"/>
      <c r="TSF65" s="470"/>
      <c r="TSG65" s="470"/>
      <c r="TSH65" s="470"/>
      <c r="TSI65" s="470"/>
      <c r="TSJ65" s="470"/>
      <c r="TSK65" s="470"/>
      <c r="TSL65" s="470"/>
      <c r="TSM65" s="470"/>
      <c r="TSN65" s="470"/>
      <c r="TSO65" s="470"/>
      <c r="TSP65" s="470"/>
      <c r="TSQ65" s="470"/>
      <c r="TSR65" s="470"/>
      <c r="TSS65" s="470"/>
      <c r="TST65" s="470"/>
      <c r="TSU65" s="470"/>
      <c r="TSV65" s="470"/>
      <c r="TSW65" s="470"/>
      <c r="TSX65" s="470"/>
      <c r="TSY65" s="470"/>
      <c r="TSZ65" s="471"/>
      <c r="TTA65" s="469"/>
      <c r="TTB65" s="470"/>
      <c r="TTC65" s="470"/>
      <c r="TTD65" s="470"/>
      <c r="TTE65" s="470"/>
      <c r="TTF65" s="470"/>
      <c r="TTG65" s="470"/>
      <c r="TTH65" s="470"/>
      <c r="TTI65" s="470"/>
      <c r="TTJ65" s="470"/>
      <c r="TTK65" s="470"/>
      <c r="TTL65" s="470"/>
      <c r="TTM65" s="470"/>
      <c r="TTN65" s="470"/>
      <c r="TTO65" s="470"/>
      <c r="TTP65" s="470"/>
      <c r="TTQ65" s="470"/>
      <c r="TTR65" s="470"/>
      <c r="TTS65" s="470"/>
      <c r="TTT65" s="470"/>
      <c r="TTU65" s="470"/>
      <c r="TTV65" s="470"/>
      <c r="TTW65" s="470"/>
      <c r="TTX65" s="470"/>
      <c r="TTY65" s="470"/>
      <c r="TTZ65" s="470"/>
      <c r="TUA65" s="470"/>
      <c r="TUB65" s="470"/>
      <c r="TUC65" s="470"/>
      <c r="TUD65" s="471"/>
      <c r="TUE65" s="469"/>
      <c r="TUF65" s="470"/>
      <c r="TUG65" s="470"/>
      <c r="TUH65" s="470"/>
      <c r="TUI65" s="470"/>
      <c r="TUJ65" s="470"/>
      <c r="TUK65" s="470"/>
      <c r="TUL65" s="470"/>
      <c r="TUM65" s="470"/>
      <c r="TUN65" s="470"/>
      <c r="TUO65" s="470"/>
      <c r="TUP65" s="470"/>
      <c r="TUQ65" s="470"/>
      <c r="TUR65" s="470"/>
      <c r="TUS65" s="470"/>
      <c r="TUT65" s="470"/>
      <c r="TUU65" s="470"/>
      <c r="TUV65" s="470"/>
      <c r="TUW65" s="470"/>
      <c r="TUX65" s="470"/>
      <c r="TUY65" s="470"/>
      <c r="TUZ65" s="470"/>
      <c r="TVA65" s="470"/>
      <c r="TVB65" s="470"/>
      <c r="TVC65" s="470"/>
      <c r="TVD65" s="470"/>
      <c r="TVE65" s="470"/>
      <c r="TVF65" s="470"/>
      <c r="TVG65" s="470"/>
      <c r="TVH65" s="471"/>
      <c r="TVI65" s="469"/>
      <c r="TVJ65" s="470"/>
      <c r="TVK65" s="470"/>
      <c r="TVL65" s="470"/>
      <c r="TVM65" s="470"/>
      <c r="TVN65" s="470"/>
      <c r="TVO65" s="470"/>
      <c r="TVP65" s="470"/>
      <c r="TVQ65" s="470"/>
      <c r="TVR65" s="470"/>
      <c r="TVS65" s="470"/>
      <c r="TVT65" s="470"/>
      <c r="TVU65" s="470"/>
      <c r="TVV65" s="470"/>
      <c r="TVW65" s="470"/>
      <c r="TVX65" s="470"/>
      <c r="TVY65" s="470"/>
      <c r="TVZ65" s="470"/>
      <c r="TWA65" s="470"/>
      <c r="TWB65" s="470"/>
      <c r="TWC65" s="470"/>
      <c r="TWD65" s="470"/>
      <c r="TWE65" s="470"/>
      <c r="TWF65" s="470"/>
      <c r="TWG65" s="470"/>
      <c r="TWH65" s="470"/>
      <c r="TWI65" s="470"/>
      <c r="TWJ65" s="470"/>
      <c r="TWK65" s="470"/>
      <c r="TWL65" s="471"/>
      <c r="TWM65" s="469"/>
      <c r="TWN65" s="470"/>
      <c r="TWO65" s="470"/>
      <c r="TWP65" s="470"/>
      <c r="TWQ65" s="470"/>
      <c r="TWR65" s="470"/>
      <c r="TWS65" s="470"/>
      <c r="TWT65" s="470"/>
      <c r="TWU65" s="470"/>
      <c r="TWV65" s="470"/>
      <c r="TWW65" s="470"/>
      <c r="TWX65" s="470"/>
      <c r="TWY65" s="470"/>
      <c r="TWZ65" s="470"/>
      <c r="TXA65" s="470"/>
      <c r="TXB65" s="470"/>
      <c r="TXC65" s="470"/>
      <c r="TXD65" s="470"/>
      <c r="TXE65" s="470"/>
      <c r="TXF65" s="470"/>
      <c r="TXG65" s="470"/>
      <c r="TXH65" s="470"/>
      <c r="TXI65" s="470"/>
      <c r="TXJ65" s="470"/>
      <c r="TXK65" s="470"/>
      <c r="TXL65" s="470"/>
      <c r="TXM65" s="470"/>
      <c r="TXN65" s="470"/>
      <c r="TXO65" s="470"/>
      <c r="TXP65" s="471"/>
      <c r="TXQ65" s="469"/>
      <c r="TXR65" s="470"/>
      <c r="TXS65" s="470"/>
      <c r="TXT65" s="470"/>
      <c r="TXU65" s="470"/>
      <c r="TXV65" s="470"/>
      <c r="TXW65" s="470"/>
      <c r="TXX65" s="470"/>
      <c r="TXY65" s="470"/>
      <c r="TXZ65" s="470"/>
      <c r="TYA65" s="470"/>
      <c r="TYB65" s="470"/>
      <c r="TYC65" s="470"/>
      <c r="TYD65" s="470"/>
      <c r="TYE65" s="470"/>
      <c r="TYF65" s="470"/>
      <c r="TYG65" s="470"/>
      <c r="TYH65" s="470"/>
      <c r="TYI65" s="470"/>
      <c r="TYJ65" s="470"/>
      <c r="TYK65" s="470"/>
      <c r="TYL65" s="470"/>
      <c r="TYM65" s="470"/>
      <c r="TYN65" s="470"/>
      <c r="TYO65" s="470"/>
      <c r="TYP65" s="470"/>
      <c r="TYQ65" s="470"/>
      <c r="TYR65" s="470"/>
      <c r="TYS65" s="470"/>
      <c r="TYT65" s="471"/>
      <c r="TYU65" s="469"/>
      <c r="TYV65" s="470"/>
      <c r="TYW65" s="470"/>
      <c r="TYX65" s="470"/>
      <c r="TYY65" s="470"/>
      <c r="TYZ65" s="470"/>
      <c r="TZA65" s="470"/>
      <c r="TZB65" s="470"/>
      <c r="TZC65" s="470"/>
      <c r="TZD65" s="470"/>
      <c r="TZE65" s="470"/>
      <c r="TZF65" s="470"/>
      <c r="TZG65" s="470"/>
      <c r="TZH65" s="470"/>
      <c r="TZI65" s="470"/>
      <c r="TZJ65" s="470"/>
      <c r="TZK65" s="470"/>
      <c r="TZL65" s="470"/>
      <c r="TZM65" s="470"/>
      <c r="TZN65" s="470"/>
      <c r="TZO65" s="470"/>
      <c r="TZP65" s="470"/>
      <c r="TZQ65" s="470"/>
      <c r="TZR65" s="470"/>
      <c r="TZS65" s="470"/>
      <c r="TZT65" s="470"/>
      <c r="TZU65" s="470"/>
      <c r="TZV65" s="470"/>
      <c r="TZW65" s="470"/>
      <c r="TZX65" s="471"/>
      <c r="TZY65" s="469"/>
      <c r="TZZ65" s="470"/>
      <c r="UAA65" s="470"/>
      <c r="UAB65" s="470"/>
      <c r="UAC65" s="470"/>
      <c r="UAD65" s="470"/>
      <c r="UAE65" s="470"/>
      <c r="UAF65" s="470"/>
      <c r="UAG65" s="470"/>
      <c r="UAH65" s="470"/>
      <c r="UAI65" s="470"/>
      <c r="UAJ65" s="470"/>
      <c r="UAK65" s="470"/>
      <c r="UAL65" s="470"/>
      <c r="UAM65" s="470"/>
      <c r="UAN65" s="470"/>
      <c r="UAO65" s="470"/>
      <c r="UAP65" s="470"/>
      <c r="UAQ65" s="470"/>
      <c r="UAR65" s="470"/>
      <c r="UAS65" s="470"/>
      <c r="UAT65" s="470"/>
      <c r="UAU65" s="470"/>
      <c r="UAV65" s="470"/>
      <c r="UAW65" s="470"/>
      <c r="UAX65" s="470"/>
      <c r="UAY65" s="470"/>
      <c r="UAZ65" s="470"/>
      <c r="UBA65" s="470"/>
      <c r="UBB65" s="471"/>
      <c r="UBC65" s="469"/>
      <c r="UBD65" s="470"/>
      <c r="UBE65" s="470"/>
      <c r="UBF65" s="470"/>
      <c r="UBG65" s="470"/>
      <c r="UBH65" s="470"/>
      <c r="UBI65" s="470"/>
      <c r="UBJ65" s="470"/>
      <c r="UBK65" s="470"/>
      <c r="UBL65" s="470"/>
      <c r="UBM65" s="470"/>
      <c r="UBN65" s="470"/>
      <c r="UBO65" s="470"/>
      <c r="UBP65" s="470"/>
      <c r="UBQ65" s="470"/>
      <c r="UBR65" s="470"/>
      <c r="UBS65" s="470"/>
      <c r="UBT65" s="470"/>
      <c r="UBU65" s="470"/>
      <c r="UBV65" s="470"/>
      <c r="UBW65" s="470"/>
      <c r="UBX65" s="470"/>
      <c r="UBY65" s="470"/>
      <c r="UBZ65" s="470"/>
      <c r="UCA65" s="470"/>
      <c r="UCB65" s="470"/>
      <c r="UCC65" s="470"/>
      <c r="UCD65" s="470"/>
      <c r="UCE65" s="470"/>
      <c r="UCF65" s="471"/>
      <c r="UCG65" s="469"/>
      <c r="UCH65" s="470"/>
      <c r="UCI65" s="470"/>
      <c r="UCJ65" s="470"/>
      <c r="UCK65" s="470"/>
      <c r="UCL65" s="470"/>
      <c r="UCM65" s="470"/>
      <c r="UCN65" s="470"/>
      <c r="UCO65" s="470"/>
      <c r="UCP65" s="470"/>
      <c r="UCQ65" s="470"/>
      <c r="UCR65" s="470"/>
      <c r="UCS65" s="470"/>
      <c r="UCT65" s="470"/>
      <c r="UCU65" s="470"/>
      <c r="UCV65" s="470"/>
      <c r="UCW65" s="470"/>
      <c r="UCX65" s="470"/>
      <c r="UCY65" s="470"/>
      <c r="UCZ65" s="470"/>
      <c r="UDA65" s="470"/>
      <c r="UDB65" s="470"/>
      <c r="UDC65" s="470"/>
      <c r="UDD65" s="470"/>
      <c r="UDE65" s="470"/>
      <c r="UDF65" s="470"/>
      <c r="UDG65" s="470"/>
      <c r="UDH65" s="470"/>
      <c r="UDI65" s="470"/>
      <c r="UDJ65" s="471"/>
      <c r="UDK65" s="469"/>
      <c r="UDL65" s="470"/>
      <c r="UDM65" s="470"/>
      <c r="UDN65" s="470"/>
      <c r="UDO65" s="470"/>
      <c r="UDP65" s="470"/>
      <c r="UDQ65" s="470"/>
      <c r="UDR65" s="470"/>
      <c r="UDS65" s="470"/>
      <c r="UDT65" s="470"/>
      <c r="UDU65" s="470"/>
      <c r="UDV65" s="470"/>
      <c r="UDW65" s="470"/>
      <c r="UDX65" s="470"/>
      <c r="UDY65" s="470"/>
      <c r="UDZ65" s="470"/>
      <c r="UEA65" s="470"/>
      <c r="UEB65" s="470"/>
      <c r="UEC65" s="470"/>
      <c r="UED65" s="470"/>
      <c r="UEE65" s="470"/>
      <c r="UEF65" s="470"/>
      <c r="UEG65" s="470"/>
      <c r="UEH65" s="470"/>
      <c r="UEI65" s="470"/>
      <c r="UEJ65" s="470"/>
      <c r="UEK65" s="470"/>
      <c r="UEL65" s="470"/>
      <c r="UEM65" s="470"/>
      <c r="UEN65" s="471"/>
      <c r="UEO65" s="469"/>
      <c r="UEP65" s="470"/>
      <c r="UEQ65" s="470"/>
      <c r="UER65" s="470"/>
      <c r="UES65" s="470"/>
      <c r="UET65" s="470"/>
      <c r="UEU65" s="470"/>
      <c r="UEV65" s="470"/>
      <c r="UEW65" s="470"/>
      <c r="UEX65" s="470"/>
      <c r="UEY65" s="470"/>
      <c r="UEZ65" s="470"/>
      <c r="UFA65" s="470"/>
      <c r="UFB65" s="470"/>
      <c r="UFC65" s="470"/>
      <c r="UFD65" s="470"/>
      <c r="UFE65" s="470"/>
      <c r="UFF65" s="470"/>
      <c r="UFG65" s="470"/>
      <c r="UFH65" s="470"/>
      <c r="UFI65" s="470"/>
      <c r="UFJ65" s="470"/>
      <c r="UFK65" s="470"/>
      <c r="UFL65" s="470"/>
      <c r="UFM65" s="470"/>
      <c r="UFN65" s="470"/>
      <c r="UFO65" s="470"/>
      <c r="UFP65" s="470"/>
      <c r="UFQ65" s="470"/>
      <c r="UFR65" s="471"/>
      <c r="UFS65" s="469"/>
      <c r="UFT65" s="470"/>
      <c r="UFU65" s="470"/>
      <c r="UFV65" s="470"/>
      <c r="UFW65" s="470"/>
      <c r="UFX65" s="470"/>
      <c r="UFY65" s="470"/>
      <c r="UFZ65" s="470"/>
      <c r="UGA65" s="470"/>
      <c r="UGB65" s="470"/>
      <c r="UGC65" s="470"/>
      <c r="UGD65" s="470"/>
      <c r="UGE65" s="470"/>
      <c r="UGF65" s="470"/>
      <c r="UGG65" s="470"/>
      <c r="UGH65" s="470"/>
      <c r="UGI65" s="470"/>
      <c r="UGJ65" s="470"/>
      <c r="UGK65" s="470"/>
      <c r="UGL65" s="470"/>
      <c r="UGM65" s="470"/>
      <c r="UGN65" s="470"/>
      <c r="UGO65" s="470"/>
      <c r="UGP65" s="470"/>
      <c r="UGQ65" s="470"/>
      <c r="UGR65" s="470"/>
      <c r="UGS65" s="470"/>
      <c r="UGT65" s="470"/>
      <c r="UGU65" s="470"/>
      <c r="UGV65" s="471"/>
      <c r="UGW65" s="469"/>
      <c r="UGX65" s="470"/>
      <c r="UGY65" s="470"/>
      <c r="UGZ65" s="470"/>
      <c r="UHA65" s="470"/>
      <c r="UHB65" s="470"/>
      <c r="UHC65" s="470"/>
      <c r="UHD65" s="470"/>
      <c r="UHE65" s="470"/>
      <c r="UHF65" s="470"/>
      <c r="UHG65" s="470"/>
      <c r="UHH65" s="470"/>
      <c r="UHI65" s="470"/>
      <c r="UHJ65" s="470"/>
      <c r="UHK65" s="470"/>
      <c r="UHL65" s="470"/>
      <c r="UHM65" s="470"/>
      <c r="UHN65" s="470"/>
      <c r="UHO65" s="470"/>
      <c r="UHP65" s="470"/>
      <c r="UHQ65" s="470"/>
      <c r="UHR65" s="470"/>
      <c r="UHS65" s="470"/>
      <c r="UHT65" s="470"/>
      <c r="UHU65" s="470"/>
      <c r="UHV65" s="470"/>
      <c r="UHW65" s="470"/>
      <c r="UHX65" s="470"/>
      <c r="UHY65" s="470"/>
      <c r="UHZ65" s="471"/>
      <c r="UIA65" s="469"/>
      <c r="UIB65" s="470"/>
      <c r="UIC65" s="470"/>
      <c r="UID65" s="470"/>
      <c r="UIE65" s="470"/>
      <c r="UIF65" s="470"/>
      <c r="UIG65" s="470"/>
      <c r="UIH65" s="470"/>
      <c r="UII65" s="470"/>
      <c r="UIJ65" s="470"/>
      <c r="UIK65" s="470"/>
      <c r="UIL65" s="470"/>
      <c r="UIM65" s="470"/>
      <c r="UIN65" s="470"/>
      <c r="UIO65" s="470"/>
      <c r="UIP65" s="470"/>
      <c r="UIQ65" s="470"/>
      <c r="UIR65" s="470"/>
      <c r="UIS65" s="470"/>
      <c r="UIT65" s="470"/>
      <c r="UIU65" s="470"/>
      <c r="UIV65" s="470"/>
      <c r="UIW65" s="470"/>
      <c r="UIX65" s="470"/>
      <c r="UIY65" s="470"/>
      <c r="UIZ65" s="470"/>
      <c r="UJA65" s="470"/>
      <c r="UJB65" s="470"/>
      <c r="UJC65" s="470"/>
      <c r="UJD65" s="471"/>
      <c r="UJE65" s="469"/>
      <c r="UJF65" s="470"/>
      <c r="UJG65" s="470"/>
      <c r="UJH65" s="470"/>
      <c r="UJI65" s="470"/>
      <c r="UJJ65" s="470"/>
      <c r="UJK65" s="470"/>
      <c r="UJL65" s="470"/>
      <c r="UJM65" s="470"/>
      <c r="UJN65" s="470"/>
      <c r="UJO65" s="470"/>
      <c r="UJP65" s="470"/>
      <c r="UJQ65" s="470"/>
      <c r="UJR65" s="470"/>
      <c r="UJS65" s="470"/>
      <c r="UJT65" s="470"/>
      <c r="UJU65" s="470"/>
      <c r="UJV65" s="470"/>
      <c r="UJW65" s="470"/>
      <c r="UJX65" s="470"/>
      <c r="UJY65" s="470"/>
      <c r="UJZ65" s="470"/>
      <c r="UKA65" s="470"/>
      <c r="UKB65" s="470"/>
      <c r="UKC65" s="470"/>
      <c r="UKD65" s="470"/>
      <c r="UKE65" s="470"/>
      <c r="UKF65" s="470"/>
      <c r="UKG65" s="470"/>
      <c r="UKH65" s="471"/>
      <c r="UKI65" s="469"/>
      <c r="UKJ65" s="470"/>
      <c r="UKK65" s="470"/>
      <c r="UKL65" s="470"/>
      <c r="UKM65" s="470"/>
      <c r="UKN65" s="470"/>
      <c r="UKO65" s="470"/>
      <c r="UKP65" s="470"/>
      <c r="UKQ65" s="470"/>
      <c r="UKR65" s="470"/>
      <c r="UKS65" s="470"/>
      <c r="UKT65" s="470"/>
      <c r="UKU65" s="470"/>
      <c r="UKV65" s="470"/>
      <c r="UKW65" s="470"/>
      <c r="UKX65" s="470"/>
      <c r="UKY65" s="470"/>
      <c r="UKZ65" s="470"/>
      <c r="ULA65" s="470"/>
      <c r="ULB65" s="470"/>
      <c r="ULC65" s="470"/>
      <c r="ULD65" s="470"/>
      <c r="ULE65" s="470"/>
      <c r="ULF65" s="470"/>
      <c r="ULG65" s="470"/>
      <c r="ULH65" s="470"/>
      <c r="ULI65" s="470"/>
      <c r="ULJ65" s="470"/>
      <c r="ULK65" s="470"/>
      <c r="ULL65" s="471"/>
      <c r="ULM65" s="469"/>
      <c r="ULN65" s="470"/>
      <c r="ULO65" s="470"/>
      <c r="ULP65" s="470"/>
      <c r="ULQ65" s="470"/>
      <c r="ULR65" s="470"/>
      <c r="ULS65" s="470"/>
      <c r="ULT65" s="470"/>
      <c r="ULU65" s="470"/>
      <c r="ULV65" s="470"/>
      <c r="ULW65" s="470"/>
      <c r="ULX65" s="470"/>
      <c r="ULY65" s="470"/>
      <c r="ULZ65" s="470"/>
      <c r="UMA65" s="470"/>
      <c r="UMB65" s="470"/>
      <c r="UMC65" s="470"/>
      <c r="UMD65" s="470"/>
      <c r="UME65" s="470"/>
      <c r="UMF65" s="470"/>
      <c r="UMG65" s="470"/>
      <c r="UMH65" s="470"/>
      <c r="UMI65" s="470"/>
      <c r="UMJ65" s="470"/>
      <c r="UMK65" s="470"/>
      <c r="UML65" s="470"/>
      <c r="UMM65" s="470"/>
      <c r="UMN65" s="470"/>
      <c r="UMO65" s="470"/>
      <c r="UMP65" s="471"/>
      <c r="UMQ65" s="469"/>
      <c r="UMR65" s="470"/>
      <c r="UMS65" s="470"/>
      <c r="UMT65" s="470"/>
      <c r="UMU65" s="470"/>
      <c r="UMV65" s="470"/>
      <c r="UMW65" s="470"/>
      <c r="UMX65" s="470"/>
      <c r="UMY65" s="470"/>
      <c r="UMZ65" s="470"/>
      <c r="UNA65" s="470"/>
      <c r="UNB65" s="470"/>
      <c r="UNC65" s="470"/>
      <c r="UND65" s="470"/>
      <c r="UNE65" s="470"/>
      <c r="UNF65" s="470"/>
      <c r="UNG65" s="470"/>
      <c r="UNH65" s="470"/>
      <c r="UNI65" s="470"/>
      <c r="UNJ65" s="470"/>
      <c r="UNK65" s="470"/>
      <c r="UNL65" s="470"/>
      <c r="UNM65" s="470"/>
      <c r="UNN65" s="470"/>
      <c r="UNO65" s="470"/>
      <c r="UNP65" s="470"/>
      <c r="UNQ65" s="470"/>
      <c r="UNR65" s="470"/>
      <c r="UNS65" s="470"/>
      <c r="UNT65" s="471"/>
      <c r="UNU65" s="469"/>
      <c r="UNV65" s="470"/>
      <c r="UNW65" s="470"/>
      <c r="UNX65" s="470"/>
      <c r="UNY65" s="470"/>
      <c r="UNZ65" s="470"/>
      <c r="UOA65" s="470"/>
      <c r="UOB65" s="470"/>
      <c r="UOC65" s="470"/>
      <c r="UOD65" s="470"/>
      <c r="UOE65" s="470"/>
      <c r="UOF65" s="470"/>
      <c r="UOG65" s="470"/>
      <c r="UOH65" s="470"/>
      <c r="UOI65" s="470"/>
      <c r="UOJ65" s="470"/>
      <c r="UOK65" s="470"/>
      <c r="UOL65" s="470"/>
      <c r="UOM65" s="470"/>
      <c r="UON65" s="470"/>
      <c r="UOO65" s="470"/>
      <c r="UOP65" s="470"/>
      <c r="UOQ65" s="470"/>
      <c r="UOR65" s="470"/>
      <c r="UOS65" s="470"/>
      <c r="UOT65" s="470"/>
      <c r="UOU65" s="470"/>
      <c r="UOV65" s="470"/>
      <c r="UOW65" s="470"/>
      <c r="UOX65" s="471"/>
      <c r="UOY65" s="469"/>
      <c r="UOZ65" s="470"/>
      <c r="UPA65" s="470"/>
      <c r="UPB65" s="470"/>
      <c r="UPC65" s="470"/>
      <c r="UPD65" s="470"/>
      <c r="UPE65" s="470"/>
      <c r="UPF65" s="470"/>
      <c r="UPG65" s="470"/>
      <c r="UPH65" s="470"/>
      <c r="UPI65" s="470"/>
      <c r="UPJ65" s="470"/>
      <c r="UPK65" s="470"/>
      <c r="UPL65" s="470"/>
      <c r="UPM65" s="470"/>
      <c r="UPN65" s="470"/>
      <c r="UPO65" s="470"/>
      <c r="UPP65" s="470"/>
      <c r="UPQ65" s="470"/>
      <c r="UPR65" s="470"/>
      <c r="UPS65" s="470"/>
      <c r="UPT65" s="470"/>
      <c r="UPU65" s="470"/>
      <c r="UPV65" s="470"/>
      <c r="UPW65" s="470"/>
      <c r="UPX65" s="470"/>
      <c r="UPY65" s="470"/>
      <c r="UPZ65" s="470"/>
      <c r="UQA65" s="470"/>
      <c r="UQB65" s="471"/>
      <c r="UQC65" s="469"/>
      <c r="UQD65" s="470"/>
      <c r="UQE65" s="470"/>
      <c r="UQF65" s="470"/>
      <c r="UQG65" s="470"/>
      <c r="UQH65" s="470"/>
      <c r="UQI65" s="470"/>
      <c r="UQJ65" s="470"/>
      <c r="UQK65" s="470"/>
      <c r="UQL65" s="470"/>
      <c r="UQM65" s="470"/>
      <c r="UQN65" s="470"/>
      <c r="UQO65" s="470"/>
      <c r="UQP65" s="470"/>
      <c r="UQQ65" s="470"/>
      <c r="UQR65" s="470"/>
      <c r="UQS65" s="470"/>
      <c r="UQT65" s="470"/>
      <c r="UQU65" s="470"/>
      <c r="UQV65" s="470"/>
      <c r="UQW65" s="470"/>
      <c r="UQX65" s="470"/>
      <c r="UQY65" s="470"/>
      <c r="UQZ65" s="470"/>
      <c r="URA65" s="470"/>
      <c r="URB65" s="470"/>
      <c r="URC65" s="470"/>
      <c r="URD65" s="470"/>
      <c r="URE65" s="470"/>
      <c r="URF65" s="471"/>
      <c r="URG65" s="469"/>
      <c r="URH65" s="470"/>
      <c r="URI65" s="470"/>
      <c r="URJ65" s="470"/>
      <c r="URK65" s="470"/>
      <c r="URL65" s="470"/>
      <c r="URM65" s="470"/>
      <c r="URN65" s="470"/>
      <c r="URO65" s="470"/>
      <c r="URP65" s="470"/>
      <c r="URQ65" s="470"/>
      <c r="URR65" s="470"/>
      <c r="URS65" s="470"/>
      <c r="URT65" s="470"/>
      <c r="URU65" s="470"/>
      <c r="URV65" s="470"/>
      <c r="URW65" s="470"/>
      <c r="URX65" s="470"/>
      <c r="URY65" s="470"/>
      <c r="URZ65" s="470"/>
      <c r="USA65" s="470"/>
      <c r="USB65" s="470"/>
      <c r="USC65" s="470"/>
      <c r="USD65" s="470"/>
      <c r="USE65" s="470"/>
      <c r="USF65" s="470"/>
      <c r="USG65" s="470"/>
      <c r="USH65" s="470"/>
      <c r="USI65" s="470"/>
      <c r="USJ65" s="471"/>
      <c r="USK65" s="469"/>
      <c r="USL65" s="470"/>
      <c r="USM65" s="470"/>
      <c r="USN65" s="470"/>
      <c r="USO65" s="470"/>
      <c r="USP65" s="470"/>
      <c r="USQ65" s="470"/>
      <c r="USR65" s="470"/>
      <c r="USS65" s="470"/>
      <c r="UST65" s="470"/>
      <c r="USU65" s="470"/>
      <c r="USV65" s="470"/>
      <c r="USW65" s="470"/>
      <c r="USX65" s="470"/>
      <c r="USY65" s="470"/>
      <c r="USZ65" s="470"/>
      <c r="UTA65" s="470"/>
      <c r="UTB65" s="470"/>
      <c r="UTC65" s="470"/>
      <c r="UTD65" s="470"/>
      <c r="UTE65" s="470"/>
      <c r="UTF65" s="470"/>
      <c r="UTG65" s="470"/>
      <c r="UTH65" s="470"/>
      <c r="UTI65" s="470"/>
      <c r="UTJ65" s="470"/>
      <c r="UTK65" s="470"/>
      <c r="UTL65" s="470"/>
      <c r="UTM65" s="470"/>
      <c r="UTN65" s="471"/>
      <c r="UTO65" s="469"/>
      <c r="UTP65" s="470"/>
      <c r="UTQ65" s="470"/>
      <c r="UTR65" s="470"/>
      <c r="UTS65" s="470"/>
      <c r="UTT65" s="470"/>
      <c r="UTU65" s="470"/>
      <c r="UTV65" s="470"/>
      <c r="UTW65" s="470"/>
      <c r="UTX65" s="470"/>
      <c r="UTY65" s="470"/>
      <c r="UTZ65" s="470"/>
      <c r="UUA65" s="470"/>
      <c r="UUB65" s="470"/>
      <c r="UUC65" s="470"/>
      <c r="UUD65" s="470"/>
      <c r="UUE65" s="470"/>
      <c r="UUF65" s="470"/>
      <c r="UUG65" s="470"/>
      <c r="UUH65" s="470"/>
      <c r="UUI65" s="470"/>
      <c r="UUJ65" s="470"/>
      <c r="UUK65" s="470"/>
      <c r="UUL65" s="470"/>
      <c r="UUM65" s="470"/>
      <c r="UUN65" s="470"/>
      <c r="UUO65" s="470"/>
      <c r="UUP65" s="470"/>
      <c r="UUQ65" s="470"/>
      <c r="UUR65" s="471"/>
      <c r="UUS65" s="469"/>
      <c r="UUT65" s="470"/>
      <c r="UUU65" s="470"/>
      <c r="UUV65" s="470"/>
      <c r="UUW65" s="470"/>
      <c r="UUX65" s="470"/>
      <c r="UUY65" s="470"/>
      <c r="UUZ65" s="470"/>
      <c r="UVA65" s="470"/>
      <c r="UVB65" s="470"/>
      <c r="UVC65" s="470"/>
      <c r="UVD65" s="470"/>
      <c r="UVE65" s="470"/>
      <c r="UVF65" s="470"/>
      <c r="UVG65" s="470"/>
      <c r="UVH65" s="470"/>
      <c r="UVI65" s="470"/>
      <c r="UVJ65" s="470"/>
      <c r="UVK65" s="470"/>
      <c r="UVL65" s="470"/>
      <c r="UVM65" s="470"/>
      <c r="UVN65" s="470"/>
      <c r="UVO65" s="470"/>
      <c r="UVP65" s="470"/>
      <c r="UVQ65" s="470"/>
      <c r="UVR65" s="470"/>
      <c r="UVS65" s="470"/>
      <c r="UVT65" s="470"/>
      <c r="UVU65" s="470"/>
      <c r="UVV65" s="471"/>
      <c r="UVW65" s="469"/>
      <c r="UVX65" s="470"/>
      <c r="UVY65" s="470"/>
      <c r="UVZ65" s="470"/>
      <c r="UWA65" s="470"/>
      <c r="UWB65" s="470"/>
      <c r="UWC65" s="470"/>
      <c r="UWD65" s="470"/>
      <c r="UWE65" s="470"/>
      <c r="UWF65" s="470"/>
      <c r="UWG65" s="470"/>
      <c r="UWH65" s="470"/>
      <c r="UWI65" s="470"/>
      <c r="UWJ65" s="470"/>
      <c r="UWK65" s="470"/>
      <c r="UWL65" s="470"/>
      <c r="UWM65" s="470"/>
      <c r="UWN65" s="470"/>
      <c r="UWO65" s="470"/>
      <c r="UWP65" s="470"/>
      <c r="UWQ65" s="470"/>
      <c r="UWR65" s="470"/>
      <c r="UWS65" s="470"/>
      <c r="UWT65" s="470"/>
      <c r="UWU65" s="470"/>
      <c r="UWV65" s="470"/>
      <c r="UWW65" s="470"/>
      <c r="UWX65" s="470"/>
      <c r="UWY65" s="470"/>
      <c r="UWZ65" s="471"/>
      <c r="UXA65" s="469"/>
      <c r="UXB65" s="470"/>
      <c r="UXC65" s="470"/>
      <c r="UXD65" s="470"/>
      <c r="UXE65" s="470"/>
      <c r="UXF65" s="470"/>
      <c r="UXG65" s="470"/>
      <c r="UXH65" s="470"/>
      <c r="UXI65" s="470"/>
      <c r="UXJ65" s="470"/>
      <c r="UXK65" s="470"/>
      <c r="UXL65" s="470"/>
      <c r="UXM65" s="470"/>
      <c r="UXN65" s="470"/>
      <c r="UXO65" s="470"/>
      <c r="UXP65" s="470"/>
      <c r="UXQ65" s="470"/>
      <c r="UXR65" s="470"/>
      <c r="UXS65" s="470"/>
      <c r="UXT65" s="470"/>
      <c r="UXU65" s="470"/>
      <c r="UXV65" s="470"/>
      <c r="UXW65" s="470"/>
      <c r="UXX65" s="470"/>
      <c r="UXY65" s="470"/>
      <c r="UXZ65" s="470"/>
      <c r="UYA65" s="470"/>
      <c r="UYB65" s="470"/>
      <c r="UYC65" s="470"/>
      <c r="UYD65" s="471"/>
      <c r="UYE65" s="469"/>
      <c r="UYF65" s="470"/>
      <c r="UYG65" s="470"/>
      <c r="UYH65" s="470"/>
      <c r="UYI65" s="470"/>
      <c r="UYJ65" s="470"/>
      <c r="UYK65" s="470"/>
      <c r="UYL65" s="470"/>
      <c r="UYM65" s="470"/>
      <c r="UYN65" s="470"/>
      <c r="UYO65" s="470"/>
      <c r="UYP65" s="470"/>
      <c r="UYQ65" s="470"/>
      <c r="UYR65" s="470"/>
      <c r="UYS65" s="470"/>
      <c r="UYT65" s="470"/>
      <c r="UYU65" s="470"/>
      <c r="UYV65" s="470"/>
      <c r="UYW65" s="470"/>
      <c r="UYX65" s="470"/>
      <c r="UYY65" s="470"/>
      <c r="UYZ65" s="470"/>
      <c r="UZA65" s="470"/>
      <c r="UZB65" s="470"/>
      <c r="UZC65" s="470"/>
      <c r="UZD65" s="470"/>
      <c r="UZE65" s="470"/>
      <c r="UZF65" s="470"/>
      <c r="UZG65" s="470"/>
      <c r="UZH65" s="471"/>
      <c r="UZI65" s="469"/>
      <c r="UZJ65" s="470"/>
      <c r="UZK65" s="470"/>
      <c r="UZL65" s="470"/>
      <c r="UZM65" s="470"/>
      <c r="UZN65" s="470"/>
      <c r="UZO65" s="470"/>
      <c r="UZP65" s="470"/>
      <c r="UZQ65" s="470"/>
      <c r="UZR65" s="470"/>
      <c r="UZS65" s="470"/>
      <c r="UZT65" s="470"/>
      <c r="UZU65" s="470"/>
      <c r="UZV65" s="470"/>
      <c r="UZW65" s="470"/>
      <c r="UZX65" s="470"/>
      <c r="UZY65" s="470"/>
      <c r="UZZ65" s="470"/>
      <c r="VAA65" s="470"/>
      <c r="VAB65" s="470"/>
      <c r="VAC65" s="470"/>
      <c r="VAD65" s="470"/>
      <c r="VAE65" s="470"/>
      <c r="VAF65" s="470"/>
      <c r="VAG65" s="470"/>
      <c r="VAH65" s="470"/>
      <c r="VAI65" s="470"/>
      <c r="VAJ65" s="470"/>
      <c r="VAK65" s="470"/>
      <c r="VAL65" s="471"/>
      <c r="VAM65" s="469"/>
      <c r="VAN65" s="470"/>
      <c r="VAO65" s="470"/>
      <c r="VAP65" s="470"/>
      <c r="VAQ65" s="470"/>
      <c r="VAR65" s="470"/>
      <c r="VAS65" s="470"/>
      <c r="VAT65" s="470"/>
      <c r="VAU65" s="470"/>
      <c r="VAV65" s="470"/>
      <c r="VAW65" s="470"/>
      <c r="VAX65" s="470"/>
      <c r="VAY65" s="470"/>
      <c r="VAZ65" s="470"/>
      <c r="VBA65" s="470"/>
      <c r="VBB65" s="470"/>
      <c r="VBC65" s="470"/>
      <c r="VBD65" s="470"/>
      <c r="VBE65" s="470"/>
      <c r="VBF65" s="470"/>
      <c r="VBG65" s="470"/>
      <c r="VBH65" s="470"/>
      <c r="VBI65" s="470"/>
      <c r="VBJ65" s="470"/>
      <c r="VBK65" s="470"/>
      <c r="VBL65" s="470"/>
      <c r="VBM65" s="470"/>
      <c r="VBN65" s="470"/>
      <c r="VBO65" s="470"/>
      <c r="VBP65" s="471"/>
      <c r="VBQ65" s="469"/>
      <c r="VBR65" s="470"/>
      <c r="VBS65" s="470"/>
      <c r="VBT65" s="470"/>
      <c r="VBU65" s="470"/>
      <c r="VBV65" s="470"/>
      <c r="VBW65" s="470"/>
      <c r="VBX65" s="470"/>
      <c r="VBY65" s="470"/>
      <c r="VBZ65" s="470"/>
      <c r="VCA65" s="470"/>
      <c r="VCB65" s="470"/>
      <c r="VCC65" s="470"/>
      <c r="VCD65" s="470"/>
      <c r="VCE65" s="470"/>
      <c r="VCF65" s="470"/>
      <c r="VCG65" s="470"/>
      <c r="VCH65" s="470"/>
      <c r="VCI65" s="470"/>
      <c r="VCJ65" s="470"/>
      <c r="VCK65" s="470"/>
      <c r="VCL65" s="470"/>
      <c r="VCM65" s="470"/>
      <c r="VCN65" s="470"/>
      <c r="VCO65" s="470"/>
      <c r="VCP65" s="470"/>
      <c r="VCQ65" s="470"/>
      <c r="VCR65" s="470"/>
      <c r="VCS65" s="470"/>
      <c r="VCT65" s="471"/>
      <c r="VCU65" s="469"/>
      <c r="VCV65" s="470"/>
      <c r="VCW65" s="470"/>
      <c r="VCX65" s="470"/>
      <c r="VCY65" s="470"/>
      <c r="VCZ65" s="470"/>
      <c r="VDA65" s="470"/>
      <c r="VDB65" s="470"/>
      <c r="VDC65" s="470"/>
      <c r="VDD65" s="470"/>
      <c r="VDE65" s="470"/>
      <c r="VDF65" s="470"/>
      <c r="VDG65" s="470"/>
      <c r="VDH65" s="470"/>
      <c r="VDI65" s="470"/>
      <c r="VDJ65" s="470"/>
      <c r="VDK65" s="470"/>
      <c r="VDL65" s="470"/>
      <c r="VDM65" s="470"/>
      <c r="VDN65" s="470"/>
      <c r="VDO65" s="470"/>
      <c r="VDP65" s="470"/>
      <c r="VDQ65" s="470"/>
      <c r="VDR65" s="470"/>
      <c r="VDS65" s="470"/>
      <c r="VDT65" s="470"/>
      <c r="VDU65" s="470"/>
      <c r="VDV65" s="470"/>
      <c r="VDW65" s="470"/>
      <c r="VDX65" s="471"/>
      <c r="VDY65" s="469"/>
      <c r="VDZ65" s="470"/>
      <c r="VEA65" s="470"/>
      <c r="VEB65" s="470"/>
      <c r="VEC65" s="470"/>
      <c r="VED65" s="470"/>
      <c r="VEE65" s="470"/>
      <c r="VEF65" s="470"/>
      <c r="VEG65" s="470"/>
      <c r="VEH65" s="470"/>
      <c r="VEI65" s="470"/>
      <c r="VEJ65" s="470"/>
      <c r="VEK65" s="470"/>
      <c r="VEL65" s="470"/>
      <c r="VEM65" s="470"/>
      <c r="VEN65" s="470"/>
      <c r="VEO65" s="470"/>
      <c r="VEP65" s="470"/>
      <c r="VEQ65" s="470"/>
      <c r="VER65" s="470"/>
      <c r="VES65" s="470"/>
      <c r="VET65" s="470"/>
      <c r="VEU65" s="470"/>
      <c r="VEV65" s="470"/>
      <c r="VEW65" s="470"/>
      <c r="VEX65" s="470"/>
      <c r="VEY65" s="470"/>
      <c r="VEZ65" s="470"/>
      <c r="VFA65" s="470"/>
      <c r="VFB65" s="471"/>
      <c r="VFC65" s="469"/>
      <c r="VFD65" s="470"/>
      <c r="VFE65" s="470"/>
      <c r="VFF65" s="470"/>
      <c r="VFG65" s="470"/>
      <c r="VFH65" s="470"/>
      <c r="VFI65" s="470"/>
      <c r="VFJ65" s="470"/>
      <c r="VFK65" s="470"/>
      <c r="VFL65" s="470"/>
      <c r="VFM65" s="470"/>
      <c r="VFN65" s="470"/>
      <c r="VFO65" s="470"/>
      <c r="VFP65" s="470"/>
      <c r="VFQ65" s="470"/>
      <c r="VFR65" s="470"/>
      <c r="VFS65" s="470"/>
      <c r="VFT65" s="470"/>
      <c r="VFU65" s="470"/>
      <c r="VFV65" s="470"/>
      <c r="VFW65" s="470"/>
      <c r="VFX65" s="470"/>
      <c r="VFY65" s="470"/>
      <c r="VFZ65" s="470"/>
      <c r="VGA65" s="470"/>
      <c r="VGB65" s="470"/>
      <c r="VGC65" s="470"/>
      <c r="VGD65" s="470"/>
      <c r="VGE65" s="470"/>
      <c r="VGF65" s="471"/>
      <c r="VGG65" s="469"/>
      <c r="VGH65" s="470"/>
      <c r="VGI65" s="470"/>
      <c r="VGJ65" s="470"/>
      <c r="VGK65" s="470"/>
      <c r="VGL65" s="470"/>
      <c r="VGM65" s="470"/>
      <c r="VGN65" s="470"/>
      <c r="VGO65" s="470"/>
      <c r="VGP65" s="470"/>
      <c r="VGQ65" s="470"/>
      <c r="VGR65" s="470"/>
      <c r="VGS65" s="470"/>
      <c r="VGT65" s="470"/>
      <c r="VGU65" s="470"/>
      <c r="VGV65" s="470"/>
      <c r="VGW65" s="470"/>
      <c r="VGX65" s="470"/>
      <c r="VGY65" s="470"/>
      <c r="VGZ65" s="470"/>
      <c r="VHA65" s="470"/>
      <c r="VHB65" s="470"/>
      <c r="VHC65" s="470"/>
      <c r="VHD65" s="470"/>
      <c r="VHE65" s="470"/>
      <c r="VHF65" s="470"/>
      <c r="VHG65" s="470"/>
      <c r="VHH65" s="470"/>
      <c r="VHI65" s="470"/>
      <c r="VHJ65" s="471"/>
      <c r="VHK65" s="469"/>
      <c r="VHL65" s="470"/>
      <c r="VHM65" s="470"/>
      <c r="VHN65" s="470"/>
      <c r="VHO65" s="470"/>
      <c r="VHP65" s="470"/>
      <c r="VHQ65" s="470"/>
      <c r="VHR65" s="470"/>
      <c r="VHS65" s="470"/>
      <c r="VHT65" s="470"/>
      <c r="VHU65" s="470"/>
      <c r="VHV65" s="470"/>
      <c r="VHW65" s="470"/>
      <c r="VHX65" s="470"/>
      <c r="VHY65" s="470"/>
      <c r="VHZ65" s="470"/>
      <c r="VIA65" s="470"/>
      <c r="VIB65" s="470"/>
      <c r="VIC65" s="470"/>
      <c r="VID65" s="470"/>
      <c r="VIE65" s="470"/>
      <c r="VIF65" s="470"/>
      <c r="VIG65" s="470"/>
      <c r="VIH65" s="470"/>
      <c r="VII65" s="470"/>
      <c r="VIJ65" s="470"/>
      <c r="VIK65" s="470"/>
      <c r="VIL65" s="470"/>
      <c r="VIM65" s="470"/>
      <c r="VIN65" s="471"/>
      <c r="VIO65" s="469"/>
      <c r="VIP65" s="470"/>
      <c r="VIQ65" s="470"/>
      <c r="VIR65" s="470"/>
      <c r="VIS65" s="470"/>
      <c r="VIT65" s="470"/>
      <c r="VIU65" s="470"/>
      <c r="VIV65" s="470"/>
      <c r="VIW65" s="470"/>
      <c r="VIX65" s="470"/>
      <c r="VIY65" s="470"/>
      <c r="VIZ65" s="470"/>
      <c r="VJA65" s="470"/>
      <c r="VJB65" s="470"/>
      <c r="VJC65" s="470"/>
      <c r="VJD65" s="470"/>
      <c r="VJE65" s="470"/>
      <c r="VJF65" s="470"/>
      <c r="VJG65" s="470"/>
      <c r="VJH65" s="470"/>
      <c r="VJI65" s="470"/>
      <c r="VJJ65" s="470"/>
      <c r="VJK65" s="470"/>
      <c r="VJL65" s="470"/>
      <c r="VJM65" s="470"/>
      <c r="VJN65" s="470"/>
      <c r="VJO65" s="470"/>
      <c r="VJP65" s="470"/>
      <c r="VJQ65" s="470"/>
      <c r="VJR65" s="471"/>
      <c r="VJS65" s="469"/>
      <c r="VJT65" s="470"/>
      <c r="VJU65" s="470"/>
      <c r="VJV65" s="470"/>
      <c r="VJW65" s="470"/>
      <c r="VJX65" s="470"/>
      <c r="VJY65" s="470"/>
      <c r="VJZ65" s="470"/>
      <c r="VKA65" s="470"/>
      <c r="VKB65" s="470"/>
      <c r="VKC65" s="470"/>
      <c r="VKD65" s="470"/>
      <c r="VKE65" s="470"/>
      <c r="VKF65" s="470"/>
      <c r="VKG65" s="470"/>
      <c r="VKH65" s="470"/>
      <c r="VKI65" s="470"/>
      <c r="VKJ65" s="470"/>
      <c r="VKK65" s="470"/>
      <c r="VKL65" s="470"/>
      <c r="VKM65" s="470"/>
      <c r="VKN65" s="470"/>
      <c r="VKO65" s="470"/>
      <c r="VKP65" s="470"/>
      <c r="VKQ65" s="470"/>
      <c r="VKR65" s="470"/>
      <c r="VKS65" s="470"/>
      <c r="VKT65" s="470"/>
      <c r="VKU65" s="470"/>
      <c r="VKV65" s="471"/>
      <c r="VKW65" s="469"/>
      <c r="VKX65" s="470"/>
      <c r="VKY65" s="470"/>
      <c r="VKZ65" s="470"/>
      <c r="VLA65" s="470"/>
      <c r="VLB65" s="470"/>
      <c r="VLC65" s="470"/>
      <c r="VLD65" s="470"/>
      <c r="VLE65" s="470"/>
      <c r="VLF65" s="470"/>
      <c r="VLG65" s="470"/>
      <c r="VLH65" s="470"/>
      <c r="VLI65" s="470"/>
      <c r="VLJ65" s="470"/>
      <c r="VLK65" s="470"/>
      <c r="VLL65" s="470"/>
      <c r="VLM65" s="470"/>
      <c r="VLN65" s="470"/>
      <c r="VLO65" s="470"/>
      <c r="VLP65" s="470"/>
      <c r="VLQ65" s="470"/>
      <c r="VLR65" s="470"/>
      <c r="VLS65" s="470"/>
      <c r="VLT65" s="470"/>
      <c r="VLU65" s="470"/>
      <c r="VLV65" s="470"/>
      <c r="VLW65" s="470"/>
      <c r="VLX65" s="470"/>
      <c r="VLY65" s="470"/>
      <c r="VLZ65" s="471"/>
      <c r="VMA65" s="469"/>
      <c r="VMB65" s="470"/>
      <c r="VMC65" s="470"/>
      <c r="VMD65" s="470"/>
      <c r="VME65" s="470"/>
      <c r="VMF65" s="470"/>
      <c r="VMG65" s="470"/>
      <c r="VMH65" s="470"/>
      <c r="VMI65" s="470"/>
      <c r="VMJ65" s="470"/>
      <c r="VMK65" s="470"/>
      <c r="VML65" s="470"/>
      <c r="VMM65" s="470"/>
      <c r="VMN65" s="470"/>
      <c r="VMO65" s="470"/>
      <c r="VMP65" s="470"/>
      <c r="VMQ65" s="470"/>
      <c r="VMR65" s="470"/>
      <c r="VMS65" s="470"/>
      <c r="VMT65" s="470"/>
      <c r="VMU65" s="470"/>
      <c r="VMV65" s="470"/>
      <c r="VMW65" s="470"/>
      <c r="VMX65" s="470"/>
      <c r="VMY65" s="470"/>
      <c r="VMZ65" s="470"/>
      <c r="VNA65" s="470"/>
      <c r="VNB65" s="470"/>
      <c r="VNC65" s="470"/>
      <c r="VND65" s="471"/>
      <c r="VNE65" s="469"/>
      <c r="VNF65" s="470"/>
      <c r="VNG65" s="470"/>
      <c r="VNH65" s="470"/>
      <c r="VNI65" s="470"/>
      <c r="VNJ65" s="470"/>
      <c r="VNK65" s="470"/>
      <c r="VNL65" s="470"/>
      <c r="VNM65" s="470"/>
      <c r="VNN65" s="470"/>
      <c r="VNO65" s="470"/>
      <c r="VNP65" s="470"/>
      <c r="VNQ65" s="470"/>
      <c r="VNR65" s="470"/>
      <c r="VNS65" s="470"/>
      <c r="VNT65" s="470"/>
      <c r="VNU65" s="470"/>
      <c r="VNV65" s="470"/>
      <c r="VNW65" s="470"/>
      <c r="VNX65" s="470"/>
      <c r="VNY65" s="470"/>
      <c r="VNZ65" s="470"/>
      <c r="VOA65" s="470"/>
      <c r="VOB65" s="470"/>
      <c r="VOC65" s="470"/>
      <c r="VOD65" s="470"/>
      <c r="VOE65" s="470"/>
      <c r="VOF65" s="470"/>
      <c r="VOG65" s="470"/>
      <c r="VOH65" s="471"/>
      <c r="VOI65" s="469"/>
      <c r="VOJ65" s="470"/>
      <c r="VOK65" s="470"/>
      <c r="VOL65" s="470"/>
      <c r="VOM65" s="470"/>
      <c r="VON65" s="470"/>
      <c r="VOO65" s="470"/>
      <c r="VOP65" s="470"/>
      <c r="VOQ65" s="470"/>
      <c r="VOR65" s="470"/>
      <c r="VOS65" s="470"/>
      <c r="VOT65" s="470"/>
      <c r="VOU65" s="470"/>
      <c r="VOV65" s="470"/>
      <c r="VOW65" s="470"/>
      <c r="VOX65" s="470"/>
      <c r="VOY65" s="470"/>
      <c r="VOZ65" s="470"/>
      <c r="VPA65" s="470"/>
      <c r="VPB65" s="470"/>
      <c r="VPC65" s="470"/>
      <c r="VPD65" s="470"/>
      <c r="VPE65" s="470"/>
      <c r="VPF65" s="470"/>
      <c r="VPG65" s="470"/>
      <c r="VPH65" s="470"/>
      <c r="VPI65" s="470"/>
      <c r="VPJ65" s="470"/>
      <c r="VPK65" s="470"/>
      <c r="VPL65" s="471"/>
      <c r="VPM65" s="469"/>
      <c r="VPN65" s="470"/>
      <c r="VPO65" s="470"/>
      <c r="VPP65" s="470"/>
      <c r="VPQ65" s="470"/>
      <c r="VPR65" s="470"/>
      <c r="VPS65" s="470"/>
      <c r="VPT65" s="470"/>
      <c r="VPU65" s="470"/>
      <c r="VPV65" s="470"/>
      <c r="VPW65" s="470"/>
      <c r="VPX65" s="470"/>
      <c r="VPY65" s="470"/>
      <c r="VPZ65" s="470"/>
      <c r="VQA65" s="470"/>
      <c r="VQB65" s="470"/>
      <c r="VQC65" s="470"/>
      <c r="VQD65" s="470"/>
      <c r="VQE65" s="470"/>
      <c r="VQF65" s="470"/>
      <c r="VQG65" s="470"/>
      <c r="VQH65" s="470"/>
      <c r="VQI65" s="470"/>
      <c r="VQJ65" s="470"/>
      <c r="VQK65" s="470"/>
      <c r="VQL65" s="470"/>
      <c r="VQM65" s="470"/>
      <c r="VQN65" s="470"/>
      <c r="VQO65" s="470"/>
      <c r="VQP65" s="471"/>
      <c r="VQQ65" s="469"/>
      <c r="VQR65" s="470"/>
      <c r="VQS65" s="470"/>
      <c r="VQT65" s="470"/>
      <c r="VQU65" s="470"/>
      <c r="VQV65" s="470"/>
      <c r="VQW65" s="470"/>
      <c r="VQX65" s="470"/>
      <c r="VQY65" s="470"/>
      <c r="VQZ65" s="470"/>
      <c r="VRA65" s="470"/>
      <c r="VRB65" s="470"/>
      <c r="VRC65" s="470"/>
      <c r="VRD65" s="470"/>
      <c r="VRE65" s="470"/>
      <c r="VRF65" s="470"/>
      <c r="VRG65" s="470"/>
      <c r="VRH65" s="470"/>
      <c r="VRI65" s="470"/>
      <c r="VRJ65" s="470"/>
      <c r="VRK65" s="470"/>
      <c r="VRL65" s="470"/>
      <c r="VRM65" s="470"/>
      <c r="VRN65" s="470"/>
      <c r="VRO65" s="470"/>
      <c r="VRP65" s="470"/>
      <c r="VRQ65" s="470"/>
      <c r="VRR65" s="470"/>
      <c r="VRS65" s="470"/>
      <c r="VRT65" s="471"/>
      <c r="VRU65" s="469"/>
      <c r="VRV65" s="470"/>
      <c r="VRW65" s="470"/>
      <c r="VRX65" s="470"/>
      <c r="VRY65" s="470"/>
      <c r="VRZ65" s="470"/>
      <c r="VSA65" s="470"/>
      <c r="VSB65" s="470"/>
      <c r="VSC65" s="470"/>
      <c r="VSD65" s="470"/>
      <c r="VSE65" s="470"/>
      <c r="VSF65" s="470"/>
      <c r="VSG65" s="470"/>
      <c r="VSH65" s="470"/>
      <c r="VSI65" s="470"/>
      <c r="VSJ65" s="470"/>
      <c r="VSK65" s="470"/>
      <c r="VSL65" s="470"/>
      <c r="VSM65" s="470"/>
      <c r="VSN65" s="470"/>
      <c r="VSO65" s="470"/>
      <c r="VSP65" s="470"/>
      <c r="VSQ65" s="470"/>
      <c r="VSR65" s="470"/>
      <c r="VSS65" s="470"/>
      <c r="VST65" s="470"/>
      <c r="VSU65" s="470"/>
      <c r="VSV65" s="470"/>
      <c r="VSW65" s="470"/>
      <c r="VSX65" s="471"/>
      <c r="VSY65" s="469"/>
      <c r="VSZ65" s="470"/>
      <c r="VTA65" s="470"/>
      <c r="VTB65" s="470"/>
      <c r="VTC65" s="470"/>
      <c r="VTD65" s="470"/>
      <c r="VTE65" s="470"/>
      <c r="VTF65" s="470"/>
      <c r="VTG65" s="470"/>
      <c r="VTH65" s="470"/>
      <c r="VTI65" s="470"/>
      <c r="VTJ65" s="470"/>
      <c r="VTK65" s="470"/>
      <c r="VTL65" s="470"/>
      <c r="VTM65" s="470"/>
      <c r="VTN65" s="470"/>
      <c r="VTO65" s="470"/>
      <c r="VTP65" s="470"/>
      <c r="VTQ65" s="470"/>
      <c r="VTR65" s="470"/>
      <c r="VTS65" s="470"/>
      <c r="VTT65" s="470"/>
      <c r="VTU65" s="470"/>
      <c r="VTV65" s="470"/>
      <c r="VTW65" s="470"/>
      <c r="VTX65" s="470"/>
      <c r="VTY65" s="470"/>
      <c r="VTZ65" s="470"/>
      <c r="VUA65" s="470"/>
      <c r="VUB65" s="471"/>
      <c r="VUC65" s="469"/>
      <c r="VUD65" s="470"/>
      <c r="VUE65" s="470"/>
      <c r="VUF65" s="470"/>
      <c r="VUG65" s="470"/>
      <c r="VUH65" s="470"/>
      <c r="VUI65" s="470"/>
      <c r="VUJ65" s="470"/>
      <c r="VUK65" s="470"/>
      <c r="VUL65" s="470"/>
      <c r="VUM65" s="470"/>
      <c r="VUN65" s="470"/>
      <c r="VUO65" s="470"/>
      <c r="VUP65" s="470"/>
      <c r="VUQ65" s="470"/>
      <c r="VUR65" s="470"/>
      <c r="VUS65" s="470"/>
      <c r="VUT65" s="470"/>
      <c r="VUU65" s="470"/>
      <c r="VUV65" s="470"/>
      <c r="VUW65" s="470"/>
      <c r="VUX65" s="470"/>
      <c r="VUY65" s="470"/>
      <c r="VUZ65" s="470"/>
      <c r="VVA65" s="470"/>
      <c r="VVB65" s="470"/>
      <c r="VVC65" s="470"/>
      <c r="VVD65" s="470"/>
      <c r="VVE65" s="470"/>
      <c r="VVF65" s="471"/>
      <c r="VVG65" s="469"/>
      <c r="VVH65" s="470"/>
      <c r="VVI65" s="470"/>
      <c r="VVJ65" s="470"/>
      <c r="VVK65" s="470"/>
      <c r="VVL65" s="470"/>
      <c r="VVM65" s="470"/>
      <c r="VVN65" s="470"/>
      <c r="VVO65" s="470"/>
      <c r="VVP65" s="470"/>
      <c r="VVQ65" s="470"/>
      <c r="VVR65" s="470"/>
      <c r="VVS65" s="470"/>
      <c r="VVT65" s="470"/>
      <c r="VVU65" s="470"/>
      <c r="VVV65" s="470"/>
      <c r="VVW65" s="470"/>
      <c r="VVX65" s="470"/>
      <c r="VVY65" s="470"/>
      <c r="VVZ65" s="470"/>
      <c r="VWA65" s="470"/>
      <c r="VWB65" s="470"/>
      <c r="VWC65" s="470"/>
      <c r="VWD65" s="470"/>
      <c r="VWE65" s="470"/>
      <c r="VWF65" s="470"/>
      <c r="VWG65" s="470"/>
      <c r="VWH65" s="470"/>
      <c r="VWI65" s="470"/>
      <c r="VWJ65" s="471"/>
      <c r="VWK65" s="469"/>
      <c r="VWL65" s="470"/>
      <c r="VWM65" s="470"/>
      <c r="VWN65" s="470"/>
      <c r="VWO65" s="470"/>
      <c r="VWP65" s="470"/>
      <c r="VWQ65" s="470"/>
      <c r="VWR65" s="470"/>
      <c r="VWS65" s="470"/>
      <c r="VWT65" s="470"/>
      <c r="VWU65" s="470"/>
      <c r="VWV65" s="470"/>
      <c r="VWW65" s="470"/>
      <c r="VWX65" s="470"/>
      <c r="VWY65" s="470"/>
      <c r="VWZ65" s="470"/>
      <c r="VXA65" s="470"/>
      <c r="VXB65" s="470"/>
      <c r="VXC65" s="470"/>
      <c r="VXD65" s="470"/>
      <c r="VXE65" s="470"/>
      <c r="VXF65" s="470"/>
      <c r="VXG65" s="470"/>
      <c r="VXH65" s="470"/>
      <c r="VXI65" s="470"/>
      <c r="VXJ65" s="470"/>
      <c r="VXK65" s="470"/>
      <c r="VXL65" s="470"/>
      <c r="VXM65" s="470"/>
      <c r="VXN65" s="471"/>
      <c r="VXO65" s="469"/>
      <c r="VXP65" s="470"/>
      <c r="VXQ65" s="470"/>
      <c r="VXR65" s="470"/>
      <c r="VXS65" s="470"/>
      <c r="VXT65" s="470"/>
      <c r="VXU65" s="470"/>
      <c r="VXV65" s="470"/>
      <c r="VXW65" s="470"/>
      <c r="VXX65" s="470"/>
      <c r="VXY65" s="470"/>
      <c r="VXZ65" s="470"/>
      <c r="VYA65" s="470"/>
      <c r="VYB65" s="470"/>
      <c r="VYC65" s="470"/>
      <c r="VYD65" s="470"/>
      <c r="VYE65" s="470"/>
      <c r="VYF65" s="470"/>
      <c r="VYG65" s="470"/>
      <c r="VYH65" s="470"/>
      <c r="VYI65" s="470"/>
      <c r="VYJ65" s="470"/>
      <c r="VYK65" s="470"/>
      <c r="VYL65" s="470"/>
      <c r="VYM65" s="470"/>
      <c r="VYN65" s="470"/>
      <c r="VYO65" s="470"/>
      <c r="VYP65" s="470"/>
      <c r="VYQ65" s="470"/>
      <c r="VYR65" s="471"/>
      <c r="VYS65" s="469"/>
      <c r="VYT65" s="470"/>
      <c r="VYU65" s="470"/>
      <c r="VYV65" s="470"/>
      <c r="VYW65" s="470"/>
      <c r="VYX65" s="470"/>
      <c r="VYY65" s="470"/>
      <c r="VYZ65" s="470"/>
      <c r="VZA65" s="470"/>
      <c r="VZB65" s="470"/>
      <c r="VZC65" s="470"/>
      <c r="VZD65" s="470"/>
      <c r="VZE65" s="470"/>
      <c r="VZF65" s="470"/>
      <c r="VZG65" s="470"/>
      <c r="VZH65" s="470"/>
      <c r="VZI65" s="470"/>
      <c r="VZJ65" s="470"/>
      <c r="VZK65" s="470"/>
      <c r="VZL65" s="470"/>
      <c r="VZM65" s="470"/>
      <c r="VZN65" s="470"/>
      <c r="VZO65" s="470"/>
      <c r="VZP65" s="470"/>
      <c r="VZQ65" s="470"/>
      <c r="VZR65" s="470"/>
      <c r="VZS65" s="470"/>
      <c r="VZT65" s="470"/>
      <c r="VZU65" s="470"/>
      <c r="VZV65" s="471"/>
      <c r="VZW65" s="469"/>
      <c r="VZX65" s="470"/>
      <c r="VZY65" s="470"/>
      <c r="VZZ65" s="470"/>
      <c r="WAA65" s="470"/>
      <c r="WAB65" s="470"/>
      <c r="WAC65" s="470"/>
      <c r="WAD65" s="470"/>
      <c r="WAE65" s="470"/>
      <c r="WAF65" s="470"/>
      <c r="WAG65" s="470"/>
      <c r="WAH65" s="470"/>
      <c r="WAI65" s="470"/>
      <c r="WAJ65" s="470"/>
      <c r="WAK65" s="470"/>
      <c r="WAL65" s="470"/>
      <c r="WAM65" s="470"/>
      <c r="WAN65" s="470"/>
      <c r="WAO65" s="470"/>
      <c r="WAP65" s="470"/>
      <c r="WAQ65" s="470"/>
      <c r="WAR65" s="470"/>
      <c r="WAS65" s="470"/>
      <c r="WAT65" s="470"/>
      <c r="WAU65" s="470"/>
      <c r="WAV65" s="470"/>
      <c r="WAW65" s="470"/>
      <c r="WAX65" s="470"/>
      <c r="WAY65" s="470"/>
      <c r="WAZ65" s="471"/>
      <c r="WBA65" s="469"/>
      <c r="WBB65" s="470"/>
      <c r="WBC65" s="470"/>
      <c r="WBD65" s="470"/>
      <c r="WBE65" s="470"/>
      <c r="WBF65" s="470"/>
      <c r="WBG65" s="470"/>
      <c r="WBH65" s="470"/>
      <c r="WBI65" s="470"/>
      <c r="WBJ65" s="470"/>
      <c r="WBK65" s="470"/>
      <c r="WBL65" s="470"/>
      <c r="WBM65" s="470"/>
      <c r="WBN65" s="470"/>
      <c r="WBO65" s="470"/>
      <c r="WBP65" s="470"/>
      <c r="WBQ65" s="470"/>
      <c r="WBR65" s="470"/>
      <c r="WBS65" s="470"/>
      <c r="WBT65" s="470"/>
      <c r="WBU65" s="470"/>
      <c r="WBV65" s="470"/>
      <c r="WBW65" s="470"/>
      <c r="WBX65" s="470"/>
      <c r="WBY65" s="470"/>
      <c r="WBZ65" s="470"/>
      <c r="WCA65" s="470"/>
      <c r="WCB65" s="470"/>
      <c r="WCC65" s="470"/>
      <c r="WCD65" s="471"/>
      <c r="WCE65" s="469"/>
      <c r="WCF65" s="470"/>
      <c r="WCG65" s="470"/>
      <c r="WCH65" s="470"/>
      <c r="WCI65" s="470"/>
      <c r="WCJ65" s="470"/>
      <c r="WCK65" s="470"/>
      <c r="WCL65" s="470"/>
      <c r="WCM65" s="470"/>
      <c r="WCN65" s="470"/>
      <c r="WCO65" s="470"/>
      <c r="WCP65" s="470"/>
      <c r="WCQ65" s="470"/>
      <c r="WCR65" s="470"/>
      <c r="WCS65" s="470"/>
      <c r="WCT65" s="470"/>
      <c r="WCU65" s="470"/>
      <c r="WCV65" s="470"/>
      <c r="WCW65" s="470"/>
      <c r="WCX65" s="470"/>
      <c r="WCY65" s="470"/>
      <c r="WCZ65" s="470"/>
      <c r="WDA65" s="470"/>
      <c r="WDB65" s="470"/>
      <c r="WDC65" s="470"/>
      <c r="WDD65" s="470"/>
      <c r="WDE65" s="470"/>
      <c r="WDF65" s="470"/>
      <c r="WDG65" s="470"/>
      <c r="WDH65" s="471"/>
      <c r="WDI65" s="469"/>
      <c r="WDJ65" s="470"/>
      <c r="WDK65" s="470"/>
      <c r="WDL65" s="470"/>
      <c r="WDM65" s="470"/>
      <c r="WDN65" s="470"/>
      <c r="WDO65" s="470"/>
      <c r="WDP65" s="470"/>
      <c r="WDQ65" s="470"/>
      <c r="WDR65" s="470"/>
      <c r="WDS65" s="470"/>
      <c r="WDT65" s="470"/>
      <c r="WDU65" s="470"/>
      <c r="WDV65" s="470"/>
      <c r="WDW65" s="470"/>
      <c r="WDX65" s="470"/>
      <c r="WDY65" s="470"/>
      <c r="WDZ65" s="470"/>
      <c r="WEA65" s="470"/>
      <c r="WEB65" s="470"/>
      <c r="WEC65" s="470"/>
      <c r="WED65" s="470"/>
      <c r="WEE65" s="470"/>
      <c r="WEF65" s="470"/>
      <c r="WEG65" s="470"/>
      <c r="WEH65" s="470"/>
      <c r="WEI65" s="470"/>
      <c r="WEJ65" s="470"/>
      <c r="WEK65" s="470"/>
      <c r="WEL65" s="471"/>
      <c r="WEM65" s="469"/>
      <c r="WEN65" s="470"/>
      <c r="WEO65" s="470"/>
      <c r="WEP65" s="470"/>
      <c r="WEQ65" s="470"/>
      <c r="WER65" s="470"/>
      <c r="WES65" s="470"/>
      <c r="WET65" s="470"/>
      <c r="WEU65" s="470"/>
      <c r="WEV65" s="470"/>
      <c r="WEW65" s="470"/>
      <c r="WEX65" s="470"/>
      <c r="WEY65" s="470"/>
      <c r="WEZ65" s="470"/>
      <c r="WFA65" s="470"/>
      <c r="WFB65" s="470"/>
      <c r="WFC65" s="470"/>
      <c r="WFD65" s="470"/>
      <c r="WFE65" s="470"/>
      <c r="WFF65" s="470"/>
      <c r="WFG65" s="470"/>
      <c r="WFH65" s="470"/>
      <c r="WFI65" s="470"/>
      <c r="WFJ65" s="470"/>
      <c r="WFK65" s="470"/>
      <c r="WFL65" s="470"/>
      <c r="WFM65" s="470"/>
      <c r="WFN65" s="470"/>
      <c r="WFO65" s="470"/>
      <c r="WFP65" s="471"/>
      <c r="WFQ65" s="469"/>
      <c r="WFR65" s="470"/>
      <c r="WFS65" s="470"/>
      <c r="WFT65" s="470"/>
      <c r="WFU65" s="470"/>
      <c r="WFV65" s="470"/>
      <c r="WFW65" s="470"/>
      <c r="WFX65" s="470"/>
      <c r="WFY65" s="470"/>
      <c r="WFZ65" s="470"/>
      <c r="WGA65" s="470"/>
      <c r="WGB65" s="470"/>
      <c r="WGC65" s="470"/>
      <c r="WGD65" s="470"/>
      <c r="WGE65" s="470"/>
      <c r="WGF65" s="470"/>
      <c r="WGG65" s="470"/>
      <c r="WGH65" s="470"/>
      <c r="WGI65" s="470"/>
      <c r="WGJ65" s="470"/>
      <c r="WGK65" s="470"/>
      <c r="WGL65" s="470"/>
      <c r="WGM65" s="470"/>
      <c r="WGN65" s="470"/>
      <c r="WGO65" s="470"/>
      <c r="WGP65" s="470"/>
      <c r="WGQ65" s="470"/>
      <c r="WGR65" s="470"/>
      <c r="WGS65" s="470"/>
      <c r="WGT65" s="471"/>
      <c r="WGU65" s="469"/>
      <c r="WGV65" s="470"/>
      <c r="WGW65" s="470"/>
      <c r="WGX65" s="470"/>
      <c r="WGY65" s="470"/>
      <c r="WGZ65" s="470"/>
      <c r="WHA65" s="470"/>
      <c r="WHB65" s="470"/>
      <c r="WHC65" s="470"/>
      <c r="WHD65" s="470"/>
      <c r="WHE65" s="470"/>
      <c r="WHF65" s="470"/>
      <c r="WHG65" s="470"/>
      <c r="WHH65" s="470"/>
      <c r="WHI65" s="470"/>
      <c r="WHJ65" s="470"/>
      <c r="WHK65" s="470"/>
      <c r="WHL65" s="470"/>
      <c r="WHM65" s="470"/>
      <c r="WHN65" s="470"/>
      <c r="WHO65" s="470"/>
      <c r="WHP65" s="470"/>
      <c r="WHQ65" s="470"/>
      <c r="WHR65" s="470"/>
      <c r="WHS65" s="470"/>
      <c r="WHT65" s="470"/>
      <c r="WHU65" s="470"/>
      <c r="WHV65" s="470"/>
      <c r="WHW65" s="470"/>
      <c r="WHX65" s="471"/>
      <c r="WHY65" s="469"/>
      <c r="WHZ65" s="470"/>
      <c r="WIA65" s="470"/>
      <c r="WIB65" s="470"/>
      <c r="WIC65" s="470"/>
      <c r="WID65" s="470"/>
      <c r="WIE65" s="470"/>
      <c r="WIF65" s="470"/>
      <c r="WIG65" s="470"/>
      <c r="WIH65" s="470"/>
      <c r="WII65" s="470"/>
      <c r="WIJ65" s="470"/>
      <c r="WIK65" s="470"/>
      <c r="WIL65" s="470"/>
      <c r="WIM65" s="470"/>
      <c r="WIN65" s="470"/>
      <c r="WIO65" s="470"/>
      <c r="WIP65" s="470"/>
      <c r="WIQ65" s="470"/>
      <c r="WIR65" s="470"/>
      <c r="WIS65" s="470"/>
      <c r="WIT65" s="470"/>
      <c r="WIU65" s="470"/>
      <c r="WIV65" s="470"/>
      <c r="WIW65" s="470"/>
      <c r="WIX65" s="470"/>
      <c r="WIY65" s="470"/>
      <c r="WIZ65" s="470"/>
      <c r="WJA65" s="470"/>
      <c r="WJB65" s="471"/>
      <c r="WJC65" s="469"/>
      <c r="WJD65" s="470"/>
      <c r="WJE65" s="470"/>
      <c r="WJF65" s="470"/>
      <c r="WJG65" s="470"/>
      <c r="WJH65" s="470"/>
      <c r="WJI65" s="470"/>
      <c r="WJJ65" s="470"/>
      <c r="WJK65" s="470"/>
      <c r="WJL65" s="470"/>
      <c r="WJM65" s="470"/>
      <c r="WJN65" s="470"/>
      <c r="WJO65" s="470"/>
      <c r="WJP65" s="470"/>
      <c r="WJQ65" s="470"/>
      <c r="WJR65" s="470"/>
      <c r="WJS65" s="470"/>
      <c r="WJT65" s="470"/>
      <c r="WJU65" s="470"/>
      <c r="WJV65" s="470"/>
      <c r="WJW65" s="470"/>
      <c r="WJX65" s="470"/>
      <c r="WJY65" s="470"/>
      <c r="WJZ65" s="470"/>
      <c r="WKA65" s="470"/>
      <c r="WKB65" s="470"/>
      <c r="WKC65" s="470"/>
      <c r="WKD65" s="470"/>
      <c r="WKE65" s="470"/>
      <c r="WKF65" s="471"/>
      <c r="WKG65" s="469"/>
      <c r="WKH65" s="470"/>
      <c r="WKI65" s="470"/>
      <c r="WKJ65" s="470"/>
      <c r="WKK65" s="470"/>
      <c r="WKL65" s="470"/>
      <c r="WKM65" s="470"/>
      <c r="WKN65" s="470"/>
      <c r="WKO65" s="470"/>
      <c r="WKP65" s="470"/>
      <c r="WKQ65" s="470"/>
      <c r="WKR65" s="470"/>
      <c r="WKS65" s="470"/>
      <c r="WKT65" s="470"/>
      <c r="WKU65" s="470"/>
      <c r="WKV65" s="470"/>
      <c r="WKW65" s="470"/>
      <c r="WKX65" s="470"/>
      <c r="WKY65" s="470"/>
      <c r="WKZ65" s="470"/>
      <c r="WLA65" s="470"/>
      <c r="WLB65" s="470"/>
      <c r="WLC65" s="470"/>
      <c r="WLD65" s="470"/>
      <c r="WLE65" s="470"/>
      <c r="WLF65" s="470"/>
      <c r="WLG65" s="470"/>
      <c r="WLH65" s="470"/>
      <c r="WLI65" s="470"/>
      <c r="WLJ65" s="471"/>
      <c r="WLK65" s="469"/>
      <c r="WLL65" s="470"/>
      <c r="WLM65" s="470"/>
      <c r="WLN65" s="470"/>
      <c r="WLO65" s="470"/>
      <c r="WLP65" s="470"/>
      <c r="WLQ65" s="470"/>
      <c r="WLR65" s="470"/>
      <c r="WLS65" s="470"/>
      <c r="WLT65" s="470"/>
      <c r="WLU65" s="470"/>
      <c r="WLV65" s="470"/>
      <c r="WLW65" s="470"/>
      <c r="WLX65" s="470"/>
      <c r="WLY65" s="470"/>
      <c r="WLZ65" s="470"/>
      <c r="WMA65" s="470"/>
      <c r="WMB65" s="470"/>
      <c r="WMC65" s="470"/>
      <c r="WMD65" s="470"/>
      <c r="WME65" s="470"/>
      <c r="WMF65" s="470"/>
      <c r="WMG65" s="470"/>
      <c r="WMH65" s="470"/>
      <c r="WMI65" s="470"/>
      <c r="WMJ65" s="470"/>
      <c r="WMK65" s="470"/>
      <c r="WML65" s="470"/>
      <c r="WMM65" s="470"/>
      <c r="WMN65" s="471"/>
      <c r="WMO65" s="469"/>
      <c r="WMP65" s="470"/>
      <c r="WMQ65" s="470"/>
      <c r="WMR65" s="470"/>
      <c r="WMS65" s="470"/>
      <c r="WMT65" s="470"/>
      <c r="WMU65" s="470"/>
      <c r="WMV65" s="470"/>
      <c r="WMW65" s="470"/>
      <c r="WMX65" s="470"/>
      <c r="WMY65" s="470"/>
      <c r="WMZ65" s="470"/>
      <c r="WNA65" s="470"/>
      <c r="WNB65" s="470"/>
      <c r="WNC65" s="470"/>
      <c r="WND65" s="470"/>
      <c r="WNE65" s="470"/>
      <c r="WNF65" s="470"/>
      <c r="WNG65" s="470"/>
      <c r="WNH65" s="470"/>
      <c r="WNI65" s="470"/>
      <c r="WNJ65" s="470"/>
      <c r="WNK65" s="470"/>
      <c r="WNL65" s="470"/>
      <c r="WNM65" s="470"/>
      <c r="WNN65" s="470"/>
      <c r="WNO65" s="470"/>
      <c r="WNP65" s="470"/>
      <c r="WNQ65" s="470"/>
      <c r="WNR65" s="471"/>
      <c r="WNS65" s="469"/>
      <c r="WNT65" s="470"/>
      <c r="WNU65" s="470"/>
      <c r="WNV65" s="470"/>
      <c r="WNW65" s="470"/>
      <c r="WNX65" s="470"/>
      <c r="WNY65" s="470"/>
      <c r="WNZ65" s="470"/>
      <c r="WOA65" s="470"/>
      <c r="WOB65" s="470"/>
      <c r="WOC65" s="470"/>
      <c r="WOD65" s="470"/>
      <c r="WOE65" s="470"/>
      <c r="WOF65" s="470"/>
      <c r="WOG65" s="470"/>
      <c r="WOH65" s="470"/>
      <c r="WOI65" s="470"/>
      <c r="WOJ65" s="470"/>
      <c r="WOK65" s="470"/>
      <c r="WOL65" s="470"/>
      <c r="WOM65" s="470"/>
      <c r="WON65" s="470"/>
      <c r="WOO65" s="470"/>
      <c r="WOP65" s="470"/>
      <c r="WOQ65" s="470"/>
      <c r="WOR65" s="470"/>
      <c r="WOS65" s="470"/>
      <c r="WOT65" s="470"/>
      <c r="WOU65" s="470"/>
      <c r="WOV65" s="471"/>
      <c r="WOW65" s="469"/>
      <c r="WOX65" s="470"/>
      <c r="WOY65" s="470"/>
      <c r="WOZ65" s="470"/>
      <c r="WPA65" s="470"/>
      <c r="WPB65" s="470"/>
      <c r="WPC65" s="470"/>
      <c r="WPD65" s="470"/>
      <c r="WPE65" s="470"/>
      <c r="WPF65" s="470"/>
      <c r="WPG65" s="470"/>
      <c r="WPH65" s="470"/>
      <c r="WPI65" s="470"/>
      <c r="WPJ65" s="470"/>
      <c r="WPK65" s="470"/>
      <c r="WPL65" s="470"/>
      <c r="WPM65" s="470"/>
      <c r="WPN65" s="470"/>
      <c r="WPO65" s="470"/>
      <c r="WPP65" s="470"/>
      <c r="WPQ65" s="470"/>
      <c r="WPR65" s="470"/>
      <c r="WPS65" s="470"/>
      <c r="WPT65" s="470"/>
      <c r="WPU65" s="470"/>
      <c r="WPV65" s="470"/>
      <c r="WPW65" s="470"/>
      <c r="WPX65" s="470"/>
      <c r="WPY65" s="470"/>
      <c r="WPZ65" s="471"/>
      <c r="WQA65" s="469"/>
      <c r="WQB65" s="470"/>
      <c r="WQC65" s="470"/>
      <c r="WQD65" s="470"/>
      <c r="WQE65" s="470"/>
      <c r="WQF65" s="470"/>
      <c r="WQG65" s="470"/>
      <c r="WQH65" s="470"/>
      <c r="WQI65" s="470"/>
      <c r="WQJ65" s="470"/>
      <c r="WQK65" s="470"/>
      <c r="WQL65" s="470"/>
      <c r="WQM65" s="470"/>
      <c r="WQN65" s="470"/>
      <c r="WQO65" s="470"/>
      <c r="WQP65" s="470"/>
      <c r="WQQ65" s="470"/>
      <c r="WQR65" s="470"/>
      <c r="WQS65" s="470"/>
      <c r="WQT65" s="470"/>
      <c r="WQU65" s="470"/>
      <c r="WQV65" s="470"/>
      <c r="WQW65" s="470"/>
      <c r="WQX65" s="470"/>
      <c r="WQY65" s="470"/>
      <c r="WQZ65" s="470"/>
      <c r="WRA65" s="470"/>
      <c r="WRB65" s="470"/>
      <c r="WRC65" s="470"/>
      <c r="WRD65" s="471"/>
      <c r="WRE65" s="469"/>
      <c r="WRF65" s="470"/>
      <c r="WRG65" s="470"/>
      <c r="WRH65" s="470"/>
      <c r="WRI65" s="470"/>
      <c r="WRJ65" s="470"/>
      <c r="WRK65" s="470"/>
      <c r="WRL65" s="470"/>
      <c r="WRM65" s="470"/>
      <c r="WRN65" s="470"/>
      <c r="WRO65" s="470"/>
      <c r="WRP65" s="470"/>
      <c r="WRQ65" s="470"/>
      <c r="WRR65" s="470"/>
      <c r="WRS65" s="470"/>
      <c r="WRT65" s="470"/>
      <c r="WRU65" s="470"/>
      <c r="WRV65" s="470"/>
      <c r="WRW65" s="470"/>
      <c r="WRX65" s="470"/>
      <c r="WRY65" s="470"/>
      <c r="WRZ65" s="470"/>
      <c r="WSA65" s="470"/>
      <c r="WSB65" s="470"/>
      <c r="WSC65" s="470"/>
      <c r="WSD65" s="470"/>
      <c r="WSE65" s="470"/>
      <c r="WSF65" s="470"/>
      <c r="WSG65" s="470"/>
      <c r="WSH65" s="471"/>
      <c r="WSI65" s="469"/>
      <c r="WSJ65" s="470"/>
      <c r="WSK65" s="470"/>
      <c r="WSL65" s="470"/>
      <c r="WSM65" s="470"/>
      <c r="WSN65" s="470"/>
      <c r="WSO65" s="470"/>
      <c r="WSP65" s="470"/>
      <c r="WSQ65" s="470"/>
      <c r="WSR65" s="470"/>
      <c r="WSS65" s="470"/>
      <c r="WST65" s="470"/>
      <c r="WSU65" s="470"/>
      <c r="WSV65" s="470"/>
      <c r="WSW65" s="470"/>
      <c r="WSX65" s="470"/>
      <c r="WSY65" s="470"/>
      <c r="WSZ65" s="470"/>
      <c r="WTA65" s="470"/>
      <c r="WTB65" s="470"/>
      <c r="WTC65" s="470"/>
      <c r="WTD65" s="470"/>
      <c r="WTE65" s="470"/>
      <c r="WTF65" s="470"/>
      <c r="WTG65" s="470"/>
      <c r="WTH65" s="470"/>
      <c r="WTI65" s="470"/>
      <c r="WTJ65" s="470"/>
      <c r="WTK65" s="470"/>
      <c r="WTL65" s="471"/>
      <c r="WTM65" s="469"/>
      <c r="WTN65" s="470"/>
      <c r="WTO65" s="470"/>
      <c r="WTP65" s="470"/>
      <c r="WTQ65" s="470"/>
      <c r="WTR65" s="470"/>
      <c r="WTS65" s="470"/>
      <c r="WTT65" s="470"/>
      <c r="WTU65" s="470"/>
      <c r="WTV65" s="470"/>
      <c r="WTW65" s="470"/>
      <c r="WTX65" s="470"/>
      <c r="WTY65" s="470"/>
      <c r="WTZ65" s="470"/>
      <c r="WUA65" s="470"/>
      <c r="WUB65" s="470"/>
      <c r="WUC65" s="470"/>
      <c r="WUD65" s="470"/>
      <c r="WUE65" s="470"/>
      <c r="WUF65" s="470"/>
      <c r="WUG65" s="470"/>
      <c r="WUH65" s="470"/>
      <c r="WUI65" s="470"/>
      <c r="WUJ65" s="470"/>
      <c r="WUK65" s="470"/>
      <c r="WUL65" s="470"/>
      <c r="WUM65" s="470"/>
      <c r="WUN65" s="470"/>
      <c r="WUO65" s="470"/>
      <c r="WUP65" s="471"/>
      <c r="WUQ65" s="469"/>
      <c r="WUR65" s="470"/>
      <c r="WUS65" s="470"/>
      <c r="WUT65" s="470"/>
      <c r="WUU65" s="470"/>
      <c r="WUV65" s="470"/>
      <c r="WUW65" s="470"/>
      <c r="WUX65" s="470"/>
      <c r="WUY65" s="470"/>
      <c r="WUZ65" s="470"/>
      <c r="WVA65" s="470"/>
      <c r="WVB65" s="470"/>
      <c r="WVC65" s="470"/>
      <c r="WVD65" s="470"/>
      <c r="WVE65" s="470"/>
      <c r="WVF65" s="470"/>
      <c r="WVG65" s="470"/>
      <c r="WVH65" s="470"/>
      <c r="WVI65" s="470"/>
      <c r="WVJ65" s="470"/>
      <c r="WVK65" s="470"/>
      <c r="WVL65" s="470"/>
      <c r="WVM65" s="470"/>
      <c r="WVN65" s="470"/>
      <c r="WVO65" s="470"/>
      <c r="WVP65" s="470"/>
      <c r="WVQ65" s="470"/>
      <c r="WVR65" s="470"/>
      <c r="WVS65" s="470"/>
      <c r="WVT65" s="471"/>
      <c r="WVU65" s="469"/>
      <c r="WVV65" s="470"/>
      <c r="WVW65" s="470"/>
      <c r="WVX65" s="470"/>
      <c r="WVY65" s="470"/>
      <c r="WVZ65" s="470"/>
      <c r="WWA65" s="470"/>
      <c r="WWB65" s="470"/>
      <c r="WWC65" s="470"/>
      <c r="WWD65" s="470"/>
      <c r="WWE65" s="470"/>
      <c r="WWF65" s="470"/>
      <c r="WWG65" s="470"/>
      <c r="WWH65" s="470"/>
      <c r="WWI65" s="470"/>
      <c r="WWJ65" s="470"/>
      <c r="WWK65" s="470"/>
      <c r="WWL65" s="470"/>
      <c r="WWM65" s="470"/>
      <c r="WWN65" s="470"/>
      <c r="WWO65" s="470"/>
      <c r="WWP65" s="470"/>
      <c r="WWQ65" s="470"/>
      <c r="WWR65" s="470"/>
      <c r="WWS65" s="470"/>
      <c r="WWT65" s="470"/>
      <c r="WWU65" s="470"/>
      <c r="WWV65" s="470"/>
      <c r="WWW65" s="470"/>
      <c r="WWX65" s="471"/>
      <c r="WWY65" s="469"/>
      <c r="WWZ65" s="470"/>
      <c r="WXA65" s="470"/>
      <c r="WXB65" s="470"/>
      <c r="WXC65" s="470"/>
      <c r="WXD65" s="470"/>
      <c r="WXE65" s="470"/>
      <c r="WXF65" s="470"/>
      <c r="WXG65" s="470"/>
      <c r="WXH65" s="470"/>
      <c r="WXI65" s="470"/>
      <c r="WXJ65" s="470"/>
      <c r="WXK65" s="470"/>
      <c r="WXL65" s="470"/>
      <c r="WXM65" s="470"/>
      <c r="WXN65" s="470"/>
      <c r="WXO65" s="470"/>
      <c r="WXP65" s="470"/>
      <c r="WXQ65" s="470"/>
      <c r="WXR65" s="470"/>
      <c r="WXS65" s="470"/>
      <c r="WXT65" s="470"/>
      <c r="WXU65" s="470"/>
      <c r="WXV65" s="470"/>
      <c r="WXW65" s="470"/>
      <c r="WXX65" s="470"/>
      <c r="WXY65" s="470"/>
      <c r="WXZ65" s="470"/>
      <c r="WYA65" s="470"/>
      <c r="WYB65" s="471"/>
      <c r="WYC65" s="469"/>
      <c r="WYD65" s="470"/>
      <c r="WYE65" s="470"/>
      <c r="WYF65" s="470"/>
      <c r="WYG65" s="470"/>
      <c r="WYH65" s="470"/>
      <c r="WYI65" s="470"/>
      <c r="WYJ65" s="470"/>
      <c r="WYK65" s="470"/>
      <c r="WYL65" s="470"/>
      <c r="WYM65" s="470"/>
      <c r="WYN65" s="470"/>
      <c r="WYO65" s="470"/>
      <c r="WYP65" s="470"/>
      <c r="WYQ65" s="470"/>
      <c r="WYR65" s="470"/>
      <c r="WYS65" s="470"/>
      <c r="WYT65" s="470"/>
      <c r="WYU65" s="470"/>
      <c r="WYV65" s="470"/>
      <c r="WYW65" s="470"/>
      <c r="WYX65" s="470"/>
      <c r="WYY65" s="470"/>
      <c r="WYZ65" s="470"/>
      <c r="WZA65" s="470"/>
      <c r="WZB65" s="470"/>
      <c r="WZC65" s="470"/>
      <c r="WZD65" s="470"/>
      <c r="WZE65" s="470"/>
      <c r="WZF65" s="471"/>
      <c r="WZG65" s="469"/>
      <c r="WZH65" s="470"/>
      <c r="WZI65" s="470"/>
      <c r="WZJ65" s="470"/>
      <c r="WZK65" s="470"/>
      <c r="WZL65" s="470"/>
      <c r="WZM65" s="470"/>
      <c r="WZN65" s="470"/>
      <c r="WZO65" s="470"/>
      <c r="WZP65" s="470"/>
      <c r="WZQ65" s="470"/>
      <c r="WZR65" s="470"/>
      <c r="WZS65" s="470"/>
      <c r="WZT65" s="470"/>
      <c r="WZU65" s="470"/>
      <c r="WZV65" s="470"/>
      <c r="WZW65" s="470"/>
      <c r="WZX65" s="470"/>
      <c r="WZY65" s="470"/>
      <c r="WZZ65" s="470"/>
      <c r="XAA65" s="470"/>
      <c r="XAB65" s="470"/>
      <c r="XAC65" s="470"/>
      <c r="XAD65" s="470"/>
      <c r="XAE65" s="470"/>
      <c r="XAF65" s="470"/>
      <c r="XAG65" s="470"/>
      <c r="XAH65" s="470"/>
      <c r="XAI65" s="470"/>
      <c r="XAJ65" s="471"/>
      <c r="XAK65" s="469"/>
      <c r="XAL65" s="470"/>
      <c r="XAM65" s="470"/>
      <c r="XAN65" s="470"/>
      <c r="XAO65" s="470"/>
      <c r="XAP65" s="470"/>
      <c r="XAQ65" s="470"/>
      <c r="XAR65" s="470"/>
      <c r="XAS65" s="470"/>
      <c r="XAT65" s="470"/>
      <c r="XAU65" s="470"/>
      <c r="XAV65" s="470"/>
      <c r="XAW65" s="470"/>
      <c r="XAX65" s="470"/>
      <c r="XAY65" s="470"/>
      <c r="XAZ65" s="470"/>
      <c r="XBA65" s="470"/>
      <c r="XBB65" s="470"/>
      <c r="XBC65" s="470"/>
      <c r="XBD65" s="470"/>
      <c r="XBE65" s="470"/>
      <c r="XBF65" s="470"/>
      <c r="XBG65" s="470"/>
      <c r="XBH65" s="470"/>
      <c r="XBI65" s="470"/>
      <c r="XBJ65" s="470"/>
      <c r="XBK65" s="470"/>
      <c r="XBL65" s="470"/>
      <c r="XBM65" s="470"/>
      <c r="XBN65" s="471"/>
      <c r="XBO65" s="469"/>
      <c r="XBP65" s="470"/>
      <c r="XBQ65" s="470"/>
      <c r="XBR65" s="470"/>
      <c r="XBS65" s="470"/>
      <c r="XBT65" s="470"/>
      <c r="XBU65" s="470"/>
      <c r="XBV65" s="470"/>
      <c r="XBW65" s="470"/>
      <c r="XBX65" s="470"/>
      <c r="XBY65" s="470"/>
      <c r="XBZ65" s="470"/>
      <c r="XCA65" s="470"/>
      <c r="XCB65" s="470"/>
      <c r="XCC65" s="470"/>
      <c r="XCD65" s="470"/>
      <c r="XCE65" s="470"/>
      <c r="XCF65" s="470"/>
      <c r="XCG65" s="470"/>
      <c r="XCH65" s="470"/>
      <c r="XCI65" s="470"/>
      <c r="XCJ65" s="470"/>
      <c r="XCK65" s="470"/>
      <c r="XCL65" s="470"/>
      <c r="XCM65" s="470"/>
      <c r="XCN65" s="470"/>
      <c r="XCO65" s="470"/>
      <c r="XCP65" s="470"/>
      <c r="XCQ65" s="470"/>
      <c r="XCR65" s="471"/>
      <c r="XCS65" s="469"/>
      <c r="XCT65" s="470"/>
      <c r="XCU65" s="470"/>
      <c r="XCV65" s="470"/>
      <c r="XCW65" s="470"/>
      <c r="XCX65" s="470"/>
      <c r="XCY65" s="470"/>
      <c r="XCZ65" s="470"/>
      <c r="XDA65" s="470"/>
      <c r="XDB65" s="470"/>
      <c r="XDC65" s="470"/>
      <c r="XDD65" s="470"/>
      <c r="XDE65" s="470"/>
      <c r="XDF65" s="470"/>
      <c r="XDG65" s="470"/>
      <c r="XDH65" s="470"/>
      <c r="XDI65" s="470"/>
      <c r="XDJ65" s="470"/>
      <c r="XDK65" s="470"/>
      <c r="XDL65" s="470"/>
      <c r="XDM65" s="470"/>
      <c r="XDN65" s="470"/>
      <c r="XDO65" s="470"/>
      <c r="XDP65" s="470"/>
      <c r="XDQ65" s="470"/>
      <c r="XDR65" s="470"/>
      <c r="XDS65" s="470"/>
      <c r="XDT65" s="470"/>
      <c r="XDU65" s="470"/>
      <c r="XDV65" s="471"/>
      <c r="XDW65" s="469"/>
      <c r="XDX65" s="470"/>
      <c r="XDY65" s="470"/>
      <c r="XDZ65" s="470"/>
      <c r="XEA65" s="470"/>
      <c r="XEB65" s="470"/>
      <c r="XEC65" s="470"/>
      <c r="XED65" s="470"/>
      <c r="XEE65" s="470"/>
      <c r="XEF65" s="470"/>
      <c r="XEG65" s="470"/>
      <c r="XEH65" s="470"/>
      <c r="XEI65" s="470"/>
      <c r="XEJ65" s="470"/>
      <c r="XEK65" s="470"/>
      <c r="XEL65" s="470"/>
      <c r="XEM65" s="470"/>
      <c r="XEN65" s="470"/>
      <c r="XEO65" s="470"/>
      <c r="XEP65" s="470"/>
      <c r="XEQ65" s="470"/>
      <c r="XER65" s="470"/>
      <c r="XES65" s="470"/>
      <c r="XET65" s="470"/>
      <c r="XEU65" s="470"/>
      <c r="XEV65" s="470"/>
      <c r="XEW65" s="470"/>
      <c r="XEX65" s="470"/>
      <c r="XEY65" s="470"/>
      <c r="XEZ65" s="471"/>
      <c r="XFA65" s="469"/>
      <c r="XFB65" s="469"/>
      <c r="XFC65" s="469"/>
      <c r="XFD65" s="469"/>
    </row>
    <row r="66" spans="1:16384" s="116" customFormat="1" ht="44.4" customHeight="1" x14ac:dyDescent="0.25">
      <c r="A66" s="490">
        <v>32</v>
      </c>
      <c r="B66" s="168" t="s">
        <v>974</v>
      </c>
      <c r="C66" s="169"/>
      <c r="D66" s="494" t="s">
        <v>178</v>
      </c>
      <c r="E66" s="467">
        <f>F66+G66+H66+I66</f>
        <v>76067</v>
      </c>
      <c r="F66" s="465">
        <v>761</v>
      </c>
      <c r="G66" s="465">
        <v>75306</v>
      </c>
      <c r="H66" s="465"/>
      <c r="I66" s="465"/>
      <c r="J66" s="467">
        <f>K66+L66+M66+N66</f>
        <v>76067</v>
      </c>
      <c r="K66" s="465">
        <v>761</v>
      </c>
      <c r="L66" s="465">
        <v>75306</v>
      </c>
      <c r="M66" s="465"/>
      <c r="N66" s="465"/>
      <c r="O66" s="467">
        <f>P66+Q66+R66+S66</f>
        <v>76067</v>
      </c>
      <c r="P66" s="465">
        <v>761</v>
      </c>
      <c r="Q66" s="465">
        <v>75306</v>
      </c>
      <c r="R66" s="465"/>
      <c r="S66" s="465"/>
      <c r="T66" s="467">
        <f>U66+V66</f>
        <v>75511</v>
      </c>
      <c r="U66" s="465">
        <v>755</v>
      </c>
      <c r="V66" s="465">
        <v>74756</v>
      </c>
      <c r="W66" s="465"/>
      <c r="X66" s="465"/>
      <c r="Y66" s="467">
        <f>Z66+AA66</f>
        <v>62986</v>
      </c>
      <c r="Z66" s="465">
        <v>630</v>
      </c>
      <c r="AA66" s="465">
        <v>62356</v>
      </c>
      <c r="AB66" s="465"/>
      <c r="AC66" s="465"/>
      <c r="AD66" s="467">
        <f>E66+J66+O66+T66+Y66</f>
        <v>366698</v>
      </c>
      <c r="AE66" s="5"/>
      <c r="AF66" s="5"/>
      <c r="AG66" s="5"/>
      <c r="AH66" s="5"/>
    </row>
    <row r="67" spans="1:16384" s="116" customFormat="1" ht="272.39999999999998" customHeight="1" x14ac:dyDescent="0.25">
      <c r="A67" s="491"/>
      <c r="B67" s="170" t="s">
        <v>973</v>
      </c>
      <c r="C67" s="372" t="s">
        <v>179</v>
      </c>
      <c r="D67" s="495"/>
      <c r="E67" s="468"/>
      <c r="F67" s="466"/>
      <c r="G67" s="466"/>
      <c r="H67" s="466"/>
      <c r="I67" s="466"/>
      <c r="J67" s="468"/>
      <c r="K67" s="466"/>
      <c r="L67" s="466"/>
      <c r="M67" s="466"/>
      <c r="N67" s="466"/>
      <c r="O67" s="468"/>
      <c r="P67" s="466"/>
      <c r="Q67" s="466"/>
      <c r="R67" s="466"/>
      <c r="S67" s="466"/>
      <c r="T67" s="468"/>
      <c r="U67" s="466"/>
      <c r="V67" s="466"/>
      <c r="W67" s="466"/>
      <c r="X67" s="466"/>
      <c r="Y67" s="468"/>
      <c r="Z67" s="466"/>
      <c r="AA67" s="466"/>
      <c r="AB67" s="466"/>
      <c r="AC67" s="466"/>
      <c r="AD67" s="468"/>
      <c r="AE67" s="199">
        <f>F66+K66+P66+U66+Z66</f>
        <v>3668</v>
      </c>
      <c r="AF67" s="199">
        <f>G67+L67+Q67+V66+AA66</f>
        <v>137112</v>
      </c>
      <c r="AG67" s="199">
        <f>H67+M67+R67+W67+AB67</f>
        <v>0</v>
      </c>
      <c r="AH67" s="199">
        <f>I67+N67+S67+X67+AC67</f>
        <v>0</v>
      </c>
    </row>
    <row r="68" spans="1:16384" s="205" customFormat="1" ht="42" customHeight="1" x14ac:dyDescent="0.3">
      <c r="A68" s="477" t="s">
        <v>177</v>
      </c>
      <c r="B68" s="505"/>
      <c r="C68" s="506"/>
      <c r="D68" s="40"/>
      <c r="E68" s="165">
        <f>SUM(E60:E66)</f>
        <v>316674</v>
      </c>
      <c r="F68" s="165">
        <f>SUM(F60:F66)</f>
        <v>241256</v>
      </c>
      <c r="G68" s="165">
        <f>SUM(G60:G67)</f>
        <v>75306</v>
      </c>
      <c r="H68" s="165">
        <f>SUM(H60:H67)</f>
        <v>0</v>
      </c>
      <c r="I68" s="165">
        <f>SUM(I60:I67)</f>
        <v>112</v>
      </c>
      <c r="J68" s="165">
        <f>SUM(J60:J66)</f>
        <v>317340</v>
      </c>
      <c r="K68" s="165">
        <f>SUM(K60:K66)</f>
        <v>241922</v>
      </c>
      <c r="L68" s="165">
        <f>SUM(L60:L67)</f>
        <v>75306</v>
      </c>
      <c r="M68" s="165">
        <f>SUM(M60:M67)</f>
        <v>0</v>
      </c>
      <c r="N68" s="165">
        <f>SUM(N60:N67)</f>
        <v>112</v>
      </c>
      <c r="O68" s="165">
        <f>SUM(O60:O66)</f>
        <v>317340</v>
      </c>
      <c r="P68" s="165">
        <f>SUM(P60:P66)</f>
        <v>241922</v>
      </c>
      <c r="Q68" s="165">
        <f>SUM(Q60:Q67)</f>
        <v>75306</v>
      </c>
      <c r="R68" s="165">
        <f>SUM(R60:R67)</f>
        <v>0</v>
      </c>
      <c r="S68" s="165">
        <f>SUM(S60:S67)</f>
        <v>112</v>
      </c>
      <c r="T68" s="165">
        <f>SUM(T60:T66)</f>
        <v>316784</v>
      </c>
      <c r="U68" s="165">
        <f>SUM(U60:U66)</f>
        <v>241916</v>
      </c>
      <c r="V68" s="165">
        <f>SUM(V60:V66)</f>
        <v>74756</v>
      </c>
      <c r="W68" s="165">
        <f>SUM(W60:W67)</f>
        <v>0</v>
      </c>
      <c r="X68" s="165">
        <f>SUM(X60:X67)</f>
        <v>112</v>
      </c>
      <c r="Y68" s="165">
        <f>SUM(Y60:Y66)</f>
        <v>304259</v>
      </c>
      <c r="Z68" s="165">
        <f>SUM(Z60:Z66)</f>
        <v>241791</v>
      </c>
      <c r="AA68" s="165">
        <f>SUM(AA60:AA66)</f>
        <v>62356</v>
      </c>
      <c r="AB68" s="165">
        <f>SUM(AB60:AB67)</f>
        <v>0</v>
      </c>
      <c r="AC68" s="165">
        <f>SUM(AC60:AC67)</f>
        <v>112</v>
      </c>
      <c r="AD68" s="165">
        <f>SUM(AD60:AD66)</f>
        <v>1572397</v>
      </c>
      <c r="AE68" s="199">
        <f>F68+K68+P68+U68+Z68</f>
        <v>1208807</v>
      </c>
      <c r="AF68" s="199">
        <f>G68+L68+Q68+V68+AA68</f>
        <v>363030</v>
      </c>
      <c r="AG68" s="199">
        <f>H68+M68+R68+W68+AB68</f>
        <v>0</v>
      </c>
      <c r="AH68" s="199">
        <f>I68+N68+S68+X68+AC68</f>
        <v>560</v>
      </c>
    </row>
    <row r="69" spans="1:16384" s="206" customFormat="1" ht="42" customHeight="1" x14ac:dyDescent="0.3">
      <c r="A69" s="477" t="s">
        <v>795</v>
      </c>
      <c r="B69" s="478"/>
      <c r="C69" s="479"/>
      <c r="D69" s="56"/>
      <c r="E69" s="165">
        <f t="shared" ref="E69:AH69" si="24">E29+E68+E44+E55</f>
        <v>2204081</v>
      </c>
      <c r="F69" s="165">
        <f t="shared" si="24"/>
        <v>820223</v>
      </c>
      <c r="G69" s="165">
        <f t="shared" si="24"/>
        <v>1256953</v>
      </c>
      <c r="H69" s="165">
        <f t="shared" si="24"/>
        <v>126793</v>
      </c>
      <c r="I69" s="165">
        <f t="shared" si="24"/>
        <v>112</v>
      </c>
      <c r="J69" s="165">
        <f t="shared" si="24"/>
        <v>1749404</v>
      </c>
      <c r="K69" s="165">
        <f t="shared" si="24"/>
        <v>838215</v>
      </c>
      <c r="L69" s="165">
        <f t="shared" si="24"/>
        <v>872834</v>
      </c>
      <c r="M69" s="165">
        <f t="shared" si="24"/>
        <v>38243</v>
      </c>
      <c r="N69" s="165">
        <f t="shared" si="24"/>
        <v>112</v>
      </c>
      <c r="O69" s="165">
        <f t="shared" si="24"/>
        <v>1608561</v>
      </c>
      <c r="P69" s="165">
        <f t="shared" si="24"/>
        <v>833143</v>
      </c>
      <c r="Q69" s="165">
        <f t="shared" si="24"/>
        <v>775306</v>
      </c>
      <c r="R69" s="165">
        <f t="shared" si="24"/>
        <v>0</v>
      </c>
      <c r="S69" s="165">
        <f t="shared" si="24"/>
        <v>112</v>
      </c>
      <c r="T69" s="165">
        <f t="shared" si="24"/>
        <v>3906259</v>
      </c>
      <c r="U69" s="165">
        <f t="shared" si="24"/>
        <v>1094311</v>
      </c>
      <c r="V69" s="165">
        <f t="shared" si="24"/>
        <v>2811836</v>
      </c>
      <c r="W69" s="165">
        <f t="shared" si="24"/>
        <v>0</v>
      </c>
      <c r="X69" s="165">
        <f t="shared" si="24"/>
        <v>112</v>
      </c>
      <c r="Y69" s="165">
        <f t="shared" si="24"/>
        <v>3336540</v>
      </c>
      <c r="Z69" s="165">
        <f t="shared" si="24"/>
        <v>955002</v>
      </c>
      <c r="AA69" s="165">
        <f t="shared" si="24"/>
        <v>2381426</v>
      </c>
      <c r="AB69" s="165">
        <f t="shared" si="24"/>
        <v>0</v>
      </c>
      <c r="AC69" s="165">
        <f t="shared" si="24"/>
        <v>112</v>
      </c>
      <c r="AD69" s="165">
        <f t="shared" si="24"/>
        <v>12804845</v>
      </c>
      <c r="AE69" s="199">
        <f t="shared" si="24"/>
        <v>4540894</v>
      </c>
      <c r="AF69" s="199">
        <f t="shared" si="24"/>
        <v>8098355</v>
      </c>
      <c r="AG69" s="199">
        <f t="shared" si="24"/>
        <v>165036</v>
      </c>
      <c r="AH69" s="199">
        <f t="shared" si="24"/>
        <v>560</v>
      </c>
    </row>
    <row r="70" spans="1:16384" s="38" customFormat="1" ht="42" customHeight="1" x14ac:dyDescent="0.25">
      <c r="A70" s="5"/>
      <c r="B70" s="57"/>
      <c r="C70" s="58"/>
      <c r="D70" s="5"/>
      <c r="E70" s="1"/>
      <c r="F70" s="5"/>
      <c r="G70" s="5"/>
      <c r="H70" s="5"/>
      <c r="I70" s="5"/>
      <c r="J70" s="1"/>
      <c r="K70" s="5"/>
      <c r="L70" s="5"/>
      <c r="M70" s="394"/>
      <c r="N70" s="394"/>
      <c r="O70" s="395"/>
      <c r="P70" s="394"/>
      <c r="Q70" s="394"/>
      <c r="R70" s="5"/>
      <c r="S70" s="5"/>
      <c r="T70" s="1"/>
      <c r="U70" s="5"/>
      <c r="V70" s="5"/>
      <c r="W70" s="5"/>
      <c r="X70" s="5"/>
      <c r="Y70" s="1"/>
      <c r="Z70" s="5"/>
      <c r="AA70" s="5"/>
      <c r="AB70" s="5"/>
      <c r="AC70" s="5"/>
      <c r="AD70" s="116"/>
      <c r="AE70" s="359"/>
      <c r="AF70" s="369"/>
      <c r="AG70" s="369"/>
      <c r="AH70" s="369"/>
    </row>
    <row r="71" spans="1:16384" s="38" customFormat="1" ht="42" customHeight="1" x14ac:dyDescent="0.25">
      <c r="A71" s="5"/>
      <c r="B71" s="57"/>
      <c r="C71" s="58"/>
      <c r="D71" s="5"/>
      <c r="E71" s="1"/>
      <c r="F71" s="5"/>
      <c r="G71" s="5"/>
      <c r="H71" s="5"/>
      <c r="I71" s="5"/>
      <c r="J71" s="1"/>
      <c r="K71" s="5"/>
      <c r="L71" s="5"/>
      <c r="M71" s="5"/>
      <c r="N71" s="5"/>
      <c r="O71" s="117"/>
      <c r="P71" s="118"/>
      <c r="Q71" s="118"/>
      <c r="R71" s="118"/>
      <c r="S71" s="118"/>
      <c r="T71" s="1"/>
      <c r="U71" s="5"/>
      <c r="V71" s="5"/>
      <c r="W71" s="5"/>
      <c r="X71" s="5"/>
      <c r="Y71" s="1"/>
      <c r="Z71" s="5"/>
      <c r="AA71" s="5"/>
      <c r="AB71" s="5"/>
      <c r="AC71" s="5"/>
      <c r="AD71" s="116"/>
      <c r="AE71" s="359"/>
      <c r="AF71" s="369"/>
      <c r="AG71" s="369"/>
      <c r="AH71" s="369"/>
    </row>
    <row r="72" spans="1:16384" s="38" customFormat="1" ht="42" customHeight="1" x14ac:dyDescent="0.25">
      <c r="A72" s="5"/>
      <c r="B72" s="57"/>
      <c r="C72" s="58"/>
      <c r="D72" s="5"/>
      <c r="E72" s="374">
        <v>1582198</v>
      </c>
      <c r="F72" s="374">
        <v>882085.99927999999</v>
      </c>
      <c r="G72" s="374">
        <v>700000.00072000001</v>
      </c>
      <c r="H72" s="374">
        <v>0</v>
      </c>
      <c r="I72" s="374">
        <v>112</v>
      </c>
      <c r="J72" s="374">
        <v>1478029.064</v>
      </c>
      <c r="K72" s="374">
        <v>777917.04799999995</v>
      </c>
      <c r="L72" s="374">
        <v>700000.01599999995</v>
      </c>
      <c r="M72" s="374">
        <v>0</v>
      </c>
      <c r="N72" s="374">
        <v>112</v>
      </c>
      <c r="O72" s="374">
        <v>2230525.8200000003</v>
      </c>
      <c r="P72" s="374">
        <v>905097.86655999999</v>
      </c>
      <c r="Q72" s="374">
        <v>1325315.9534400001</v>
      </c>
      <c r="R72" s="374">
        <v>0</v>
      </c>
      <c r="S72" s="374">
        <v>112</v>
      </c>
      <c r="T72" s="374">
        <v>2571643.4099999997</v>
      </c>
      <c r="U72" s="374">
        <v>903918.89167999988</v>
      </c>
      <c r="V72" s="374">
        <v>1667612.5183199998</v>
      </c>
      <c r="W72" s="374">
        <v>0</v>
      </c>
      <c r="X72" s="374">
        <v>112</v>
      </c>
      <c r="Y72" s="374">
        <v>2778383.9999999995</v>
      </c>
      <c r="Z72" s="374">
        <v>910832.89439999999</v>
      </c>
      <c r="AA72" s="374">
        <v>1867439.1055999999</v>
      </c>
      <c r="AB72" s="374">
        <v>0</v>
      </c>
      <c r="AC72" s="374">
        <v>112</v>
      </c>
      <c r="AD72" s="374">
        <v>10640780.294</v>
      </c>
      <c r="AE72" s="374">
        <v>4379852.6999200005</v>
      </c>
      <c r="AF72" s="374">
        <v>6260367.5940799993</v>
      </c>
      <c r="AG72" s="374">
        <v>0</v>
      </c>
      <c r="AH72" s="373">
        <v>560</v>
      </c>
    </row>
    <row r="73" spans="1:16384" s="38" customFormat="1" ht="42" customHeight="1" x14ac:dyDescent="0.25">
      <c r="A73" s="5"/>
      <c r="B73" s="57"/>
      <c r="C73" s="58"/>
      <c r="D73" s="5"/>
      <c r="E73" s="374">
        <f>E69-E72</f>
        <v>621883</v>
      </c>
      <c r="F73" s="374">
        <f t="shared" ref="F73:AD73" si="25">F69-F72</f>
        <v>-61862.999279999989</v>
      </c>
      <c r="G73" s="374">
        <f t="shared" si="25"/>
        <v>556952.99927999999</v>
      </c>
      <c r="H73" s="374">
        <f t="shared" si="25"/>
        <v>126793</v>
      </c>
      <c r="I73" s="374">
        <f t="shared" si="25"/>
        <v>0</v>
      </c>
      <c r="J73" s="374">
        <f t="shared" si="25"/>
        <v>271374.93599999999</v>
      </c>
      <c r="K73" s="374">
        <f t="shared" si="25"/>
        <v>60297.952000000048</v>
      </c>
      <c r="L73" s="374">
        <f t="shared" si="25"/>
        <v>172833.98400000005</v>
      </c>
      <c r="M73" s="374">
        <f t="shared" si="25"/>
        <v>38243</v>
      </c>
      <c r="N73" s="374">
        <f t="shared" si="25"/>
        <v>0</v>
      </c>
      <c r="O73" s="374">
        <f t="shared" si="25"/>
        <v>-621964.8200000003</v>
      </c>
      <c r="P73" s="374">
        <f t="shared" si="25"/>
        <v>-71954.866559999995</v>
      </c>
      <c r="Q73" s="374">
        <f t="shared" si="25"/>
        <v>-550009.95344000007</v>
      </c>
      <c r="R73" s="374">
        <f t="shared" si="25"/>
        <v>0</v>
      </c>
      <c r="S73" s="374">
        <f t="shared" si="25"/>
        <v>0</v>
      </c>
      <c r="T73" s="374">
        <f t="shared" si="25"/>
        <v>1334615.5900000003</v>
      </c>
      <c r="U73" s="374">
        <f t="shared" si="25"/>
        <v>190392.10832000012</v>
      </c>
      <c r="V73" s="374">
        <f t="shared" si="25"/>
        <v>1144223.4816800002</v>
      </c>
      <c r="W73" s="374">
        <f t="shared" si="25"/>
        <v>0</v>
      </c>
      <c r="X73" s="374">
        <f t="shared" si="25"/>
        <v>0</v>
      </c>
      <c r="Y73" s="374">
        <f t="shared" si="25"/>
        <v>558156.00000000047</v>
      </c>
      <c r="Z73" s="374">
        <f t="shared" si="25"/>
        <v>44169.10560000001</v>
      </c>
      <c r="AA73" s="374">
        <f t="shared" si="25"/>
        <v>513986.89440000011</v>
      </c>
      <c r="AB73" s="374">
        <f t="shared" si="25"/>
        <v>0</v>
      </c>
      <c r="AC73" s="374">
        <f t="shared" si="25"/>
        <v>0</v>
      </c>
      <c r="AD73" s="374">
        <f t="shared" si="25"/>
        <v>2164064.7060000002</v>
      </c>
      <c r="AE73" s="374">
        <f t="shared" ref="AE73" si="26">AE69-AE72</f>
        <v>161041.30007999949</v>
      </c>
      <c r="AF73" s="374">
        <f t="shared" ref="AF73" si="27">AF69-AF72</f>
        <v>1837987.4059200007</v>
      </c>
      <c r="AG73" s="374">
        <f t="shared" ref="AG73" si="28">AG69-AG72</f>
        <v>165036</v>
      </c>
      <c r="AH73" s="374">
        <f t="shared" ref="AH73" si="29">AH69-AH72</f>
        <v>0</v>
      </c>
    </row>
    <row r="74" spans="1:16384" s="38" customFormat="1" ht="42" customHeight="1" x14ac:dyDescent="0.25">
      <c r="A74" s="5"/>
      <c r="B74" s="57"/>
      <c r="C74" s="58"/>
      <c r="D74" s="5"/>
      <c r="E74" s="1"/>
      <c r="F74" s="5"/>
      <c r="G74" s="5"/>
      <c r="H74" s="5"/>
      <c r="I74" s="5"/>
      <c r="J74" s="1"/>
      <c r="K74" s="5"/>
      <c r="L74" s="5"/>
      <c r="M74" s="5"/>
      <c r="N74" s="5"/>
      <c r="O74" s="1"/>
      <c r="P74" s="5"/>
      <c r="Q74" s="5"/>
      <c r="R74" s="5"/>
      <c r="S74" s="5"/>
      <c r="T74" s="1"/>
      <c r="U74" s="5"/>
      <c r="V74" s="5"/>
      <c r="W74" s="5"/>
      <c r="X74" s="5"/>
      <c r="Y74" s="1"/>
      <c r="Z74" s="5"/>
      <c r="AA74" s="5"/>
      <c r="AB74" s="5"/>
      <c r="AC74" s="5"/>
      <c r="AD74" s="116"/>
      <c r="AE74" s="359"/>
      <c r="AF74" s="369"/>
      <c r="AG74" s="369"/>
      <c r="AH74" s="369"/>
    </row>
    <row r="75" spans="1:16384" s="38" customFormat="1" ht="42" customHeight="1" x14ac:dyDescent="0.25">
      <c r="A75" s="5"/>
      <c r="B75" s="57"/>
      <c r="C75" s="58"/>
      <c r="D75" s="5"/>
      <c r="E75" s="1"/>
      <c r="F75" s="5"/>
      <c r="G75" s="5"/>
      <c r="H75" s="5"/>
      <c r="I75" s="5"/>
      <c r="J75" s="1"/>
      <c r="K75" s="5"/>
      <c r="L75" s="5"/>
      <c r="M75" s="5"/>
      <c r="N75" s="5"/>
      <c r="O75" s="1"/>
      <c r="P75" s="5"/>
      <c r="Q75" s="5"/>
      <c r="R75" s="5"/>
      <c r="S75" s="5"/>
      <c r="T75" s="1"/>
      <c r="U75" s="5"/>
      <c r="V75" s="5"/>
      <c r="W75" s="5"/>
      <c r="X75" s="5"/>
      <c r="Y75" s="1"/>
      <c r="Z75" s="5"/>
      <c r="AA75" s="5"/>
      <c r="AB75" s="5"/>
      <c r="AC75" s="5"/>
      <c r="AD75" s="116"/>
      <c r="AE75" s="359"/>
      <c r="AF75" s="369"/>
      <c r="AG75" s="369"/>
      <c r="AH75" s="369"/>
    </row>
    <row r="76" spans="1:16384" s="38" customFormat="1" ht="42" customHeight="1" x14ac:dyDescent="0.25">
      <c r="A76" s="5"/>
      <c r="B76" s="57"/>
      <c r="C76" s="58"/>
      <c r="D76" s="5"/>
      <c r="E76" s="1"/>
      <c r="F76" s="5"/>
      <c r="G76" s="5"/>
      <c r="H76" s="5"/>
      <c r="I76" s="5"/>
      <c r="J76" s="1"/>
      <c r="K76" s="5"/>
      <c r="L76" s="5"/>
      <c r="M76" s="5"/>
      <c r="N76" s="5"/>
      <c r="O76" s="1"/>
      <c r="P76" s="5"/>
      <c r="Q76" s="5"/>
      <c r="R76" s="5"/>
      <c r="S76" s="5"/>
      <c r="T76" s="1"/>
      <c r="U76" s="5"/>
      <c r="V76" s="5"/>
      <c r="W76" s="5"/>
      <c r="X76" s="5"/>
      <c r="Y76" s="1"/>
      <c r="Z76" s="5"/>
      <c r="AA76" s="5"/>
      <c r="AB76" s="5"/>
      <c r="AC76" s="5"/>
      <c r="AD76" s="116"/>
      <c r="AE76" s="359"/>
      <c r="AF76" s="369"/>
      <c r="AG76" s="369"/>
      <c r="AH76" s="369"/>
    </row>
    <row r="77" spans="1:16384" s="38" customFormat="1" ht="42" customHeight="1" x14ac:dyDescent="0.25">
      <c r="A77" s="5"/>
      <c r="B77" s="57"/>
      <c r="C77" s="58"/>
      <c r="D77" s="5"/>
      <c r="E77" s="1"/>
      <c r="F77" s="5"/>
      <c r="G77" s="5"/>
      <c r="H77" s="5"/>
      <c r="I77" s="5"/>
      <c r="J77" s="1"/>
      <c r="K77" s="5"/>
      <c r="L77" s="5"/>
      <c r="M77" s="5"/>
      <c r="N77" s="5"/>
      <c r="O77" s="1"/>
      <c r="P77" s="5"/>
      <c r="Q77" s="5"/>
      <c r="R77" s="5"/>
      <c r="S77" s="5"/>
      <c r="T77" s="1"/>
      <c r="U77" s="5"/>
      <c r="V77" s="5"/>
      <c r="W77" s="5"/>
      <c r="X77" s="5"/>
      <c r="Y77" s="1"/>
      <c r="Z77" s="5"/>
      <c r="AA77" s="5"/>
      <c r="AB77" s="5"/>
      <c r="AC77" s="5"/>
      <c r="AD77" s="116"/>
      <c r="AE77" s="359"/>
      <c r="AF77" s="369"/>
      <c r="AG77" s="369"/>
      <c r="AH77" s="369"/>
    </row>
    <row r="78" spans="1:16384" s="38" customFormat="1" ht="42" customHeight="1" x14ac:dyDescent="0.25">
      <c r="A78" s="5"/>
      <c r="B78" s="57"/>
      <c r="C78" s="58"/>
      <c r="D78" s="5"/>
      <c r="E78" s="1"/>
      <c r="F78" s="5"/>
      <c r="G78" s="5"/>
      <c r="H78" s="5"/>
      <c r="I78" s="5"/>
      <c r="J78" s="1"/>
      <c r="K78" s="5"/>
      <c r="L78" s="5"/>
      <c r="M78" s="5"/>
      <c r="N78" s="5"/>
      <c r="O78" s="1"/>
      <c r="P78" s="5"/>
      <c r="Q78" s="5"/>
      <c r="R78" s="5"/>
      <c r="S78" s="5"/>
      <c r="T78" s="1"/>
      <c r="U78" s="5"/>
      <c r="V78" s="5"/>
      <c r="W78" s="5"/>
      <c r="X78" s="5"/>
      <c r="Y78" s="1"/>
      <c r="Z78" s="5"/>
      <c r="AA78" s="5"/>
      <c r="AB78" s="5"/>
      <c r="AC78" s="5"/>
      <c r="AD78" s="116"/>
      <c r="AE78" s="359"/>
      <c r="AF78" s="369"/>
      <c r="AG78" s="369"/>
      <c r="AH78" s="369"/>
    </row>
    <row r="79" spans="1:16384" s="38" customFormat="1" ht="42" customHeight="1" x14ac:dyDescent="0.25">
      <c r="A79" s="5"/>
      <c r="B79" s="57"/>
      <c r="C79" s="58"/>
      <c r="D79" s="5"/>
      <c r="E79" s="1"/>
      <c r="F79" s="5"/>
      <c r="G79" s="5"/>
      <c r="H79" s="5"/>
      <c r="I79" s="5"/>
      <c r="J79" s="1"/>
      <c r="K79" s="5"/>
      <c r="L79" s="5"/>
      <c r="M79" s="5"/>
      <c r="N79" s="5"/>
      <c r="O79" s="1"/>
      <c r="P79" s="5"/>
      <c r="Q79" s="5"/>
      <c r="R79" s="5"/>
      <c r="S79" s="5"/>
      <c r="T79" s="1"/>
      <c r="U79" s="5"/>
      <c r="V79" s="5"/>
      <c r="W79" s="5"/>
      <c r="X79" s="5"/>
      <c r="Y79" s="1"/>
      <c r="Z79" s="5"/>
      <c r="AA79" s="5"/>
      <c r="AB79" s="5"/>
      <c r="AC79" s="5"/>
      <c r="AD79" s="116"/>
      <c r="AE79" s="359"/>
      <c r="AF79" s="369"/>
      <c r="AG79" s="369"/>
      <c r="AH79" s="369"/>
    </row>
    <row r="80" spans="1:16384" s="38" customFormat="1" ht="42" customHeight="1" x14ac:dyDescent="0.25">
      <c r="A80" s="5"/>
      <c r="B80" s="57"/>
      <c r="C80" s="58"/>
      <c r="D80" s="5"/>
      <c r="E80" s="1"/>
      <c r="F80" s="5"/>
      <c r="G80" s="5"/>
      <c r="H80" s="5"/>
      <c r="I80" s="5"/>
      <c r="J80" s="1"/>
      <c r="K80" s="5"/>
      <c r="L80" s="5"/>
      <c r="M80" s="5"/>
      <c r="N80" s="5"/>
      <c r="O80" s="1"/>
      <c r="P80" s="5"/>
      <c r="Q80" s="5"/>
      <c r="R80" s="5"/>
      <c r="S80" s="5"/>
      <c r="T80" s="1"/>
      <c r="U80" s="5"/>
      <c r="V80" s="5"/>
      <c r="W80" s="5"/>
      <c r="X80" s="5"/>
      <c r="Y80" s="1"/>
      <c r="Z80" s="5"/>
      <c r="AA80" s="5"/>
      <c r="AB80" s="5"/>
      <c r="AC80" s="5"/>
      <c r="AD80" s="116"/>
      <c r="AE80" s="359"/>
      <c r="AF80" s="369"/>
      <c r="AG80" s="369"/>
      <c r="AH80" s="369"/>
    </row>
    <row r="81" spans="1:34" s="38" customFormat="1" ht="42" customHeight="1" x14ac:dyDescent="0.25">
      <c r="A81" s="5"/>
      <c r="B81" s="57"/>
      <c r="C81" s="58"/>
      <c r="D81" s="5"/>
      <c r="E81" s="1"/>
      <c r="F81" s="5"/>
      <c r="G81" s="5"/>
      <c r="H81" s="5"/>
      <c r="I81" s="5"/>
      <c r="J81" s="1"/>
      <c r="K81" s="5"/>
      <c r="L81" s="5"/>
      <c r="M81" s="5"/>
      <c r="N81" s="5"/>
      <c r="O81" s="1"/>
      <c r="P81" s="5"/>
      <c r="Q81" s="5"/>
      <c r="R81" s="5"/>
      <c r="S81" s="5"/>
      <c r="T81" s="1"/>
      <c r="U81" s="5"/>
      <c r="V81" s="5"/>
      <c r="W81" s="5"/>
      <c r="X81" s="5"/>
      <c r="Y81" s="1"/>
      <c r="Z81" s="5"/>
      <c r="AA81" s="5"/>
      <c r="AB81" s="5"/>
      <c r="AC81" s="5"/>
      <c r="AD81" s="116"/>
      <c r="AE81" s="359"/>
      <c r="AF81" s="369"/>
      <c r="AG81" s="369"/>
      <c r="AH81" s="369"/>
    </row>
    <row r="82" spans="1:34" s="38" customFormat="1" ht="42" customHeight="1" x14ac:dyDescent="0.25">
      <c r="A82" s="5"/>
      <c r="B82" s="57"/>
      <c r="C82" s="58"/>
      <c r="D82" s="5"/>
      <c r="E82" s="1"/>
      <c r="F82" s="5"/>
      <c r="G82" s="5"/>
      <c r="H82" s="5"/>
      <c r="I82" s="5"/>
      <c r="J82" s="1"/>
      <c r="K82" s="5"/>
      <c r="L82" s="5"/>
      <c r="M82" s="5"/>
      <c r="N82" s="5"/>
      <c r="O82" s="1"/>
      <c r="P82" s="5"/>
      <c r="Q82" s="5"/>
      <c r="R82" s="5"/>
      <c r="S82" s="5"/>
      <c r="T82" s="1"/>
      <c r="U82" s="5"/>
      <c r="V82" s="5"/>
      <c r="W82" s="5"/>
      <c r="X82" s="5"/>
      <c r="Y82" s="1"/>
      <c r="Z82" s="5"/>
      <c r="AA82" s="5"/>
      <c r="AB82" s="5"/>
      <c r="AC82" s="5"/>
      <c r="AD82" s="116"/>
      <c r="AE82" s="359"/>
      <c r="AF82" s="369"/>
      <c r="AG82" s="369"/>
      <c r="AH82" s="369"/>
    </row>
    <row r="83" spans="1:34" s="38" customFormat="1" ht="42" customHeight="1" x14ac:dyDescent="0.25">
      <c r="A83" s="5"/>
      <c r="B83" s="57"/>
      <c r="C83" s="58"/>
      <c r="D83" s="5"/>
      <c r="E83" s="1"/>
      <c r="F83" s="5"/>
      <c r="G83" s="5"/>
      <c r="H83" s="5"/>
      <c r="I83" s="5"/>
      <c r="J83" s="1"/>
      <c r="K83" s="5"/>
      <c r="L83" s="5"/>
      <c r="M83" s="5"/>
      <c r="N83" s="5"/>
      <c r="O83" s="1"/>
      <c r="P83" s="5"/>
      <c r="Q83" s="5"/>
      <c r="R83" s="5"/>
      <c r="S83" s="5"/>
      <c r="T83" s="1"/>
      <c r="U83" s="5"/>
      <c r="V83" s="5"/>
      <c r="W83" s="5"/>
      <c r="X83" s="5"/>
      <c r="Y83" s="1"/>
      <c r="Z83" s="5"/>
      <c r="AA83" s="5"/>
      <c r="AB83" s="5"/>
      <c r="AC83" s="5"/>
      <c r="AD83" s="116"/>
      <c r="AE83" s="359"/>
      <c r="AF83" s="369"/>
      <c r="AG83" s="369"/>
      <c r="AH83" s="369"/>
    </row>
    <row r="84" spans="1:34" s="38" customFormat="1" ht="42" customHeight="1" x14ac:dyDescent="0.25">
      <c r="A84" s="5"/>
      <c r="B84" s="57"/>
      <c r="C84" s="58"/>
      <c r="D84" s="5"/>
      <c r="E84" s="1"/>
      <c r="F84" s="5"/>
      <c r="G84" s="5"/>
      <c r="H84" s="5"/>
      <c r="I84" s="5"/>
      <c r="J84" s="1"/>
      <c r="K84" s="5"/>
      <c r="L84" s="5"/>
      <c r="M84" s="5"/>
      <c r="N84" s="5"/>
      <c r="O84" s="1"/>
      <c r="P84" s="5"/>
      <c r="Q84" s="5"/>
      <c r="R84" s="5"/>
      <c r="S84" s="5"/>
      <c r="T84" s="1"/>
      <c r="U84" s="5"/>
      <c r="V84" s="5"/>
      <c r="W84" s="5"/>
      <c r="X84" s="5"/>
      <c r="Y84" s="1"/>
      <c r="Z84" s="5"/>
      <c r="AA84" s="5"/>
      <c r="AB84" s="5"/>
      <c r="AC84" s="5"/>
      <c r="AD84" s="116"/>
      <c r="AE84" s="359"/>
      <c r="AF84" s="369"/>
      <c r="AG84" s="369"/>
      <c r="AH84" s="369"/>
    </row>
    <row r="85" spans="1:34" s="38" customFormat="1" ht="42" customHeight="1" x14ac:dyDescent="0.25">
      <c r="A85" s="5"/>
      <c r="B85" s="57"/>
      <c r="C85" s="58"/>
      <c r="D85" s="5"/>
      <c r="E85" s="1"/>
      <c r="F85" s="5"/>
      <c r="G85" s="5"/>
      <c r="H85" s="5"/>
      <c r="I85" s="5"/>
      <c r="J85" s="1"/>
      <c r="K85" s="5"/>
      <c r="L85" s="5"/>
      <c r="M85" s="5"/>
      <c r="N85" s="5"/>
      <c r="O85" s="1"/>
      <c r="P85" s="5"/>
      <c r="Q85" s="5"/>
      <c r="R85" s="5"/>
      <c r="S85" s="5"/>
      <c r="T85" s="1"/>
      <c r="U85" s="5"/>
      <c r="V85" s="5"/>
      <c r="W85" s="5"/>
      <c r="X85" s="5"/>
      <c r="Y85" s="1"/>
      <c r="Z85" s="5"/>
      <c r="AA85" s="5"/>
      <c r="AB85" s="5"/>
      <c r="AC85" s="5"/>
      <c r="AD85" s="116"/>
      <c r="AE85" s="359"/>
      <c r="AF85" s="369"/>
      <c r="AG85" s="369"/>
      <c r="AH85" s="369"/>
    </row>
    <row r="86" spans="1:34" s="38" customFormat="1" ht="42" customHeight="1" x14ac:dyDescent="0.25">
      <c r="A86" s="5"/>
      <c r="B86" s="57"/>
      <c r="C86" s="58"/>
      <c r="D86" s="5"/>
      <c r="E86" s="1"/>
      <c r="F86" s="5"/>
      <c r="G86" s="5"/>
      <c r="H86" s="5"/>
      <c r="I86" s="5"/>
      <c r="J86" s="1"/>
      <c r="K86" s="5"/>
      <c r="L86" s="5"/>
      <c r="M86" s="5"/>
      <c r="N86" s="5"/>
      <c r="O86" s="1"/>
      <c r="P86" s="5"/>
      <c r="Q86" s="5"/>
      <c r="R86" s="5"/>
      <c r="S86" s="5"/>
      <c r="T86" s="1"/>
      <c r="U86" s="5"/>
      <c r="V86" s="5"/>
      <c r="W86" s="5"/>
      <c r="X86" s="5"/>
      <c r="Y86" s="1"/>
      <c r="Z86" s="5"/>
      <c r="AA86" s="5"/>
      <c r="AB86" s="5"/>
      <c r="AC86" s="5"/>
      <c r="AD86" s="116"/>
      <c r="AE86" s="359"/>
      <c r="AF86" s="369"/>
      <c r="AG86" s="369"/>
      <c r="AH86" s="369"/>
    </row>
    <row r="87" spans="1:34" s="38" customFormat="1" ht="42" customHeight="1" x14ac:dyDescent="0.25">
      <c r="A87" s="5"/>
      <c r="B87" s="57"/>
      <c r="C87" s="58"/>
      <c r="D87" s="5"/>
      <c r="E87" s="1"/>
      <c r="F87" s="5"/>
      <c r="G87" s="5"/>
      <c r="H87" s="5"/>
      <c r="I87" s="5"/>
      <c r="J87" s="1"/>
      <c r="K87" s="5"/>
      <c r="L87" s="5"/>
      <c r="M87" s="5"/>
      <c r="N87" s="5"/>
      <c r="O87" s="1"/>
      <c r="P87" s="5"/>
      <c r="Q87" s="5"/>
      <c r="R87" s="5"/>
      <c r="S87" s="5"/>
      <c r="T87" s="1"/>
      <c r="U87" s="5"/>
      <c r="V87" s="5"/>
      <c r="W87" s="5"/>
      <c r="X87" s="5"/>
      <c r="Y87" s="1"/>
      <c r="Z87" s="5"/>
      <c r="AA87" s="5"/>
      <c r="AB87" s="5"/>
      <c r="AC87" s="5"/>
      <c r="AD87" s="116"/>
      <c r="AE87" s="359"/>
      <c r="AF87" s="369"/>
      <c r="AG87" s="369"/>
      <c r="AH87" s="369"/>
    </row>
    <row r="88" spans="1:34" s="38" customFormat="1" ht="42" customHeight="1" x14ac:dyDescent="0.25">
      <c r="A88" s="5"/>
      <c r="B88" s="57"/>
      <c r="C88" s="58"/>
      <c r="D88" s="5"/>
      <c r="E88" s="1"/>
      <c r="F88" s="5"/>
      <c r="G88" s="5"/>
      <c r="H88" s="5"/>
      <c r="I88" s="5"/>
      <c r="J88" s="1"/>
      <c r="K88" s="5"/>
      <c r="L88" s="5"/>
      <c r="M88" s="5"/>
      <c r="N88" s="5"/>
      <c r="O88" s="1"/>
      <c r="P88" s="5"/>
      <c r="Q88" s="5"/>
      <c r="R88" s="5"/>
      <c r="S88" s="5"/>
      <c r="T88" s="1"/>
      <c r="U88" s="5"/>
      <c r="V88" s="5"/>
      <c r="W88" s="5"/>
      <c r="X88" s="5"/>
      <c r="Y88" s="1"/>
      <c r="Z88" s="5"/>
      <c r="AA88" s="5"/>
      <c r="AB88" s="5"/>
      <c r="AC88" s="5"/>
      <c r="AD88" s="116"/>
      <c r="AE88" s="359"/>
      <c r="AF88" s="369"/>
      <c r="AG88" s="369"/>
      <c r="AH88" s="369"/>
    </row>
    <row r="89" spans="1:34" s="38" customFormat="1" ht="42" customHeight="1" x14ac:dyDescent="0.25">
      <c r="A89" s="5"/>
      <c r="B89" s="57"/>
      <c r="C89" s="58"/>
      <c r="D89" s="5"/>
      <c r="E89" s="1"/>
      <c r="F89" s="5"/>
      <c r="G89" s="5"/>
      <c r="H89" s="5"/>
      <c r="I89" s="5"/>
      <c r="J89" s="1"/>
      <c r="K89" s="5"/>
      <c r="L89" s="5"/>
      <c r="M89" s="5"/>
      <c r="N89" s="5"/>
      <c r="O89" s="1"/>
      <c r="P89" s="5"/>
      <c r="Q89" s="5"/>
      <c r="R89" s="5"/>
      <c r="S89" s="5"/>
      <c r="T89" s="1"/>
      <c r="U89" s="5"/>
      <c r="V89" s="5"/>
      <c r="W89" s="5"/>
      <c r="X89" s="5"/>
      <c r="Y89" s="1"/>
      <c r="Z89" s="5"/>
      <c r="AA89" s="5"/>
      <c r="AB89" s="5"/>
      <c r="AC89" s="5"/>
      <c r="AD89" s="116"/>
      <c r="AE89" s="359"/>
      <c r="AF89" s="369"/>
      <c r="AG89" s="369"/>
      <c r="AH89" s="369"/>
    </row>
    <row r="90" spans="1:34" s="38" customFormat="1" ht="42" customHeight="1" x14ac:dyDescent="0.25">
      <c r="A90" s="5"/>
      <c r="B90" s="57"/>
      <c r="C90" s="58"/>
      <c r="D90" s="5"/>
      <c r="E90" s="1"/>
      <c r="F90" s="5"/>
      <c r="G90" s="5"/>
      <c r="H90" s="5"/>
      <c r="I90" s="5"/>
      <c r="J90" s="1"/>
      <c r="K90" s="5"/>
      <c r="L90" s="5"/>
      <c r="M90" s="5"/>
      <c r="N90" s="5"/>
      <c r="O90" s="1"/>
      <c r="P90" s="5"/>
      <c r="Q90" s="5"/>
      <c r="R90" s="5"/>
      <c r="S90" s="5"/>
      <c r="T90" s="1"/>
      <c r="U90" s="5"/>
      <c r="V90" s="5"/>
      <c r="W90" s="5"/>
      <c r="X90" s="5"/>
      <c r="Y90" s="1"/>
      <c r="Z90" s="5"/>
      <c r="AA90" s="5"/>
      <c r="AB90" s="5"/>
      <c r="AC90" s="5"/>
      <c r="AD90" s="116"/>
      <c r="AE90" s="359"/>
      <c r="AF90" s="369"/>
      <c r="AG90" s="369"/>
      <c r="AH90" s="369"/>
    </row>
    <row r="91" spans="1:34" s="38" customFormat="1" ht="42" customHeight="1" x14ac:dyDescent="0.25">
      <c r="A91" s="5"/>
      <c r="B91" s="57"/>
      <c r="C91" s="58"/>
      <c r="D91" s="5"/>
      <c r="E91" s="1"/>
      <c r="F91" s="5"/>
      <c r="G91" s="5"/>
      <c r="H91" s="5"/>
      <c r="I91" s="5"/>
      <c r="J91" s="1"/>
      <c r="K91" s="5"/>
      <c r="L91" s="5"/>
      <c r="M91" s="5"/>
      <c r="N91" s="5"/>
      <c r="O91" s="1"/>
      <c r="P91" s="5"/>
      <c r="Q91" s="5"/>
      <c r="R91" s="5"/>
      <c r="S91" s="5"/>
      <c r="T91" s="1"/>
      <c r="U91" s="5"/>
      <c r="V91" s="5"/>
      <c r="W91" s="5"/>
      <c r="X91" s="5"/>
      <c r="Y91" s="1"/>
      <c r="Z91" s="5"/>
      <c r="AA91" s="5"/>
      <c r="AB91" s="5"/>
      <c r="AC91" s="5"/>
      <c r="AD91" s="116"/>
      <c r="AE91" s="359"/>
      <c r="AF91" s="369"/>
      <c r="AG91" s="369"/>
      <c r="AH91" s="369"/>
    </row>
    <row r="92" spans="1:34" s="38" customFormat="1" ht="42" customHeight="1" x14ac:dyDescent="0.25">
      <c r="A92" s="5"/>
      <c r="B92" s="57"/>
      <c r="C92" s="58"/>
      <c r="D92" s="5"/>
      <c r="E92" s="1"/>
      <c r="F92" s="5"/>
      <c r="G92" s="5"/>
      <c r="H92" s="5"/>
      <c r="I92" s="5"/>
      <c r="J92" s="1"/>
      <c r="K92" s="5"/>
      <c r="L92" s="5"/>
      <c r="M92" s="5"/>
      <c r="N92" s="5"/>
      <c r="O92" s="1"/>
      <c r="P92" s="5"/>
      <c r="Q92" s="5"/>
      <c r="R92" s="5"/>
      <c r="S92" s="5"/>
      <c r="T92" s="1"/>
      <c r="U92" s="5"/>
      <c r="V92" s="5"/>
      <c r="W92" s="5"/>
      <c r="X92" s="5"/>
      <c r="Y92" s="1"/>
      <c r="Z92" s="5"/>
      <c r="AA92" s="5"/>
      <c r="AB92" s="5"/>
      <c r="AC92" s="5"/>
      <c r="AD92" s="116"/>
      <c r="AE92" s="359"/>
      <c r="AF92" s="369"/>
      <c r="AG92" s="369"/>
      <c r="AH92" s="369"/>
    </row>
    <row r="93" spans="1:34" s="38" customFormat="1" ht="42" customHeight="1" x14ac:dyDescent="0.25">
      <c r="A93" s="5"/>
      <c r="B93" s="57"/>
      <c r="C93" s="58"/>
      <c r="D93" s="5"/>
      <c r="E93" s="1"/>
      <c r="F93" s="5"/>
      <c r="G93" s="5"/>
      <c r="H93" s="5"/>
      <c r="I93" s="5"/>
      <c r="J93" s="1"/>
      <c r="K93" s="5"/>
      <c r="L93" s="5"/>
      <c r="M93" s="5"/>
      <c r="N93" s="5"/>
      <c r="O93" s="1"/>
      <c r="P93" s="5"/>
      <c r="Q93" s="5"/>
      <c r="R93" s="5"/>
      <c r="S93" s="5"/>
      <c r="T93" s="1"/>
      <c r="U93" s="5"/>
      <c r="V93" s="5"/>
      <c r="W93" s="5"/>
      <c r="X93" s="5"/>
      <c r="Y93" s="1"/>
      <c r="Z93" s="5"/>
      <c r="AA93" s="5"/>
      <c r="AB93" s="5"/>
      <c r="AC93" s="5"/>
      <c r="AD93" s="116"/>
      <c r="AE93" s="359"/>
      <c r="AF93" s="369"/>
      <c r="AG93" s="369"/>
      <c r="AH93" s="369"/>
    </row>
    <row r="94" spans="1:34" s="38" customFormat="1" ht="42" customHeight="1" x14ac:dyDescent="0.25">
      <c r="A94" s="5"/>
      <c r="B94" s="57"/>
      <c r="C94" s="58"/>
      <c r="D94" s="5"/>
      <c r="E94" s="1"/>
      <c r="F94" s="5"/>
      <c r="G94" s="5"/>
      <c r="H94" s="5"/>
      <c r="I94" s="5"/>
      <c r="J94" s="1"/>
      <c r="K94" s="5"/>
      <c r="L94" s="5"/>
      <c r="M94" s="5"/>
      <c r="N94" s="5"/>
      <c r="O94" s="1"/>
      <c r="P94" s="5"/>
      <c r="Q94" s="5"/>
      <c r="R94" s="5"/>
      <c r="S94" s="5"/>
      <c r="T94" s="1"/>
      <c r="U94" s="5"/>
      <c r="V94" s="5"/>
      <c r="W94" s="5"/>
      <c r="X94" s="5"/>
      <c r="Y94" s="1"/>
      <c r="Z94" s="5"/>
      <c r="AA94" s="5"/>
      <c r="AB94" s="5"/>
      <c r="AC94" s="5"/>
      <c r="AD94" s="116"/>
      <c r="AE94" s="359"/>
      <c r="AF94" s="369"/>
      <c r="AG94" s="369"/>
      <c r="AH94" s="369"/>
    </row>
    <row r="95" spans="1:34" s="38" customFormat="1" ht="42" customHeight="1" x14ac:dyDescent="0.25">
      <c r="A95" s="5"/>
      <c r="B95" s="57"/>
      <c r="C95" s="58"/>
      <c r="D95" s="5"/>
      <c r="E95" s="1"/>
      <c r="F95" s="5"/>
      <c r="G95" s="5"/>
      <c r="H95" s="5"/>
      <c r="I95" s="5"/>
      <c r="J95" s="1"/>
      <c r="K95" s="5"/>
      <c r="L95" s="5"/>
      <c r="M95" s="5"/>
      <c r="N95" s="5"/>
      <c r="O95" s="1"/>
      <c r="P95" s="5"/>
      <c r="Q95" s="5"/>
      <c r="R95" s="5"/>
      <c r="S95" s="5"/>
      <c r="T95" s="1"/>
      <c r="U95" s="5"/>
      <c r="V95" s="5"/>
      <c r="W95" s="5"/>
      <c r="X95" s="5"/>
      <c r="Y95" s="1"/>
      <c r="Z95" s="5"/>
      <c r="AA95" s="5"/>
      <c r="AB95" s="5"/>
      <c r="AC95" s="5"/>
      <c r="AD95" s="116"/>
      <c r="AE95" s="359"/>
      <c r="AF95" s="369"/>
      <c r="AG95" s="369"/>
      <c r="AH95" s="369"/>
    </row>
    <row r="96" spans="1:34" s="38" customFormat="1" ht="42" customHeight="1" x14ac:dyDescent="0.25">
      <c r="A96" s="5"/>
      <c r="B96" s="57"/>
      <c r="C96" s="58"/>
      <c r="D96" s="5"/>
      <c r="E96" s="1"/>
      <c r="F96" s="5"/>
      <c r="G96" s="5"/>
      <c r="H96" s="5"/>
      <c r="I96" s="5"/>
      <c r="J96" s="1"/>
      <c r="K96" s="5"/>
      <c r="L96" s="5"/>
      <c r="M96" s="5"/>
      <c r="N96" s="5"/>
      <c r="O96" s="1"/>
      <c r="P96" s="5"/>
      <c r="Q96" s="5"/>
      <c r="R96" s="5"/>
      <c r="S96" s="5"/>
      <c r="T96" s="1"/>
      <c r="U96" s="5"/>
      <c r="V96" s="5"/>
      <c r="W96" s="5"/>
      <c r="X96" s="5"/>
      <c r="Y96" s="1"/>
      <c r="Z96" s="5"/>
      <c r="AA96" s="5"/>
      <c r="AB96" s="5"/>
      <c r="AC96" s="5"/>
      <c r="AD96" s="116"/>
      <c r="AE96" s="359"/>
      <c r="AF96" s="369"/>
      <c r="AG96" s="369"/>
      <c r="AH96" s="369"/>
    </row>
    <row r="97" spans="1:34" s="38" customFormat="1" ht="42" customHeight="1" x14ac:dyDescent="0.25">
      <c r="A97" s="5"/>
      <c r="B97" s="57"/>
      <c r="C97" s="58"/>
      <c r="D97" s="5"/>
      <c r="E97" s="1"/>
      <c r="F97" s="5"/>
      <c r="G97" s="5"/>
      <c r="H97" s="5"/>
      <c r="I97" s="5"/>
      <c r="J97" s="1"/>
      <c r="K97" s="5"/>
      <c r="L97" s="5"/>
      <c r="M97" s="5"/>
      <c r="N97" s="5"/>
      <c r="O97" s="1"/>
      <c r="P97" s="5"/>
      <c r="Q97" s="5"/>
      <c r="R97" s="5"/>
      <c r="S97" s="5"/>
      <c r="T97" s="1"/>
      <c r="U97" s="5"/>
      <c r="V97" s="5"/>
      <c r="W97" s="5"/>
      <c r="X97" s="5"/>
      <c r="Y97" s="1"/>
      <c r="Z97" s="5"/>
      <c r="AA97" s="5"/>
      <c r="AB97" s="5"/>
      <c r="AC97" s="5"/>
      <c r="AD97" s="116"/>
      <c r="AE97" s="359"/>
      <c r="AF97" s="369"/>
      <c r="AG97" s="369"/>
      <c r="AH97" s="369"/>
    </row>
    <row r="98" spans="1:34" s="38" customFormat="1" ht="42" customHeight="1" x14ac:dyDescent="0.25">
      <c r="A98" s="5"/>
      <c r="B98" s="57"/>
      <c r="C98" s="58"/>
      <c r="D98" s="5"/>
      <c r="E98" s="1"/>
      <c r="F98" s="5"/>
      <c r="G98" s="5"/>
      <c r="H98" s="5"/>
      <c r="I98" s="5"/>
      <c r="J98" s="1"/>
      <c r="K98" s="5"/>
      <c r="L98" s="5"/>
      <c r="M98" s="5"/>
      <c r="N98" s="5"/>
      <c r="O98" s="1"/>
      <c r="P98" s="5"/>
      <c r="Q98" s="5"/>
      <c r="R98" s="5"/>
      <c r="S98" s="5"/>
      <c r="T98" s="1"/>
      <c r="U98" s="5"/>
      <c r="V98" s="5"/>
      <c r="W98" s="5"/>
      <c r="X98" s="5"/>
      <c r="Y98" s="1"/>
      <c r="Z98" s="5"/>
      <c r="AA98" s="5"/>
      <c r="AB98" s="5"/>
      <c r="AC98" s="5"/>
      <c r="AD98" s="116"/>
      <c r="AE98" s="359"/>
      <c r="AF98" s="369"/>
      <c r="AG98" s="369"/>
      <c r="AH98" s="369"/>
    </row>
    <row r="99" spans="1:34" s="38" customFormat="1" ht="42" customHeight="1" x14ac:dyDescent="0.25">
      <c r="A99" s="5"/>
      <c r="B99" s="57"/>
      <c r="C99" s="58"/>
      <c r="D99" s="5"/>
      <c r="E99" s="1"/>
      <c r="F99" s="5"/>
      <c r="G99" s="5"/>
      <c r="H99" s="5"/>
      <c r="I99" s="5"/>
      <c r="J99" s="1"/>
      <c r="K99" s="5"/>
      <c r="L99" s="5"/>
      <c r="M99" s="5"/>
      <c r="N99" s="5"/>
      <c r="O99" s="1"/>
      <c r="P99" s="5"/>
      <c r="Q99" s="5"/>
      <c r="R99" s="5"/>
      <c r="S99" s="5"/>
      <c r="T99" s="1"/>
      <c r="U99" s="5"/>
      <c r="V99" s="5"/>
      <c r="W99" s="5"/>
      <c r="X99" s="5"/>
      <c r="Y99" s="1"/>
      <c r="Z99" s="5"/>
      <c r="AA99" s="5"/>
      <c r="AB99" s="5"/>
      <c r="AC99" s="5"/>
      <c r="AD99" s="116"/>
      <c r="AE99" s="359"/>
      <c r="AF99" s="369"/>
      <c r="AG99" s="369"/>
      <c r="AH99" s="369"/>
    </row>
    <row r="100" spans="1:34" s="38" customFormat="1" ht="42" customHeight="1" x14ac:dyDescent="0.25">
      <c r="A100" s="5"/>
      <c r="B100" s="57"/>
      <c r="C100" s="58"/>
      <c r="D100" s="5"/>
      <c r="E100" s="1"/>
      <c r="F100" s="5"/>
      <c r="G100" s="5"/>
      <c r="H100" s="5"/>
      <c r="I100" s="5"/>
      <c r="J100" s="1"/>
      <c r="K100" s="5"/>
      <c r="L100" s="5"/>
      <c r="M100" s="5"/>
      <c r="N100" s="5"/>
      <c r="O100" s="1"/>
      <c r="P100" s="5"/>
      <c r="Q100" s="5"/>
      <c r="R100" s="5"/>
      <c r="S100" s="5"/>
      <c r="T100" s="1"/>
      <c r="U100" s="5"/>
      <c r="V100" s="5"/>
      <c r="W100" s="5"/>
      <c r="X100" s="5"/>
      <c r="Y100" s="1"/>
      <c r="Z100" s="5"/>
      <c r="AA100" s="5"/>
      <c r="AB100" s="5"/>
      <c r="AC100" s="5"/>
      <c r="AD100" s="116"/>
      <c r="AE100" s="359"/>
      <c r="AF100" s="369"/>
      <c r="AG100" s="369"/>
      <c r="AH100" s="369"/>
    </row>
    <row r="101" spans="1:34" s="38" customFormat="1" ht="42" customHeight="1" x14ac:dyDescent="0.25">
      <c r="A101" s="5"/>
      <c r="B101" s="57"/>
      <c r="C101" s="58"/>
      <c r="D101" s="5"/>
      <c r="E101" s="1"/>
      <c r="F101" s="5"/>
      <c r="G101" s="5"/>
      <c r="H101" s="5"/>
      <c r="I101" s="5"/>
      <c r="J101" s="1"/>
      <c r="K101" s="5"/>
      <c r="L101" s="5"/>
      <c r="M101" s="5"/>
      <c r="N101" s="5"/>
      <c r="O101" s="1"/>
      <c r="P101" s="5"/>
      <c r="Q101" s="5"/>
      <c r="R101" s="5"/>
      <c r="S101" s="5"/>
      <c r="T101" s="1"/>
      <c r="U101" s="5"/>
      <c r="V101" s="5"/>
      <c r="W101" s="5"/>
      <c r="X101" s="5"/>
      <c r="Y101" s="1"/>
      <c r="Z101" s="5"/>
      <c r="AA101" s="5"/>
      <c r="AB101" s="5"/>
      <c r="AC101" s="5"/>
      <c r="AD101" s="116"/>
      <c r="AE101" s="359"/>
      <c r="AF101" s="369"/>
      <c r="AG101" s="369"/>
      <c r="AH101" s="369"/>
    </row>
    <row r="102" spans="1:34" s="38" customFormat="1" ht="42" customHeight="1" x14ac:dyDescent="0.25">
      <c r="A102" s="5"/>
      <c r="B102" s="57"/>
      <c r="C102" s="58"/>
      <c r="D102" s="5"/>
      <c r="E102" s="1"/>
      <c r="F102" s="5"/>
      <c r="G102" s="5"/>
      <c r="H102" s="5"/>
      <c r="I102" s="5"/>
      <c r="J102" s="1"/>
      <c r="K102" s="5"/>
      <c r="L102" s="5"/>
      <c r="M102" s="5"/>
      <c r="N102" s="5"/>
      <c r="O102" s="1"/>
      <c r="P102" s="5"/>
      <c r="Q102" s="5"/>
      <c r="R102" s="5"/>
      <c r="S102" s="5"/>
      <c r="T102" s="1"/>
      <c r="U102" s="5"/>
      <c r="V102" s="5"/>
      <c r="W102" s="5"/>
      <c r="X102" s="5"/>
      <c r="Y102" s="1"/>
      <c r="Z102" s="5"/>
      <c r="AA102" s="5"/>
      <c r="AB102" s="5"/>
      <c r="AC102" s="5"/>
      <c r="AD102" s="116"/>
      <c r="AE102" s="359"/>
      <c r="AF102" s="369"/>
      <c r="AG102" s="369"/>
      <c r="AH102" s="369"/>
    </row>
    <row r="103" spans="1:34" s="38" customFormat="1" ht="42" customHeight="1" x14ac:dyDescent="0.25">
      <c r="A103" s="5"/>
      <c r="B103" s="57"/>
      <c r="C103" s="58"/>
      <c r="D103" s="5"/>
      <c r="E103" s="1"/>
      <c r="F103" s="5"/>
      <c r="G103" s="5"/>
      <c r="H103" s="5"/>
      <c r="I103" s="5"/>
      <c r="J103" s="1"/>
      <c r="K103" s="5"/>
      <c r="L103" s="5"/>
      <c r="M103" s="5"/>
      <c r="N103" s="5"/>
      <c r="O103" s="1"/>
      <c r="P103" s="5"/>
      <c r="Q103" s="5"/>
      <c r="R103" s="5"/>
      <c r="S103" s="5"/>
      <c r="T103" s="1"/>
      <c r="U103" s="5"/>
      <c r="V103" s="5"/>
      <c r="W103" s="5"/>
      <c r="X103" s="5"/>
      <c r="Y103" s="1"/>
      <c r="Z103" s="5"/>
      <c r="AA103" s="5"/>
      <c r="AB103" s="5"/>
      <c r="AC103" s="5"/>
      <c r="AD103" s="116"/>
      <c r="AE103" s="359"/>
      <c r="AF103" s="369"/>
      <c r="AG103" s="369"/>
      <c r="AH103" s="369"/>
    </row>
    <row r="104" spans="1:34" s="38" customFormat="1" ht="42" customHeight="1" x14ac:dyDescent="0.25">
      <c r="A104" s="5"/>
      <c r="B104" s="57"/>
      <c r="C104" s="58"/>
      <c r="D104" s="5"/>
      <c r="E104" s="1"/>
      <c r="F104" s="5"/>
      <c r="G104" s="5"/>
      <c r="H104" s="5"/>
      <c r="I104" s="5"/>
      <c r="J104" s="1"/>
      <c r="K104" s="5"/>
      <c r="L104" s="5"/>
      <c r="M104" s="5"/>
      <c r="N104" s="5"/>
      <c r="O104" s="1"/>
      <c r="P104" s="5"/>
      <c r="Q104" s="5"/>
      <c r="R104" s="5"/>
      <c r="S104" s="5"/>
      <c r="T104" s="1"/>
      <c r="U104" s="5"/>
      <c r="V104" s="5"/>
      <c r="W104" s="5"/>
      <c r="X104" s="5"/>
      <c r="Y104" s="1"/>
      <c r="Z104" s="5"/>
      <c r="AA104" s="5"/>
      <c r="AB104" s="5"/>
      <c r="AC104" s="5"/>
      <c r="AD104" s="116"/>
      <c r="AE104" s="359"/>
      <c r="AF104" s="369"/>
      <c r="AG104" s="369"/>
      <c r="AH104" s="369"/>
    </row>
    <row r="105" spans="1:34" s="38" customFormat="1" ht="42" customHeight="1" x14ac:dyDescent="0.25">
      <c r="A105" s="5"/>
      <c r="B105" s="57"/>
      <c r="C105" s="58"/>
      <c r="D105" s="5"/>
      <c r="E105" s="1"/>
      <c r="F105" s="5"/>
      <c r="G105" s="5"/>
      <c r="H105" s="5"/>
      <c r="I105" s="5"/>
      <c r="J105" s="1"/>
      <c r="K105" s="5"/>
      <c r="L105" s="5"/>
      <c r="M105" s="5"/>
      <c r="N105" s="5"/>
      <c r="O105" s="1"/>
      <c r="P105" s="5"/>
      <c r="Q105" s="5"/>
      <c r="R105" s="5"/>
      <c r="S105" s="5"/>
      <c r="T105" s="1"/>
      <c r="U105" s="5"/>
      <c r="V105" s="5"/>
      <c r="W105" s="5"/>
      <c r="X105" s="5"/>
      <c r="Y105" s="1"/>
      <c r="Z105" s="5"/>
      <c r="AA105" s="5"/>
      <c r="AB105" s="5"/>
      <c r="AC105" s="5"/>
      <c r="AD105" s="116"/>
      <c r="AE105" s="359"/>
      <c r="AF105" s="369"/>
      <c r="AG105" s="369"/>
      <c r="AH105" s="369"/>
    </row>
    <row r="106" spans="1:34" s="38" customFormat="1" ht="42" customHeight="1" x14ac:dyDescent="0.25">
      <c r="A106" s="5"/>
      <c r="B106" s="57"/>
      <c r="C106" s="58"/>
      <c r="D106" s="5"/>
      <c r="E106" s="1"/>
      <c r="F106" s="5"/>
      <c r="G106" s="5"/>
      <c r="H106" s="5"/>
      <c r="I106" s="5"/>
      <c r="J106" s="1"/>
      <c r="K106" s="5"/>
      <c r="L106" s="5"/>
      <c r="M106" s="5"/>
      <c r="N106" s="5"/>
      <c r="O106" s="1"/>
      <c r="P106" s="5"/>
      <c r="Q106" s="5"/>
      <c r="R106" s="5"/>
      <c r="S106" s="5"/>
      <c r="T106" s="1"/>
      <c r="U106" s="5"/>
      <c r="V106" s="5"/>
      <c r="W106" s="5"/>
      <c r="X106" s="5"/>
      <c r="Y106" s="1"/>
      <c r="Z106" s="5"/>
      <c r="AA106" s="5"/>
      <c r="AB106" s="5"/>
      <c r="AC106" s="5"/>
      <c r="AD106" s="116"/>
      <c r="AE106" s="359"/>
      <c r="AF106" s="369"/>
      <c r="AG106" s="369"/>
      <c r="AH106" s="369"/>
    </row>
    <row r="107" spans="1:34" s="38" customFormat="1" ht="42" customHeight="1" x14ac:dyDescent="0.25">
      <c r="A107" s="5"/>
      <c r="B107" s="57"/>
      <c r="C107" s="58"/>
      <c r="D107" s="5"/>
      <c r="E107" s="1"/>
      <c r="F107" s="5"/>
      <c r="G107" s="5"/>
      <c r="H107" s="5"/>
      <c r="I107" s="5"/>
      <c r="J107" s="1"/>
      <c r="K107" s="5"/>
      <c r="L107" s="5"/>
      <c r="M107" s="5"/>
      <c r="N107" s="5"/>
      <c r="O107" s="1"/>
      <c r="P107" s="5"/>
      <c r="Q107" s="5"/>
      <c r="R107" s="5"/>
      <c r="S107" s="5"/>
      <c r="T107" s="1"/>
      <c r="U107" s="5"/>
      <c r="V107" s="5"/>
      <c r="W107" s="5"/>
      <c r="X107" s="5"/>
      <c r="Y107" s="1"/>
      <c r="Z107" s="5"/>
      <c r="AA107" s="5"/>
      <c r="AB107" s="5"/>
      <c r="AC107" s="5"/>
      <c r="AD107" s="116"/>
      <c r="AE107" s="359"/>
      <c r="AF107" s="369"/>
      <c r="AG107" s="369"/>
      <c r="AH107" s="369"/>
    </row>
    <row r="108" spans="1:34" s="38" customFormat="1" ht="42" customHeight="1" x14ac:dyDescent="0.25">
      <c r="A108" s="5"/>
      <c r="B108" s="57"/>
      <c r="C108" s="58"/>
      <c r="D108" s="5"/>
      <c r="E108" s="1"/>
      <c r="F108" s="5"/>
      <c r="G108" s="5"/>
      <c r="H108" s="5"/>
      <c r="I108" s="5"/>
      <c r="J108" s="1"/>
      <c r="K108" s="5"/>
      <c r="L108" s="5"/>
      <c r="M108" s="5"/>
      <c r="N108" s="5"/>
      <c r="O108" s="1"/>
      <c r="P108" s="5"/>
      <c r="Q108" s="5"/>
      <c r="R108" s="5"/>
      <c r="S108" s="5"/>
      <c r="T108" s="1"/>
      <c r="U108" s="5"/>
      <c r="V108" s="5"/>
      <c r="W108" s="5"/>
      <c r="X108" s="5"/>
      <c r="Y108" s="1"/>
      <c r="Z108" s="5"/>
      <c r="AA108" s="5"/>
      <c r="AB108" s="5"/>
      <c r="AC108" s="5"/>
      <c r="AD108" s="116"/>
      <c r="AE108" s="359"/>
      <c r="AF108" s="369"/>
      <c r="AG108" s="369"/>
      <c r="AH108" s="369"/>
    </row>
    <row r="109" spans="1:34" s="38" customFormat="1" ht="42" customHeight="1" x14ac:dyDescent="0.25">
      <c r="A109" s="5"/>
      <c r="B109" s="57"/>
      <c r="C109" s="58"/>
      <c r="D109" s="5"/>
      <c r="E109" s="1"/>
      <c r="F109" s="5"/>
      <c r="G109" s="5"/>
      <c r="H109" s="5"/>
      <c r="I109" s="5"/>
      <c r="J109" s="1"/>
      <c r="K109" s="5"/>
      <c r="L109" s="5"/>
      <c r="M109" s="5"/>
      <c r="N109" s="5"/>
      <c r="O109" s="1"/>
      <c r="P109" s="5"/>
      <c r="Q109" s="5"/>
      <c r="R109" s="5"/>
      <c r="S109" s="5"/>
      <c r="T109" s="1"/>
      <c r="U109" s="5"/>
      <c r="V109" s="5"/>
      <c r="W109" s="5"/>
      <c r="X109" s="5"/>
      <c r="Y109" s="1"/>
      <c r="Z109" s="5"/>
      <c r="AA109" s="5"/>
      <c r="AB109" s="5"/>
      <c r="AC109" s="5"/>
      <c r="AD109" s="116"/>
      <c r="AE109" s="359"/>
      <c r="AF109" s="369"/>
      <c r="AG109" s="369"/>
      <c r="AH109" s="369"/>
    </row>
    <row r="110" spans="1:34" s="38" customFormat="1" ht="42" customHeight="1" x14ac:dyDescent="0.25">
      <c r="A110" s="5"/>
      <c r="B110" s="57"/>
      <c r="C110" s="58"/>
      <c r="D110" s="5"/>
      <c r="E110" s="1"/>
      <c r="F110" s="5"/>
      <c r="G110" s="5"/>
      <c r="H110" s="5"/>
      <c r="I110" s="5"/>
      <c r="J110" s="1"/>
      <c r="K110" s="5"/>
      <c r="L110" s="5"/>
      <c r="M110" s="5"/>
      <c r="N110" s="5"/>
      <c r="O110" s="1"/>
      <c r="P110" s="5"/>
      <c r="Q110" s="5"/>
      <c r="R110" s="5"/>
      <c r="S110" s="5"/>
      <c r="T110" s="1"/>
      <c r="U110" s="5"/>
      <c r="V110" s="5"/>
      <c r="W110" s="5"/>
      <c r="X110" s="5"/>
      <c r="Y110" s="1"/>
      <c r="Z110" s="5"/>
      <c r="AA110" s="5"/>
      <c r="AB110" s="5"/>
      <c r="AC110" s="5"/>
      <c r="AD110" s="116"/>
      <c r="AE110" s="359"/>
      <c r="AF110" s="369"/>
      <c r="AG110" s="369"/>
      <c r="AH110" s="369"/>
    </row>
    <row r="111" spans="1:34" s="38" customFormat="1" ht="42" customHeight="1" x14ac:dyDescent="0.25">
      <c r="A111" s="5"/>
      <c r="B111" s="57"/>
      <c r="C111" s="58"/>
      <c r="D111" s="5"/>
      <c r="E111" s="1"/>
      <c r="F111" s="5"/>
      <c r="G111" s="5"/>
      <c r="H111" s="5"/>
      <c r="I111" s="5"/>
      <c r="J111" s="1"/>
      <c r="K111" s="5"/>
      <c r="L111" s="5"/>
      <c r="M111" s="5"/>
      <c r="N111" s="5"/>
      <c r="O111" s="1"/>
      <c r="P111" s="5"/>
      <c r="Q111" s="5"/>
      <c r="R111" s="5"/>
      <c r="S111" s="5"/>
      <c r="T111" s="1"/>
      <c r="U111" s="5"/>
      <c r="V111" s="5"/>
      <c r="W111" s="5"/>
      <c r="X111" s="5"/>
      <c r="Y111" s="1"/>
      <c r="Z111" s="5"/>
      <c r="AA111" s="5"/>
      <c r="AB111" s="5"/>
      <c r="AC111" s="5"/>
      <c r="AD111" s="116"/>
      <c r="AE111" s="359"/>
      <c r="AF111" s="369"/>
      <c r="AG111" s="369"/>
      <c r="AH111" s="369"/>
    </row>
    <row r="112" spans="1:34" s="38" customFormat="1" ht="42" customHeight="1" x14ac:dyDescent="0.25">
      <c r="A112" s="5"/>
      <c r="B112" s="57"/>
      <c r="C112" s="58"/>
      <c r="D112" s="5"/>
      <c r="E112" s="1"/>
      <c r="F112" s="5"/>
      <c r="G112" s="5"/>
      <c r="H112" s="5"/>
      <c r="I112" s="5"/>
      <c r="J112" s="1"/>
      <c r="K112" s="5"/>
      <c r="L112" s="5"/>
      <c r="M112" s="5"/>
      <c r="N112" s="5"/>
      <c r="O112" s="1"/>
      <c r="P112" s="5"/>
      <c r="Q112" s="5"/>
      <c r="R112" s="5"/>
      <c r="S112" s="5"/>
      <c r="T112" s="1"/>
      <c r="U112" s="5"/>
      <c r="V112" s="5"/>
      <c r="W112" s="5"/>
      <c r="X112" s="5"/>
      <c r="Y112" s="1"/>
      <c r="Z112" s="5"/>
      <c r="AA112" s="5"/>
      <c r="AB112" s="5"/>
      <c r="AC112" s="5"/>
      <c r="AD112" s="116"/>
      <c r="AE112" s="359"/>
      <c r="AF112" s="369"/>
      <c r="AG112" s="369"/>
      <c r="AH112" s="369"/>
    </row>
    <row r="113" spans="1:34" s="38" customFormat="1" ht="42" customHeight="1" x14ac:dyDescent="0.25">
      <c r="A113" s="5"/>
      <c r="B113" s="57"/>
      <c r="C113" s="58"/>
      <c r="D113" s="5"/>
      <c r="E113" s="1"/>
      <c r="F113" s="5"/>
      <c r="G113" s="5"/>
      <c r="H113" s="5"/>
      <c r="I113" s="5"/>
      <c r="J113" s="1"/>
      <c r="K113" s="5"/>
      <c r="L113" s="5"/>
      <c r="M113" s="5"/>
      <c r="N113" s="5"/>
      <c r="O113" s="1"/>
      <c r="P113" s="5"/>
      <c r="Q113" s="5"/>
      <c r="R113" s="5"/>
      <c r="S113" s="5"/>
      <c r="T113" s="1"/>
      <c r="U113" s="5"/>
      <c r="V113" s="5"/>
      <c r="W113" s="5"/>
      <c r="X113" s="5"/>
      <c r="Y113" s="1"/>
      <c r="Z113" s="5"/>
      <c r="AA113" s="5"/>
      <c r="AB113" s="5"/>
      <c r="AC113" s="5"/>
      <c r="AD113" s="116"/>
      <c r="AE113" s="359"/>
      <c r="AF113" s="369"/>
      <c r="AG113" s="369"/>
      <c r="AH113" s="369"/>
    </row>
    <row r="114" spans="1:34" s="38" customFormat="1" ht="42" customHeight="1" x14ac:dyDescent="0.25">
      <c r="A114" s="5"/>
      <c r="B114" s="57"/>
      <c r="C114" s="58"/>
      <c r="D114" s="5"/>
      <c r="E114" s="1"/>
      <c r="F114" s="5"/>
      <c r="G114" s="5"/>
      <c r="H114" s="5"/>
      <c r="I114" s="5"/>
      <c r="J114" s="1"/>
      <c r="K114" s="5"/>
      <c r="L114" s="5"/>
      <c r="M114" s="5"/>
      <c r="N114" s="5"/>
      <c r="O114" s="1"/>
      <c r="P114" s="5"/>
      <c r="Q114" s="5"/>
      <c r="R114" s="5"/>
      <c r="S114" s="5"/>
      <c r="T114" s="1"/>
      <c r="U114" s="5"/>
      <c r="V114" s="5"/>
      <c r="W114" s="5"/>
      <c r="X114" s="5"/>
      <c r="Y114" s="1"/>
      <c r="Z114" s="5"/>
      <c r="AA114" s="5"/>
      <c r="AB114" s="5"/>
      <c r="AC114" s="5"/>
      <c r="AD114" s="116"/>
      <c r="AE114" s="359"/>
      <c r="AF114" s="369"/>
      <c r="AG114" s="369"/>
      <c r="AH114" s="369"/>
    </row>
    <row r="115" spans="1:34" s="38" customFormat="1" ht="42" customHeight="1" x14ac:dyDescent="0.25">
      <c r="A115" s="5"/>
      <c r="B115" s="57"/>
      <c r="C115" s="58"/>
      <c r="D115" s="5"/>
      <c r="E115" s="1"/>
      <c r="F115" s="5"/>
      <c r="G115" s="5"/>
      <c r="H115" s="5"/>
      <c r="I115" s="5"/>
      <c r="J115" s="1"/>
      <c r="K115" s="5"/>
      <c r="L115" s="5"/>
      <c r="M115" s="5"/>
      <c r="N115" s="5"/>
      <c r="O115" s="1"/>
      <c r="P115" s="5"/>
      <c r="Q115" s="5"/>
      <c r="R115" s="5"/>
      <c r="S115" s="5"/>
      <c r="T115" s="1"/>
      <c r="U115" s="5"/>
      <c r="V115" s="5"/>
      <c r="W115" s="5"/>
      <c r="X115" s="5"/>
      <c r="Y115" s="1"/>
      <c r="Z115" s="5"/>
      <c r="AA115" s="5"/>
      <c r="AB115" s="5"/>
      <c r="AC115" s="5"/>
      <c r="AD115" s="116"/>
      <c r="AE115" s="359"/>
      <c r="AF115" s="369"/>
      <c r="AG115" s="369"/>
      <c r="AH115" s="369"/>
    </row>
    <row r="116" spans="1:34" s="38" customFormat="1" ht="42" customHeight="1" x14ac:dyDescent="0.25">
      <c r="A116" s="5"/>
      <c r="B116" s="57"/>
      <c r="C116" s="58"/>
      <c r="D116" s="5"/>
      <c r="E116" s="1"/>
      <c r="F116" s="5"/>
      <c r="G116" s="5"/>
      <c r="H116" s="5"/>
      <c r="I116" s="5"/>
      <c r="J116" s="1"/>
      <c r="K116" s="5"/>
      <c r="L116" s="5"/>
      <c r="M116" s="5"/>
      <c r="N116" s="5"/>
      <c r="O116" s="1"/>
      <c r="P116" s="5"/>
      <c r="Q116" s="5"/>
      <c r="R116" s="5"/>
      <c r="S116" s="5"/>
      <c r="T116" s="1"/>
      <c r="U116" s="5"/>
      <c r="V116" s="5"/>
      <c r="W116" s="5"/>
      <c r="X116" s="5"/>
      <c r="Y116" s="1"/>
      <c r="Z116" s="5"/>
      <c r="AA116" s="5"/>
      <c r="AB116" s="5"/>
      <c r="AC116" s="5"/>
      <c r="AD116" s="116"/>
      <c r="AE116" s="359"/>
      <c r="AF116" s="369"/>
      <c r="AG116" s="369"/>
      <c r="AH116" s="369"/>
    </row>
    <row r="117" spans="1:34" s="38" customFormat="1" ht="42" customHeight="1" x14ac:dyDescent="0.25">
      <c r="A117" s="5"/>
      <c r="B117" s="57"/>
      <c r="C117" s="58"/>
      <c r="D117" s="5"/>
      <c r="E117" s="1"/>
      <c r="F117" s="5"/>
      <c r="G117" s="5"/>
      <c r="H117" s="5"/>
      <c r="I117" s="5"/>
      <c r="J117" s="1"/>
      <c r="K117" s="5"/>
      <c r="L117" s="5"/>
      <c r="M117" s="5"/>
      <c r="N117" s="5"/>
      <c r="O117" s="1"/>
      <c r="P117" s="5"/>
      <c r="Q117" s="5"/>
      <c r="R117" s="5"/>
      <c r="S117" s="5"/>
      <c r="T117" s="1"/>
      <c r="U117" s="5"/>
      <c r="V117" s="5"/>
      <c r="W117" s="5"/>
      <c r="X117" s="5"/>
      <c r="Y117" s="1"/>
      <c r="Z117" s="5"/>
      <c r="AA117" s="5"/>
      <c r="AB117" s="5"/>
      <c r="AC117" s="5"/>
      <c r="AD117" s="116"/>
      <c r="AE117" s="359"/>
      <c r="AF117" s="369"/>
      <c r="AG117" s="369"/>
      <c r="AH117" s="369"/>
    </row>
    <row r="118" spans="1:34" s="38" customFormat="1" ht="42" customHeight="1" x14ac:dyDescent="0.25">
      <c r="A118" s="5"/>
      <c r="B118" s="57"/>
      <c r="C118" s="58"/>
      <c r="D118" s="5"/>
      <c r="E118" s="1"/>
      <c r="F118" s="5"/>
      <c r="G118" s="5"/>
      <c r="H118" s="5"/>
      <c r="I118" s="5"/>
      <c r="J118" s="1"/>
      <c r="K118" s="5"/>
      <c r="L118" s="5"/>
      <c r="M118" s="5"/>
      <c r="N118" s="5"/>
      <c r="O118" s="1"/>
      <c r="P118" s="5"/>
      <c r="Q118" s="5"/>
      <c r="R118" s="5"/>
      <c r="S118" s="5"/>
      <c r="T118" s="1"/>
      <c r="U118" s="5"/>
      <c r="V118" s="5"/>
      <c r="W118" s="5"/>
      <c r="X118" s="5"/>
      <c r="Y118" s="1"/>
      <c r="Z118" s="5"/>
      <c r="AA118" s="5"/>
      <c r="AB118" s="5"/>
      <c r="AC118" s="5"/>
      <c r="AD118" s="116"/>
      <c r="AE118" s="359"/>
      <c r="AF118" s="369"/>
      <c r="AG118" s="369"/>
      <c r="AH118" s="369"/>
    </row>
    <row r="119" spans="1:34" s="38" customFormat="1" ht="42" customHeight="1" x14ac:dyDescent="0.25">
      <c r="A119" s="5"/>
      <c r="B119" s="57"/>
      <c r="C119" s="58"/>
      <c r="D119" s="5"/>
      <c r="E119" s="1"/>
      <c r="F119" s="5"/>
      <c r="G119" s="5"/>
      <c r="H119" s="5"/>
      <c r="I119" s="5"/>
      <c r="J119" s="1"/>
      <c r="K119" s="5"/>
      <c r="L119" s="5"/>
      <c r="M119" s="5"/>
      <c r="N119" s="5"/>
      <c r="O119" s="1"/>
      <c r="P119" s="5"/>
      <c r="Q119" s="5"/>
      <c r="R119" s="5"/>
      <c r="S119" s="5"/>
      <c r="T119" s="1"/>
      <c r="U119" s="5"/>
      <c r="V119" s="5"/>
      <c r="W119" s="5"/>
      <c r="X119" s="5"/>
      <c r="Y119" s="1"/>
      <c r="Z119" s="5"/>
      <c r="AA119" s="5"/>
      <c r="AB119" s="5"/>
      <c r="AC119" s="5"/>
      <c r="AD119" s="116"/>
      <c r="AE119" s="359"/>
      <c r="AF119" s="369"/>
      <c r="AG119" s="369"/>
      <c r="AH119" s="369"/>
    </row>
    <row r="120" spans="1:34" s="38" customFormat="1" ht="42" customHeight="1" x14ac:dyDescent="0.25">
      <c r="A120" s="5"/>
      <c r="B120" s="57"/>
      <c r="C120" s="58"/>
      <c r="D120" s="5"/>
      <c r="E120" s="1"/>
      <c r="F120" s="5"/>
      <c r="G120" s="5"/>
      <c r="H120" s="5"/>
      <c r="I120" s="5"/>
      <c r="J120" s="1"/>
      <c r="K120" s="5"/>
      <c r="L120" s="5"/>
      <c r="M120" s="5"/>
      <c r="N120" s="5"/>
      <c r="O120" s="1"/>
      <c r="P120" s="5"/>
      <c r="Q120" s="5"/>
      <c r="R120" s="5"/>
      <c r="S120" s="5"/>
      <c r="T120" s="1"/>
      <c r="U120" s="5"/>
      <c r="V120" s="5"/>
      <c r="W120" s="5"/>
      <c r="X120" s="5"/>
      <c r="Y120" s="1"/>
      <c r="Z120" s="5"/>
      <c r="AA120" s="5"/>
      <c r="AB120" s="5"/>
      <c r="AC120" s="5"/>
      <c r="AD120" s="116"/>
      <c r="AE120" s="359"/>
      <c r="AF120" s="369"/>
      <c r="AG120" s="369"/>
      <c r="AH120" s="369"/>
    </row>
    <row r="121" spans="1:34" s="38" customFormat="1" ht="42" customHeight="1" x14ac:dyDescent="0.25">
      <c r="A121" s="5"/>
      <c r="B121" s="57"/>
      <c r="C121" s="58"/>
      <c r="D121" s="5"/>
      <c r="E121" s="1"/>
      <c r="F121" s="5"/>
      <c r="G121" s="5"/>
      <c r="H121" s="5"/>
      <c r="I121" s="5"/>
      <c r="J121" s="1"/>
      <c r="K121" s="5"/>
      <c r="L121" s="5"/>
      <c r="M121" s="5"/>
      <c r="N121" s="5"/>
      <c r="O121" s="1"/>
      <c r="P121" s="5"/>
      <c r="Q121" s="5"/>
      <c r="R121" s="5"/>
      <c r="S121" s="5"/>
      <c r="T121" s="1"/>
      <c r="U121" s="5"/>
      <c r="V121" s="5"/>
      <c r="W121" s="5"/>
      <c r="X121" s="5"/>
      <c r="Y121" s="1"/>
      <c r="Z121" s="5"/>
      <c r="AA121" s="5"/>
      <c r="AB121" s="5"/>
      <c r="AC121" s="5"/>
      <c r="AD121" s="116"/>
      <c r="AE121" s="359"/>
      <c r="AF121" s="369"/>
      <c r="AG121" s="369"/>
      <c r="AH121" s="369"/>
    </row>
    <row r="122" spans="1:34" s="38" customFormat="1" ht="42" customHeight="1" x14ac:dyDescent="0.25">
      <c r="A122" s="5"/>
      <c r="B122" s="57"/>
      <c r="C122" s="58"/>
      <c r="D122" s="5"/>
      <c r="E122" s="1"/>
      <c r="F122" s="5"/>
      <c r="G122" s="5"/>
      <c r="H122" s="5"/>
      <c r="I122" s="5"/>
      <c r="J122" s="1"/>
      <c r="K122" s="5"/>
      <c r="L122" s="5"/>
      <c r="M122" s="5"/>
      <c r="N122" s="5"/>
      <c r="O122" s="1"/>
      <c r="P122" s="5"/>
      <c r="Q122" s="5"/>
      <c r="R122" s="5"/>
      <c r="S122" s="5"/>
      <c r="T122" s="1"/>
      <c r="U122" s="5"/>
      <c r="V122" s="5"/>
      <c r="W122" s="5"/>
      <c r="X122" s="5"/>
      <c r="Y122" s="1"/>
      <c r="Z122" s="5"/>
      <c r="AA122" s="5"/>
      <c r="AB122" s="5"/>
      <c r="AC122" s="5"/>
      <c r="AD122" s="116"/>
      <c r="AE122" s="359"/>
      <c r="AF122" s="369"/>
      <c r="AG122" s="369"/>
      <c r="AH122" s="369"/>
    </row>
    <row r="123" spans="1:34" s="38" customFormat="1" ht="42" customHeight="1" x14ac:dyDescent="0.25">
      <c r="A123" s="5"/>
      <c r="B123" s="57"/>
      <c r="C123" s="58"/>
      <c r="D123" s="5"/>
      <c r="E123" s="1"/>
      <c r="F123" s="5"/>
      <c r="G123" s="5"/>
      <c r="H123" s="5"/>
      <c r="I123" s="5"/>
      <c r="J123" s="1"/>
      <c r="K123" s="5"/>
      <c r="L123" s="5"/>
      <c r="M123" s="5"/>
      <c r="N123" s="5"/>
      <c r="O123" s="1"/>
      <c r="P123" s="5"/>
      <c r="Q123" s="5"/>
      <c r="R123" s="5"/>
      <c r="S123" s="5"/>
      <c r="T123" s="1"/>
      <c r="U123" s="5"/>
      <c r="V123" s="5"/>
      <c r="W123" s="5"/>
      <c r="X123" s="5"/>
      <c r="Y123" s="1"/>
      <c r="Z123" s="5"/>
      <c r="AA123" s="5"/>
      <c r="AB123" s="5"/>
      <c r="AC123" s="5"/>
      <c r="AD123" s="116"/>
      <c r="AE123" s="359"/>
      <c r="AF123" s="369"/>
      <c r="AG123" s="369"/>
      <c r="AH123" s="369"/>
    </row>
    <row r="124" spans="1:34" s="38" customFormat="1" ht="42" customHeight="1" x14ac:dyDescent="0.25">
      <c r="A124" s="5"/>
      <c r="B124" s="57"/>
      <c r="C124" s="58"/>
      <c r="D124" s="5"/>
      <c r="E124" s="1"/>
      <c r="F124" s="5"/>
      <c r="G124" s="5"/>
      <c r="H124" s="5"/>
      <c r="I124" s="5"/>
      <c r="J124" s="1"/>
      <c r="K124" s="5"/>
      <c r="L124" s="5"/>
      <c r="M124" s="5"/>
      <c r="N124" s="5"/>
      <c r="O124" s="1"/>
      <c r="P124" s="5"/>
      <c r="Q124" s="5"/>
      <c r="R124" s="5"/>
      <c r="S124" s="5"/>
      <c r="T124" s="1"/>
      <c r="U124" s="5"/>
      <c r="V124" s="5"/>
      <c r="W124" s="5"/>
      <c r="X124" s="5"/>
      <c r="Y124" s="1"/>
      <c r="Z124" s="5"/>
      <c r="AA124" s="5"/>
      <c r="AB124" s="5"/>
      <c r="AC124" s="5"/>
      <c r="AD124" s="116"/>
      <c r="AE124" s="359"/>
      <c r="AF124" s="369"/>
      <c r="AG124" s="369"/>
      <c r="AH124" s="369"/>
    </row>
    <row r="125" spans="1:34" s="38" customFormat="1" ht="42" customHeight="1" x14ac:dyDescent="0.25">
      <c r="A125" s="5"/>
      <c r="B125" s="57"/>
      <c r="C125" s="58"/>
      <c r="D125" s="5"/>
      <c r="E125" s="1"/>
      <c r="F125" s="5"/>
      <c r="G125" s="5"/>
      <c r="H125" s="5"/>
      <c r="I125" s="5"/>
      <c r="J125" s="1"/>
      <c r="K125" s="5"/>
      <c r="L125" s="5"/>
      <c r="M125" s="5"/>
      <c r="N125" s="5"/>
      <c r="O125" s="1"/>
      <c r="P125" s="5"/>
      <c r="Q125" s="5"/>
      <c r="R125" s="5"/>
      <c r="S125" s="5"/>
      <c r="T125" s="1"/>
      <c r="U125" s="5"/>
      <c r="V125" s="5"/>
      <c r="W125" s="5"/>
      <c r="X125" s="5"/>
      <c r="Y125" s="1"/>
      <c r="Z125" s="5"/>
      <c r="AA125" s="5"/>
      <c r="AB125" s="5"/>
      <c r="AC125" s="5"/>
      <c r="AD125" s="116"/>
      <c r="AE125" s="359"/>
      <c r="AF125" s="369"/>
      <c r="AG125" s="369"/>
      <c r="AH125" s="369"/>
    </row>
    <row r="126" spans="1:34" s="38" customFormat="1" ht="42" customHeight="1" x14ac:dyDescent="0.25">
      <c r="A126" s="5"/>
      <c r="B126" s="57"/>
      <c r="C126" s="58"/>
      <c r="D126" s="5"/>
      <c r="E126" s="1"/>
      <c r="F126" s="5"/>
      <c r="G126" s="5"/>
      <c r="H126" s="5"/>
      <c r="I126" s="5"/>
      <c r="J126" s="1"/>
      <c r="K126" s="5"/>
      <c r="L126" s="5"/>
      <c r="M126" s="5"/>
      <c r="N126" s="5"/>
      <c r="O126" s="1"/>
      <c r="P126" s="5"/>
      <c r="Q126" s="5"/>
      <c r="R126" s="5"/>
      <c r="S126" s="5"/>
      <c r="T126" s="1"/>
      <c r="U126" s="5"/>
      <c r="V126" s="5"/>
      <c r="W126" s="5"/>
      <c r="X126" s="5"/>
      <c r="Y126" s="1"/>
      <c r="Z126" s="5"/>
      <c r="AA126" s="5"/>
      <c r="AB126" s="5"/>
      <c r="AC126" s="5"/>
      <c r="AD126" s="116"/>
      <c r="AE126" s="359"/>
      <c r="AF126" s="369"/>
      <c r="AG126" s="369"/>
      <c r="AH126" s="369"/>
    </row>
    <row r="127" spans="1:34" s="38" customFormat="1" ht="42" customHeight="1" x14ac:dyDescent="0.25">
      <c r="A127" s="5"/>
      <c r="B127" s="57"/>
      <c r="C127" s="58"/>
      <c r="D127" s="5"/>
      <c r="E127" s="1"/>
      <c r="F127" s="5"/>
      <c r="G127" s="5"/>
      <c r="H127" s="5"/>
      <c r="I127" s="5"/>
      <c r="J127" s="1"/>
      <c r="K127" s="5"/>
      <c r="L127" s="5"/>
      <c r="M127" s="5"/>
      <c r="N127" s="5"/>
      <c r="O127" s="1"/>
      <c r="P127" s="5"/>
      <c r="Q127" s="5"/>
      <c r="R127" s="5"/>
      <c r="S127" s="5"/>
      <c r="T127" s="1"/>
      <c r="U127" s="5"/>
      <c r="V127" s="5"/>
      <c r="W127" s="5"/>
      <c r="X127" s="5"/>
      <c r="Y127" s="1"/>
      <c r="Z127" s="5"/>
      <c r="AA127" s="5"/>
      <c r="AB127" s="5"/>
      <c r="AC127" s="5"/>
      <c r="AD127" s="116"/>
      <c r="AE127" s="359"/>
      <c r="AF127" s="369"/>
      <c r="AG127" s="369"/>
      <c r="AH127" s="369"/>
    </row>
    <row r="128" spans="1:34" s="38" customFormat="1" ht="42" customHeight="1" x14ac:dyDescent="0.25">
      <c r="A128" s="5"/>
      <c r="B128" s="57"/>
      <c r="C128" s="58"/>
      <c r="D128" s="5"/>
      <c r="E128" s="1"/>
      <c r="F128" s="5"/>
      <c r="G128" s="5"/>
      <c r="H128" s="5"/>
      <c r="I128" s="5"/>
      <c r="J128" s="1"/>
      <c r="K128" s="5"/>
      <c r="L128" s="5"/>
      <c r="M128" s="5"/>
      <c r="N128" s="5"/>
      <c r="O128" s="1"/>
      <c r="P128" s="5"/>
      <c r="Q128" s="5"/>
      <c r="R128" s="5"/>
      <c r="S128" s="5"/>
      <c r="T128" s="1"/>
      <c r="U128" s="5"/>
      <c r="V128" s="5"/>
      <c r="W128" s="5"/>
      <c r="X128" s="5"/>
      <c r="Y128" s="1"/>
      <c r="Z128" s="5"/>
      <c r="AA128" s="5"/>
      <c r="AB128" s="5"/>
      <c r="AC128" s="5"/>
      <c r="AD128" s="116"/>
      <c r="AE128" s="359"/>
      <c r="AF128" s="369"/>
      <c r="AG128" s="369"/>
      <c r="AH128" s="369"/>
    </row>
    <row r="129" spans="1:34" s="38" customFormat="1" ht="42" customHeight="1" x14ac:dyDescent="0.25">
      <c r="A129" s="5"/>
      <c r="B129" s="57"/>
      <c r="C129" s="58"/>
      <c r="D129" s="5"/>
      <c r="E129" s="1"/>
      <c r="F129" s="5"/>
      <c r="G129" s="5"/>
      <c r="H129" s="5"/>
      <c r="I129" s="5"/>
      <c r="J129" s="1"/>
      <c r="K129" s="5"/>
      <c r="L129" s="5"/>
      <c r="M129" s="5"/>
      <c r="N129" s="5"/>
      <c r="O129" s="1"/>
      <c r="P129" s="5"/>
      <c r="Q129" s="5"/>
      <c r="R129" s="5"/>
      <c r="S129" s="5"/>
      <c r="T129" s="1"/>
      <c r="U129" s="5"/>
      <c r="V129" s="5"/>
      <c r="W129" s="5"/>
      <c r="X129" s="5"/>
      <c r="Y129" s="1"/>
      <c r="Z129" s="5"/>
      <c r="AA129" s="5"/>
      <c r="AB129" s="5"/>
      <c r="AC129" s="5"/>
      <c r="AD129" s="116"/>
      <c r="AE129" s="359"/>
      <c r="AF129" s="369"/>
      <c r="AG129" s="369"/>
      <c r="AH129" s="369"/>
    </row>
    <row r="130" spans="1:34" s="38" customFormat="1" ht="42" customHeight="1" x14ac:dyDescent="0.25">
      <c r="A130" s="5"/>
      <c r="B130" s="57"/>
      <c r="C130" s="58"/>
      <c r="D130" s="5"/>
      <c r="E130" s="1"/>
      <c r="F130" s="5"/>
      <c r="G130" s="5"/>
      <c r="H130" s="5"/>
      <c r="I130" s="5"/>
      <c r="J130" s="1"/>
      <c r="K130" s="5"/>
      <c r="L130" s="5"/>
      <c r="M130" s="5"/>
      <c r="N130" s="5"/>
      <c r="O130" s="1"/>
      <c r="P130" s="5"/>
      <c r="Q130" s="5"/>
      <c r="R130" s="5"/>
      <c r="S130" s="5"/>
      <c r="T130" s="1"/>
      <c r="U130" s="5"/>
      <c r="V130" s="5"/>
      <c r="W130" s="5"/>
      <c r="X130" s="5"/>
      <c r="Y130" s="1"/>
      <c r="Z130" s="5"/>
      <c r="AA130" s="5"/>
      <c r="AB130" s="5"/>
      <c r="AC130" s="5"/>
      <c r="AD130" s="116"/>
      <c r="AE130" s="359"/>
      <c r="AF130" s="369"/>
      <c r="AG130" s="369"/>
      <c r="AH130" s="369"/>
    </row>
    <row r="131" spans="1:34" s="38" customFormat="1" ht="42" customHeight="1" x14ac:dyDescent="0.25">
      <c r="A131" s="5"/>
      <c r="B131" s="57"/>
      <c r="C131" s="58"/>
      <c r="D131" s="5"/>
      <c r="E131" s="1"/>
      <c r="F131" s="5"/>
      <c r="G131" s="5"/>
      <c r="H131" s="5"/>
      <c r="I131" s="5"/>
      <c r="J131" s="1"/>
      <c r="K131" s="5"/>
      <c r="L131" s="5"/>
      <c r="M131" s="5"/>
      <c r="N131" s="5"/>
      <c r="O131" s="1"/>
      <c r="P131" s="5"/>
      <c r="Q131" s="5"/>
      <c r="R131" s="5"/>
      <c r="S131" s="5"/>
      <c r="T131" s="1"/>
      <c r="U131" s="5"/>
      <c r="V131" s="5"/>
      <c r="W131" s="5"/>
      <c r="X131" s="5"/>
      <c r="Y131" s="1"/>
      <c r="Z131" s="5"/>
      <c r="AA131" s="5"/>
      <c r="AB131" s="5"/>
      <c r="AC131" s="5"/>
      <c r="AD131" s="116"/>
      <c r="AE131" s="359"/>
      <c r="AF131" s="369"/>
      <c r="AG131" s="369"/>
      <c r="AH131" s="369"/>
    </row>
    <row r="132" spans="1:34" s="38" customFormat="1" ht="42" customHeight="1" x14ac:dyDescent="0.25">
      <c r="A132" s="5"/>
      <c r="B132" s="57"/>
      <c r="C132" s="58"/>
      <c r="D132" s="5"/>
      <c r="E132" s="1"/>
      <c r="F132" s="5"/>
      <c r="G132" s="5"/>
      <c r="H132" s="5"/>
      <c r="I132" s="5"/>
      <c r="J132" s="1"/>
      <c r="K132" s="5"/>
      <c r="L132" s="5"/>
      <c r="M132" s="5"/>
      <c r="N132" s="5"/>
      <c r="O132" s="1"/>
      <c r="P132" s="5"/>
      <c r="Q132" s="5"/>
      <c r="R132" s="5"/>
      <c r="S132" s="5"/>
      <c r="T132" s="1"/>
      <c r="U132" s="5"/>
      <c r="V132" s="5"/>
      <c r="W132" s="5"/>
      <c r="X132" s="5"/>
      <c r="Y132" s="1"/>
      <c r="Z132" s="5"/>
      <c r="AA132" s="5"/>
      <c r="AB132" s="5"/>
      <c r="AC132" s="5"/>
      <c r="AD132" s="116"/>
      <c r="AE132" s="359"/>
      <c r="AF132" s="369"/>
      <c r="AG132" s="369"/>
      <c r="AH132" s="369"/>
    </row>
    <row r="133" spans="1:34" s="38" customFormat="1" ht="42" customHeight="1" x14ac:dyDescent="0.25">
      <c r="A133" s="5"/>
      <c r="B133" s="57"/>
      <c r="C133" s="58"/>
      <c r="D133" s="5"/>
      <c r="E133" s="1"/>
      <c r="F133" s="5"/>
      <c r="G133" s="5"/>
      <c r="H133" s="5"/>
      <c r="I133" s="5"/>
      <c r="J133" s="1"/>
      <c r="K133" s="5"/>
      <c r="L133" s="5"/>
      <c r="M133" s="5"/>
      <c r="N133" s="5"/>
      <c r="O133" s="1"/>
      <c r="P133" s="5"/>
      <c r="Q133" s="5"/>
      <c r="R133" s="5"/>
      <c r="S133" s="5"/>
      <c r="T133" s="1"/>
      <c r="U133" s="5"/>
      <c r="V133" s="5"/>
      <c r="W133" s="5"/>
      <c r="X133" s="5"/>
      <c r="Y133" s="1"/>
      <c r="Z133" s="5"/>
      <c r="AA133" s="5"/>
      <c r="AB133" s="5"/>
      <c r="AC133" s="5"/>
      <c r="AD133" s="116"/>
      <c r="AE133" s="359"/>
      <c r="AF133" s="369"/>
      <c r="AG133" s="369"/>
      <c r="AH133" s="369"/>
    </row>
    <row r="134" spans="1:34" s="38" customFormat="1" ht="42" customHeight="1" x14ac:dyDescent="0.25">
      <c r="A134" s="5"/>
      <c r="B134" s="57"/>
      <c r="C134" s="58"/>
      <c r="D134" s="5"/>
      <c r="E134" s="1"/>
      <c r="F134" s="5"/>
      <c r="G134" s="5"/>
      <c r="H134" s="5"/>
      <c r="I134" s="5"/>
      <c r="J134" s="1"/>
      <c r="K134" s="5"/>
      <c r="L134" s="5"/>
      <c r="M134" s="5"/>
      <c r="N134" s="5"/>
      <c r="O134" s="1"/>
      <c r="P134" s="5"/>
      <c r="Q134" s="5"/>
      <c r="R134" s="5"/>
      <c r="S134" s="5"/>
      <c r="T134" s="1"/>
      <c r="U134" s="5"/>
      <c r="V134" s="5"/>
      <c r="W134" s="5"/>
      <c r="X134" s="5"/>
      <c r="Y134" s="1"/>
      <c r="Z134" s="5"/>
      <c r="AA134" s="5"/>
      <c r="AB134" s="5"/>
      <c r="AC134" s="5"/>
      <c r="AD134" s="116"/>
      <c r="AE134" s="359"/>
      <c r="AF134" s="369"/>
      <c r="AG134" s="369"/>
      <c r="AH134" s="369"/>
    </row>
    <row r="135" spans="1:34" s="38" customFormat="1" ht="42" customHeight="1" x14ac:dyDescent="0.25">
      <c r="A135" s="5"/>
      <c r="B135" s="57"/>
      <c r="C135" s="58"/>
      <c r="D135" s="5"/>
      <c r="E135" s="1"/>
      <c r="F135" s="5"/>
      <c r="G135" s="5"/>
      <c r="H135" s="5"/>
      <c r="I135" s="5"/>
      <c r="J135" s="1"/>
      <c r="K135" s="5"/>
      <c r="L135" s="5"/>
      <c r="M135" s="5"/>
      <c r="N135" s="5"/>
      <c r="O135" s="1"/>
      <c r="P135" s="5"/>
      <c r="Q135" s="5"/>
      <c r="R135" s="5"/>
      <c r="S135" s="5"/>
      <c r="T135" s="1"/>
      <c r="U135" s="5"/>
      <c r="V135" s="5"/>
      <c r="W135" s="5"/>
      <c r="X135" s="5"/>
      <c r="Y135" s="1"/>
      <c r="Z135" s="5"/>
      <c r="AA135" s="5"/>
      <c r="AB135" s="5"/>
      <c r="AC135" s="5"/>
      <c r="AD135" s="116"/>
      <c r="AE135" s="359"/>
      <c r="AF135" s="369"/>
      <c r="AG135" s="369"/>
      <c r="AH135" s="369"/>
    </row>
    <row r="136" spans="1:34" s="38" customFormat="1" ht="42" customHeight="1" x14ac:dyDescent="0.25">
      <c r="A136" s="5"/>
      <c r="B136" s="57"/>
      <c r="C136" s="58"/>
      <c r="D136" s="5"/>
      <c r="E136" s="1"/>
      <c r="F136" s="5"/>
      <c r="G136" s="5"/>
      <c r="H136" s="5"/>
      <c r="I136" s="5"/>
      <c r="J136" s="1"/>
      <c r="K136" s="5"/>
      <c r="L136" s="5"/>
      <c r="M136" s="5"/>
      <c r="N136" s="5"/>
      <c r="O136" s="1"/>
      <c r="P136" s="5"/>
      <c r="Q136" s="5"/>
      <c r="R136" s="5"/>
      <c r="S136" s="5"/>
      <c r="T136" s="1"/>
      <c r="U136" s="5"/>
      <c r="V136" s="5"/>
      <c r="W136" s="5"/>
      <c r="X136" s="5"/>
      <c r="Y136" s="1"/>
      <c r="Z136" s="5"/>
      <c r="AA136" s="5"/>
      <c r="AB136" s="5"/>
      <c r="AC136" s="5"/>
      <c r="AD136" s="116"/>
      <c r="AE136" s="359"/>
      <c r="AF136" s="369"/>
      <c r="AG136" s="369"/>
      <c r="AH136" s="369"/>
    </row>
    <row r="137" spans="1:34" s="38" customFormat="1" ht="42" customHeight="1" x14ac:dyDescent="0.25">
      <c r="A137" s="5"/>
      <c r="B137" s="57"/>
      <c r="C137" s="58"/>
      <c r="D137" s="5"/>
      <c r="E137" s="1"/>
      <c r="F137" s="5"/>
      <c r="G137" s="5"/>
      <c r="H137" s="5"/>
      <c r="I137" s="5"/>
      <c r="J137" s="1"/>
      <c r="K137" s="5"/>
      <c r="L137" s="5"/>
      <c r="M137" s="5"/>
      <c r="N137" s="5"/>
      <c r="O137" s="1"/>
      <c r="P137" s="5"/>
      <c r="Q137" s="5"/>
      <c r="R137" s="5"/>
      <c r="S137" s="5"/>
      <c r="T137" s="1"/>
      <c r="U137" s="5"/>
      <c r="V137" s="5"/>
      <c r="W137" s="5"/>
      <c r="X137" s="5"/>
      <c r="Y137" s="1"/>
      <c r="Z137" s="5"/>
      <c r="AA137" s="5"/>
      <c r="AB137" s="5"/>
      <c r="AC137" s="5"/>
      <c r="AD137" s="116"/>
      <c r="AE137" s="359"/>
      <c r="AF137" s="369"/>
      <c r="AG137" s="369"/>
      <c r="AH137" s="369"/>
    </row>
    <row r="138" spans="1:34" s="38" customFormat="1" ht="42" customHeight="1" x14ac:dyDescent="0.25">
      <c r="A138" s="5"/>
      <c r="B138" s="57"/>
      <c r="C138" s="58"/>
      <c r="D138" s="5"/>
      <c r="E138" s="1"/>
      <c r="F138" s="5"/>
      <c r="G138" s="5"/>
      <c r="H138" s="5"/>
      <c r="I138" s="5"/>
      <c r="J138" s="1"/>
      <c r="K138" s="5"/>
      <c r="L138" s="5"/>
      <c r="M138" s="5"/>
      <c r="N138" s="5"/>
      <c r="O138" s="1"/>
      <c r="P138" s="5"/>
      <c r="Q138" s="5"/>
      <c r="R138" s="5"/>
      <c r="S138" s="5"/>
      <c r="T138" s="1"/>
      <c r="U138" s="5"/>
      <c r="V138" s="5"/>
      <c r="W138" s="5"/>
      <c r="X138" s="5"/>
      <c r="Y138" s="1"/>
      <c r="Z138" s="5"/>
      <c r="AA138" s="5"/>
      <c r="AB138" s="5"/>
      <c r="AC138" s="5"/>
      <c r="AD138" s="116"/>
      <c r="AE138" s="359"/>
      <c r="AF138" s="369"/>
      <c r="AG138" s="369"/>
      <c r="AH138" s="369"/>
    </row>
    <row r="139" spans="1:34" s="38" customFormat="1" ht="42" customHeight="1" x14ac:dyDescent="0.25">
      <c r="A139" s="5"/>
      <c r="B139" s="57"/>
      <c r="C139" s="58"/>
      <c r="D139" s="5"/>
      <c r="E139" s="1"/>
      <c r="F139" s="5"/>
      <c r="G139" s="5"/>
      <c r="H139" s="5"/>
      <c r="I139" s="5"/>
      <c r="J139" s="1"/>
      <c r="K139" s="5"/>
      <c r="L139" s="5"/>
      <c r="M139" s="5"/>
      <c r="N139" s="5"/>
      <c r="O139" s="1"/>
      <c r="P139" s="5"/>
      <c r="Q139" s="5"/>
      <c r="R139" s="5"/>
      <c r="S139" s="5"/>
      <c r="T139" s="1"/>
      <c r="U139" s="5"/>
      <c r="V139" s="5"/>
      <c r="W139" s="5"/>
      <c r="X139" s="5"/>
      <c r="Y139" s="1"/>
      <c r="Z139" s="5"/>
      <c r="AA139" s="5"/>
      <c r="AB139" s="5"/>
      <c r="AC139" s="5"/>
      <c r="AD139" s="116"/>
      <c r="AE139" s="359"/>
      <c r="AF139" s="369"/>
      <c r="AG139" s="369"/>
      <c r="AH139" s="369"/>
    </row>
    <row r="140" spans="1:34" s="38" customFormat="1" ht="42" customHeight="1" x14ac:dyDescent="0.25">
      <c r="A140" s="5"/>
      <c r="B140" s="57"/>
      <c r="C140" s="58"/>
      <c r="D140" s="5"/>
      <c r="E140" s="1"/>
      <c r="F140" s="5"/>
      <c r="G140" s="5"/>
      <c r="H140" s="5"/>
      <c r="I140" s="5"/>
      <c r="J140" s="1"/>
      <c r="K140" s="5"/>
      <c r="L140" s="5"/>
      <c r="M140" s="5"/>
      <c r="N140" s="5"/>
      <c r="O140" s="1"/>
      <c r="P140" s="5"/>
      <c r="Q140" s="5"/>
      <c r="R140" s="5"/>
      <c r="S140" s="5"/>
      <c r="T140" s="1"/>
      <c r="U140" s="5"/>
      <c r="V140" s="5"/>
      <c r="W140" s="5"/>
      <c r="X140" s="5"/>
      <c r="Y140" s="1"/>
      <c r="Z140" s="5"/>
      <c r="AA140" s="5"/>
      <c r="AB140" s="5"/>
      <c r="AC140" s="5"/>
      <c r="AD140" s="116"/>
      <c r="AE140" s="359"/>
      <c r="AF140" s="369"/>
      <c r="AG140" s="369"/>
      <c r="AH140" s="369"/>
    </row>
    <row r="141" spans="1:34" s="38" customFormat="1" ht="42" customHeight="1" x14ac:dyDescent="0.25">
      <c r="A141" s="5"/>
      <c r="B141" s="57"/>
      <c r="C141" s="58"/>
      <c r="D141" s="5"/>
      <c r="E141" s="1"/>
      <c r="F141" s="5"/>
      <c r="G141" s="5"/>
      <c r="H141" s="5"/>
      <c r="I141" s="5"/>
      <c r="J141" s="1"/>
      <c r="K141" s="5"/>
      <c r="L141" s="5"/>
      <c r="M141" s="5"/>
      <c r="N141" s="5"/>
      <c r="O141" s="1"/>
      <c r="P141" s="5"/>
      <c r="Q141" s="5"/>
      <c r="R141" s="5"/>
      <c r="S141" s="5"/>
      <c r="T141" s="1"/>
      <c r="U141" s="5"/>
      <c r="V141" s="5"/>
      <c r="W141" s="5"/>
      <c r="X141" s="5"/>
      <c r="Y141" s="1"/>
      <c r="Z141" s="5"/>
      <c r="AA141" s="5"/>
      <c r="AB141" s="5"/>
      <c r="AC141" s="5"/>
      <c r="AD141" s="116"/>
      <c r="AE141" s="359"/>
      <c r="AF141" s="369"/>
      <c r="AG141" s="369"/>
      <c r="AH141" s="369"/>
    </row>
    <row r="142" spans="1:34" s="38" customFormat="1" ht="42" customHeight="1" x14ac:dyDescent="0.25">
      <c r="A142" s="5"/>
      <c r="B142" s="57"/>
      <c r="C142" s="58"/>
      <c r="D142" s="5"/>
      <c r="E142" s="1"/>
      <c r="F142" s="5"/>
      <c r="G142" s="5"/>
      <c r="H142" s="5"/>
      <c r="I142" s="5"/>
      <c r="J142" s="1"/>
      <c r="K142" s="5"/>
      <c r="L142" s="5"/>
      <c r="M142" s="5"/>
      <c r="N142" s="5"/>
      <c r="O142" s="1"/>
      <c r="P142" s="5"/>
      <c r="Q142" s="5"/>
      <c r="R142" s="5"/>
      <c r="S142" s="5"/>
      <c r="T142" s="1"/>
      <c r="U142" s="5"/>
      <c r="V142" s="5"/>
      <c r="W142" s="5"/>
      <c r="X142" s="5"/>
      <c r="Y142" s="1"/>
      <c r="Z142" s="5"/>
      <c r="AA142" s="5"/>
      <c r="AB142" s="5"/>
      <c r="AC142" s="5"/>
      <c r="AD142" s="116"/>
      <c r="AE142" s="359"/>
      <c r="AF142" s="369"/>
      <c r="AG142" s="369"/>
      <c r="AH142" s="369"/>
    </row>
    <row r="143" spans="1:34" s="38" customFormat="1" ht="42" customHeight="1" x14ac:dyDescent="0.25">
      <c r="A143" s="5"/>
      <c r="B143" s="57"/>
      <c r="C143" s="58"/>
      <c r="D143" s="5"/>
      <c r="E143" s="1"/>
      <c r="F143" s="5"/>
      <c r="G143" s="5"/>
      <c r="H143" s="5"/>
      <c r="I143" s="5"/>
      <c r="J143" s="1"/>
      <c r="K143" s="5"/>
      <c r="L143" s="5"/>
      <c r="M143" s="5"/>
      <c r="N143" s="5"/>
      <c r="O143" s="1"/>
      <c r="P143" s="5"/>
      <c r="Q143" s="5"/>
      <c r="R143" s="5"/>
      <c r="S143" s="5"/>
      <c r="T143" s="1"/>
      <c r="U143" s="5"/>
      <c r="V143" s="5"/>
      <c r="W143" s="5"/>
      <c r="X143" s="5"/>
      <c r="Y143" s="1"/>
      <c r="Z143" s="5"/>
      <c r="AA143" s="5"/>
      <c r="AB143" s="5"/>
      <c r="AC143" s="5"/>
      <c r="AD143" s="116"/>
      <c r="AE143" s="359"/>
      <c r="AF143" s="369"/>
      <c r="AG143" s="369"/>
      <c r="AH143" s="369"/>
    </row>
    <row r="144" spans="1:34" s="38" customFormat="1" ht="42" customHeight="1" x14ac:dyDescent="0.25">
      <c r="A144" s="5"/>
      <c r="B144" s="57"/>
      <c r="C144" s="58"/>
      <c r="D144" s="5"/>
      <c r="E144" s="1"/>
      <c r="F144" s="5"/>
      <c r="G144" s="5"/>
      <c r="H144" s="5"/>
      <c r="I144" s="5"/>
      <c r="J144" s="1"/>
      <c r="K144" s="5"/>
      <c r="L144" s="5"/>
      <c r="M144" s="5"/>
      <c r="N144" s="5"/>
      <c r="O144" s="1"/>
      <c r="P144" s="5"/>
      <c r="Q144" s="5"/>
      <c r="R144" s="5"/>
      <c r="S144" s="5"/>
      <c r="T144" s="1"/>
      <c r="U144" s="5"/>
      <c r="V144" s="5"/>
      <c r="W144" s="5"/>
      <c r="X144" s="5"/>
      <c r="Y144" s="1"/>
      <c r="Z144" s="5"/>
      <c r="AA144" s="5"/>
      <c r="AB144" s="5"/>
      <c r="AC144" s="5"/>
      <c r="AD144" s="116"/>
      <c r="AE144" s="359"/>
      <c r="AF144" s="369"/>
      <c r="AG144" s="369"/>
      <c r="AH144" s="369"/>
    </row>
    <row r="145" spans="1:34" s="38" customFormat="1" ht="42" customHeight="1" x14ac:dyDescent="0.25">
      <c r="A145" s="5"/>
      <c r="B145" s="57"/>
      <c r="C145" s="58"/>
      <c r="D145" s="5"/>
      <c r="E145" s="1"/>
      <c r="F145" s="5"/>
      <c r="G145" s="5"/>
      <c r="H145" s="5"/>
      <c r="I145" s="5"/>
      <c r="J145" s="1"/>
      <c r="K145" s="5"/>
      <c r="L145" s="5"/>
      <c r="M145" s="5"/>
      <c r="N145" s="5"/>
      <c r="O145" s="1"/>
      <c r="P145" s="5"/>
      <c r="Q145" s="5"/>
      <c r="R145" s="5"/>
      <c r="S145" s="5"/>
      <c r="T145" s="1"/>
      <c r="U145" s="5"/>
      <c r="V145" s="5"/>
      <c r="W145" s="5"/>
      <c r="X145" s="5"/>
      <c r="Y145" s="1"/>
      <c r="Z145" s="5"/>
      <c r="AA145" s="5"/>
      <c r="AB145" s="5"/>
      <c r="AC145" s="5"/>
      <c r="AD145" s="116"/>
      <c r="AE145" s="359"/>
      <c r="AF145" s="369"/>
      <c r="AG145" s="369"/>
      <c r="AH145" s="369"/>
    </row>
    <row r="146" spans="1:34" s="38" customFormat="1" ht="42" customHeight="1" x14ac:dyDescent="0.25">
      <c r="A146" s="5"/>
      <c r="B146" s="57"/>
      <c r="C146" s="58"/>
      <c r="D146" s="5"/>
      <c r="E146" s="1"/>
      <c r="F146" s="5"/>
      <c r="G146" s="5"/>
      <c r="H146" s="5"/>
      <c r="I146" s="5"/>
      <c r="J146" s="1"/>
      <c r="K146" s="5"/>
      <c r="L146" s="5"/>
      <c r="M146" s="5"/>
      <c r="N146" s="5"/>
      <c r="O146" s="1"/>
      <c r="P146" s="5"/>
      <c r="Q146" s="5"/>
      <c r="R146" s="5"/>
      <c r="S146" s="5"/>
      <c r="T146" s="1"/>
      <c r="U146" s="5"/>
      <c r="V146" s="5"/>
      <c r="W146" s="5"/>
      <c r="X146" s="5"/>
      <c r="Y146" s="1"/>
      <c r="Z146" s="5"/>
      <c r="AA146" s="5"/>
      <c r="AB146" s="5"/>
      <c r="AC146" s="5"/>
      <c r="AD146" s="116"/>
      <c r="AE146" s="359"/>
      <c r="AF146" s="369"/>
      <c r="AG146" s="369"/>
      <c r="AH146" s="369"/>
    </row>
    <row r="147" spans="1:34" s="38" customFormat="1" ht="42" customHeight="1" x14ac:dyDescent="0.25">
      <c r="A147" s="5"/>
      <c r="B147" s="57"/>
      <c r="C147" s="58"/>
      <c r="D147" s="5"/>
      <c r="E147" s="1"/>
      <c r="F147" s="5"/>
      <c r="G147" s="5"/>
      <c r="H147" s="5"/>
      <c r="I147" s="5"/>
      <c r="J147" s="1"/>
      <c r="K147" s="5"/>
      <c r="L147" s="5"/>
      <c r="M147" s="5"/>
      <c r="N147" s="5"/>
      <c r="O147" s="1"/>
      <c r="P147" s="5"/>
      <c r="Q147" s="5"/>
      <c r="R147" s="5"/>
      <c r="S147" s="5"/>
      <c r="T147" s="1"/>
      <c r="U147" s="5"/>
      <c r="V147" s="5"/>
      <c r="W147" s="5"/>
      <c r="X147" s="5"/>
      <c r="Y147" s="1"/>
      <c r="Z147" s="5"/>
      <c r="AA147" s="5"/>
      <c r="AB147" s="5"/>
      <c r="AC147" s="5"/>
      <c r="AD147" s="116"/>
      <c r="AE147" s="359"/>
      <c r="AF147" s="369"/>
      <c r="AG147" s="369"/>
      <c r="AH147" s="369"/>
    </row>
    <row r="148" spans="1:34" s="38" customFormat="1" ht="42" customHeight="1" x14ac:dyDescent="0.25">
      <c r="A148" s="5"/>
      <c r="B148" s="57"/>
      <c r="C148" s="58"/>
      <c r="D148" s="5"/>
      <c r="E148" s="1"/>
      <c r="F148" s="5"/>
      <c r="G148" s="5"/>
      <c r="H148" s="5"/>
      <c r="I148" s="5"/>
      <c r="J148" s="1"/>
      <c r="K148" s="5"/>
      <c r="L148" s="5"/>
      <c r="M148" s="5"/>
      <c r="N148" s="5"/>
      <c r="O148" s="1"/>
      <c r="P148" s="5"/>
      <c r="Q148" s="5"/>
      <c r="R148" s="5"/>
      <c r="S148" s="5"/>
      <c r="T148" s="1"/>
      <c r="U148" s="5"/>
      <c r="V148" s="5"/>
      <c r="W148" s="5"/>
      <c r="X148" s="5"/>
      <c r="Y148" s="1"/>
      <c r="Z148" s="5"/>
      <c r="AA148" s="5"/>
      <c r="AB148" s="5"/>
      <c r="AC148" s="5"/>
      <c r="AD148" s="116"/>
      <c r="AE148" s="359"/>
      <c r="AF148" s="369"/>
      <c r="AG148" s="369"/>
      <c r="AH148" s="369"/>
    </row>
    <row r="149" spans="1:34" s="38" customFormat="1" ht="42" customHeight="1" x14ac:dyDescent="0.25">
      <c r="A149" s="5"/>
      <c r="B149" s="57"/>
      <c r="C149" s="58"/>
      <c r="D149" s="5"/>
      <c r="E149" s="1"/>
      <c r="F149" s="5"/>
      <c r="G149" s="5"/>
      <c r="H149" s="5"/>
      <c r="I149" s="5"/>
      <c r="J149" s="1"/>
      <c r="K149" s="5"/>
      <c r="L149" s="5"/>
      <c r="M149" s="5"/>
      <c r="N149" s="5"/>
      <c r="O149" s="1"/>
      <c r="P149" s="5"/>
      <c r="Q149" s="5"/>
      <c r="R149" s="5"/>
      <c r="S149" s="5"/>
      <c r="T149" s="1"/>
      <c r="U149" s="5"/>
      <c r="V149" s="5"/>
      <c r="W149" s="5"/>
      <c r="X149" s="5"/>
      <c r="Y149" s="1"/>
      <c r="Z149" s="5"/>
      <c r="AA149" s="5"/>
      <c r="AB149" s="5"/>
      <c r="AC149" s="5"/>
      <c r="AD149" s="116"/>
      <c r="AE149" s="359"/>
      <c r="AF149" s="369"/>
      <c r="AG149" s="369"/>
      <c r="AH149" s="369"/>
    </row>
    <row r="150" spans="1:34" s="38" customFormat="1" ht="42" customHeight="1" x14ac:dyDescent="0.25">
      <c r="A150" s="5"/>
      <c r="B150" s="57"/>
      <c r="C150" s="58"/>
      <c r="D150" s="5"/>
      <c r="E150" s="1"/>
      <c r="F150" s="5"/>
      <c r="G150" s="5"/>
      <c r="H150" s="5"/>
      <c r="I150" s="5"/>
      <c r="J150" s="1"/>
      <c r="K150" s="5"/>
      <c r="L150" s="5"/>
      <c r="M150" s="5"/>
      <c r="N150" s="5"/>
      <c r="O150" s="1"/>
      <c r="P150" s="5"/>
      <c r="Q150" s="5"/>
      <c r="R150" s="5"/>
      <c r="S150" s="5"/>
      <c r="T150" s="1"/>
      <c r="U150" s="5"/>
      <c r="V150" s="5"/>
      <c r="W150" s="5"/>
      <c r="X150" s="5"/>
      <c r="Y150" s="1"/>
      <c r="Z150" s="5"/>
      <c r="AA150" s="5"/>
      <c r="AB150" s="5"/>
      <c r="AC150" s="5"/>
      <c r="AD150" s="116"/>
      <c r="AE150" s="359"/>
      <c r="AF150" s="369"/>
      <c r="AG150" s="369"/>
      <c r="AH150" s="369"/>
    </row>
    <row r="151" spans="1:34" s="38" customFormat="1" ht="42" customHeight="1" x14ac:dyDescent="0.25">
      <c r="A151" s="5"/>
      <c r="B151" s="57"/>
      <c r="C151" s="58"/>
      <c r="D151" s="5"/>
      <c r="E151" s="1"/>
      <c r="F151" s="5"/>
      <c r="G151" s="5"/>
      <c r="H151" s="5"/>
      <c r="I151" s="5"/>
      <c r="J151" s="1"/>
      <c r="K151" s="5"/>
      <c r="L151" s="5"/>
      <c r="M151" s="5"/>
      <c r="N151" s="5"/>
      <c r="O151" s="1"/>
      <c r="P151" s="5"/>
      <c r="Q151" s="5"/>
      <c r="R151" s="5"/>
      <c r="S151" s="5"/>
      <c r="T151" s="1"/>
      <c r="U151" s="5"/>
      <c r="V151" s="5"/>
      <c r="W151" s="5"/>
      <c r="X151" s="5"/>
      <c r="Y151" s="1"/>
      <c r="Z151" s="5"/>
      <c r="AA151" s="5"/>
      <c r="AB151" s="5"/>
      <c r="AC151" s="5"/>
      <c r="AD151" s="116"/>
      <c r="AE151" s="359"/>
      <c r="AF151" s="369"/>
      <c r="AG151" s="369"/>
      <c r="AH151" s="369"/>
    </row>
    <row r="152" spans="1:34" s="38" customFormat="1" ht="42" customHeight="1" x14ac:dyDescent="0.25">
      <c r="A152" s="5"/>
      <c r="B152" s="57"/>
      <c r="C152" s="58"/>
      <c r="D152" s="5"/>
      <c r="E152" s="1"/>
      <c r="F152" s="5"/>
      <c r="G152" s="5"/>
      <c r="H152" s="5"/>
      <c r="I152" s="5"/>
      <c r="J152" s="1"/>
      <c r="K152" s="5"/>
      <c r="L152" s="5"/>
      <c r="M152" s="5"/>
      <c r="N152" s="5"/>
      <c r="O152" s="1"/>
      <c r="P152" s="5"/>
      <c r="Q152" s="5"/>
      <c r="R152" s="5"/>
      <c r="S152" s="5"/>
      <c r="T152" s="1"/>
      <c r="U152" s="5"/>
      <c r="V152" s="5"/>
      <c r="W152" s="5"/>
      <c r="X152" s="5"/>
      <c r="Y152" s="1"/>
      <c r="Z152" s="5"/>
      <c r="AA152" s="5"/>
      <c r="AB152" s="5"/>
      <c r="AC152" s="5"/>
      <c r="AD152" s="116"/>
      <c r="AE152" s="359"/>
      <c r="AF152" s="369"/>
      <c r="AG152" s="369"/>
      <c r="AH152" s="369"/>
    </row>
    <row r="153" spans="1:34" s="38" customFormat="1" ht="42" customHeight="1" x14ac:dyDescent="0.25">
      <c r="A153" s="5"/>
      <c r="B153" s="57"/>
      <c r="C153" s="58"/>
      <c r="D153" s="5"/>
      <c r="E153" s="1"/>
      <c r="F153" s="5"/>
      <c r="G153" s="5"/>
      <c r="H153" s="5"/>
      <c r="I153" s="5"/>
      <c r="J153" s="1"/>
      <c r="K153" s="5"/>
      <c r="L153" s="5"/>
      <c r="M153" s="5"/>
      <c r="N153" s="5"/>
      <c r="O153" s="1"/>
      <c r="P153" s="5"/>
      <c r="Q153" s="5"/>
      <c r="R153" s="5"/>
      <c r="S153" s="5"/>
      <c r="T153" s="1"/>
      <c r="U153" s="5"/>
      <c r="V153" s="5"/>
      <c r="W153" s="5"/>
      <c r="X153" s="5"/>
      <c r="Y153" s="1"/>
      <c r="Z153" s="5"/>
      <c r="AA153" s="5"/>
      <c r="AB153" s="5"/>
      <c r="AC153" s="5"/>
      <c r="AD153" s="116"/>
      <c r="AE153" s="359"/>
      <c r="AF153" s="369"/>
      <c r="AG153" s="369"/>
      <c r="AH153" s="369"/>
    </row>
    <row r="154" spans="1:34" s="38" customFormat="1" ht="42" customHeight="1" x14ac:dyDescent="0.25">
      <c r="A154" s="5"/>
      <c r="B154" s="57"/>
      <c r="C154" s="58"/>
      <c r="D154" s="5"/>
      <c r="E154" s="1"/>
      <c r="F154" s="5"/>
      <c r="G154" s="5"/>
      <c r="H154" s="5"/>
      <c r="I154" s="5"/>
      <c r="J154" s="1"/>
      <c r="K154" s="5"/>
      <c r="L154" s="5"/>
      <c r="M154" s="5"/>
      <c r="N154" s="5"/>
      <c r="O154" s="1"/>
      <c r="P154" s="5"/>
      <c r="Q154" s="5"/>
      <c r="R154" s="5"/>
      <c r="S154" s="5"/>
      <c r="T154" s="1"/>
      <c r="U154" s="5"/>
      <c r="V154" s="5"/>
      <c r="W154" s="5"/>
      <c r="X154" s="5"/>
      <c r="Y154" s="1"/>
      <c r="Z154" s="5"/>
      <c r="AA154" s="5"/>
      <c r="AB154" s="5"/>
      <c r="AC154" s="5"/>
      <c r="AD154" s="116"/>
      <c r="AE154" s="359"/>
      <c r="AF154" s="369"/>
      <c r="AG154" s="369"/>
      <c r="AH154" s="369"/>
    </row>
    <row r="155" spans="1:34" s="38" customFormat="1" ht="42" customHeight="1" x14ac:dyDescent="0.25">
      <c r="A155" s="5"/>
      <c r="B155" s="57"/>
      <c r="C155" s="58"/>
      <c r="D155" s="5"/>
      <c r="E155" s="1"/>
      <c r="F155" s="5"/>
      <c r="G155" s="5"/>
      <c r="H155" s="5"/>
      <c r="I155" s="5"/>
      <c r="J155" s="1"/>
      <c r="K155" s="5"/>
      <c r="L155" s="5"/>
      <c r="M155" s="5"/>
      <c r="N155" s="5"/>
      <c r="O155" s="1"/>
      <c r="P155" s="5"/>
      <c r="Q155" s="5"/>
      <c r="R155" s="5"/>
      <c r="S155" s="5"/>
      <c r="T155" s="1"/>
      <c r="U155" s="5"/>
      <c r="V155" s="5"/>
      <c r="W155" s="5"/>
      <c r="X155" s="5"/>
      <c r="Y155" s="1"/>
      <c r="Z155" s="5"/>
      <c r="AA155" s="5"/>
      <c r="AB155" s="5"/>
      <c r="AC155" s="5"/>
      <c r="AD155" s="116"/>
      <c r="AE155" s="359"/>
      <c r="AF155" s="369"/>
      <c r="AG155" s="369"/>
      <c r="AH155" s="369"/>
    </row>
    <row r="156" spans="1:34" s="38" customFormat="1" ht="42" customHeight="1" x14ac:dyDescent="0.25">
      <c r="A156" s="5"/>
      <c r="B156" s="57"/>
      <c r="C156" s="58"/>
      <c r="D156" s="5"/>
      <c r="E156" s="1"/>
      <c r="F156" s="5"/>
      <c r="G156" s="5"/>
      <c r="H156" s="5"/>
      <c r="I156" s="5"/>
      <c r="J156" s="1"/>
      <c r="K156" s="5"/>
      <c r="L156" s="5"/>
      <c r="M156" s="5"/>
      <c r="N156" s="5"/>
      <c r="O156" s="1"/>
      <c r="P156" s="5"/>
      <c r="Q156" s="5"/>
      <c r="R156" s="5"/>
      <c r="S156" s="5"/>
      <c r="T156" s="1"/>
      <c r="U156" s="5"/>
      <c r="V156" s="5"/>
      <c r="W156" s="5"/>
      <c r="X156" s="5"/>
      <c r="Y156" s="1"/>
      <c r="Z156" s="5"/>
      <c r="AA156" s="5"/>
      <c r="AB156" s="5"/>
      <c r="AC156" s="5"/>
      <c r="AD156" s="116"/>
      <c r="AE156" s="359"/>
      <c r="AF156" s="369"/>
      <c r="AG156" s="369"/>
      <c r="AH156" s="369"/>
    </row>
    <row r="157" spans="1:34" s="38" customFormat="1" ht="42" customHeight="1" x14ac:dyDescent="0.25">
      <c r="A157" s="5"/>
      <c r="B157" s="57"/>
      <c r="C157" s="58"/>
      <c r="D157" s="5"/>
      <c r="E157" s="1"/>
      <c r="F157" s="5"/>
      <c r="G157" s="5"/>
      <c r="H157" s="5"/>
      <c r="I157" s="5"/>
      <c r="J157" s="1"/>
      <c r="K157" s="5"/>
      <c r="L157" s="5"/>
      <c r="M157" s="5"/>
      <c r="N157" s="5"/>
      <c r="O157" s="1"/>
      <c r="P157" s="5"/>
      <c r="Q157" s="5"/>
      <c r="R157" s="5"/>
      <c r="S157" s="5"/>
      <c r="T157" s="1"/>
      <c r="U157" s="5"/>
      <c r="V157" s="5"/>
      <c r="W157" s="5"/>
      <c r="X157" s="5"/>
      <c r="Y157" s="1"/>
      <c r="Z157" s="5"/>
      <c r="AA157" s="5"/>
      <c r="AB157" s="5"/>
      <c r="AC157" s="5"/>
      <c r="AD157" s="116"/>
      <c r="AE157" s="359"/>
      <c r="AF157" s="369"/>
      <c r="AG157" s="369"/>
      <c r="AH157" s="369"/>
    </row>
    <row r="158" spans="1:34" s="38" customFormat="1" ht="42" customHeight="1" x14ac:dyDescent="0.25">
      <c r="A158" s="5"/>
      <c r="B158" s="57"/>
      <c r="C158" s="58"/>
      <c r="D158" s="5"/>
      <c r="E158" s="1"/>
      <c r="F158" s="5"/>
      <c r="G158" s="5"/>
      <c r="H158" s="5"/>
      <c r="I158" s="5"/>
      <c r="J158" s="1"/>
      <c r="K158" s="5"/>
      <c r="L158" s="5"/>
      <c r="M158" s="5"/>
      <c r="N158" s="5"/>
      <c r="O158" s="1"/>
      <c r="P158" s="5"/>
      <c r="Q158" s="5"/>
      <c r="R158" s="5"/>
      <c r="S158" s="5"/>
      <c r="T158" s="1"/>
      <c r="U158" s="5"/>
      <c r="V158" s="5"/>
      <c r="W158" s="5"/>
      <c r="X158" s="5"/>
      <c r="Y158" s="1"/>
      <c r="Z158" s="5"/>
      <c r="AA158" s="5"/>
      <c r="AB158" s="5"/>
      <c r="AC158" s="5"/>
      <c r="AD158" s="116"/>
      <c r="AE158" s="359"/>
      <c r="AF158" s="369"/>
      <c r="AG158" s="369"/>
      <c r="AH158" s="369"/>
    </row>
    <row r="159" spans="1:34" s="38" customFormat="1" ht="42" customHeight="1" x14ac:dyDescent="0.25">
      <c r="A159" s="5"/>
      <c r="B159" s="57"/>
      <c r="C159" s="58"/>
      <c r="D159" s="5"/>
      <c r="E159" s="1"/>
      <c r="F159" s="5"/>
      <c r="G159" s="5"/>
      <c r="H159" s="5"/>
      <c r="I159" s="5"/>
      <c r="J159" s="1"/>
      <c r="K159" s="5"/>
      <c r="L159" s="5"/>
      <c r="M159" s="5"/>
      <c r="N159" s="5"/>
      <c r="O159" s="1"/>
      <c r="P159" s="5"/>
      <c r="Q159" s="5"/>
      <c r="R159" s="5"/>
      <c r="S159" s="5"/>
      <c r="T159" s="1"/>
      <c r="U159" s="5"/>
      <c r="V159" s="5"/>
      <c r="W159" s="5"/>
      <c r="X159" s="5"/>
      <c r="Y159" s="1"/>
      <c r="Z159" s="5"/>
      <c r="AA159" s="5"/>
      <c r="AB159" s="5"/>
      <c r="AC159" s="5"/>
      <c r="AD159" s="116"/>
      <c r="AE159" s="359"/>
      <c r="AF159" s="369"/>
      <c r="AG159" s="369"/>
      <c r="AH159" s="369"/>
    </row>
    <row r="160" spans="1:34" s="38" customFormat="1" ht="42" customHeight="1" x14ac:dyDescent="0.25">
      <c r="A160" s="5"/>
      <c r="B160" s="57"/>
      <c r="C160" s="58"/>
      <c r="D160" s="5"/>
      <c r="E160" s="1"/>
      <c r="F160" s="5"/>
      <c r="G160" s="5"/>
      <c r="H160" s="5"/>
      <c r="I160" s="5"/>
      <c r="J160" s="1"/>
      <c r="K160" s="5"/>
      <c r="L160" s="5"/>
      <c r="M160" s="5"/>
      <c r="N160" s="5"/>
      <c r="O160" s="1"/>
      <c r="P160" s="5"/>
      <c r="Q160" s="5"/>
      <c r="R160" s="5"/>
      <c r="S160" s="5"/>
      <c r="T160" s="1"/>
      <c r="U160" s="5"/>
      <c r="V160" s="5"/>
      <c r="W160" s="5"/>
      <c r="X160" s="5"/>
      <c r="Y160" s="1"/>
      <c r="Z160" s="5"/>
      <c r="AA160" s="5"/>
      <c r="AB160" s="5"/>
      <c r="AC160" s="5"/>
      <c r="AD160" s="116"/>
      <c r="AE160" s="359"/>
      <c r="AF160" s="369"/>
      <c r="AG160" s="369"/>
      <c r="AH160" s="369"/>
    </row>
    <row r="161" spans="1:34" s="38" customFormat="1" ht="42" customHeight="1" x14ac:dyDescent="0.25">
      <c r="A161" s="5"/>
      <c r="B161" s="57"/>
      <c r="C161" s="58"/>
      <c r="D161" s="5"/>
      <c r="E161" s="1"/>
      <c r="F161" s="5"/>
      <c r="G161" s="5"/>
      <c r="H161" s="5"/>
      <c r="I161" s="5"/>
      <c r="J161" s="1"/>
      <c r="K161" s="5"/>
      <c r="L161" s="5"/>
      <c r="M161" s="5"/>
      <c r="N161" s="5"/>
      <c r="O161" s="1"/>
      <c r="P161" s="5"/>
      <c r="Q161" s="5"/>
      <c r="R161" s="5"/>
      <c r="S161" s="5"/>
      <c r="T161" s="1"/>
      <c r="U161" s="5"/>
      <c r="V161" s="5"/>
      <c r="W161" s="5"/>
      <c r="X161" s="5"/>
      <c r="Y161" s="1"/>
      <c r="Z161" s="5"/>
      <c r="AA161" s="5"/>
      <c r="AB161" s="5"/>
      <c r="AC161" s="5"/>
      <c r="AD161" s="116"/>
      <c r="AE161" s="359"/>
      <c r="AF161" s="369"/>
      <c r="AG161" s="369"/>
      <c r="AH161" s="369"/>
    </row>
    <row r="162" spans="1:34" s="38" customFormat="1" ht="42" customHeight="1" x14ac:dyDescent="0.25">
      <c r="A162" s="5"/>
      <c r="B162" s="57"/>
      <c r="C162" s="58"/>
      <c r="D162" s="5"/>
      <c r="E162" s="1"/>
      <c r="F162" s="5"/>
      <c r="G162" s="5"/>
      <c r="H162" s="5"/>
      <c r="I162" s="5"/>
      <c r="J162" s="1"/>
      <c r="K162" s="5"/>
      <c r="L162" s="5"/>
      <c r="M162" s="5"/>
      <c r="N162" s="5"/>
      <c r="O162" s="1"/>
      <c r="P162" s="5"/>
      <c r="Q162" s="5"/>
      <c r="R162" s="5"/>
      <c r="S162" s="5"/>
      <c r="T162" s="1"/>
      <c r="U162" s="5"/>
      <c r="V162" s="5"/>
      <c r="W162" s="5"/>
      <c r="X162" s="5"/>
      <c r="Y162" s="1"/>
      <c r="Z162" s="5"/>
      <c r="AA162" s="5"/>
      <c r="AB162" s="5"/>
      <c r="AC162" s="5"/>
      <c r="AD162" s="116"/>
      <c r="AE162" s="359"/>
      <c r="AF162" s="369"/>
      <c r="AG162" s="369"/>
      <c r="AH162" s="369"/>
    </row>
    <row r="163" spans="1:34" s="38" customFormat="1" ht="42" customHeight="1" x14ac:dyDescent="0.25">
      <c r="A163" s="5"/>
      <c r="B163" s="57"/>
      <c r="C163" s="58"/>
      <c r="D163" s="5"/>
      <c r="E163" s="1"/>
      <c r="F163" s="5"/>
      <c r="G163" s="5"/>
      <c r="H163" s="5"/>
      <c r="I163" s="5"/>
      <c r="J163" s="1"/>
      <c r="K163" s="5"/>
      <c r="L163" s="5"/>
      <c r="M163" s="5"/>
      <c r="N163" s="5"/>
      <c r="O163" s="1"/>
      <c r="P163" s="5"/>
      <c r="Q163" s="5"/>
      <c r="R163" s="5"/>
      <c r="S163" s="5"/>
      <c r="T163" s="1"/>
      <c r="U163" s="5"/>
      <c r="V163" s="5"/>
      <c r="W163" s="5"/>
      <c r="X163" s="5"/>
      <c r="Y163" s="1"/>
      <c r="Z163" s="5"/>
      <c r="AA163" s="5"/>
      <c r="AB163" s="5"/>
      <c r="AC163" s="5"/>
      <c r="AD163" s="116"/>
      <c r="AE163" s="359"/>
      <c r="AF163" s="369"/>
      <c r="AG163" s="369"/>
      <c r="AH163" s="369"/>
    </row>
    <row r="164" spans="1:34" s="38" customFormat="1" ht="42" customHeight="1" x14ac:dyDescent="0.25">
      <c r="A164" s="5"/>
      <c r="B164" s="57"/>
      <c r="C164" s="58"/>
      <c r="D164" s="5"/>
      <c r="E164" s="1"/>
      <c r="F164" s="5"/>
      <c r="G164" s="5"/>
      <c r="H164" s="5"/>
      <c r="I164" s="5"/>
      <c r="J164" s="1"/>
      <c r="K164" s="5"/>
      <c r="L164" s="5"/>
      <c r="M164" s="5"/>
      <c r="N164" s="5"/>
      <c r="O164" s="1"/>
      <c r="P164" s="5"/>
      <c r="Q164" s="5"/>
      <c r="R164" s="5"/>
      <c r="S164" s="5"/>
      <c r="T164" s="1"/>
      <c r="U164" s="5"/>
      <c r="V164" s="5"/>
      <c r="W164" s="5"/>
      <c r="X164" s="5"/>
      <c r="Y164" s="1"/>
      <c r="Z164" s="5"/>
      <c r="AA164" s="5"/>
      <c r="AB164" s="5"/>
      <c r="AC164" s="5"/>
      <c r="AD164" s="116"/>
      <c r="AE164" s="359"/>
      <c r="AF164" s="369"/>
      <c r="AG164" s="369"/>
      <c r="AH164" s="369"/>
    </row>
    <row r="165" spans="1:34" s="38" customFormat="1" ht="42" customHeight="1" x14ac:dyDescent="0.25">
      <c r="A165" s="5"/>
      <c r="B165" s="57"/>
      <c r="C165" s="58"/>
      <c r="D165" s="5"/>
      <c r="E165" s="1"/>
      <c r="F165" s="5"/>
      <c r="G165" s="5"/>
      <c r="H165" s="5"/>
      <c r="I165" s="5"/>
      <c r="J165" s="1"/>
      <c r="K165" s="5"/>
      <c r="L165" s="5"/>
      <c r="M165" s="5"/>
      <c r="N165" s="5"/>
      <c r="O165" s="1"/>
      <c r="P165" s="5"/>
      <c r="Q165" s="5"/>
      <c r="R165" s="5"/>
      <c r="S165" s="5"/>
      <c r="T165" s="1"/>
      <c r="U165" s="5"/>
      <c r="V165" s="5"/>
      <c r="W165" s="5"/>
      <c r="X165" s="5"/>
      <c r="Y165" s="1"/>
      <c r="Z165" s="5"/>
      <c r="AA165" s="5"/>
      <c r="AB165" s="5"/>
      <c r="AC165" s="5"/>
      <c r="AD165" s="116"/>
      <c r="AE165" s="359"/>
      <c r="AF165" s="369"/>
      <c r="AG165" s="369"/>
      <c r="AH165" s="369"/>
    </row>
    <row r="166" spans="1:34" s="38" customFormat="1" ht="42" customHeight="1" x14ac:dyDescent="0.25">
      <c r="A166" s="5"/>
      <c r="B166" s="57"/>
      <c r="C166" s="58"/>
      <c r="D166" s="5"/>
      <c r="E166" s="1"/>
      <c r="F166" s="5"/>
      <c r="G166" s="5"/>
      <c r="H166" s="5"/>
      <c r="I166" s="5"/>
      <c r="J166" s="1"/>
      <c r="K166" s="5"/>
      <c r="L166" s="5"/>
      <c r="M166" s="5"/>
      <c r="N166" s="5"/>
      <c r="O166" s="1"/>
      <c r="P166" s="5"/>
      <c r="Q166" s="5"/>
      <c r="R166" s="5"/>
      <c r="S166" s="5"/>
      <c r="T166" s="1"/>
      <c r="U166" s="5"/>
      <c r="V166" s="5"/>
      <c r="W166" s="5"/>
      <c r="X166" s="5"/>
      <c r="Y166" s="1"/>
      <c r="Z166" s="5"/>
      <c r="AA166" s="5"/>
      <c r="AB166" s="5"/>
      <c r="AC166" s="5"/>
      <c r="AD166" s="116"/>
      <c r="AE166" s="359"/>
      <c r="AF166" s="369"/>
      <c r="AG166" s="369"/>
      <c r="AH166" s="369"/>
    </row>
    <row r="167" spans="1:34" s="38" customFormat="1" ht="42" customHeight="1" x14ac:dyDescent="0.25">
      <c r="A167" s="5"/>
      <c r="B167" s="57"/>
      <c r="C167" s="58"/>
      <c r="D167" s="5"/>
      <c r="E167" s="1"/>
      <c r="F167" s="5"/>
      <c r="G167" s="5"/>
      <c r="H167" s="5"/>
      <c r="I167" s="5"/>
      <c r="J167" s="1"/>
      <c r="K167" s="5"/>
      <c r="L167" s="5"/>
      <c r="M167" s="5"/>
      <c r="N167" s="5"/>
      <c r="O167" s="1"/>
      <c r="P167" s="5"/>
      <c r="Q167" s="5"/>
      <c r="R167" s="5"/>
      <c r="S167" s="5"/>
      <c r="T167" s="1"/>
      <c r="U167" s="5"/>
      <c r="V167" s="5"/>
      <c r="W167" s="5"/>
      <c r="X167" s="5"/>
      <c r="Y167" s="1"/>
      <c r="Z167" s="5"/>
      <c r="AA167" s="5"/>
      <c r="AB167" s="5"/>
      <c r="AC167" s="5"/>
      <c r="AD167" s="116"/>
      <c r="AE167" s="359"/>
      <c r="AF167" s="369"/>
      <c r="AG167" s="369"/>
      <c r="AH167" s="369"/>
    </row>
    <row r="168" spans="1:34" s="38" customFormat="1" ht="42" customHeight="1" x14ac:dyDescent="0.25">
      <c r="A168" s="5"/>
      <c r="B168" s="57"/>
      <c r="C168" s="58"/>
      <c r="D168" s="5"/>
      <c r="E168" s="1"/>
      <c r="F168" s="5"/>
      <c r="G168" s="5"/>
      <c r="H168" s="5"/>
      <c r="I168" s="5"/>
      <c r="J168" s="1"/>
      <c r="K168" s="5"/>
      <c r="L168" s="5"/>
      <c r="M168" s="5"/>
      <c r="N168" s="5"/>
      <c r="O168" s="1"/>
      <c r="P168" s="5"/>
      <c r="Q168" s="5"/>
      <c r="R168" s="5"/>
      <c r="S168" s="5"/>
      <c r="T168" s="1"/>
      <c r="U168" s="5"/>
      <c r="V168" s="5"/>
      <c r="W168" s="5"/>
      <c r="X168" s="5"/>
      <c r="Y168" s="1"/>
      <c r="Z168" s="5"/>
      <c r="AA168" s="5"/>
      <c r="AB168" s="5"/>
      <c r="AC168" s="5"/>
      <c r="AD168" s="116"/>
      <c r="AE168" s="359"/>
      <c r="AF168" s="369"/>
      <c r="AG168" s="369"/>
      <c r="AH168" s="369"/>
    </row>
    <row r="169" spans="1:34" s="38" customFormat="1" ht="42" customHeight="1" x14ac:dyDescent="0.25">
      <c r="A169" s="5"/>
      <c r="B169" s="57"/>
      <c r="C169" s="58"/>
      <c r="D169" s="5"/>
      <c r="E169" s="1"/>
      <c r="F169" s="5"/>
      <c r="G169" s="5"/>
      <c r="H169" s="5"/>
      <c r="I169" s="5"/>
      <c r="J169" s="1"/>
      <c r="K169" s="5"/>
      <c r="L169" s="5"/>
      <c r="M169" s="5"/>
      <c r="N169" s="5"/>
      <c r="O169" s="1"/>
      <c r="P169" s="5"/>
      <c r="Q169" s="5"/>
      <c r="R169" s="5"/>
      <c r="S169" s="5"/>
      <c r="T169" s="1"/>
      <c r="U169" s="5"/>
      <c r="V169" s="5"/>
      <c r="W169" s="5"/>
      <c r="X169" s="5"/>
      <c r="Y169" s="1"/>
      <c r="Z169" s="5"/>
      <c r="AA169" s="5"/>
      <c r="AB169" s="5"/>
      <c r="AC169" s="5"/>
      <c r="AD169" s="116"/>
      <c r="AE169" s="359"/>
      <c r="AF169" s="369"/>
      <c r="AG169" s="369"/>
      <c r="AH169" s="369"/>
    </row>
    <row r="170" spans="1:34" s="38" customFormat="1" ht="42" customHeight="1" x14ac:dyDescent="0.25">
      <c r="A170" s="5"/>
      <c r="B170" s="57"/>
      <c r="C170" s="58"/>
      <c r="D170" s="5"/>
      <c r="E170" s="1"/>
      <c r="F170" s="5"/>
      <c r="G170" s="5"/>
      <c r="H170" s="5"/>
      <c r="I170" s="5"/>
      <c r="J170" s="1"/>
      <c r="K170" s="5"/>
      <c r="L170" s="5"/>
      <c r="M170" s="5"/>
      <c r="N170" s="5"/>
      <c r="O170" s="1"/>
      <c r="P170" s="5"/>
      <c r="Q170" s="5"/>
      <c r="R170" s="5"/>
      <c r="S170" s="5"/>
      <c r="T170" s="1"/>
      <c r="U170" s="5"/>
      <c r="V170" s="5"/>
      <c r="W170" s="5"/>
      <c r="X170" s="5"/>
      <c r="Y170" s="1"/>
      <c r="Z170" s="5"/>
      <c r="AA170" s="5"/>
      <c r="AB170" s="5"/>
      <c r="AC170" s="5"/>
      <c r="AD170" s="116"/>
      <c r="AE170" s="359"/>
      <c r="AF170" s="369"/>
      <c r="AG170" s="369"/>
      <c r="AH170" s="369"/>
    </row>
    <row r="171" spans="1:34" s="38" customFormat="1" ht="42" customHeight="1" x14ac:dyDescent="0.25">
      <c r="A171" s="5"/>
      <c r="B171" s="57"/>
      <c r="C171" s="58"/>
      <c r="D171" s="5"/>
      <c r="E171" s="1"/>
      <c r="F171" s="5"/>
      <c r="G171" s="5"/>
      <c r="H171" s="5"/>
      <c r="I171" s="5"/>
      <c r="J171" s="1"/>
      <c r="K171" s="5"/>
      <c r="L171" s="5"/>
      <c r="M171" s="5"/>
      <c r="N171" s="5"/>
      <c r="O171" s="1"/>
      <c r="P171" s="5"/>
      <c r="Q171" s="5"/>
      <c r="R171" s="5"/>
      <c r="S171" s="5"/>
      <c r="T171" s="1"/>
      <c r="U171" s="5"/>
      <c r="V171" s="5"/>
      <c r="W171" s="5"/>
      <c r="X171" s="5"/>
      <c r="Y171" s="1"/>
      <c r="Z171" s="5"/>
      <c r="AA171" s="5"/>
      <c r="AB171" s="5"/>
      <c r="AC171" s="5"/>
      <c r="AD171" s="116"/>
      <c r="AE171" s="359"/>
      <c r="AF171" s="369"/>
      <c r="AG171" s="369"/>
      <c r="AH171" s="369"/>
    </row>
    <row r="172" spans="1:34" s="38" customFormat="1" ht="42" customHeight="1" x14ac:dyDescent="0.25">
      <c r="A172" s="5"/>
      <c r="B172" s="57"/>
      <c r="C172" s="58"/>
      <c r="D172" s="5"/>
      <c r="E172" s="1"/>
      <c r="F172" s="5"/>
      <c r="G172" s="5"/>
      <c r="H172" s="5"/>
      <c r="I172" s="5"/>
      <c r="J172" s="1"/>
      <c r="K172" s="5"/>
      <c r="L172" s="5"/>
      <c r="M172" s="5"/>
      <c r="N172" s="5"/>
      <c r="O172" s="1"/>
      <c r="P172" s="5"/>
      <c r="Q172" s="5"/>
      <c r="R172" s="5"/>
      <c r="S172" s="5"/>
      <c r="T172" s="1"/>
      <c r="U172" s="5"/>
      <c r="V172" s="5"/>
      <c r="W172" s="5"/>
      <c r="X172" s="5"/>
      <c r="Y172" s="1"/>
      <c r="Z172" s="5"/>
      <c r="AA172" s="5"/>
      <c r="AB172" s="5"/>
      <c r="AC172" s="5"/>
      <c r="AD172" s="116"/>
      <c r="AE172" s="359"/>
      <c r="AF172" s="369"/>
      <c r="AG172" s="369"/>
      <c r="AH172" s="369"/>
    </row>
    <row r="173" spans="1:34" s="38" customFormat="1" ht="42" customHeight="1" x14ac:dyDescent="0.25">
      <c r="A173" s="5"/>
      <c r="B173" s="57"/>
      <c r="C173" s="58"/>
      <c r="D173" s="5"/>
      <c r="E173" s="1"/>
      <c r="F173" s="5"/>
      <c r="G173" s="5"/>
      <c r="H173" s="5"/>
      <c r="I173" s="5"/>
      <c r="J173" s="1"/>
      <c r="K173" s="5"/>
      <c r="L173" s="5"/>
      <c r="M173" s="5"/>
      <c r="N173" s="5"/>
      <c r="O173" s="1"/>
      <c r="P173" s="5"/>
      <c r="Q173" s="5"/>
      <c r="R173" s="5"/>
      <c r="S173" s="5"/>
      <c r="T173" s="1"/>
      <c r="U173" s="5"/>
      <c r="V173" s="5"/>
      <c r="W173" s="5"/>
      <c r="X173" s="5"/>
      <c r="Y173" s="1"/>
      <c r="Z173" s="5"/>
      <c r="AA173" s="5"/>
      <c r="AB173" s="5"/>
      <c r="AC173" s="5"/>
      <c r="AD173" s="116"/>
      <c r="AE173" s="359"/>
      <c r="AF173" s="369"/>
      <c r="AG173" s="369"/>
      <c r="AH173" s="369"/>
    </row>
    <row r="174" spans="1:34" s="38" customFormat="1" ht="42" customHeight="1" x14ac:dyDescent="0.25">
      <c r="A174" s="5"/>
      <c r="B174" s="57"/>
      <c r="C174" s="58"/>
      <c r="D174" s="5"/>
      <c r="E174" s="1"/>
      <c r="F174" s="5"/>
      <c r="G174" s="5"/>
      <c r="H174" s="5"/>
      <c r="I174" s="5"/>
      <c r="J174" s="1"/>
      <c r="K174" s="5"/>
      <c r="L174" s="5"/>
      <c r="M174" s="5"/>
      <c r="N174" s="5"/>
      <c r="O174" s="1"/>
      <c r="P174" s="5"/>
      <c r="Q174" s="5"/>
      <c r="R174" s="5"/>
      <c r="S174" s="5"/>
      <c r="T174" s="1"/>
      <c r="U174" s="5"/>
      <c r="V174" s="5"/>
      <c r="W174" s="5"/>
      <c r="X174" s="5"/>
      <c r="Y174" s="1"/>
      <c r="Z174" s="5"/>
      <c r="AA174" s="5"/>
      <c r="AB174" s="5"/>
      <c r="AC174" s="5"/>
      <c r="AD174" s="116"/>
      <c r="AE174" s="359"/>
      <c r="AF174" s="369"/>
      <c r="AG174" s="369"/>
      <c r="AH174" s="369"/>
    </row>
    <row r="175" spans="1:34" s="38" customFormat="1" ht="42" customHeight="1" x14ac:dyDescent="0.25">
      <c r="A175" s="5"/>
      <c r="B175" s="57"/>
      <c r="C175" s="58"/>
      <c r="D175" s="5"/>
      <c r="E175" s="1"/>
      <c r="F175" s="5"/>
      <c r="G175" s="5"/>
      <c r="H175" s="5"/>
      <c r="I175" s="5"/>
      <c r="J175" s="1"/>
      <c r="K175" s="5"/>
      <c r="L175" s="5"/>
      <c r="M175" s="5"/>
      <c r="N175" s="5"/>
      <c r="O175" s="1"/>
      <c r="P175" s="5"/>
      <c r="Q175" s="5"/>
      <c r="R175" s="5"/>
      <c r="S175" s="5"/>
      <c r="T175" s="1"/>
      <c r="U175" s="5"/>
      <c r="V175" s="5"/>
      <c r="W175" s="5"/>
      <c r="X175" s="5"/>
      <c r="Y175" s="1"/>
      <c r="Z175" s="5"/>
      <c r="AA175" s="5"/>
      <c r="AB175" s="5"/>
      <c r="AC175" s="5"/>
      <c r="AD175" s="116"/>
      <c r="AE175" s="359"/>
      <c r="AF175" s="369"/>
      <c r="AG175" s="369"/>
      <c r="AH175" s="369"/>
    </row>
    <row r="176" spans="1:34" s="38" customFormat="1" ht="42" customHeight="1" x14ac:dyDescent="0.25">
      <c r="A176" s="5"/>
      <c r="B176" s="57"/>
      <c r="C176" s="58"/>
      <c r="D176" s="5"/>
      <c r="E176" s="1"/>
      <c r="F176" s="5"/>
      <c r="G176" s="5"/>
      <c r="H176" s="5"/>
      <c r="I176" s="5"/>
      <c r="J176" s="1"/>
      <c r="K176" s="5"/>
      <c r="L176" s="5"/>
      <c r="M176" s="5"/>
      <c r="N176" s="5"/>
      <c r="O176" s="1"/>
      <c r="P176" s="5"/>
      <c r="Q176" s="5"/>
      <c r="R176" s="5"/>
      <c r="S176" s="5"/>
      <c r="T176" s="1"/>
      <c r="U176" s="5"/>
      <c r="V176" s="5"/>
      <c r="W176" s="5"/>
      <c r="X176" s="5"/>
      <c r="Y176" s="1"/>
      <c r="Z176" s="5"/>
      <c r="AA176" s="5"/>
      <c r="AB176" s="5"/>
      <c r="AC176" s="5"/>
      <c r="AD176" s="116"/>
      <c r="AE176" s="359"/>
      <c r="AF176" s="369"/>
      <c r="AG176" s="369"/>
      <c r="AH176" s="369"/>
    </row>
    <row r="177" spans="1:34" s="38" customFormat="1" ht="42" customHeight="1" x14ac:dyDescent="0.25">
      <c r="A177" s="5"/>
      <c r="B177" s="57"/>
      <c r="C177" s="58"/>
      <c r="D177" s="5"/>
      <c r="E177" s="1"/>
      <c r="F177" s="5"/>
      <c r="G177" s="5"/>
      <c r="H177" s="5"/>
      <c r="I177" s="5"/>
      <c r="J177" s="1"/>
      <c r="K177" s="5"/>
      <c r="L177" s="5"/>
      <c r="M177" s="5"/>
      <c r="N177" s="5"/>
      <c r="O177" s="1"/>
      <c r="P177" s="5"/>
      <c r="Q177" s="5"/>
      <c r="R177" s="5"/>
      <c r="S177" s="5"/>
      <c r="T177" s="1"/>
      <c r="U177" s="5"/>
      <c r="V177" s="5"/>
      <c r="W177" s="5"/>
      <c r="X177" s="5"/>
      <c r="Y177" s="1"/>
      <c r="Z177" s="5"/>
      <c r="AA177" s="5"/>
      <c r="AB177" s="5"/>
      <c r="AC177" s="5"/>
      <c r="AD177" s="116"/>
      <c r="AE177" s="359"/>
      <c r="AF177" s="369"/>
      <c r="AG177" s="369"/>
      <c r="AH177" s="369"/>
    </row>
    <row r="178" spans="1:34" s="38" customFormat="1" ht="42" customHeight="1" x14ac:dyDescent="0.25">
      <c r="A178" s="5"/>
      <c r="B178" s="57"/>
      <c r="C178" s="58"/>
      <c r="D178" s="5"/>
      <c r="E178" s="1"/>
      <c r="F178" s="5"/>
      <c r="G178" s="5"/>
      <c r="H178" s="5"/>
      <c r="I178" s="5"/>
      <c r="J178" s="1"/>
      <c r="K178" s="5"/>
      <c r="L178" s="5"/>
      <c r="M178" s="5"/>
      <c r="N178" s="5"/>
      <c r="O178" s="1"/>
      <c r="P178" s="5"/>
      <c r="Q178" s="5"/>
      <c r="R178" s="5"/>
      <c r="S178" s="5"/>
      <c r="T178" s="1"/>
      <c r="U178" s="5"/>
      <c r="V178" s="5"/>
      <c r="W178" s="5"/>
      <c r="X178" s="5"/>
      <c r="Y178" s="1"/>
      <c r="Z178" s="5"/>
      <c r="AA178" s="5"/>
      <c r="AB178" s="5"/>
      <c r="AC178" s="5"/>
      <c r="AD178" s="116"/>
      <c r="AE178" s="359"/>
      <c r="AF178" s="369"/>
      <c r="AG178" s="369"/>
      <c r="AH178" s="369"/>
    </row>
    <row r="179" spans="1:34" s="38" customFormat="1" ht="42" customHeight="1" x14ac:dyDescent="0.25">
      <c r="A179" s="5"/>
      <c r="B179" s="57"/>
      <c r="C179" s="58"/>
      <c r="D179" s="5"/>
      <c r="E179" s="1"/>
      <c r="F179" s="5"/>
      <c r="G179" s="5"/>
      <c r="H179" s="5"/>
      <c r="I179" s="5"/>
      <c r="J179" s="1"/>
      <c r="K179" s="5"/>
      <c r="L179" s="5"/>
      <c r="M179" s="5"/>
      <c r="N179" s="5"/>
      <c r="O179" s="1"/>
      <c r="P179" s="5"/>
      <c r="Q179" s="5"/>
      <c r="R179" s="5"/>
      <c r="S179" s="5"/>
      <c r="T179" s="1"/>
      <c r="U179" s="5"/>
      <c r="V179" s="5"/>
      <c r="W179" s="5"/>
      <c r="X179" s="5"/>
      <c r="Y179" s="1"/>
      <c r="Z179" s="5"/>
      <c r="AA179" s="5"/>
      <c r="AB179" s="5"/>
      <c r="AC179" s="5"/>
      <c r="AD179" s="116"/>
      <c r="AE179" s="359"/>
      <c r="AF179" s="369"/>
      <c r="AG179" s="369"/>
      <c r="AH179" s="369"/>
    </row>
    <row r="180" spans="1:34" s="38" customFormat="1" ht="42" customHeight="1" x14ac:dyDescent="0.25">
      <c r="A180" s="5"/>
      <c r="B180" s="57"/>
      <c r="C180" s="58"/>
      <c r="D180" s="5"/>
      <c r="E180" s="1"/>
      <c r="F180" s="5"/>
      <c r="G180" s="5"/>
      <c r="H180" s="5"/>
      <c r="I180" s="5"/>
      <c r="J180" s="1"/>
      <c r="K180" s="5"/>
      <c r="L180" s="5"/>
      <c r="M180" s="5"/>
      <c r="N180" s="5"/>
      <c r="O180" s="1"/>
      <c r="P180" s="5"/>
      <c r="Q180" s="5"/>
      <c r="R180" s="5"/>
      <c r="S180" s="5"/>
      <c r="T180" s="1"/>
      <c r="U180" s="5"/>
      <c r="V180" s="5"/>
      <c r="W180" s="5"/>
      <c r="X180" s="5"/>
      <c r="Y180" s="1"/>
      <c r="Z180" s="5"/>
      <c r="AA180" s="5"/>
      <c r="AB180" s="5"/>
      <c r="AC180" s="5"/>
      <c r="AD180" s="116"/>
      <c r="AE180" s="359"/>
      <c r="AF180" s="369"/>
      <c r="AG180" s="369"/>
      <c r="AH180" s="369"/>
    </row>
    <row r="181" spans="1:34" s="38" customFormat="1" ht="42" customHeight="1" x14ac:dyDescent="0.25">
      <c r="A181" s="5"/>
      <c r="B181" s="57"/>
      <c r="C181" s="58"/>
      <c r="D181" s="5"/>
      <c r="E181" s="1"/>
      <c r="F181" s="5"/>
      <c r="G181" s="5"/>
      <c r="H181" s="5"/>
      <c r="I181" s="5"/>
      <c r="J181" s="1"/>
      <c r="K181" s="5"/>
      <c r="L181" s="5"/>
      <c r="M181" s="5"/>
      <c r="N181" s="5"/>
      <c r="O181" s="1"/>
      <c r="P181" s="5"/>
      <c r="Q181" s="5"/>
      <c r="R181" s="5"/>
      <c r="S181" s="5"/>
      <c r="T181" s="1"/>
      <c r="U181" s="5"/>
      <c r="V181" s="5"/>
      <c r="W181" s="5"/>
      <c r="X181" s="5"/>
      <c r="Y181" s="1"/>
      <c r="Z181" s="5"/>
      <c r="AA181" s="5"/>
      <c r="AB181" s="5"/>
      <c r="AC181" s="5"/>
      <c r="AD181" s="116"/>
      <c r="AE181" s="359"/>
      <c r="AF181" s="369"/>
      <c r="AG181" s="369"/>
      <c r="AH181" s="369"/>
    </row>
    <row r="182" spans="1:34" s="38" customFormat="1" ht="42" customHeight="1" x14ac:dyDescent="0.25">
      <c r="A182" s="5"/>
      <c r="B182" s="57"/>
      <c r="C182" s="58"/>
      <c r="D182" s="5"/>
      <c r="E182" s="1"/>
      <c r="F182" s="5"/>
      <c r="G182" s="5"/>
      <c r="H182" s="5"/>
      <c r="I182" s="5"/>
      <c r="J182" s="1"/>
      <c r="K182" s="5"/>
      <c r="L182" s="5"/>
      <c r="M182" s="5"/>
      <c r="N182" s="5"/>
      <c r="O182" s="1"/>
      <c r="P182" s="5"/>
      <c r="Q182" s="5"/>
      <c r="R182" s="5"/>
      <c r="S182" s="5"/>
      <c r="T182" s="1"/>
      <c r="U182" s="5"/>
      <c r="V182" s="5"/>
      <c r="W182" s="5"/>
      <c r="X182" s="5"/>
      <c r="Y182" s="1"/>
      <c r="Z182" s="5"/>
      <c r="AA182" s="5"/>
      <c r="AB182" s="5"/>
      <c r="AC182" s="5"/>
      <c r="AD182" s="116"/>
      <c r="AE182" s="359"/>
      <c r="AF182" s="369"/>
      <c r="AG182" s="369"/>
      <c r="AH182" s="369"/>
    </row>
    <row r="183" spans="1:34" s="38" customFormat="1" ht="42" customHeight="1" x14ac:dyDescent="0.25">
      <c r="A183" s="5"/>
      <c r="B183" s="57"/>
      <c r="C183" s="58"/>
      <c r="D183" s="5"/>
      <c r="E183" s="1"/>
      <c r="F183" s="5"/>
      <c r="G183" s="5"/>
      <c r="H183" s="5"/>
      <c r="I183" s="5"/>
      <c r="J183" s="1"/>
      <c r="K183" s="5"/>
      <c r="L183" s="5"/>
      <c r="M183" s="5"/>
      <c r="N183" s="5"/>
      <c r="O183" s="1"/>
      <c r="P183" s="5"/>
      <c r="Q183" s="5"/>
      <c r="R183" s="5"/>
      <c r="S183" s="5"/>
      <c r="T183" s="1"/>
      <c r="U183" s="5"/>
      <c r="V183" s="5"/>
      <c r="W183" s="5"/>
      <c r="X183" s="5"/>
      <c r="Y183" s="1"/>
      <c r="Z183" s="5"/>
      <c r="AA183" s="5"/>
      <c r="AB183" s="5"/>
      <c r="AC183" s="5"/>
      <c r="AD183" s="116"/>
      <c r="AE183" s="359"/>
      <c r="AF183" s="369"/>
      <c r="AG183" s="369"/>
      <c r="AH183" s="369"/>
    </row>
    <row r="184" spans="1:34" s="38" customFormat="1" ht="42" customHeight="1" x14ac:dyDescent="0.25">
      <c r="A184" s="5"/>
      <c r="B184" s="57"/>
      <c r="C184" s="58"/>
      <c r="D184" s="5"/>
      <c r="E184" s="1"/>
      <c r="F184" s="5"/>
      <c r="G184" s="5"/>
      <c r="H184" s="5"/>
      <c r="I184" s="5"/>
      <c r="J184" s="1"/>
      <c r="K184" s="5"/>
      <c r="L184" s="5"/>
      <c r="M184" s="5"/>
      <c r="N184" s="5"/>
      <c r="O184" s="1"/>
      <c r="P184" s="5"/>
      <c r="Q184" s="5"/>
      <c r="R184" s="5"/>
      <c r="S184" s="5"/>
      <c r="T184" s="1"/>
      <c r="U184" s="5"/>
      <c r="V184" s="5"/>
      <c r="W184" s="5"/>
      <c r="X184" s="5"/>
      <c r="Y184" s="1"/>
      <c r="Z184" s="5"/>
      <c r="AA184" s="5"/>
      <c r="AB184" s="5"/>
      <c r="AC184" s="5"/>
      <c r="AD184" s="116"/>
      <c r="AE184" s="359"/>
      <c r="AF184" s="369"/>
      <c r="AG184" s="369"/>
      <c r="AH184" s="369"/>
    </row>
    <row r="185" spans="1:34" s="38" customFormat="1" ht="42" customHeight="1" x14ac:dyDescent="0.25">
      <c r="A185" s="5"/>
      <c r="B185" s="57"/>
      <c r="C185" s="58"/>
      <c r="D185" s="5"/>
      <c r="E185" s="1"/>
      <c r="F185" s="5"/>
      <c r="G185" s="5"/>
      <c r="H185" s="5"/>
      <c r="I185" s="5"/>
      <c r="J185" s="1"/>
      <c r="K185" s="5"/>
      <c r="L185" s="5"/>
      <c r="M185" s="5"/>
      <c r="N185" s="5"/>
      <c r="O185" s="1"/>
      <c r="P185" s="5"/>
      <c r="Q185" s="5"/>
      <c r="R185" s="5"/>
      <c r="S185" s="5"/>
      <c r="T185" s="1"/>
      <c r="U185" s="5"/>
      <c r="V185" s="5"/>
      <c r="W185" s="5"/>
      <c r="X185" s="5"/>
      <c r="Y185" s="1"/>
      <c r="Z185" s="5"/>
      <c r="AA185" s="5"/>
      <c r="AB185" s="5"/>
      <c r="AC185" s="5"/>
      <c r="AD185" s="116"/>
      <c r="AE185" s="359"/>
      <c r="AF185" s="369"/>
      <c r="AG185" s="369"/>
      <c r="AH185" s="369"/>
    </row>
    <row r="186" spans="1:34" s="38" customFormat="1" ht="42" customHeight="1" x14ac:dyDescent="0.25">
      <c r="A186" s="5"/>
      <c r="B186" s="57"/>
      <c r="C186" s="58"/>
      <c r="D186" s="5"/>
      <c r="E186" s="1"/>
      <c r="F186" s="5"/>
      <c r="G186" s="5"/>
      <c r="H186" s="5"/>
      <c r="I186" s="5"/>
      <c r="J186" s="1"/>
      <c r="K186" s="5"/>
      <c r="L186" s="5"/>
      <c r="M186" s="5"/>
      <c r="N186" s="5"/>
      <c r="O186" s="1"/>
      <c r="P186" s="5"/>
      <c r="Q186" s="5"/>
      <c r="R186" s="5"/>
      <c r="S186" s="5"/>
      <c r="T186" s="1"/>
      <c r="U186" s="5"/>
      <c r="V186" s="5"/>
      <c r="W186" s="5"/>
      <c r="X186" s="5"/>
      <c r="Y186" s="1"/>
      <c r="Z186" s="5"/>
      <c r="AA186" s="5"/>
      <c r="AB186" s="5"/>
      <c r="AC186" s="5"/>
      <c r="AD186" s="116"/>
      <c r="AE186" s="359"/>
      <c r="AF186" s="369"/>
      <c r="AG186" s="369"/>
      <c r="AH186" s="369"/>
    </row>
    <row r="187" spans="1:34" s="38" customFormat="1" ht="42" customHeight="1" x14ac:dyDescent="0.25">
      <c r="A187" s="5"/>
      <c r="B187" s="57"/>
      <c r="C187" s="58"/>
      <c r="D187" s="5"/>
      <c r="E187" s="1"/>
      <c r="F187" s="5"/>
      <c r="G187" s="5"/>
      <c r="H187" s="5"/>
      <c r="I187" s="5"/>
      <c r="J187" s="1"/>
      <c r="K187" s="5"/>
      <c r="L187" s="5"/>
      <c r="M187" s="5"/>
      <c r="N187" s="5"/>
      <c r="O187" s="1"/>
      <c r="P187" s="5"/>
      <c r="Q187" s="5"/>
      <c r="R187" s="5"/>
      <c r="S187" s="5"/>
      <c r="T187" s="1"/>
      <c r="U187" s="5"/>
      <c r="V187" s="5"/>
      <c r="W187" s="5"/>
      <c r="X187" s="5"/>
      <c r="Y187" s="1"/>
      <c r="Z187" s="5"/>
      <c r="AA187" s="5"/>
      <c r="AB187" s="5"/>
      <c r="AC187" s="5"/>
      <c r="AD187" s="116"/>
      <c r="AE187" s="359"/>
      <c r="AF187" s="369"/>
      <c r="AG187" s="369"/>
      <c r="AH187" s="369"/>
    </row>
    <row r="188" spans="1:34" s="38" customFormat="1" ht="42" customHeight="1" x14ac:dyDescent="0.25">
      <c r="A188" s="5"/>
      <c r="B188" s="57"/>
      <c r="C188" s="58"/>
      <c r="D188" s="5"/>
      <c r="E188" s="1"/>
      <c r="F188" s="5"/>
      <c r="G188" s="5"/>
      <c r="H188" s="5"/>
      <c r="I188" s="5"/>
      <c r="J188" s="1"/>
      <c r="K188" s="5"/>
      <c r="L188" s="5"/>
      <c r="M188" s="5"/>
      <c r="N188" s="5"/>
      <c r="O188" s="1"/>
      <c r="P188" s="5"/>
      <c r="Q188" s="5"/>
      <c r="R188" s="5"/>
      <c r="S188" s="5"/>
      <c r="T188" s="1"/>
      <c r="U188" s="5"/>
      <c r="V188" s="5"/>
      <c r="W188" s="5"/>
      <c r="X188" s="5"/>
      <c r="Y188" s="1"/>
      <c r="Z188" s="5"/>
      <c r="AA188" s="5"/>
      <c r="AB188" s="5"/>
      <c r="AC188" s="5"/>
      <c r="AD188" s="116"/>
      <c r="AE188" s="359"/>
      <c r="AF188" s="369"/>
      <c r="AG188" s="369"/>
      <c r="AH188" s="369"/>
    </row>
    <row r="189" spans="1:34" s="38" customFormat="1" ht="42" customHeight="1" x14ac:dyDescent="0.25">
      <c r="A189" s="5"/>
      <c r="B189" s="57"/>
      <c r="C189" s="58"/>
      <c r="D189" s="5"/>
      <c r="E189" s="1"/>
      <c r="F189" s="5"/>
      <c r="G189" s="5"/>
      <c r="H189" s="5"/>
      <c r="I189" s="5"/>
      <c r="J189" s="1"/>
      <c r="K189" s="5"/>
      <c r="L189" s="5"/>
      <c r="M189" s="5"/>
      <c r="N189" s="5"/>
      <c r="O189" s="1"/>
      <c r="P189" s="5"/>
      <c r="Q189" s="5"/>
      <c r="R189" s="5"/>
      <c r="S189" s="5"/>
      <c r="T189" s="1"/>
      <c r="U189" s="5"/>
      <c r="V189" s="5"/>
      <c r="W189" s="5"/>
      <c r="X189" s="5"/>
      <c r="Y189" s="1"/>
      <c r="Z189" s="5"/>
      <c r="AA189" s="5"/>
      <c r="AB189" s="5"/>
      <c r="AC189" s="5"/>
      <c r="AD189" s="116"/>
      <c r="AE189" s="359"/>
      <c r="AF189" s="369"/>
      <c r="AG189" s="369"/>
      <c r="AH189" s="369"/>
    </row>
  </sheetData>
  <mergeCells count="621">
    <mergeCell ref="H66:H67"/>
    <mergeCell ref="A66:A67"/>
    <mergeCell ref="A69:C69"/>
    <mergeCell ref="A8:AD8"/>
    <mergeCell ref="A58:AD58"/>
    <mergeCell ref="A56:AD56"/>
    <mergeCell ref="A57:AD57"/>
    <mergeCell ref="A10:AD10"/>
    <mergeCell ref="A11:AD11"/>
    <mergeCell ref="A12:AD12"/>
    <mergeCell ref="A9:AD9"/>
    <mergeCell ref="A59:AD59"/>
    <mergeCell ref="A18:AD18"/>
    <mergeCell ref="A27:AD27"/>
    <mergeCell ref="A47:AD47"/>
    <mergeCell ref="A48:AD48"/>
    <mergeCell ref="A51:AD51"/>
    <mergeCell ref="A30:AD30"/>
    <mergeCell ref="L66:L67"/>
    <mergeCell ref="M66:M67"/>
    <mergeCell ref="A68:C68"/>
    <mergeCell ref="D66:D67"/>
    <mergeCell ref="E66:E67"/>
    <mergeCell ref="F66:F67"/>
    <mergeCell ref="G66:G67"/>
    <mergeCell ref="A65:AD65"/>
    <mergeCell ref="B3:AD3"/>
    <mergeCell ref="AA2:AD2"/>
    <mergeCell ref="AA1:AD1"/>
    <mergeCell ref="AC66:AC67"/>
    <mergeCell ref="AD66:AD67"/>
    <mergeCell ref="AB66:AB67"/>
    <mergeCell ref="A37:A38"/>
    <mergeCell ref="C37:C38"/>
    <mergeCell ref="D37:D38"/>
    <mergeCell ref="A39:A40"/>
    <mergeCell ref="C39:C40"/>
    <mergeCell ref="D39:D40"/>
    <mergeCell ref="A4:A6"/>
    <mergeCell ref="B4:B6"/>
    <mergeCell ref="C4:C6"/>
    <mergeCell ref="D4:D6"/>
    <mergeCell ref="E4:AC4"/>
    <mergeCell ref="AD4:AD6"/>
    <mergeCell ref="E5:I5"/>
    <mergeCell ref="J5:N5"/>
    <mergeCell ref="O5:S5"/>
    <mergeCell ref="Y5:AC5"/>
    <mergeCell ref="T5:X5"/>
    <mergeCell ref="A29:C29"/>
    <mergeCell ref="A45:AD45"/>
    <mergeCell ref="A44:C44"/>
    <mergeCell ref="A31:AD31"/>
    <mergeCell ref="A32:AD32"/>
    <mergeCell ref="A33:AD33"/>
    <mergeCell ref="A46:AD46"/>
    <mergeCell ref="A61:AD61"/>
    <mergeCell ref="A55:C55"/>
    <mergeCell ref="FY65:HB65"/>
    <mergeCell ref="HC65:IF65"/>
    <mergeCell ref="IG65:JJ65"/>
    <mergeCell ref="JK65:KN65"/>
    <mergeCell ref="KO65:LR65"/>
    <mergeCell ref="AE65:BH65"/>
    <mergeCell ref="BI65:CL65"/>
    <mergeCell ref="CM65:DP65"/>
    <mergeCell ref="DQ65:ET65"/>
    <mergeCell ref="EU65:FX65"/>
    <mergeCell ref="RM65:SP65"/>
    <mergeCell ref="SQ65:TT65"/>
    <mergeCell ref="TU65:UX65"/>
    <mergeCell ref="UY65:WB65"/>
    <mergeCell ref="WC65:XF65"/>
    <mergeCell ref="LS65:MV65"/>
    <mergeCell ref="MW65:NZ65"/>
    <mergeCell ref="OA65:PD65"/>
    <mergeCell ref="PE65:QH65"/>
    <mergeCell ref="QI65:RL65"/>
    <mergeCell ref="ADA65:AED65"/>
    <mergeCell ref="AEE65:AFH65"/>
    <mergeCell ref="AFI65:AGL65"/>
    <mergeCell ref="AGM65:AHP65"/>
    <mergeCell ref="AHQ65:AIT65"/>
    <mergeCell ref="XG65:YJ65"/>
    <mergeCell ref="YK65:ZN65"/>
    <mergeCell ref="ZO65:AAR65"/>
    <mergeCell ref="AAS65:ABV65"/>
    <mergeCell ref="ABW65:ACZ65"/>
    <mergeCell ref="AOO65:APR65"/>
    <mergeCell ref="APS65:AQV65"/>
    <mergeCell ref="AQW65:ARZ65"/>
    <mergeCell ref="ASA65:ATD65"/>
    <mergeCell ref="ATE65:AUH65"/>
    <mergeCell ref="AIU65:AJX65"/>
    <mergeCell ref="AJY65:ALB65"/>
    <mergeCell ref="ALC65:AMF65"/>
    <mergeCell ref="AMG65:ANJ65"/>
    <mergeCell ref="ANK65:AON65"/>
    <mergeCell ref="BAC65:BBF65"/>
    <mergeCell ref="BBG65:BCJ65"/>
    <mergeCell ref="BCK65:BDN65"/>
    <mergeCell ref="BDO65:BER65"/>
    <mergeCell ref="BES65:BFV65"/>
    <mergeCell ref="AUI65:AVL65"/>
    <mergeCell ref="AVM65:AWP65"/>
    <mergeCell ref="AWQ65:AXT65"/>
    <mergeCell ref="AXU65:AYX65"/>
    <mergeCell ref="AYY65:BAB65"/>
    <mergeCell ref="BLQ65:BMT65"/>
    <mergeCell ref="BMU65:BNX65"/>
    <mergeCell ref="BNY65:BPB65"/>
    <mergeCell ref="BPC65:BQF65"/>
    <mergeCell ref="BQG65:BRJ65"/>
    <mergeCell ref="BFW65:BGZ65"/>
    <mergeCell ref="BHA65:BID65"/>
    <mergeCell ref="BIE65:BJH65"/>
    <mergeCell ref="BJI65:BKL65"/>
    <mergeCell ref="BKM65:BLP65"/>
    <mergeCell ref="BXE65:BYH65"/>
    <mergeCell ref="BYI65:BZL65"/>
    <mergeCell ref="BZM65:CAP65"/>
    <mergeCell ref="CAQ65:CBT65"/>
    <mergeCell ref="CBU65:CCX65"/>
    <mergeCell ref="BRK65:BSN65"/>
    <mergeCell ref="BSO65:BTR65"/>
    <mergeCell ref="BTS65:BUV65"/>
    <mergeCell ref="BUW65:BVZ65"/>
    <mergeCell ref="BWA65:BXD65"/>
    <mergeCell ref="CIS65:CJV65"/>
    <mergeCell ref="CJW65:CKZ65"/>
    <mergeCell ref="CLA65:CMD65"/>
    <mergeCell ref="CME65:CNH65"/>
    <mergeCell ref="CNI65:COL65"/>
    <mergeCell ref="CCY65:CEB65"/>
    <mergeCell ref="CEC65:CFF65"/>
    <mergeCell ref="CFG65:CGJ65"/>
    <mergeCell ref="CGK65:CHN65"/>
    <mergeCell ref="CHO65:CIR65"/>
    <mergeCell ref="CUG65:CVJ65"/>
    <mergeCell ref="CVK65:CWN65"/>
    <mergeCell ref="CWO65:CXR65"/>
    <mergeCell ref="CXS65:CYV65"/>
    <mergeCell ref="CYW65:CZZ65"/>
    <mergeCell ref="COM65:CPP65"/>
    <mergeCell ref="CPQ65:CQT65"/>
    <mergeCell ref="CQU65:CRX65"/>
    <mergeCell ref="CRY65:CTB65"/>
    <mergeCell ref="CTC65:CUF65"/>
    <mergeCell ref="DFU65:DGX65"/>
    <mergeCell ref="DGY65:DIB65"/>
    <mergeCell ref="DIC65:DJF65"/>
    <mergeCell ref="DJG65:DKJ65"/>
    <mergeCell ref="DKK65:DLN65"/>
    <mergeCell ref="DAA65:DBD65"/>
    <mergeCell ref="DBE65:DCH65"/>
    <mergeCell ref="DCI65:DDL65"/>
    <mergeCell ref="DDM65:DEP65"/>
    <mergeCell ref="DEQ65:DFT65"/>
    <mergeCell ref="DRI65:DSL65"/>
    <mergeCell ref="DSM65:DTP65"/>
    <mergeCell ref="DTQ65:DUT65"/>
    <mergeCell ref="DUU65:DVX65"/>
    <mergeCell ref="DVY65:DXB65"/>
    <mergeCell ref="DLO65:DMR65"/>
    <mergeCell ref="DMS65:DNV65"/>
    <mergeCell ref="DNW65:DOZ65"/>
    <mergeCell ref="DPA65:DQD65"/>
    <mergeCell ref="DQE65:DRH65"/>
    <mergeCell ref="ECW65:EDZ65"/>
    <mergeCell ref="EEA65:EFD65"/>
    <mergeCell ref="EFE65:EGH65"/>
    <mergeCell ref="EGI65:EHL65"/>
    <mergeCell ref="EHM65:EIP65"/>
    <mergeCell ref="DXC65:DYF65"/>
    <mergeCell ref="DYG65:DZJ65"/>
    <mergeCell ref="DZK65:EAN65"/>
    <mergeCell ref="EAO65:EBR65"/>
    <mergeCell ref="EBS65:ECV65"/>
    <mergeCell ref="EOK65:EPN65"/>
    <mergeCell ref="EPO65:EQR65"/>
    <mergeCell ref="EQS65:ERV65"/>
    <mergeCell ref="ERW65:ESZ65"/>
    <mergeCell ref="ETA65:EUD65"/>
    <mergeCell ref="EIQ65:EJT65"/>
    <mergeCell ref="EJU65:EKX65"/>
    <mergeCell ref="EKY65:EMB65"/>
    <mergeCell ref="EMC65:ENF65"/>
    <mergeCell ref="ENG65:EOJ65"/>
    <mergeCell ref="EZY65:FBB65"/>
    <mergeCell ref="FBC65:FCF65"/>
    <mergeCell ref="FCG65:FDJ65"/>
    <mergeCell ref="FDK65:FEN65"/>
    <mergeCell ref="FEO65:FFR65"/>
    <mergeCell ref="EUE65:EVH65"/>
    <mergeCell ref="EVI65:EWL65"/>
    <mergeCell ref="EWM65:EXP65"/>
    <mergeCell ref="EXQ65:EYT65"/>
    <mergeCell ref="EYU65:EZX65"/>
    <mergeCell ref="FLM65:FMP65"/>
    <mergeCell ref="FMQ65:FNT65"/>
    <mergeCell ref="FNU65:FOX65"/>
    <mergeCell ref="FOY65:FQB65"/>
    <mergeCell ref="FQC65:FRF65"/>
    <mergeCell ref="FFS65:FGV65"/>
    <mergeCell ref="FGW65:FHZ65"/>
    <mergeCell ref="FIA65:FJD65"/>
    <mergeCell ref="FJE65:FKH65"/>
    <mergeCell ref="FKI65:FLL65"/>
    <mergeCell ref="FXA65:FYD65"/>
    <mergeCell ref="FYE65:FZH65"/>
    <mergeCell ref="FZI65:GAL65"/>
    <mergeCell ref="GAM65:GBP65"/>
    <mergeCell ref="GBQ65:GCT65"/>
    <mergeCell ref="FRG65:FSJ65"/>
    <mergeCell ref="FSK65:FTN65"/>
    <mergeCell ref="FTO65:FUR65"/>
    <mergeCell ref="FUS65:FVV65"/>
    <mergeCell ref="FVW65:FWZ65"/>
    <mergeCell ref="GIO65:GJR65"/>
    <mergeCell ref="GJS65:GKV65"/>
    <mergeCell ref="GKW65:GLZ65"/>
    <mergeCell ref="GMA65:GND65"/>
    <mergeCell ref="GNE65:GOH65"/>
    <mergeCell ref="GCU65:GDX65"/>
    <mergeCell ref="GDY65:GFB65"/>
    <mergeCell ref="GFC65:GGF65"/>
    <mergeCell ref="GGG65:GHJ65"/>
    <mergeCell ref="GHK65:GIN65"/>
    <mergeCell ref="GUC65:GVF65"/>
    <mergeCell ref="GVG65:GWJ65"/>
    <mergeCell ref="GWK65:GXN65"/>
    <mergeCell ref="GXO65:GYR65"/>
    <mergeCell ref="GYS65:GZV65"/>
    <mergeCell ref="GOI65:GPL65"/>
    <mergeCell ref="GPM65:GQP65"/>
    <mergeCell ref="GQQ65:GRT65"/>
    <mergeCell ref="GRU65:GSX65"/>
    <mergeCell ref="GSY65:GUB65"/>
    <mergeCell ref="HFQ65:HGT65"/>
    <mergeCell ref="HGU65:HHX65"/>
    <mergeCell ref="HHY65:HJB65"/>
    <mergeCell ref="HJC65:HKF65"/>
    <mergeCell ref="HKG65:HLJ65"/>
    <mergeCell ref="GZW65:HAZ65"/>
    <mergeCell ref="HBA65:HCD65"/>
    <mergeCell ref="HCE65:HDH65"/>
    <mergeCell ref="HDI65:HEL65"/>
    <mergeCell ref="HEM65:HFP65"/>
    <mergeCell ref="HRE65:HSH65"/>
    <mergeCell ref="HSI65:HTL65"/>
    <mergeCell ref="HTM65:HUP65"/>
    <mergeCell ref="HUQ65:HVT65"/>
    <mergeCell ref="HVU65:HWX65"/>
    <mergeCell ref="HLK65:HMN65"/>
    <mergeCell ref="HMO65:HNR65"/>
    <mergeCell ref="HNS65:HOV65"/>
    <mergeCell ref="HOW65:HPZ65"/>
    <mergeCell ref="HQA65:HRD65"/>
    <mergeCell ref="ICS65:IDV65"/>
    <mergeCell ref="IDW65:IEZ65"/>
    <mergeCell ref="IFA65:IGD65"/>
    <mergeCell ref="IGE65:IHH65"/>
    <mergeCell ref="IHI65:IIL65"/>
    <mergeCell ref="HWY65:HYB65"/>
    <mergeCell ref="HYC65:HZF65"/>
    <mergeCell ref="HZG65:IAJ65"/>
    <mergeCell ref="IAK65:IBN65"/>
    <mergeCell ref="IBO65:ICR65"/>
    <mergeCell ref="IOG65:IPJ65"/>
    <mergeCell ref="IPK65:IQN65"/>
    <mergeCell ref="IQO65:IRR65"/>
    <mergeCell ref="IRS65:ISV65"/>
    <mergeCell ref="ISW65:ITZ65"/>
    <mergeCell ref="IIM65:IJP65"/>
    <mergeCell ref="IJQ65:IKT65"/>
    <mergeCell ref="IKU65:ILX65"/>
    <mergeCell ref="ILY65:INB65"/>
    <mergeCell ref="INC65:IOF65"/>
    <mergeCell ref="IZU65:JAX65"/>
    <mergeCell ref="JAY65:JCB65"/>
    <mergeCell ref="JCC65:JDF65"/>
    <mergeCell ref="JDG65:JEJ65"/>
    <mergeCell ref="JEK65:JFN65"/>
    <mergeCell ref="IUA65:IVD65"/>
    <mergeCell ref="IVE65:IWH65"/>
    <mergeCell ref="IWI65:IXL65"/>
    <mergeCell ref="IXM65:IYP65"/>
    <mergeCell ref="IYQ65:IZT65"/>
    <mergeCell ref="JLI65:JML65"/>
    <mergeCell ref="JMM65:JNP65"/>
    <mergeCell ref="JNQ65:JOT65"/>
    <mergeCell ref="JOU65:JPX65"/>
    <mergeCell ref="JPY65:JRB65"/>
    <mergeCell ref="JFO65:JGR65"/>
    <mergeCell ref="JGS65:JHV65"/>
    <mergeCell ref="JHW65:JIZ65"/>
    <mergeCell ref="JJA65:JKD65"/>
    <mergeCell ref="JKE65:JLH65"/>
    <mergeCell ref="JWW65:JXZ65"/>
    <mergeCell ref="JYA65:JZD65"/>
    <mergeCell ref="JZE65:KAH65"/>
    <mergeCell ref="KAI65:KBL65"/>
    <mergeCell ref="KBM65:KCP65"/>
    <mergeCell ref="JRC65:JSF65"/>
    <mergeCell ref="JSG65:JTJ65"/>
    <mergeCell ref="JTK65:JUN65"/>
    <mergeCell ref="JUO65:JVR65"/>
    <mergeCell ref="JVS65:JWV65"/>
    <mergeCell ref="KIK65:KJN65"/>
    <mergeCell ref="KJO65:KKR65"/>
    <mergeCell ref="KKS65:KLV65"/>
    <mergeCell ref="KLW65:KMZ65"/>
    <mergeCell ref="KNA65:KOD65"/>
    <mergeCell ref="KCQ65:KDT65"/>
    <mergeCell ref="KDU65:KEX65"/>
    <mergeCell ref="KEY65:KGB65"/>
    <mergeCell ref="KGC65:KHF65"/>
    <mergeCell ref="KHG65:KIJ65"/>
    <mergeCell ref="KTY65:KVB65"/>
    <mergeCell ref="KVC65:KWF65"/>
    <mergeCell ref="KWG65:KXJ65"/>
    <mergeCell ref="KXK65:KYN65"/>
    <mergeCell ref="KYO65:KZR65"/>
    <mergeCell ref="KOE65:KPH65"/>
    <mergeCell ref="KPI65:KQL65"/>
    <mergeCell ref="KQM65:KRP65"/>
    <mergeCell ref="KRQ65:KST65"/>
    <mergeCell ref="KSU65:KTX65"/>
    <mergeCell ref="LFM65:LGP65"/>
    <mergeCell ref="LGQ65:LHT65"/>
    <mergeCell ref="LHU65:LIX65"/>
    <mergeCell ref="LIY65:LKB65"/>
    <mergeCell ref="LKC65:LLF65"/>
    <mergeCell ref="KZS65:LAV65"/>
    <mergeCell ref="LAW65:LBZ65"/>
    <mergeCell ref="LCA65:LDD65"/>
    <mergeCell ref="LDE65:LEH65"/>
    <mergeCell ref="LEI65:LFL65"/>
    <mergeCell ref="LRA65:LSD65"/>
    <mergeCell ref="LSE65:LTH65"/>
    <mergeCell ref="LTI65:LUL65"/>
    <mergeCell ref="LUM65:LVP65"/>
    <mergeCell ref="LVQ65:LWT65"/>
    <mergeCell ref="LLG65:LMJ65"/>
    <mergeCell ref="LMK65:LNN65"/>
    <mergeCell ref="LNO65:LOR65"/>
    <mergeCell ref="LOS65:LPV65"/>
    <mergeCell ref="LPW65:LQZ65"/>
    <mergeCell ref="MCO65:MDR65"/>
    <mergeCell ref="MDS65:MEV65"/>
    <mergeCell ref="MEW65:MFZ65"/>
    <mergeCell ref="MGA65:MHD65"/>
    <mergeCell ref="MHE65:MIH65"/>
    <mergeCell ref="LWU65:LXX65"/>
    <mergeCell ref="LXY65:LZB65"/>
    <mergeCell ref="LZC65:MAF65"/>
    <mergeCell ref="MAG65:MBJ65"/>
    <mergeCell ref="MBK65:MCN65"/>
    <mergeCell ref="MOC65:MPF65"/>
    <mergeCell ref="MPG65:MQJ65"/>
    <mergeCell ref="MQK65:MRN65"/>
    <mergeCell ref="MRO65:MSR65"/>
    <mergeCell ref="MSS65:MTV65"/>
    <mergeCell ref="MII65:MJL65"/>
    <mergeCell ref="MJM65:MKP65"/>
    <mergeCell ref="MKQ65:MLT65"/>
    <mergeCell ref="MLU65:MMX65"/>
    <mergeCell ref="MMY65:MOB65"/>
    <mergeCell ref="MZQ65:NAT65"/>
    <mergeCell ref="NAU65:NBX65"/>
    <mergeCell ref="NBY65:NDB65"/>
    <mergeCell ref="NDC65:NEF65"/>
    <mergeCell ref="NEG65:NFJ65"/>
    <mergeCell ref="MTW65:MUZ65"/>
    <mergeCell ref="MVA65:MWD65"/>
    <mergeCell ref="MWE65:MXH65"/>
    <mergeCell ref="MXI65:MYL65"/>
    <mergeCell ref="MYM65:MZP65"/>
    <mergeCell ref="NLE65:NMH65"/>
    <mergeCell ref="NMI65:NNL65"/>
    <mergeCell ref="NNM65:NOP65"/>
    <mergeCell ref="NOQ65:NPT65"/>
    <mergeCell ref="NPU65:NQX65"/>
    <mergeCell ref="NFK65:NGN65"/>
    <mergeCell ref="NGO65:NHR65"/>
    <mergeCell ref="NHS65:NIV65"/>
    <mergeCell ref="NIW65:NJZ65"/>
    <mergeCell ref="NKA65:NLD65"/>
    <mergeCell ref="NWS65:NXV65"/>
    <mergeCell ref="NXW65:NYZ65"/>
    <mergeCell ref="NZA65:OAD65"/>
    <mergeCell ref="OAE65:OBH65"/>
    <mergeCell ref="OBI65:OCL65"/>
    <mergeCell ref="NQY65:NSB65"/>
    <mergeCell ref="NSC65:NTF65"/>
    <mergeCell ref="NTG65:NUJ65"/>
    <mergeCell ref="NUK65:NVN65"/>
    <mergeCell ref="NVO65:NWR65"/>
    <mergeCell ref="OIG65:OJJ65"/>
    <mergeCell ref="OJK65:OKN65"/>
    <mergeCell ref="OKO65:OLR65"/>
    <mergeCell ref="OLS65:OMV65"/>
    <mergeCell ref="OMW65:ONZ65"/>
    <mergeCell ref="OCM65:ODP65"/>
    <mergeCell ref="ODQ65:OET65"/>
    <mergeCell ref="OEU65:OFX65"/>
    <mergeCell ref="OFY65:OHB65"/>
    <mergeCell ref="OHC65:OIF65"/>
    <mergeCell ref="OTU65:OUX65"/>
    <mergeCell ref="OUY65:OWB65"/>
    <mergeCell ref="OWC65:OXF65"/>
    <mergeCell ref="OXG65:OYJ65"/>
    <mergeCell ref="OYK65:OZN65"/>
    <mergeCell ref="OOA65:OPD65"/>
    <mergeCell ref="OPE65:OQH65"/>
    <mergeCell ref="OQI65:ORL65"/>
    <mergeCell ref="ORM65:OSP65"/>
    <mergeCell ref="OSQ65:OTT65"/>
    <mergeCell ref="PFI65:PGL65"/>
    <mergeCell ref="PGM65:PHP65"/>
    <mergeCell ref="PHQ65:PIT65"/>
    <mergeCell ref="PIU65:PJX65"/>
    <mergeCell ref="PJY65:PLB65"/>
    <mergeCell ref="OZO65:PAR65"/>
    <mergeCell ref="PAS65:PBV65"/>
    <mergeCell ref="PBW65:PCZ65"/>
    <mergeCell ref="PDA65:PED65"/>
    <mergeCell ref="PEE65:PFH65"/>
    <mergeCell ref="PQW65:PRZ65"/>
    <mergeCell ref="PSA65:PTD65"/>
    <mergeCell ref="PTE65:PUH65"/>
    <mergeCell ref="PUI65:PVL65"/>
    <mergeCell ref="PVM65:PWP65"/>
    <mergeCell ref="PLC65:PMF65"/>
    <mergeCell ref="PMG65:PNJ65"/>
    <mergeCell ref="PNK65:PON65"/>
    <mergeCell ref="POO65:PPR65"/>
    <mergeCell ref="PPS65:PQV65"/>
    <mergeCell ref="QCK65:QDN65"/>
    <mergeCell ref="QDO65:QER65"/>
    <mergeCell ref="QES65:QFV65"/>
    <mergeCell ref="QFW65:QGZ65"/>
    <mergeCell ref="QHA65:QID65"/>
    <mergeCell ref="PWQ65:PXT65"/>
    <mergeCell ref="PXU65:PYX65"/>
    <mergeCell ref="PYY65:QAB65"/>
    <mergeCell ref="QAC65:QBF65"/>
    <mergeCell ref="QBG65:QCJ65"/>
    <mergeCell ref="QNY65:QPB65"/>
    <mergeCell ref="QPC65:QQF65"/>
    <mergeCell ref="QQG65:QRJ65"/>
    <mergeCell ref="QRK65:QSN65"/>
    <mergeCell ref="QSO65:QTR65"/>
    <mergeCell ref="QIE65:QJH65"/>
    <mergeCell ref="QJI65:QKL65"/>
    <mergeCell ref="QKM65:QLP65"/>
    <mergeCell ref="QLQ65:QMT65"/>
    <mergeCell ref="QMU65:QNX65"/>
    <mergeCell ref="QZM65:RAP65"/>
    <mergeCell ref="RAQ65:RBT65"/>
    <mergeCell ref="RBU65:RCX65"/>
    <mergeCell ref="RCY65:REB65"/>
    <mergeCell ref="REC65:RFF65"/>
    <mergeCell ref="QTS65:QUV65"/>
    <mergeCell ref="QUW65:QVZ65"/>
    <mergeCell ref="QWA65:QXD65"/>
    <mergeCell ref="QXE65:QYH65"/>
    <mergeCell ref="QYI65:QZL65"/>
    <mergeCell ref="RLA65:RMD65"/>
    <mergeCell ref="RME65:RNH65"/>
    <mergeCell ref="RNI65:ROL65"/>
    <mergeCell ref="ROM65:RPP65"/>
    <mergeCell ref="RPQ65:RQT65"/>
    <mergeCell ref="RFG65:RGJ65"/>
    <mergeCell ref="RGK65:RHN65"/>
    <mergeCell ref="RHO65:RIR65"/>
    <mergeCell ref="RIS65:RJV65"/>
    <mergeCell ref="RJW65:RKZ65"/>
    <mergeCell ref="RWO65:RXR65"/>
    <mergeCell ref="RXS65:RYV65"/>
    <mergeCell ref="RYW65:RZZ65"/>
    <mergeCell ref="SAA65:SBD65"/>
    <mergeCell ref="SBE65:SCH65"/>
    <mergeCell ref="RQU65:RRX65"/>
    <mergeCell ref="RRY65:RTB65"/>
    <mergeCell ref="RTC65:RUF65"/>
    <mergeCell ref="RUG65:RVJ65"/>
    <mergeCell ref="RVK65:RWN65"/>
    <mergeCell ref="SIC65:SJF65"/>
    <mergeCell ref="SJG65:SKJ65"/>
    <mergeCell ref="SKK65:SLN65"/>
    <mergeCell ref="SLO65:SMR65"/>
    <mergeCell ref="SMS65:SNV65"/>
    <mergeCell ref="SCI65:SDL65"/>
    <mergeCell ref="SDM65:SEP65"/>
    <mergeCell ref="SEQ65:SFT65"/>
    <mergeCell ref="SFU65:SGX65"/>
    <mergeCell ref="SGY65:SIB65"/>
    <mergeCell ref="STQ65:SUT65"/>
    <mergeCell ref="SUU65:SVX65"/>
    <mergeCell ref="SVY65:SXB65"/>
    <mergeCell ref="SXC65:SYF65"/>
    <mergeCell ref="SYG65:SZJ65"/>
    <mergeCell ref="SNW65:SOZ65"/>
    <mergeCell ref="SPA65:SQD65"/>
    <mergeCell ref="SQE65:SRH65"/>
    <mergeCell ref="SRI65:SSL65"/>
    <mergeCell ref="SSM65:STP65"/>
    <mergeCell ref="TFE65:TGH65"/>
    <mergeCell ref="TGI65:THL65"/>
    <mergeCell ref="THM65:TIP65"/>
    <mergeCell ref="TIQ65:TJT65"/>
    <mergeCell ref="TJU65:TKX65"/>
    <mergeCell ref="SZK65:TAN65"/>
    <mergeCell ref="TAO65:TBR65"/>
    <mergeCell ref="TBS65:TCV65"/>
    <mergeCell ref="TCW65:TDZ65"/>
    <mergeCell ref="TEA65:TFD65"/>
    <mergeCell ref="TQS65:TRV65"/>
    <mergeCell ref="TRW65:TSZ65"/>
    <mergeCell ref="TTA65:TUD65"/>
    <mergeCell ref="TUE65:TVH65"/>
    <mergeCell ref="TVI65:TWL65"/>
    <mergeCell ref="TKY65:TMB65"/>
    <mergeCell ref="TMC65:TNF65"/>
    <mergeCell ref="TNG65:TOJ65"/>
    <mergeCell ref="TOK65:TPN65"/>
    <mergeCell ref="TPO65:TQR65"/>
    <mergeCell ref="UCG65:UDJ65"/>
    <mergeCell ref="UDK65:UEN65"/>
    <mergeCell ref="UEO65:UFR65"/>
    <mergeCell ref="UFS65:UGV65"/>
    <mergeCell ref="UGW65:UHZ65"/>
    <mergeCell ref="TWM65:TXP65"/>
    <mergeCell ref="TXQ65:TYT65"/>
    <mergeCell ref="TYU65:TZX65"/>
    <mergeCell ref="TZY65:UBB65"/>
    <mergeCell ref="UBC65:UCF65"/>
    <mergeCell ref="UNU65:UOX65"/>
    <mergeCell ref="UOY65:UQB65"/>
    <mergeCell ref="UQC65:URF65"/>
    <mergeCell ref="URG65:USJ65"/>
    <mergeCell ref="USK65:UTN65"/>
    <mergeCell ref="UIA65:UJD65"/>
    <mergeCell ref="UJE65:UKH65"/>
    <mergeCell ref="UKI65:ULL65"/>
    <mergeCell ref="ULM65:UMP65"/>
    <mergeCell ref="UMQ65:UNT65"/>
    <mergeCell ref="UZI65:VAL65"/>
    <mergeCell ref="VAM65:VBP65"/>
    <mergeCell ref="VBQ65:VCT65"/>
    <mergeCell ref="VCU65:VDX65"/>
    <mergeCell ref="VDY65:VFB65"/>
    <mergeCell ref="UTO65:UUR65"/>
    <mergeCell ref="UUS65:UVV65"/>
    <mergeCell ref="UVW65:UWZ65"/>
    <mergeCell ref="UXA65:UYD65"/>
    <mergeCell ref="UYE65:UZH65"/>
    <mergeCell ref="VKW65:VLZ65"/>
    <mergeCell ref="VMA65:VND65"/>
    <mergeCell ref="VNE65:VOH65"/>
    <mergeCell ref="VOI65:VPL65"/>
    <mergeCell ref="VPM65:VQP65"/>
    <mergeCell ref="VFC65:VGF65"/>
    <mergeCell ref="VGG65:VHJ65"/>
    <mergeCell ref="VHK65:VIN65"/>
    <mergeCell ref="VIO65:VJR65"/>
    <mergeCell ref="VJS65:VKV65"/>
    <mergeCell ref="VWK65:VXN65"/>
    <mergeCell ref="VXO65:VYR65"/>
    <mergeCell ref="VYS65:VZV65"/>
    <mergeCell ref="VZW65:WAZ65"/>
    <mergeCell ref="WBA65:WCD65"/>
    <mergeCell ref="VQQ65:VRT65"/>
    <mergeCell ref="VRU65:VSX65"/>
    <mergeCell ref="VSY65:VUB65"/>
    <mergeCell ref="VUC65:VVF65"/>
    <mergeCell ref="VVG65:VWJ65"/>
    <mergeCell ref="WHY65:WJB65"/>
    <mergeCell ref="WJC65:WKF65"/>
    <mergeCell ref="WKG65:WLJ65"/>
    <mergeCell ref="WLK65:WMN65"/>
    <mergeCell ref="WMO65:WNR65"/>
    <mergeCell ref="WCE65:WDH65"/>
    <mergeCell ref="WDI65:WEL65"/>
    <mergeCell ref="WEM65:WFP65"/>
    <mergeCell ref="WFQ65:WGT65"/>
    <mergeCell ref="WGU65:WHX65"/>
    <mergeCell ref="Z66:Z67"/>
    <mergeCell ref="AA66:AA67"/>
    <mergeCell ref="N66:N67"/>
    <mergeCell ref="O66:O67"/>
    <mergeCell ref="P66:P67"/>
    <mergeCell ref="Q66:Q67"/>
    <mergeCell ref="R66:R67"/>
    <mergeCell ref="S66:S67"/>
    <mergeCell ref="XFA65:XFD65"/>
    <mergeCell ref="WZG65:XAJ65"/>
    <mergeCell ref="XAK65:XBN65"/>
    <mergeCell ref="XBO65:XCR65"/>
    <mergeCell ref="XCS65:XDV65"/>
    <mergeCell ref="XDW65:XEZ65"/>
    <mergeCell ref="WTM65:WUP65"/>
    <mergeCell ref="WUQ65:WVT65"/>
    <mergeCell ref="WVU65:WWX65"/>
    <mergeCell ref="WWY65:WYB65"/>
    <mergeCell ref="WYC65:WZF65"/>
    <mergeCell ref="WNS65:WOV65"/>
    <mergeCell ref="WOW65:WPZ65"/>
    <mergeCell ref="WQA65:WRD65"/>
    <mergeCell ref="WRE65:WSH65"/>
    <mergeCell ref="WSI65:WTL65"/>
    <mergeCell ref="I66:I67"/>
    <mergeCell ref="J66:J67"/>
    <mergeCell ref="K66:K67"/>
    <mergeCell ref="T66:T67"/>
    <mergeCell ref="U66:U67"/>
    <mergeCell ref="V66:V67"/>
    <mergeCell ref="W66:W67"/>
    <mergeCell ref="X66:X67"/>
    <mergeCell ref="Y66:Y67"/>
  </mergeCells>
  <printOptions horizontalCentered="1"/>
  <pageMargins left="7.874015748031496E-2" right="7.874015748031496E-2" top="0.62992125984251968" bottom="0.39370078740157483" header="0.19685039370078741" footer="0.15748031496062992"/>
  <pageSetup paperSize="8" scale="38" orientation="landscape" r:id="rId1"/>
  <headerFooter alignWithMargins="0"/>
  <rowBreaks count="3" manualBreakCount="3">
    <brk id="20" max="29" man="1"/>
    <brk id="35" max="29" man="1"/>
    <brk id="42" max="29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89"/>
  <sheetViews>
    <sheetView tabSelected="1" view="pageBreakPreview" topLeftCell="A76" zoomScale="80" zoomScaleSheetLayoutView="80" workbookViewId="0">
      <selection activeCell="B83" sqref="B83:B85"/>
    </sheetView>
  </sheetViews>
  <sheetFormatPr defaultRowHeight="13.2" x14ac:dyDescent="0.25"/>
  <cols>
    <col min="1" max="1" width="6.109375" style="21" customWidth="1"/>
    <col min="2" max="2" width="46.44140625" style="21" customWidth="1"/>
    <col min="3" max="3" width="49.109375" style="21" customWidth="1"/>
    <col min="4" max="4" width="8.88671875" style="21"/>
    <col min="5" max="5" width="8.6640625" style="21" customWidth="1"/>
    <col min="6" max="6" width="7.33203125" style="21" customWidth="1"/>
    <col min="7" max="7" width="8" style="21" customWidth="1"/>
    <col min="8" max="8" width="7.33203125" style="21" customWidth="1"/>
    <col min="9" max="10" width="7.6640625" style="21" customWidth="1"/>
    <col min="17" max="17" width="14.109375" customWidth="1"/>
  </cols>
  <sheetData>
    <row r="1" spans="1:11" ht="43.2" customHeight="1" x14ac:dyDescent="0.25">
      <c r="G1" s="541" t="s">
        <v>1045</v>
      </c>
      <c r="H1" s="541"/>
      <c r="I1" s="541"/>
      <c r="J1" s="541"/>
    </row>
    <row r="2" spans="1:11" ht="76.2" customHeight="1" x14ac:dyDescent="0.25">
      <c r="A2" s="115"/>
      <c r="B2" s="115"/>
      <c r="C2" s="115"/>
      <c r="D2" s="115"/>
      <c r="E2" s="115"/>
      <c r="G2" s="540" t="s">
        <v>840</v>
      </c>
      <c r="H2" s="540"/>
      <c r="I2" s="540"/>
      <c r="J2" s="540"/>
    </row>
    <row r="3" spans="1:11" ht="13.95" hidden="1" customHeight="1" x14ac:dyDescent="0.25">
      <c r="A3" s="110"/>
      <c r="B3" s="147"/>
      <c r="C3" s="148"/>
      <c r="D3" s="149"/>
      <c r="E3" s="111"/>
      <c r="F3" s="111"/>
      <c r="G3" s="111"/>
      <c r="H3" s="111"/>
      <c r="I3" s="111"/>
      <c r="J3" s="111"/>
    </row>
    <row r="4" spans="1:11" ht="35.4" customHeight="1" x14ac:dyDescent="0.25">
      <c r="A4" s="542" t="s">
        <v>1249</v>
      </c>
      <c r="B4" s="542"/>
      <c r="C4" s="542"/>
      <c r="D4" s="542"/>
      <c r="E4" s="542"/>
      <c r="F4" s="542"/>
      <c r="G4" s="542"/>
      <c r="H4" s="542"/>
      <c r="I4" s="542"/>
      <c r="J4" s="542"/>
    </row>
    <row r="5" spans="1:11" x14ac:dyDescent="0.25">
      <c r="A5" s="539" t="s">
        <v>215</v>
      </c>
      <c r="B5" s="537" t="s">
        <v>711</v>
      </c>
      <c r="C5" s="537" t="s">
        <v>712</v>
      </c>
      <c r="D5" s="537" t="s">
        <v>713</v>
      </c>
      <c r="E5" s="537" t="s">
        <v>714</v>
      </c>
      <c r="F5" s="537" t="s">
        <v>715</v>
      </c>
      <c r="G5" s="537"/>
      <c r="H5" s="538"/>
      <c r="I5" s="538"/>
      <c r="J5" s="538"/>
    </row>
    <row r="6" spans="1:11" x14ac:dyDescent="0.25">
      <c r="A6" s="539"/>
      <c r="B6" s="539"/>
      <c r="C6" s="537"/>
      <c r="D6" s="538"/>
      <c r="E6" s="538"/>
      <c r="F6" s="538"/>
      <c r="G6" s="538"/>
      <c r="H6" s="538"/>
      <c r="I6" s="538"/>
      <c r="J6" s="538"/>
    </row>
    <row r="7" spans="1:11" x14ac:dyDescent="0.25">
      <c r="A7" s="539"/>
      <c r="B7" s="539"/>
      <c r="C7" s="537"/>
      <c r="D7" s="538"/>
      <c r="E7" s="538"/>
      <c r="F7" s="539">
        <v>2021</v>
      </c>
      <c r="G7" s="539">
        <v>2022</v>
      </c>
      <c r="H7" s="539">
        <v>2023</v>
      </c>
      <c r="I7" s="539">
        <v>2024</v>
      </c>
      <c r="J7" s="539">
        <v>2025</v>
      </c>
    </row>
    <row r="8" spans="1:11" x14ac:dyDescent="0.25">
      <c r="A8" s="539"/>
      <c r="B8" s="539"/>
      <c r="C8" s="537"/>
      <c r="D8" s="538"/>
      <c r="E8" s="538"/>
      <c r="F8" s="539"/>
      <c r="G8" s="539"/>
      <c r="H8" s="539"/>
      <c r="I8" s="539"/>
      <c r="J8" s="539"/>
    </row>
    <row r="9" spans="1:11" x14ac:dyDescent="0.25">
      <c r="A9" s="399">
        <v>1</v>
      </c>
      <c r="B9" s="399">
        <v>2</v>
      </c>
      <c r="C9" s="399">
        <v>3</v>
      </c>
      <c r="D9" s="399">
        <v>4</v>
      </c>
      <c r="E9" s="399">
        <v>5</v>
      </c>
      <c r="F9" s="399">
        <v>6</v>
      </c>
      <c r="G9" s="399">
        <v>7</v>
      </c>
      <c r="H9" s="399">
        <v>8</v>
      </c>
      <c r="I9" s="399">
        <v>9</v>
      </c>
      <c r="J9" s="399">
        <v>10</v>
      </c>
    </row>
    <row r="10" spans="1:11" ht="19.95" customHeight="1" x14ac:dyDescent="0.25">
      <c r="A10" s="533" t="s">
        <v>232</v>
      </c>
      <c r="B10" s="533"/>
      <c r="C10" s="533"/>
      <c r="D10" s="533"/>
      <c r="E10" s="533"/>
      <c r="F10" s="533"/>
      <c r="G10" s="533"/>
      <c r="H10" s="533"/>
      <c r="I10" s="533"/>
      <c r="J10" s="533"/>
    </row>
    <row r="11" spans="1:11" ht="30" customHeight="1" x14ac:dyDescent="0.25">
      <c r="A11" s="530" t="s">
        <v>200</v>
      </c>
      <c r="B11" s="530"/>
      <c r="C11" s="530"/>
      <c r="D11" s="530"/>
      <c r="E11" s="530"/>
      <c r="F11" s="530"/>
      <c r="G11" s="530"/>
      <c r="H11" s="530"/>
      <c r="I11" s="530"/>
      <c r="J11" s="530"/>
    </row>
    <row r="12" spans="1:11" ht="17.399999999999999" customHeight="1" x14ac:dyDescent="0.25">
      <c r="A12" s="531" t="s">
        <v>218</v>
      </c>
      <c r="B12" s="531"/>
      <c r="C12" s="531"/>
      <c r="D12" s="531"/>
      <c r="E12" s="531"/>
      <c r="F12" s="531"/>
      <c r="G12" s="531"/>
      <c r="H12" s="531"/>
      <c r="I12" s="531"/>
      <c r="J12" s="531"/>
    </row>
    <row r="13" spans="1:11" ht="25.2" customHeight="1" x14ac:dyDescent="0.25">
      <c r="A13" s="533" t="s">
        <v>716</v>
      </c>
      <c r="B13" s="533"/>
      <c r="C13" s="533"/>
      <c r="D13" s="533"/>
      <c r="E13" s="533"/>
      <c r="F13" s="533"/>
      <c r="G13" s="533"/>
      <c r="H13" s="533"/>
      <c r="I13" s="533"/>
      <c r="J13" s="533"/>
    </row>
    <row r="14" spans="1:11" ht="18.600000000000001" customHeight="1" x14ac:dyDescent="0.25">
      <c r="A14" s="533" t="s">
        <v>198</v>
      </c>
      <c r="B14" s="533"/>
      <c r="C14" s="533"/>
      <c r="D14" s="533"/>
      <c r="E14" s="533"/>
      <c r="F14" s="533"/>
      <c r="G14" s="533"/>
      <c r="H14" s="533"/>
      <c r="I14" s="533"/>
      <c r="J14" s="533"/>
    </row>
    <row r="15" spans="1:11" s="5" customFormat="1" ht="36.6" customHeight="1" x14ac:dyDescent="0.25">
      <c r="A15" s="398">
        <v>1</v>
      </c>
      <c r="B15" s="401" t="s">
        <v>747</v>
      </c>
      <c r="C15" s="401" t="s">
        <v>748</v>
      </c>
      <c r="D15" s="161" t="s">
        <v>717</v>
      </c>
      <c r="E15" s="180">
        <v>3</v>
      </c>
      <c r="F15" s="180">
        <f>5+1</f>
        <v>6</v>
      </c>
      <c r="G15" s="180">
        <v>2</v>
      </c>
      <c r="H15" s="180">
        <v>2</v>
      </c>
      <c r="I15" s="184" t="s">
        <v>718</v>
      </c>
      <c r="J15" s="184" t="s">
        <v>718</v>
      </c>
      <c r="K15" s="185" t="s">
        <v>898</v>
      </c>
    </row>
    <row r="16" spans="1:11" s="167" customFormat="1" ht="31.2" customHeight="1" x14ac:dyDescent="0.25">
      <c r="A16" s="532">
        <v>2</v>
      </c>
      <c r="B16" s="510" t="s">
        <v>719</v>
      </c>
      <c r="C16" s="401" t="s">
        <v>720</v>
      </c>
      <c r="D16" s="402" t="s">
        <v>717</v>
      </c>
      <c r="E16" s="180">
        <v>9</v>
      </c>
      <c r="F16" s="180">
        <v>7</v>
      </c>
      <c r="G16" s="180">
        <v>4</v>
      </c>
      <c r="H16" s="180">
        <v>4</v>
      </c>
      <c r="I16" s="184" t="s">
        <v>718</v>
      </c>
      <c r="J16" s="184" t="s">
        <v>718</v>
      </c>
    </row>
    <row r="17" spans="1:11" s="167" customFormat="1" ht="33.6" customHeight="1" x14ac:dyDescent="0.25">
      <c r="A17" s="532"/>
      <c r="B17" s="510"/>
      <c r="C17" s="401" t="s">
        <v>721</v>
      </c>
      <c r="D17" s="402" t="s">
        <v>717</v>
      </c>
      <c r="E17" s="184" t="s">
        <v>718</v>
      </c>
      <c r="F17" s="184" t="s">
        <v>718</v>
      </c>
      <c r="G17" s="184" t="s">
        <v>718</v>
      </c>
      <c r="H17" s="184" t="s">
        <v>718</v>
      </c>
      <c r="I17" s="184" t="s">
        <v>718</v>
      </c>
      <c r="J17" s="184" t="s">
        <v>718</v>
      </c>
    </row>
    <row r="18" spans="1:11" s="174" customFormat="1" ht="34.200000000000003" customHeight="1" x14ac:dyDescent="0.25">
      <c r="A18" s="532">
        <v>3</v>
      </c>
      <c r="B18" s="510" t="s">
        <v>1291</v>
      </c>
      <c r="C18" s="401" t="s">
        <v>722</v>
      </c>
      <c r="D18" s="402" t="s">
        <v>717</v>
      </c>
      <c r="E18" s="180">
        <v>2</v>
      </c>
      <c r="F18" s="180">
        <v>2</v>
      </c>
      <c r="G18" s="184" t="s">
        <v>718</v>
      </c>
      <c r="H18" s="184" t="s">
        <v>718</v>
      </c>
      <c r="I18" s="184" t="s">
        <v>718</v>
      </c>
      <c r="J18" s="184" t="s">
        <v>718</v>
      </c>
    </row>
    <row r="19" spans="1:11" s="174" customFormat="1" ht="32.4" customHeight="1" x14ac:dyDescent="0.25">
      <c r="A19" s="532"/>
      <c r="B19" s="510"/>
      <c r="C19" s="401" t="s">
        <v>723</v>
      </c>
      <c r="D19" s="402" t="s">
        <v>717</v>
      </c>
      <c r="E19" s="180">
        <v>1</v>
      </c>
      <c r="F19" s="184" t="s">
        <v>718</v>
      </c>
      <c r="G19" s="184" t="s">
        <v>718</v>
      </c>
      <c r="H19" s="184" t="s">
        <v>718</v>
      </c>
      <c r="I19" s="184" t="s">
        <v>718</v>
      </c>
      <c r="J19" s="184" t="s">
        <v>718</v>
      </c>
    </row>
    <row r="20" spans="1:11" ht="24" customHeight="1" x14ac:dyDescent="0.25">
      <c r="A20" s="400">
        <v>4</v>
      </c>
      <c r="B20" s="401" t="s">
        <v>194</v>
      </c>
      <c r="C20" s="401" t="s">
        <v>724</v>
      </c>
      <c r="D20" s="402" t="s">
        <v>717</v>
      </c>
      <c r="E20" s="180">
        <v>5</v>
      </c>
      <c r="F20" s="180">
        <v>9</v>
      </c>
      <c r="G20" s="180">
        <v>10</v>
      </c>
      <c r="H20" s="180">
        <v>10</v>
      </c>
      <c r="I20" s="184" t="s">
        <v>718</v>
      </c>
      <c r="J20" s="184" t="s">
        <v>718</v>
      </c>
    </row>
    <row r="21" spans="1:11" s="191" customFormat="1" ht="72" customHeight="1" x14ac:dyDescent="0.25">
      <c r="A21" s="398">
        <v>5</v>
      </c>
      <c r="B21" s="401" t="s">
        <v>976</v>
      </c>
      <c r="C21" s="401" t="s">
        <v>1292</v>
      </c>
      <c r="D21" s="161" t="s">
        <v>717</v>
      </c>
      <c r="E21" s="193" t="s">
        <v>718</v>
      </c>
      <c r="F21" s="350">
        <v>1</v>
      </c>
      <c r="G21" s="193" t="s">
        <v>718</v>
      </c>
      <c r="H21" s="193" t="s">
        <v>718</v>
      </c>
      <c r="I21" s="193" t="s">
        <v>718</v>
      </c>
      <c r="J21" s="193" t="s">
        <v>718</v>
      </c>
    </row>
    <row r="22" spans="1:11" ht="36" customHeight="1" x14ac:dyDescent="0.25">
      <c r="A22" s="514" t="s">
        <v>971</v>
      </c>
      <c r="B22" s="519"/>
      <c r="C22" s="519"/>
      <c r="D22" s="519"/>
      <c r="E22" s="519"/>
      <c r="F22" s="519"/>
      <c r="G22" s="519"/>
      <c r="H22" s="519"/>
      <c r="I22" s="519"/>
      <c r="J22" s="519"/>
    </row>
    <row r="23" spans="1:11" ht="23.4" customHeight="1" x14ac:dyDescent="0.25">
      <c r="A23" s="492">
        <v>6</v>
      </c>
      <c r="B23" s="527" t="s">
        <v>1054</v>
      </c>
      <c r="C23" s="401" t="s">
        <v>1009</v>
      </c>
      <c r="D23" s="402" t="s">
        <v>725</v>
      </c>
      <c r="E23" s="295">
        <v>6.79</v>
      </c>
      <c r="F23" s="295">
        <v>6.391</v>
      </c>
      <c r="G23" s="295">
        <v>5</v>
      </c>
      <c r="H23" s="295">
        <v>5</v>
      </c>
      <c r="I23" s="295">
        <v>4.4390000000000001</v>
      </c>
      <c r="J23" s="295">
        <v>4.4390000000000001</v>
      </c>
    </row>
    <row r="24" spans="1:11" ht="20.399999999999999" customHeight="1" x14ac:dyDescent="0.25">
      <c r="A24" s="526"/>
      <c r="B24" s="528"/>
      <c r="C24" s="401" t="s">
        <v>726</v>
      </c>
      <c r="D24" s="402" t="s">
        <v>717</v>
      </c>
      <c r="E24" s="180">
        <v>41</v>
      </c>
      <c r="F24" s="180">
        <v>50</v>
      </c>
      <c r="G24" s="180">
        <v>12</v>
      </c>
      <c r="H24" s="180">
        <v>12</v>
      </c>
      <c r="I24" s="180">
        <v>26</v>
      </c>
      <c r="J24" s="180">
        <v>26</v>
      </c>
    </row>
    <row r="25" spans="1:11" ht="19.95" customHeight="1" x14ac:dyDescent="0.25">
      <c r="A25" s="493"/>
      <c r="B25" s="529"/>
      <c r="C25" s="401" t="s">
        <v>1057</v>
      </c>
      <c r="D25" s="402" t="s">
        <v>717</v>
      </c>
      <c r="E25" s="180">
        <v>460</v>
      </c>
      <c r="F25" s="180">
        <v>700</v>
      </c>
      <c r="G25" s="180">
        <v>200</v>
      </c>
      <c r="H25" s="180">
        <v>200</v>
      </c>
      <c r="I25" s="180">
        <v>130</v>
      </c>
      <c r="J25" s="180">
        <v>130</v>
      </c>
    </row>
    <row r="26" spans="1:11" s="167" customFormat="1" ht="28.95" customHeight="1" x14ac:dyDescent="0.25">
      <c r="A26" s="532">
        <v>7</v>
      </c>
      <c r="B26" s="510" t="s">
        <v>727</v>
      </c>
      <c r="C26" s="401" t="s">
        <v>1243</v>
      </c>
      <c r="D26" s="402" t="s">
        <v>717</v>
      </c>
      <c r="E26" s="184" t="s">
        <v>718</v>
      </c>
      <c r="F26" s="180" t="s">
        <v>718</v>
      </c>
      <c r="G26" s="180">
        <v>7</v>
      </c>
      <c r="H26" s="180">
        <v>7</v>
      </c>
      <c r="I26" s="184" t="s">
        <v>718</v>
      </c>
      <c r="J26" s="184" t="s">
        <v>718</v>
      </c>
    </row>
    <row r="27" spans="1:11" s="167" customFormat="1" ht="31.95" customHeight="1" x14ac:dyDescent="0.25">
      <c r="A27" s="532"/>
      <c r="B27" s="510"/>
      <c r="C27" s="401" t="s">
        <v>721</v>
      </c>
      <c r="D27" s="402" t="s">
        <v>717</v>
      </c>
      <c r="E27" s="180">
        <v>1</v>
      </c>
      <c r="F27" s="184" t="s">
        <v>718</v>
      </c>
      <c r="G27" s="184" t="s">
        <v>718</v>
      </c>
      <c r="H27" s="184" t="s">
        <v>718</v>
      </c>
      <c r="I27" s="184" t="s">
        <v>718</v>
      </c>
      <c r="J27" s="184" t="s">
        <v>718</v>
      </c>
    </row>
    <row r="28" spans="1:11" s="5" customFormat="1" ht="41.4" customHeight="1" x14ac:dyDescent="0.25">
      <c r="A28" s="400">
        <v>8</v>
      </c>
      <c r="B28" s="401" t="s">
        <v>1048</v>
      </c>
      <c r="C28" s="401" t="s">
        <v>1244</v>
      </c>
      <c r="D28" s="402" t="s">
        <v>717</v>
      </c>
      <c r="E28" s="180">
        <v>4</v>
      </c>
      <c r="F28" s="180">
        <v>2</v>
      </c>
      <c r="G28" s="180">
        <v>10</v>
      </c>
      <c r="H28" s="180">
        <v>10</v>
      </c>
      <c r="I28" s="184" t="s">
        <v>718</v>
      </c>
      <c r="J28" s="184" t="s">
        <v>718</v>
      </c>
    </row>
    <row r="29" spans="1:11" s="5" customFormat="1" ht="33" customHeight="1" x14ac:dyDescent="0.25">
      <c r="A29" s="400">
        <v>9</v>
      </c>
      <c r="B29" s="401" t="s">
        <v>1061</v>
      </c>
      <c r="C29" s="401" t="s">
        <v>1063</v>
      </c>
      <c r="D29" s="402" t="s">
        <v>717</v>
      </c>
      <c r="E29" s="184" t="s">
        <v>718</v>
      </c>
      <c r="F29" s="184" t="s">
        <v>718</v>
      </c>
      <c r="G29" s="184" t="s">
        <v>718</v>
      </c>
      <c r="H29" s="184" t="s">
        <v>718</v>
      </c>
      <c r="I29" s="180">
        <v>4</v>
      </c>
      <c r="J29" s="180">
        <v>7</v>
      </c>
    </row>
    <row r="30" spans="1:11" s="167" customFormat="1" ht="40.950000000000003" customHeight="1" x14ac:dyDescent="0.25">
      <c r="A30" s="400">
        <v>10</v>
      </c>
      <c r="B30" s="401" t="s">
        <v>1049</v>
      </c>
      <c r="C30" s="401" t="s">
        <v>1050</v>
      </c>
      <c r="D30" s="402" t="s">
        <v>717</v>
      </c>
      <c r="E30" s="184" t="s">
        <v>718</v>
      </c>
      <c r="F30" s="180">
        <v>1</v>
      </c>
      <c r="G30" s="180">
        <v>1</v>
      </c>
      <c r="H30" s="180">
        <v>1</v>
      </c>
      <c r="I30" s="184" t="s">
        <v>718</v>
      </c>
      <c r="J30" s="184" t="s">
        <v>718</v>
      </c>
      <c r="K30" s="186" t="s">
        <v>792</v>
      </c>
    </row>
    <row r="31" spans="1:11" s="167" customFormat="1" ht="33" customHeight="1" x14ac:dyDescent="0.25">
      <c r="A31" s="400">
        <v>11</v>
      </c>
      <c r="B31" s="401" t="s">
        <v>1056</v>
      </c>
      <c r="C31" s="401" t="s">
        <v>1058</v>
      </c>
      <c r="D31" s="402" t="s">
        <v>717</v>
      </c>
      <c r="E31" s="184" t="s">
        <v>718</v>
      </c>
      <c r="F31" s="184" t="s">
        <v>718</v>
      </c>
      <c r="G31" s="184" t="s">
        <v>718</v>
      </c>
      <c r="H31" s="184" t="s">
        <v>718</v>
      </c>
      <c r="I31" s="180">
        <v>1943</v>
      </c>
      <c r="J31" s="180">
        <v>1943</v>
      </c>
      <c r="K31" s="186"/>
    </row>
    <row r="32" spans="1:11" s="167" customFormat="1" ht="24.6" customHeight="1" x14ac:dyDescent="0.25">
      <c r="A32" s="400">
        <v>12</v>
      </c>
      <c r="B32" s="401" t="s">
        <v>728</v>
      </c>
      <c r="C32" s="401" t="s">
        <v>729</v>
      </c>
      <c r="D32" s="402" t="s">
        <v>730</v>
      </c>
      <c r="E32" s="180">
        <v>2</v>
      </c>
      <c r="F32" s="184" t="s">
        <v>718</v>
      </c>
      <c r="G32" s="184" t="s">
        <v>718</v>
      </c>
      <c r="H32" s="184" t="s">
        <v>718</v>
      </c>
      <c r="I32" s="180">
        <v>1</v>
      </c>
      <c r="J32" s="180">
        <v>1</v>
      </c>
      <c r="K32" s="173" t="s">
        <v>899</v>
      </c>
    </row>
    <row r="33" spans="1:30" s="5" customFormat="1" ht="34.950000000000003" customHeight="1" x14ac:dyDescent="0.25">
      <c r="A33" s="400">
        <v>13</v>
      </c>
      <c r="B33" s="401" t="s">
        <v>731</v>
      </c>
      <c r="C33" s="401" t="s">
        <v>732</v>
      </c>
      <c r="D33" s="402" t="s">
        <v>717</v>
      </c>
      <c r="E33" s="180">
        <v>61</v>
      </c>
      <c r="F33" s="180">
        <v>22</v>
      </c>
      <c r="G33" s="180">
        <v>43</v>
      </c>
      <c r="H33" s="180">
        <v>43</v>
      </c>
      <c r="I33" s="180">
        <v>43</v>
      </c>
      <c r="J33" s="180">
        <v>43</v>
      </c>
    </row>
    <row r="34" spans="1:30" ht="30.6" customHeight="1" x14ac:dyDescent="0.25">
      <c r="A34" s="514" t="s">
        <v>733</v>
      </c>
      <c r="B34" s="518"/>
      <c r="C34" s="518"/>
      <c r="D34" s="518"/>
      <c r="E34" s="518"/>
      <c r="F34" s="518"/>
      <c r="G34" s="518"/>
      <c r="H34" s="518"/>
      <c r="I34" s="518"/>
      <c r="J34" s="518"/>
    </row>
    <row r="35" spans="1:30" s="5" customFormat="1" ht="21.6" customHeight="1" x14ac:dyDescent="0.25">
      <c r="A35" s="400">
        <v>14</v>
      </c>
      <c r="B35" s="401" t="s">
        <v>185</v>
      </c>
      <c r="C35" s="401" t="s">
        <v>734</v>
      </c>
      <c r="D35" s="194" t="s">
        <v>735</v>
      </c>
      <c r="E35" s="195">
        <v>98.9</v>
      </c>
      <c r="F35" s="195">
        <v>99.5</v>
      </c>
      <c r="G35" s="195">
        <v>99.5</v>
      </c>
      <c r="H35" s="195">
        <v>99.5</v>
      </c>
      <c r="I35" s="195">
        <v>99.5</v>
      </c>
      <c r="J35" s="195">
        <v>99.5</v>
      </c>
    </row>
    <row r="36" spans="1:30" s="112" customFormat="1" ht="45.6" customHeight="1" x14ac:dyDescent="0.25">
      <c r="A36" s="516" t="s">
        <v>844</v>
      </c>
      <c r="B36" s="516"/>
      <c r="C36" s="516"/>
      <c r="D36" s="516"/>
      <c r="E36" s="516"/>
      <c r="F36" s="516"/>
      <c r="G36" s="516"/>
      <c r="H36" s="516"/>
      <c r="I36" s="516"/>
      <c r="J36" s="516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</row>
    <row r="37" spans="1:30" s="112" customFormat="1" ht="33.6" customHeight="1" x14ac:dyDescent="0.25">
      <c r="A37" s="515" t="s">
        <v>970</v>
      </c>
      <c r="B37" s="515"/>
      <c r="C37" s="515"/>
      <c r="D37" s="515"/>
      <c r="E37" s="515"/>
      <c r="F37" s="515"/>
      <c r="G37" s="515"/>
      <c r="H37" s="515"/>
      <c r="I37" s="515"/>
      <c r="J37" s="515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</row>
    <row r="38" spans="1:30" s="112" customFormat="1" ht="31.2" customHeight="1" x14ac:dyDescent="0.25">
      <c r="A38" s="516" t="s">
        <v>843</v>
      </c>
      <c r="B38" s="516"/>
      <c r="C38" s="516"/>
      <c r="D38" s="516"/>
      <c r="E38" s="516"/>
      <c r="F38" s="516"/>
      <c r="G38" s="516"/>
      <c r="H38" s="516"/>
      <c r="I38" s="516"/>
      <c r="J38" s="516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</row>
    <row r="39" spans="1:30" s="112" customFormat="1" ht="32.4" customHeight="1" x14ac:dyDescent="0.25">
      <c r="A39" s="514" t="s">
        <v>846</v>
      </c>
      <c r="B39" s="514"/>
      <c r="C39" s="514"/>
      <c r="D39" s="514"/>
      <c r="E39" s="514"/>
      <c r="F39" s="514"/>
      <c r="G39" s="514"/>
      <c r="H39" s="514"/>
      <c r="I39" s="514"/>
      <c r="J39" s="514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</row>
    <row r="40" spans="1:30" ht="43.5" customHeight="1" x14ac:dyDescent="0.25">
      <c r="A40" s="534">
        <v>15</v>
      </c>
      <c r="B40" s="492" t="s">
        <v>1257</v>
      </c>
      <c r="C40" s="125" t="s">
        <v>905</v>
      </c>
      <c r="D40" s="138" t="s">
        <v>738</v>
      </c>
      <c r="E40" s="164">
        <v>0.1</v>
      </c>
      <c r="F40" s="138">
        <v>3.06</v>
      </c>
      <c r="G40" s="268">
        <v>2.74</v>
      </c>
      <c r="H40" s="164" t="s">
        <v>718</v>
      </c>
      <c r="I40" s="402">
        <v>4.5</v>
      </c>
      <c r="J40" s="402">
        <v>2.4</v>
      </c>
      <c r="K40" s="127">
        <v>3.2</v>
      </c>
    </row>
    <row r="41" spans="1:30" ht="45.6" customHeight="1" x14ac:dyDescent="0.25">
      <c r="A41" s="535"/>
      <c r="B41" s="493"/>
      <c r="C41" s="125" t="s">
        <v>1078</v>
      </c>
      <c r="D41" s="138" t="s">
        <v>717</v>
      </c>
      <c r="E41" s="154" t="s">
        <v>718</v>
      </c>
      <c r="F41" s="154" t="s">
        <v>718</v>
      </c>
      <c r="G41" s="154" t="s">
        <v>718</v>
      </c>
      <c r="H41" s="402">
        <v>2</v>
      </c>
      <c r="I41" s="402" t="s">
        <v>718</v>
      </c>
      <c r="J41" s="402" t="s">
        <v>718</v>
      </c>
      <c r="K41" s="297"/>
    </row>
    <row r="42" spans="1:30" ht="45" customHeight="1" x14ac:dyDescent="0.25">
      <c r="A42" s="154">
        <v>16</v>
      </c>
      <c r="B42" s="402" t="s">
        <v>220</v>
      </c>
      <c r="C42" s="125" t="s">
        <v>906</v>
      </c>
      <c r="D42" s="138" t="s">
        <v>738</v>
      </c>
      <c r="E42" s="154" t="s">
        <v>718</v>
      </c>
      <c r="F42" s="154" t="s">
        <v>718</v>
      </c>
      <c r="G42" s="154" t="s">
        <v>718</v>
      </c>
      <c r="H42" s="402" t="s">
        <v>718</v>
      </c>
      <c r="I42" s="402">
        <v>0.1</v>
      </c>
      <c r="J42" s="402" t="s">
        <v>718</v>
      </c>
      <c r="K42" s="127">
        <v>0.69</v>
      </c>
    </row>
    <row r="43" spans="1:30" ht="48" customHeight="1" x14ac:dyDescent="0.25">
      <c r="A43" s="520">
        <v>17</v>
      </c>
      <c r="B43" s="523" t="s">
        <v>221</v>
      </c>
      <c r="C43" s="125" t="s">
        <v>907</v>
      </c>
      <c r="D43" s="138" t="s">
        <v>717</v>
      </c>
      <c r="E43" s="150" t="s">
        <v>718</v>
      </c>
      <c r="F43" s="138">
        <v>4</v>
      </c>
      <c r="G43" s="150" t="s">
        <v>718</v>
      </c>
      <c r="H43" s="138" t="s">
        <v>718</v>
      </c>
      <c r="I43" s="138">
        <v>4</v>
      </c>
      <c r="J43" s="138">
        <v>3</v>
      </c>
      <c r="K43" s="128">
        <v>1</v>
      </c>
    </row>
    <row r="44" spans="1:30" ht="45" customHeight="1" x14ac:dyDescent="0.25">
      <c r="A44" s="521"/>
      <c r="B44" s="524"/>
      <c r="C44" s="125" t="s">
        <v>908</v>
      </c>
      <c r="D44" s="138" t="s">
        <v>717</v>
      </c>
      <c r="E44" s="150" t="s">
        <v>718</v>
      </c>
      <c r="F44" s="138">
        <v>4</v>
      </c>
      <c r="G44" s="138">
        <v>2</v>
      </c>
      <c r="H44" s="138">
        <v>2</v>
      </c>
      <c r="I44" s="138">
        <v>3</v>
      </c>
      <c r="J44" s="138">
        <v>4</v>
      </c>
      <c r="K44" s="128">
        <v>1</v>
      </c>
    </row>
    <row r="45" spans="1:30" ht="50.4" customHeight="1" x14ac:dyDescent="0.25">
      <c r="A45" s="521"/>
      <c r="B45" s="524"/>
      <c r="C45" s="125" t="s">
        <v>835</v>
      </c>
      <c r="D45" s="138" t="s">
        <v>717</v>
      </c>
      <c r="E45" s="402">
        <v>1</v>
      </c>
      <c r="F45" s="402">
        <v>2</v>
      </c>
      <c r="G45" s="402">
        <v>1</v>
      </c>
      <c r="H45" s="402">
        <v>1</v>
      </c>
      <c r="I45" s="138">
        <v>3</v>
      </c>
      <c r="J45" s="138">
        <v>4</v>
      </c>
      <c r="K45" s="128">
        <v>7</v>
      </c>
      <c r="P45" s="387"/>
    </row>
    <row r="46" spans="1:30" ht="44.4" customHeight="1" x14ac:dyDescent="0.25">
      <c r="A46" s="521"/>
      <c r="B46" s="524"/>
      <c r="C46" s="125" t="s">
        <v>836</v>
      </c>
      <c r="D46" s="138" t="s">
        <v>717</v>
      </c>
      <c r="E46" s="150" t="s">
        <v>718</v>
      </c>
      <c r="F46" s="150" t="s">
        <v>718</v>
      </c>
      <c r="G46" s="150" t="s">
        <v>718</v>
      </c>
      <c r="H46" s="138" t="s">
        <v>718</v>
      </c>
      <c r="I46" s="138">
        <v>35</v>
      </c>
      <c r="J46" s="138">
        <v>25</v>
      </c>
      <c r="K46" s="128">
        <v>40</v>
      </c>
      <c r="M46" s="131" t="s">
        <v>783</v>
      </c>
    </row>
    <row r="47" spans="1:30" ht="61.2" customHeight="1" x14ac:dyDescent="0.25">
      <c r="A47" s="521"/>
      <c r="B47" s="524"/>
      <c r="C47" s="125" t="s">
        <v>904</v>
      </c>
      <c r="D47" s="138" t="s">
        <v>738</v>
      </c>
      <c r="E47" s="402">
        <v>33.46</v>
      </c>
      <c r="F47" s="154" t="s">
        <v>718</v>
      </c>
      <c r="G47" s="268" t="s">
        <v>718</v>
      </c>
      <c r="H47" s="225" t="s">
        <v>718</v>
      </c>
      <c r="I47" s="349">
        <v>119</v>
      </c>
      <c r="J47" s="349">
        <v>72</v>
      </c>
      <c r="K47" s="128"/>
      <c r="M47" s="131"/>
    </row>
    <row r="48" spans="1:30" ht="42.6" customHeight="1" x14ac:dyDescent="0.25">
      <c r="A48" s="522"/>
      <c r="B48" s="525"/>
      <c r="C48" s="125" t="s">
        <v>737</v>
      </c>
      <c r="D48" s="138" t="s">
        <v>1260</v>
      </c>
      <c r="E48" s="154" t="s">
        <v>718</v>
      </c>
      <c r="F48" s="154" t="s">
        <v>718</v>
      </c>
      <c r="G48" s="402" t="s">
        <v>718</v>
      </c>
      <c r="H48" s="138" t="s">
        <v>718</v>
      </c>
      <c r="I48" s="138">
        <v>212</v>
      </c>
      <c r="J48" s="138">
        <v>119</v>
      </c>
      <c r="K48" s="128"/>
      <c r="M48" s="131"/>
    </row>
    <row r="49" spans="1:22" ht="43.95" customHeight="1" x14ac:dyDescent="0.25">
      <c r="A49" s="154">
        <v>18</v>
      </c>
      <c r="B49" s="401" t="s">
        <v>793</v>
      </c>
      <c r="C49" s="125" t="s">
        <v>789</v>
      </c>
      <c r="D49" s="138" t="s">
        <v>740</v>
      </c>
      <c r="E49" s="150" t="s">
        <v>718</v>
      </c>
      <c r="F49" s="138">
        <v>5.54</v>
      </c>
      <c r="G49" s="402">
        <v>39.85</v>
      </c>
      <c r="H49" s="402">
        <v>45.5</v>
      </c>
      <c r="I49" s="402">
        <v>82.65</v>
      </c>
      <c r="J49" s="402">
        <v>18.54</v>
      </c>
      <c r="K49" s="124">
        <v>109.38</v>
      </c>
      <c r="L49" t="s">
        <v>777</v>
      </c>
    </row>
    <row r="50" spans="1:22" ht="47.4" customHeight="1" x14ac:dyDescent="0.25">
      <c r="A50" s="534">
        <v>19</v>
      </c>
      <c r="B50" s="492" t="s">
        <v>223</v>
      </c>
      <c r="C50" s="125" t="s">
        <v>790</v>
      </c>
      <c r="D50" s="138" t="s">
        <v>739</v>
      </c>
      <c r="E50" s="402">
        <v>257.52999999999997</v>
      </c>
      <c r="F50" s="225">
        <v>295.83</v>
      </c>
      <c r="G50" s="402">
        <v>250.58</v>
      </c>
      <c r="H50" s="402">
        <v>230.45</v>
      </c>
      <c r="I50" s="402">
        <v>361.7</v>
      </c>
      <c r="J50" s="402">
        <v>394.81</v>
      </c>
      <c r="K50" s="126" t="s">
        <v>741</v>
      </c>
      <c r="V50" s="172"/>
    </row>
    <row r="51" spans="1:22" ht="26.4" x14ac:dyDescent="0.25">
      <c r="A51" s="536"/>
      <c r="B51" s="526"/>
      <c r="C51" s="125" t="s">
        <v>1237</v>
      </c>
      <c r="D51" s="138" t="s">
        <v>717</v>
      </c>
      <c r="E51" s="402" t="s">
        <v>718</v>
      </c>
      <c r="F51" s="349">
        <v>1</v>
      </c>
      <c r="G51" s="138" t="s">
        <v>718</v>
      </c>
      <c r="H51" s="138" t="s">
        <v>718</v>
      </c>
      <c r="I51" s="138" t="s">
        <v>718</v>
      </c>
      <c r="J51" s="138" t="s">
        <v>718</v>
      </c>
      <c r="K51" s="126"/>
      <c r="V51" s="172"/>
    </row>
    <row r="52" spans="1:22" s="131" customFormat="1" ht="97.2" customHeight="1" x14ac:dyDescent="0.25">
      <c r="A52" s="536"/>
      <c r="B52" s="526"/>
      <c r="C52" s="125" t="s">
        <v>1246</v>
      </c>
      <c r="D52" s="138" t="s">
        <v>717</v>
      </c>
      <c r="E52" s="402" t="s">
        <v>718</v>
      </c>
      <c r="F52" s="349">
        <v>7</v>
      </c>
      <c r="G52" s="138" t="s">
        <v>718</v>
      </c>
      <c r="H52" s="138" t="s">
        <v>718</v>
      </c>
      <c r="I52" s="138" t="s">
        <v>718</v>
      </c>
      <c r="J52" s="138" t="s">
        <v>718</v>
      </c>
      <c r="K52" s="311"/>
    </row>
    <row r="53" spans="1:22" s="131" customFormat="1" ht="31.2" customHeight="1" x14ac:dyDescent="0.25">
      <c r="A53" s="536"/>
      <c r="B53" s="526"/>
      <c r="C53" s="125" t="s">
        <v>720</v>
      </c>
      <c r="D53" s="138" t="s">
        <v>717</v>
      </c>
      <c r="E53" s="402" t="s">
        <v>718</v>
      </c>
      <c r="F53" s="349">
        <v>19</v>
      </c>
      <c r="G53" s="138" t="s">
        <v>718</v>
      </c>
      <c r="H53" s="138" t="s">
        <v>718</v>
      </c>
      <c r="I53" s="138" t="s">
        <v>718</v>
      </c>
      <c r="J53" s="138" t="s">
        <v>718</v>
      </c>
      <c r="K53" s="311"/>
    </row>
    <row r="54" spans="1:22" s="131" customFormat="1" ht="26.4" x14ac:dyDescent="0.25">
      <c r="A54" s="536"/>
      <c r="B54" s="526"/>
      <c r="C54" s="125" t="s">
        <v>722</v>
      </c>
      <c r="D54" s="138" t="s">
        <v>717</v>
      </c>
      <c r="E54" s="402" t="s">
        <v>718</v>
      </c>
      <c r="F54" s="349">
        <v>2</v>
      </c>
      <c r="G54" s="138" t="s">
        <v>718</v>
      </c>
      <c r="H54" s="138" t="s">
        <v>718</v>
      </c>
      <c r="I54" s="138" t="s">
        <v>718</v>
      </c>
      <c r="J54" s="138" t="s">
        <v>718</v>
      </c>
      <c r="K54" s="311"/>
    </row>
    <row r="55" spans="1:22" s="131" customFormat="1" x14ac:dyDescent="0.25">
      <c r="A55" s="536"/>
      <c r="B55" s="526"/>
      <c r="C55" s="125" t="s">
        <v>724</v>
      </c>
      <c r="D55" s="138" t="s">
        <v>717</v>
      </c>
      <c r="E55" s="402" t="s">
        <v>718</v>
      </c>
      <c r="F55" s="349">
        <v>7</v>
      </c>
      <c r="G55" s="138" t="s">
        <v>718</v>
      </c>
      <c r="H55" s="138" t="s">
        <v>718</v>
      </c>
      <c r="I55" s="138" t="s">
        <v>718</v>
      </c>
      <c r="J55" s="138" t="s">
        <v>718</v>
      </c>
      <c r="K55" s="311"/>
    </row>
    <row r="56" spans="1:22" s="131" customFormat="1" ht="43.95" customHeight="1" x14ac:dyDescent="0.25">
      <c r="A56" s="536"/>
      <c r="B56" s="526"/>
      <c r="C56" s="125" t="s">
        <v>977</v>
      </c>
      <c r="D56" s="138" t="s">
        <v>717</v>
      </c>
      <c r="E56" s="402" t="s">
        <v>718</v>
      </c>
      <c r="F56" s="349">
        <v>3</v>
      </c>
      <c r="G56" s="138" t="s">
        <v>718</v>
      </c>
      <c r="H56" s="138" t="s">
        <v>718</v>
      </c>
      <c r="I56" s="138" t="s">
        <v>718</v>
      </c>
      <c r="J56" s="138" t="s">
        <v>718</v>
      </c>
      <c r="K56" s="311"/>
    </row>
    <row r="57" spans="1:22" s="131" customFormat="1" x14ac:dyDescent="0.25">
      <c r="A57" s="536"/>
      <c r="B57" s="526"/>
      <c r="C57" s="125" t="s">
        <v>1009</v>
      </c>
      <c r="D57" s="138" t="s">
        <v>1245</v>
      </c>
      <c r="E57" s="402" t="s">
        <v>718</v>
      </c>
      <c r="F57" s="225">
        <v>3.98</v>
      </c>
      <c r="G57" s="138" t="s">
        <v>718</v>
      </c>
      <c r="H57" s="138" t="s">
        <v>718</v>
      </c>
      <c r="I57" s="138" t="s">
        <v>718</v>
      </c>
      <c r="J57" s="138" t="s">
        <v>718</v>
      </c>
      <c r="K57" s="311"/>
    </row>
    <row r="58" spans="1:22" s="131" customFormat="1" x14ac:dyDescent="0.25">
      <c r="A58" s="536"/>
      <c r="B58" s="526"/>
      <c r="C58" s="125" t="s">
        <v>726</v>
      </c>
      <c r="D58" s="138" t="s">
        <v>717</v>
      </c>
      <c r="E58" s="402" t="s">
        <v>718</v>
      </c>
      <c r="F58" s="349">
        <v>21</v>
      </c>
      <c r="G58" s="138" t="s">
        <v>718</v>
      </c>
      <c r="H58" s="138" t="s">
        <v>718</v>
      </c>
      <c r="I58" s="138" t="s">
        <v>718</v>
      </c>
      <c r="J58" s="138" t="s">
        <v>718</v>
      </c>
      <c r="K58" s="311"/>
    </row>
    <row r="59" spans="1:22" s="131" customFormat="1" x14ac:dyDescent="0.25">
      <c r="A59" s="536"/>
      <c r="B59" s="526"/>
      <c r="C59" s="125" t="s">
        <v>1242</v>
      </c>
      <c r="D59" s="138" t="s">
        <v>717</v>
      </c>
      <c r="E59" s="402" t="s">
        <v>718</v>
      </c>
      <c r="F59" s="349">
        <v>45</v>
      </c>
      <c r="G59" s="138" t="s">
        <v>718</v>
      </c>
      <c r="H59" s="138" t="s">
        <v>718</v>
      </c>
      <c r="I59" s="138" t="s">
        <v>718</v>
      </c>
      <c r="J59" s="138" t="s">
        <v>718</v>
      </c>
      <c r="K59" s="311"/>
    </row>
    <row r="60" spans="1:22" s="131" customFormat="1" ht="28.95" customHeight="1" x14ac:dyDescent="0.25">
      <c r="A60" s="536"/>
      <c r="B60" s="526"/>
      <c r="C60" s="125" t="s">
        <v>1243</v>
      </c>
      <c r="D60" s="138" t="s">
        <v>717</v>
      </c>
      <c r="E60" s="402" t="s">
        <v>718</v>
      </c>
      <c r="F60" s="349">
        <v>2</v>
      </c>
      <c r="G60" s="138" t="s">
        <v>718</v>
      </c>
      <c r="H60" s="138" t="s">
        <v>718</v>
      </c>
      <c r="I60" s="138" t="s">
        <v>718</v>
      </c>
      <c r="J60" s="138" t="s">
        <v>718</v>
      </c>
      <c r="K60" s="311"/>
    </row>
    <row r="61" spans="1:22" s="131" customFormat="1" ht="30.6" customHeight="1" x14ac:dyDescent="0.25">
      <c r="A61" s="535"/>
      <c r="B61" s="493"/>
      <c r="C61" s="125" t="s">
        <v>1244</v>
      </c>
      <c r="D61" s="138" t="s">
        <v>717</v>
      </c>
      <c r="E61" s="402" t="s">
        <v>718</v>
      </c>
      <c r="F61" s="349">
        <v>1</v>
      </c>
      <c r="G61" s="138" t="s">
        <v>718</v>
      </c>
      <c r="H61" s="138" t="s">
        <v>718</v>
      </c>
      <c r="I61" s="138" t="s">
        <v>718</v>
      </c>
      <c r="J61" s="138" t="s">
        <v>718</v>
      </c>
      <c r="K61" s="311"/>
    </row>
    <row r="62" spans="1:22" ht="58.95" customHeight="1" x14ac:dyDescent="0.25">
      <c r="A62" s="154">
        <v>20</v>
      </c>
      <c r="B62" s="130" t="s">
        <v>1236</v>
      </c>
      <c r="C62" s="125" t="s">
        <v>849</v>
      </c>
      <c r="D62" s="138" t="s">
        <v>739</v>
      </c>
      <c r="E62" s="402">
        <v>178.35</v>
      </c>
      <c r="F62" s="402">
        <v>85.67</v>
      </c>
      <c r="G62" s="402">
        <v>15</v>
      </c>
      <c r="H62" s="402">
        <v>13.03</v>
      </c>
      <c r="I62" s="402">
        <v>321</v>
      </c>
      <c r="J62" s="402">
        <v>327</v>
      </c>
      <c r="K62" s="126" t="s">
        <v>742</v>
      </c>
    </row>
    <row r="63" spans="1:22" ht="100.2" customHeight="1" x14ac:dyDescent="0.25">
      <c r="A63" s="154">
        <v>21</v>
      </c>
      <c r="B63" s="130" t="s">
        <v>847</v>
      </c>
      <c r="C63" s="151" t="s">
        <v>880</v>
      </c>
      <c r="D63" s="138" t="s">
        <v>739</v>
      </c>
      <c r="E63" s="402">
        <v>6.14</v>
      </c>
      <c r="F63" s="402">
        <v>14.7</v>
      </c>
      <c r="G63" s="402" t="s">
        <v>718</v>
      </c>
      <c r="H63" s="402" t="s">
        <v>718</v>
      </c>
      <c r="I63" s="402">
        <v>324.67</v>
      </c>
      <c r="J63" s="402">
        <v>171.17</v>
      </c>
      <c r="K63" s="132" t="s">
        <v>899</v>
      </c>
    </row>
    <row r="64" spans="1:22" s="131" customFormat="1" x14ac:dyDescent="0.25">
      <c r="A64" s="154">
        <v>22</v>
      </c>
      <c r="B64" s="130" t="s">
        <v>1254</v>
      </c>
      <c r="C64" s="151" t="s">
        <v>1255</v>
      </c>
      <c r="D64" s="138" t="s">
        <v>739</v>
      </c>
      <c r="E64" s="402" t="s">
        <v>718</v>
      </c>
      <c r="F64" s="402">
        <v>5998.03</v>
      </c>
      <c r="G64" s="402" t="s">
        <v>718</v>
      </c>
      <c r="H64" s="402" t="s">
        <v>718</v>
      </c>
      <c r="I64" s="402" t="s">
        <v>718</v>
      </c>
      <c r="J64" s="402" t="s">
        <v>718</v>
      </c>
      <c r="K64" s="310"/>
    </row>
    <row r="65" spans="1:30" s="112" customFormat="1" ht="31.2" customHeight="1" x14ac:dyDescent="0.25">
      <c r="A65" s="516" t="s">
        <v>834</v>
      </c>
      <c r="B65" s="516"/>
      <c r="C65" s="516"/>
      <c r="D65" s="516"/>
      <c r="E65" s="516"/>
      <c r="F65" s="516"/>
      <c r="G65" s="516"/>
      <c r="H65" s="516"/>
      <c r="I65" s="516"/>
      <c r="J65" s="516"/>
      <c r="K65" s="507"/>
      <c r="L65" s="507"/>
      <c r="M65" s="507"/>
      <c r="N65" s="507"/>
      <c r="O65" s="507"/>
      <c r="P65" s="507"/>
      <c r="Q65" s="507"/>
      <c r="R65" s="507"/>
      <c r="S65" s="507"/>
      <c r="T65" s="507"/>
      <c r="U65" s="507"/>
      <c r="V65" s="507"/>
      <c r="W65" s="507"/>
      <c r="X65" s="507"/>
      <c r="Y65" s="507"/>
      <c r="Z65" s="507"/>
      <c r="AA65" s="507"/>
      <c r="AB65" s="507"/>
      <c r="AC65" s="507"/>
      <c r="AD65" s="507"/>
    </row>
    <row r="66" spans="1:30" s="112" customFormat="1" ht="17.399999999999999" customHeight="1" x14ac:dyDescent="0.25">
      <c r="A66" s="515" t="s">
        <v>225</v>
      </c>
      <c r="B66" s="515"/>
      <c r="C66" s="515"/>
      <c r="D66" s="515"/>
      <c r="E66" s="515"/>
      <c r="F66" s="515"/>
      <c r="G66" s="515"/>
      <c r="H66" s="515"/>
      <c r="I66" s="515"/>
      <c r="J66" s="515"/>
      <c r="K66" s="508"/>
      <c r="L66" s="508"/>
      <c r="M66" s="508"/>
      <c r="N66" s="508"/>
      <c r="O66" s="508"/>
      <c r="P66" s="508"/>
      <c r="Q66" s="508"/>
      <c r="R66" s="508"/>
      <c r="S66" s="508"/>
      <c r="T66" s="508"/>
      <c r="U66" s="508"/>
      <c r="V66" s="508"/>
      <c r="W66" s="508"/>
      <c r="X66" s="508"/>
      <c r="Y66" s="508"/>
      <c r="Z66" s="508"/>
      <c r="AA66" s="508"/>
      <c r="AB66" s="508"/>
      <c r="AC66" s="508"/>
      <c r="AD66" s="508"/>
    </row>
    <row r="67" spans="1:30" s="112" customFormat="1" ht="40.200000000000003" customHeight="1" x14ac:dyDescent="0.25">
      <c r="A67" s="514" t="s">
        <v>833</v>
      </c>
      <c r="B67" s="514"/>
      <c r="C67" s="514"/>
      <c r="D67" s="514"/>
      <c r="E67" s="514"/>
      <c r="F67" s="514"/>
      <c r="G67" s="514"/>
      <c r="H67" s="514"/>
      <c r="I67" s="514"/>
      <c r="J67" s="514"/>
      <c r="K67" s="511"/>
      <c r="L67" s="511"/>
      <c r="M67" s="511"/>
      <c r="N67" s="511"/>
      <c r="O67" s="511"/>
      <c r="P67" s="511"/>
      <c r="Q67" s="511"/>
      <c r="R67" s="511"/>
      <c r="S67" s="511"/>
      <c r="T67" s="511"/>
      <c r="U67" s="511"/>
      <c r="V67" s="511"/>
      <c r="W67" s="511"/>
      <c r="X67" s="511"/>
      <c r="Y67" s="511"/>
      <c r="Z67" s="511"/>
      <c r="AA67" s="511"/>
      <c r="AB67" s="511"/>
      <c r="AC67" s="511"/>
      <c r="AD67" s="511"/>
    </row>
    <row r="68" spans="1:30" s="112" customFormat="1" ht="36" customHeight="1" x14ac:dyDescent="0.25">
      <c r="A68" s="514" t="s">
        <v>226</v>
      </c>
      <c r="B68" s="514"/>
      <c r="C68" s="514"/>
      <c r="D68" s="514"/>
      <c r="E68" s="514"/>
      <c r="F68" s="514"/>
      <c r="G68" s="514"/>
      <c r="H68" s="514"/>
      <c r="I68" s="514"/>
      <c r="J68" s="514"/>
      <c r="K68" s="511"/>
      <c r="L68" s="511"/>
      <c r="M68" s="511"/>
      <c r="N68" s="511"/>
      <c r="O68" s="511"/>
      <c r="P68" s="511"/>
      <c r="Q68" s="511"/>
      <c r="R68" s="511"/>
      <c r="S68" s="511"/>
      <c r="T68" s="511"/>
      <c r="U68" s="511"/>
      <c r="V68" s="511"/>
      <c r="W68" s="511"/>
      <c r="X68" s="511"/>
      <c r="Y68" s="511"/>
      <c r="Z68" s="511"/>
      <c r="AA68" s="511"/>
      <c r="AB68" s="511"/>
      <c r="AC68" s="511"/>
      <c r="AD68" s="511"/>
    </row>
    <row r="69" spans="1:30" s="172" customFormat="1" ht="72.599999999999994" customHeight="1" x14ac:dyDescent="0.25">
      <c r="A69" s="400">
        <v>23</v>
      </c>
      <c r="B69" s="401" t="s">
        <v>781</v>
      </c>
      <c r="C69" s="279" t="s">
        <v>743</v>
      </c>
      <c r="D69" s="280" t="s">
        <v>740</v>
      </c>
      <c r="E69" s="281">
        <v>6198.38</v>
      </c>
      <c r="F69" s="282">
        <v>6198.3789999999999</v>
      </c>
      <c r="G69" s="282">
        <v>6198.3789999999999</v>
      </c>
      <c r="H69" s="282">
        <v>6198.3789999999999</v>
      </c>
      <c r="I69" s="282">
        <v>6198.3789999999999</v>
      </c>
      <c r="J69" s="282">
        <v>6198.3789999999999</v>
      </c>
    </row>
    <row r="70" spans="1:30" s="172" customFormat="1" ht="30.6" customHeight="1" x14ac:dyDescent="0.25">
      <c r="A70" s="400">
        <v>24</v>
      </c>
      <c r="B70" s="279" t="s">
        <v>744</v>
      </c>
      <c r="C70" s="279" t="s">
        <v>1252</v>
      </c>
      <c r="D70" s="280" t="s">
        <v>740</v>
      </c>
      <c r="E70" s="281">
        <v>1.95</v>
      </c>
      <c r="F70" s="282">
        <v>1.95</v>
      </c>
      <c r="G70" s="282">
        <v>1.95</v>
      </c>
      <c r="H70" s="282">
        <v>1.95</v>
      </c>
      <c r="I70" s="282">
        <v>1.95</v>
      </c>
      <c r="J70" s="282">
        <v>1.95</v>
      </c>
    </row>
    <row r="71" spans="1:30" x14ac:dyDescent="0.25">
      <c r="A71" s="517" t="s">
        <v>745</v>
      </c>
      <c r="B71" s="517"/>
      <c r="C71" s="517"/>
      <c r="D71" s="517"/>
      <c r="E71" s="517"/>
      <c r="F71" s="517"/>
      <c r="G71" s="517"/>
      <c r="H71" s="517"/>
      <c r="I71" s="517"/>
      <c r="J71" s="517"/>
    </row>
    <row r="72" spans="1:30" s="172" customFormat="1" ht="21" customHeight="1" x14ac:dyDescent="0.25">
      <c r="A72" s="400">
        <v>25</v>
      </c>
      <c r="B72" s="283" t="s">
        <v>229</v>
      </c>
      <c r="C72" s="279" t="s">
        <v>746</v>
      </c>
      <c r="D72" s="280" t="s">
        <v>717</v>
      </c>
      <c r="E72" s="284">
        <v>29</v>
      </c>
      <c r="F72" s="285">
        <v>29</v>
      </c>
      <c r="G72" s="285">
        <v>29</v>
      </c>
      <c r="H72" s="285">
        <v>29</v>
      </c>
      <c r="I72" s="285">
        <v>29</v>
      </c>
      <c r="J72" s="285">
        <v>29</v>
      </c>
    </row>
    <row r="73" spans="1:30" s="172" customFormat="1" ht="28.95" customHeight="1" x14ac:dyDescent="0.25">
      <c r="A73" s="400">
        <v>26</v>
      </c>
      <c r="B73" s="279" t="s">
        <v>1064</v>
      </c>
      <c r="C73" s="125" t="s">
        <v>1065</v>
      </c>
      <c r="D73" s="138" t="s">
        <v>717</v>
      </c>
      <c r="E73" s="402" t="s">
        <v>718</v>
      </c>
      <c r="F73" s="286">
        <v>1</v>
      </c>
      <c r="G73" s="402" t="s">
        <v>718</v>
      </c>
      <c r="H73" s="402" t="s">
        <v>718</v>
      </c>
      <c r="I73" s="402" t="s">
        <v>718</v>
      </c>
      <c r="J73" s="402" t="s">
        <v>718</v>
      </c>
    </row>
    <row r="74" spans="1:30" s="172" customFormat="1" ht="26.4" x14ac:dyDescent="0.25">
      <c r="A74" s="400">
        <v>27</v>
      </c>
      <c r="B74" s="279" t="s">
        <v>1047</v>
      </c>
      <c r="C74" s="279" t="s">
        <v>1066</v>
      </c>
      <c r="D74" s="280" t="s">
        <v>717</v>
      </c>
      <c r="E74" s="402" t="s">
        <v>718</v>
      </c>
      <c r="F74" s="286">
        <v>2</v>
      </c>
      <c r="G74" s="402" t="s">
        <v>718</v>
      </c>
      <c r="H74" s="402" t="s">
        <v>718</v>
      </c>
      <c r="I74" s="402" t="s">
        <v>718</v>
      </c>
      <c r="J74" s="402" t="s">
        <v>718</v>
      </c>
    </row>
    <row r="75" spans="1:30" ht="20.399999999999999" customHeight="1" x14ac:dyDescent="0.25">
      <c r="A75" s="516" t="s">
        <v>706</v>
      </c>
      <c r="B75" s="516"/>
      <c r="C75" s="516"/>
      <c r="D75" s="516"/>
      <c r="E75" s="516"/>
      <c r="F75" s="516"/>
      <c r="G75" s="516"/>
      <c r="H75" s="516"/>
      <c r="I75" s="516"/>
      <c r="J75" s="516"/>
    </row>
    <row r="76" spans="1:30" ht="19.95" customHeight="1" x14ac:dyDescent="0.25">
      <c r="A76" s="515" t="s">
        <v>183</v>
      </c>
      <c r="B76" s="515"/>
      <c r="C76" s="515"/>
      <c r="D76" s="515"/>
      <c r="E76" s="515"/>
      <c r="F76" s="515"/>
      <c r="G76" s="515"/>
      <c r="H76" s="515"/>
      <c r="I76" s="515"/>
      <c r="J76" s="515"/>
    </row>
    <row r="77" spans="1:30" ht="20.399999999999999" customHeight="1" x14ac:dyDescent="0.25">
      <c r="A77" s="514" t="s">
        <v>182</v>
      </c>
      <c r="B77" s="514"/>
      <c r="C77" s="514"/>
      <c r="D77" s="514"/>
      <c r="E77" s="514"/>
      <c r="F77" s="514"/>
      <c r="G77" s="514"/>
      <c r="H77" s="514"/>
      <c r="I77" s="514"/>
      <c r="J77" s="514"/>
    </row>
    <row r="78" spans="1:30" ht="20.399999999999999" customHeight="1" x14ac:dyDescent="0.25">
      <c r="A78" s="514" t="s">
        <v>181</v>
      </c>
      <c r="B78" s="514"/>
      <c r="C78" s="514"/>
      <c r="D78" s="514"/>
      <c r="E78" s="514"/>
      <c r="F78" s="514"/>
      <c r="G78" s="514"/>
      <c r="H78" s="514"/>
      <c r="I78" s="514"/>
      <c r="J78" s="514"/>
    </row>
    <row r="79" spans="1:30" s="172" customFormat="1" ht="28.2" customHeight="1" x14ac:dyDescent="0.25">
      <c r="A79" s="400">
        <v>28</v>
      </c>
      <c r="B79" s="151" t="s">
        <v>180</v>
      </c>
      <c r="C79" s="279" t="s">
        <v>736</v>
      </c>
      <c r="D79" s="287" t="s">
        <v>717</v>
      </c>
      <c r="E79" s="284">
        <v>100</v>
      </c>
      <c r="F79" s="384">
        <v>50</v>
      </c>
      <c r="G79" s="384">
        <v>50</v>
      </c>
      <c r="H79" s="384">
        <v>50</v>
      </c>
      <c r="I79" s="384">
        <v>50</v>
      </c>
      <c r="J79" s="384">
        <v>50</v>
      </c>
    </row>
    <row r="80" spans="1:30" ht="18" customHeight="1" x14ac:dyDescent="0.25">
      <c r="A80" s="512" t="s">
        <v>794</v>
      </c>
      <c r="B80" s="513"/>
      <c r="C80" s="513"/>
      <c r="D80" s="513"/>
      <c r="E80" s="513"/>
      <c r="F80" s="513"/>
      <c r="G80" s="513"/>
      <c r="H80" s="513"/>
      <c r="I80" s="513"/>
      <c r="J80" s="513"/>
    </row>
    <row r="81" spans="1:10" s="172" customFormat="1" ht="39.6" customHeight="1" x14ac:dyDescent="0.25">
      <c r="A81" s="402">
        <v>29</v>
      </c>
      <c r="B81" s="130" t="s">
        <v>778</v>
      </c>
      <c r="C81" s="401" t="s">
        <v>787</v>
      </c>
      <c r="D81" s="402" t="s">
        <v>788</v>
      </c>
      <c r="E81" s="154" t="s">
        <v>718</v>
      </c>
      <c r="F81" s="350">
        <v>15100</v>
      </c>
      <c r="G81" s="385" t="s">
        <v>718</v>
      </c>
      <c r="H81" s="385" t="s">
        <v>718</v>
      </c>
      <c r="I81" s="385" t="s">
        <v>718</v>
      </c>
      <c r="J81" s="385" t="s">
        <v>718</v>
      </c>
    </row>
    <row r="82" spans="1:10" s="172" customFormat="1" ht="31.95" customHeight="1" x14ac:dyDescent="0.25">
      <c r="A82" s="402">
        <v>30</v>
      </c>
      <c r="B82" s="130" t="s">
        <v>1296</v>
      </c>
      <c r="C82" s="404" t="s">
        <v>787</v>
      </c>
      <c r="D82" s="402" t="s">
        <v>788</v>
      </c>
      <c r="E82" s="154" t="s">
        <v>718</v>
      </c>
      <c r="F82" s="386" t="s">
        <v>718</v>
      </c>
      <c r="G82" s="350">
        <v>15100</v>
      </c>
      <c r="H82" s="350">
        <v>15100</v>
      </c>
      <c r="I82" s="350">
        <v>15100</v>
      </c>
      <c r="J82" s="350">
        <v>15100</v>
      </c>
    </row>
    <row r="83" spans="1:10" s="172" customFormat="1" ht="33" customHeight="1" x14ac:dyDescent="0.25">
      <c r="A83" s="509">
        <v>31</v>
      </c>
      <c r="B83" s="510" t="s">
        <v>779</v>
      </c>
      <c r="C83" s="401" t="s">
        <v>786</v>
      </c>
      <c r="D83" s="402" t="s">
        <v>735</v>
      </c>
      <c r="E83" s="154" t="s">
        <v>784</v>
      </c>
      <c r="F83" s="385">
        <v>90</v>
      </c>
      <c r="G83" s="385">
        <v>90</v>
      </c>
      <c r="H83" s="385">
        <v>90</v>
      </c>
      <c r="I83" s="385">
        <v>90</v>
      </c>
      <c r="J83" s="385">
        <v>90</v>
      </c>
    </row>
    <row r="84" spans="1:10" s="172" customFormat="1" ht="44.4" customHeight="1" x14ac:dyDescent="0.25">
      <c r="A84" s="509"/>
      <c r="B84" s="510"/>
      <c r="C84" s="401" t="s">
        <v>909</v>
      </c>
      <c r="D84" s="402" t="s">
        <v>730</v>
      </c>
      <c r="E84" s="180">
        <f>2</f>
        <v>2</v>
      </c>
      <c r="F84" s="350">
        <v>6</v>
      </c>
      <c r="G84" s="350">
        <v>2</v>
      </c>
      <c r="H84" s="350">
        <v>2</v>
      </c>
      <c r="I84" s="350">
        <v>2</v>
      </c>
      <c r="J84" s="350">
        <v>2</v>
      </c>
    </row>
    <row r="85" spans="1:10" s="172" customFormat="1" ht="46.95" customHeight="1" x14ac:dyDescent="0.25">
      <c r="A85" s="509"/>
      <c r="B85" s="527"/>
      <c r="C85" s="405" t="s">
        <v>910</v>
      </c>
      <c r="D85" s="406" t="s">
        <v>730</v>
      </c>
      <c r="E85" s="558">
        <v>50</v>
      </c>
      <c r="F85" s="559">
        <v>78</v>
      </c>
      <c r="G85" s="559">
        <v>50</v>
      </c>
      <c r="H85" s="559">
        <v>50</v>
      </c>
      <c r="I85" s="559">
        <v>50</v>
      </c>
      <c r="J85" s="559">
        <v>50</v>
      </c>
    </row>
    <row r="86" spans="1:10" x14ac:dyDescent="0.25">
      <c r="A86" s="556">
        <v>32</v>
      </c>
      <c r="B86" s="166" t="s">
        <v>974</v>
      </c>
      <c r="C86" s="560"/>
      <c r="D86" s="560"/>
      <c r="E86" s="560"/>
      <c r="F86" s="560"/>
      <c r="G86" s="560"/>
      <c r="H86" s="560"/>
      <c r="I86" s="560"/>
      <c r="J86" s="560"/>
    </row>
    <row r="87" spans="1:10" ht="71.400000000000006" customHeight="1" x14ac:dyDescent="0.25">
      <c r="A87" s="557"/>
      <c r="B87" s="561" t="s">
        <v>1295</v>
      </c>
      <c r="C87" s="562" t="s">
        <v>1253</v>
      </c>
      <c r="D87" s="403" t="s">
        <v>735</v>
      </c>
      <c r="E87" s="563" t="s">
        <v>718</v>
      </c>
      <c r="F87" s="563">
        <v>23</v>
      </c>
      <c r="G87" s="563">
        <v>43</v>
      </c>
      <c r="H87" s="563">
        <v>63</v>
      </c>
      <c r="I87" s="563">
        <v>83</v>
      </c>
      <c r="J87" s="563">
        <v>100</v>
      </c>
    </row>
    <row r="88" spans="1:10" ht="4.95" customHeight="1" x14ac:dyDescent="0.25"/>
    <row r="89" spans="1:10" x14ac:dyDescent="0.25">
      <c r="C89" s="382"/>
      <c r="D89" s="382"/>
      <c r="E89" s="382"/>
    </row>
  </sheetData>
  <mergeCells count="60">
    <mergeCell ref="A10:J10"/>
    <mergeCell ref="F5:J6"/>
    <mergeCell ref="F7:F8"/>
    <mergeCell ref="G2:J2"/>
    <mergeCell ref="G1:J1"/>
    <mergeCell ref="A5:A8"/>
    <mergeCell ref="B5:B8"/>
    <mergeCell ref="C5:C8"/>
    <mergeCell ref="D5:D8"/>
    <mergeCell ref="E5:E8"/>
    <mergeCell ref="G7:G8"/>
    <mergeCell ref="H7:H8"/>
    <mergeCell ref="I7:I8"/>
    <mergeCell ref="J7:J8"/>
    <mergeCell ref="A4:J4"/>
    <mergeCell ref="A11:J11"/>
    <mergeCell ref="A12:J12"/>
    <mergeCell ref="A18:A19"/>
    <mergeCell ref="A66:J66"/>
    <mergeCell ref="A26:A27"/>
    <mergeCell ref="B26:B27"/>
    <mergeCell ref="A13:J13"/>
    <mergeCell ref="A14:J14"/>
    <mergeCell ref="A16:A17"/>
    <mergeCell ref="B16:B17"/>
    <mergeCell ref="B18:B19"/>
    <mergeCell ref="B40:B41"/>
    <mergeCell ref="A40:A41"/>
    <mergeCell ref="A50:A61"/>
    <mergeCell ref="K65:T65"/>
    <mergeCell ref="A67:J67"/>
    <mergeCell ref="K67:T67"/>
    <mergeCell ref="A34:J34"/>
    <mergeCell ref="A22:J22"/>
    <mergeCell ref="A36:J36"/>
    <mergeCell ref="A37:J37"/>
    <mergeCell ref="A38:J38"/>
    <mergeCell ref="A39:J39"/>
    <mergeCell ref="A65:J65"/>
    <mergeCell ref="A43:A48"/>
    <mergeCell ref="B43:B48"/>
    <mergeCell ref="A23:A25"/>
    <mergeCell ref="B23:B25"/>
    <mergeCell ref="B50:B61"/>
    <mergeCell ref="A86:A87"/>
    <mergeCell ref="U65:AD65"/>
    <mergeCell ref="K66:T66"/>
    <mergeCell ref="U66:AD66"/>
    <mergeCell ref="A83:A85"/>
    <mergeCell ref="B83:B85"/>
    <mergeCell ref="K68:T68"/>
    <mergeCell ref="A80:J80"/>
    <mergeCell ref="U68:AD68"/>
    <mergeCell ref="A78:J78"/>
    <mergeCell ref="A77:J77"/>
    <mergeCell ref="A76:J76"/>
    <mergeCell ref="A75:J75"/>
    <mergeCell ref="A71:J71"/>
    <mergeCell ref="A68:J68"/>
    <mergeCell ref="U67:AD67"/>
  </mergeCells>
  <phoneticPr fontId="1" type="noConversion"/>
  <pageMargins left="0.11811023622047245" right="0.11811023622047245" top="0.55118110236220474" bottom="0.55118110236220474" header="0.31496062992125984" footer="0.31496062992125984"/>
  <pageSetup paperSize="9" scale="90" orientation="landscape" r:id="rId1"/>
  <rowBreaks count="5" manualBreakCount="5">
    <brk id="21" max="9" man="1"/>
    <brk id="38" max="9" man="1"/>
    <brk id="49" max="9" man="1"/>
    <brk id="63" max="9" man="1"/>
    <brk id="82" max="9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A772D-7443-42F3-BF03-D995A2AC3FC2}">
  <dimension ref="A3:AD11"/>
  <sheetViews>
    <sheetView view="pageBreakPreview" zoomScale="60" zoomScaleNormal="100" workbookViewId="0">
      <selection activeCell="A4" sqref="A4:A6"/>
    </sheetView>
  </sheetViews>
  <sheetFormatPr defaultRowHeight="13.2" x14ac:dyDescent="0.25"/>
  <cols>
    <col min="2" max="2" width="23.5546875" customWidth="1"/>
    <col min="3" max="3" width="15.6640625" customWidth="1"/>
    <col min="30" max="30" width="10.6640625" customWidth="1"/>
  </cols>
  <sheetData>
    <row r="3" spans="1:30" ht="45.6" customHeight="1" x14ac:dyDescent="0.25">
      <c r="A3" s="547" t="s">
        <v>1059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7"/>
      <c r="R3" s="547"/>
      <c r="S3" s="547"/>
      <c r="T3" s="547"/>
      <c r="U3" s="547"/>
      <c r="V3" s="547"/>
      <c r="W3" s="547"/>
      <c r="X3" s="547"/>
      <c r="Y3" s="547"/>
      <c r="Z3" s="547"/>
      <c r="AA3" s="547"/>
      <c r="AB3" s="547"/>
      <c r="AC3" s="547"/>
      <c r="AD3" s="547"/>
    </row>
    <row r="4" spans="1:30" ht="18" x14ac:dyDescent="0.25">
      <c r="A4" s="433" t="s">
        <v>215</v>
      </c>
      <c r="B4" s="496" t="s">
        <v>214</v>
      </c>
      <c r="C4" s="496" t="s">
        <v>213</v>
      </c>
      <c r="D4" s="496" t="s">
        <v>231</v>
      </c>
      <c r="E4" s="436" t="s">
        <v>212</v>
      </c>
      <c r="F4" s="436"/>
      <c r="G4" s="436"/>
      <c r="H4" s="436"/>
      <c r="I4" s="436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7"/>
      <c r="V4" s="437"/>
      <c r="W4" s="437"/>
      <c r="X4" s="437"/>
      <c r="Y4" s="437"/>
      <c r="Z4" s="437"/>
      <c r="AA4" s="437"/>
      <c r="AB4" s="437"/>
      <c r="AC4" s="437"/>
      <c r="AD4" s="438" t="s">
        <v>211</v>
      </c>
    </row>
    <row r="5" spans="1:30" ht="18" x14ac:dyDescent="0.25">
      <c r="A5" s="433"/>
      <c r="B5" s="497"/>
      <c r="C5" s="496"/>
      <c r="D5" s="498"/>
      <c r="E5" s="430" t="s">
        <v>210</v>
      </c>
      <c r="F5" s="430"/>
      <c r="G5" s="430"/>
      <c r="H5" s="430"/>
      <c r="I5" s="430"/>
      <c r="J5" s="430" t="s">
        <v>209</v>
      </c>
      <c r="K5" s="430"/>
      <c r="L5" s="430"/>
      <c r="M5" s="430"/>
      <c r="N5" s="430"/>
      <c r="O5" s="430" t="s">
        <v>208</v>
      </c>
      <c r="P5" s="430"/>
      <c r="Q5" s="430"/>
      <c r="R5" s="430"/>
      <c r="S5" s="430"/>
      <c r="T5" s="430" t="s">
        <v>207</v>
      </c>
      <c r="U5" s="430"/>
      <c r="V5" s="430"/>
      <c r="W5" s="430"/>
      <c r="X5" s="430"/>
      <c r="Y5" s="430" t="s">
        <v>206</v>
      </c>
      <c r="Z5" s="430"/>
      <c r="AA5" s="430"/>
      <c r="AB5" s="430"/>
      <c r="AC5" s="430"/>
      <c r="AD5" s="438"/>
    </row>
    <row r="6" spans="1:30" ht="59.4" customHeight="1" x14ac:dyDescent="0.25">
      <c r="A6" s="433"/>
      <c r="B6" s="497"/>
      <c r="C6" s="496"/>
      <c r="D6" s="498"/>
      <c r="E6" s="49" t="s">
        <v>205</v>
      </c>
      <c r="F6" s="213" t="s">
        <v>707</v>
      </c>
      <c r="G6" s="213" t="s">
        <v>708</v>
      </c>
      <c r="H6" s="213" t="s">
        <v>217</v>
      </c>
      <c r="I6" s="213" t="s">
        <v>216</v>
      </c>
      <c r="J6" s="49" t="s">
        <v>205</v>
      </c>
      <c r="K6" s="213" t="s">
        <v>707</v>
      </c>
      <c r="L6" s="213" t="s">
        <v>708</v>
      </c>
      <c r="M6" s="213" t="s">
        <v>217</v>
      </c>
      <c r="N6" s="213" t="s">
        <v>216</v>
      </c>
      <c r="O6" s="49" t="s">
        <v>205</v>
      </c>
      <c r="P6" s="213" t="s">
        <v>707</v>
      </c>
      <c r="Q6" s="213" t="s">
        <v>708</v>
      </c>
      <c r="R6" s="213" t="s">
        <v>217</v>
      </c>
      <c r="S6" s="213" t="s">
        <v>216</v>
      </c>
      <c r="T6" s="49" t="s">
        <v>205</v>
      </c>
      <c r="U6" s="213" t="s">
        <v>707</v>
      </c>
      <c r="V6" s="213" t="s">
        <v>708</v>
      </c>
      <c r="W6" s="213" t="s">
        <v>217</v>
      </c>
      <c r="X6" s="213" t="s">
        <v>216</v>
      </c>
      <c r="Y6" s="49" t="s">
        <v>205</v>
      </c>
      <c r="Z6" s="213" t="s">
        <v>707</v>
      </c>
      <c r="AA6" s="213" t="s">
        <v>708</v>
      </c>
      <c r="AB6" s="213" t="s">
        <v>217</v>
      </c>
      <c r="AC6" s="213" t="s">
        <v>216</v>
      </c>
      <c r="AD6" s="438"/>
    </row>
    <row r="7" spans="1:30" ht="15.6" x14ac:dyDescent="0.25">
      <c r="A7" s="84">
        <v>1</v>
      </c>
      <c r="B7" s="84">
        <v>2</v>
      </c>
      <c r="C7" s="84">
        <v>3</v>
      </c>
      <c r="D7" s="84">
        <v>4</v>
      </c>
      <c r="E7" s="84">
        <v>5</v>
      </c>
      <c r="F7" s="84">
        <v>6</v>
      </c>
      <c r="G7" s="84">
        <v>7</v>
      </c>
      <c r="H7" s="84">
        <v>8</v>
      </c>
      <c r="I7" s="84">
        <v>9</v>
      </c>
      <c r="J7" s="84">
        <v>10</v>
      </c>
      <c r="K7" s="84">
        <v>11</v>
      </c>
      <c r="L7" s="84">
        <v>12</v>
      </c>
      <c r="M7" s="84">
        <v>13</v>
      </c>
      <c r="N7" s="84">
        <v>14</v>
      </c>
      <c r="O7" s="84">
        <v>15</v>
      </c>
      <c r="P7" s="84">
        <v>16</v>
      </c>
      <c r="Q7" s="84">
        <v>17</v>
      </c>
      <c r="R7" s="84">
        <v>18</v>
      </c>
      <c r="S7" s="84">
        <v>19</v>
      </c>
      <c r="T7" s="84">
        <v>20</v>
      </c>
      <c r="U7" s="84">
        <v>21</v>
      </c>
      <c r="V7" s="84">
        <v>22</v>
      </c>
      <c r="W7" s="84">
        <v>23</v>
      </c>
      <c r="X7" s="84">
        <v>24</v>
      </c>
      <c r="Y7" s="84">
        <v>25</v>
      </c>
      <c r="Z7" s="84">
        <v>26</v>
      </c>
      <c r="AA7" s="84">
        <v>27</v>
      </c>
      <c r="AB7" s="84">
        <v>28</v>
      </c>
      <c r="AC7" s="84">
        <v>29</v>
      </c>
      <c r="AD7" s="84">
        <v>30</v>
      </c>
    </row>
    <row r="8" spans="1:30" ht="29.4" customHeight="1" x14ac:dyDescent="0.25">
      <c r="A8" s="548" t="s">
        <v>780</v>
      </c>
      <c r="B8" s="549"/>
      <c r="C8" s="549"/>
      <c r="D8" s="549"/>
      <c r="E8" s="549"/>
      <c r="F8" s="549"/>
      <c r="G8" s="549"/>
      <c r="H8" s="549"/>
      <c r="I8" s="549"/>
      <c r="J8" s="549"/>
      <c r="K8" s="549"/>
      <c r="L8" s="549"/>
      <c r="M8" s="549"/>
      <c r="N8" s="549"/>
      <c r="O8" s="549"/>
      <c r="P8" s="549"/>
      <c r="Q8" s="549"/>
      <c r="R8" s="549"/>
      <c r="S8" s="549"/>
      <c r="T8" s="549"/>
      <c r="U8" s="549"/>
      <c r="V8" s="549"/>
      <c r="W8" s="549"/>
      <c r="X8" s="549"/>
      <c r="Y8" s="549"/>
      <c r="Z8" s="549"/>
      <c r="AA8" s="549"/>
      <c r="AB8" s="549"/>
      <c r="AC8" s="549"/>
      <c r="AD8" s="550"/>
    </row>
    <row r="9" spans="1:30" ht="28.2" customHeight="1" x14ac:dyDescent="0.25">
      <c r="A9" s="551" t="s">
        <v>182</v>
      </c>
      <c r="B9" s="552"/>
      <c r="C9" s="552"/>
      <c r="D9" s="552"/>
      <c r="E9" s="552"/>
      <c r="F9" s="552"/>
      <c r="G9" s="552"/>
      <c r="H9" s="552"/>
      <c r="I9" s="552"/>
      <c r="J9" s="552"/>
      <c r="K9" s="552"/>
      <c r="L9" s="552"/>
      <c r="M9" s="552"/>
      <c r="N9" s="552"/>
      <c r="O9" s="552"/>
      <c r="P9" s="552"/>
      <c r="Q9" s="552"/>
      <c r="R9" s="552"/>
      <c r="S9" s="552"/>
      <c r="T9" s="552"/>
      <c r="U9" s="552"/>
      <c r="V9" s="552"/>
      <c r="W9" s="552"/>
      <c r="X9" s="552"/>
      <c r="Y9" s="552"/>
      <c r="Z9" s="552"/>
      <c r="AA9" s="552"/>
      <c r="AB9" s="552"/>
      <c r="AC9" s="552"/>
      <c r="AD9" s="553"/>
    </row>
    <row r="10" spans="1:30" ht="44.4" customHeight="1" x14ac:dyDescent="0.25">
      <c r="A10" s="554">
        <v>30</v>
      </c>
      <c r="B10" s="168" t="s">
        <v>974</v>
      </c>
      <c r="C10" s="169"/>
      <c r="D10" s="494" t="s">
        <v>178</v>
      </c>
      <c r="E10" s="545">
        <f>F10+G10+H10+I10</f>
        <v>76067</v>
      </c>
      <c r="F10" s="543">
        <v>761</v>
      </c>
      <c r="G10" s="543">
        <v>75306</v>
      </c>
      <c r="H10" s="543"/>
      <c r="I10" s="543"/>
      <c r="J10" s="545">
        <f>K10+L10+M10+N10</f>
        <v>76067</v>
      </c>
      <c r="K10" s="543">
        <v>761</v>
      </c>
      <c r="L10" s="543">
        <v>75306</v>
      </c>
      <c r="M10" s="543"/>
      <c r="N10" s="543"/>
      <c r="O10" s="545">
        <f>P10+Q10+R10+S10</f>
        <v>76067</v>
      </c>
      <c r="P10" s="543">
        <v>761</v>
      </c>
      <c r="Q10" s="543">
        <v>75306</v>
      </c>
      <c r="R10" s="543"/>
      <c r="S10" s="543"/>
      <c r="T10" s="545">
        <f>U10+V10</f>
        <v>75511</v>
      </c>
      <c r="U10" s="543">
        <v>755</v>
      </c>
      <c r="V10" s="543">
        <v>74756</v>
      </c>
      <c r="W10" s="543"/>
      <c r="X10" s="543"/>
      <c r="Y10" s="545">
        <f>Z10+AA10</f>
        <v>62986</v>
      </c>
      <c r="Z10" s="543">
        <v>630</v>
      </c>
      <c r="AA10" s="543">
        <v>62356</v>
      </c>
      <c r="AB10" s="543"/>
      <c r="AC10" s="543"/>
      <c r="AD10" s="545">
        <f>E10+J10+O10+T10+Y10</f>
        <v>366698</v>
      </c>
    </row>
    <row r="11" spans="1:30" ht="259.95" customHeight="1" x14ac:dyDescent="0.25">
      <c r="A11" s="555"/>
      <c r="B11" s="170" t="s">
        <v>973</v>
      </c>
      <c r="C11" s="171" t="s">
        <v>179</v>
      </c>
      <c r="D11" s="495"/>
      <c r="E11" s="546"/>
      <c r="F11" s="544"/>
      <c r="G11" s="544"/>
      <c r="H11" s="544"/>
      <c r="I11" s="544"/>
      <c r="J11" s="546"/>
      <c r="K11" s="544"/>
      <c r="L11" s="544"/>
      <c r="M11" s="544"/>
      <c r="N11" s="544"/>
      <c r="O11" s="546"/>
      <c r="P11" s="544"/>
      <c r="Q11" s="544"/>
      <c r="R11" s="544"/>
      <c r="S11" s="544"/>
      <c r="T11" s="546"/>
      <c r="U11" s="544"/>
      <c r="V11" s="544"/>
      <c r="W11" s="544"/>
      <c r="X11" s="544"/>
      <c r="Y11" s="546"/>
      <c r="Z11" s="544"/>
      <c r="AA11" s="544"/>
      <c r="AB11" s="544"/>
      <c r="AC11" s="544"/>
      <c r="AD11" s="546"/>
    </row>
  </sheetData>
  <mergeCells count="42">
    <mergeCell ref="D10:D11"/>
    <mergeCell ref="AD4:AD6"/>
    <mergeCell ref="E5:I5"/>
    <mergeCell ref="J5:N5"/>
    <mergeCell ref="O5:S5"/>
    <mergeCell ref="T5:X5"/>
    <mergeCell ref="Y5:AC5"/>
    <mergeCell ref="V10:V11"/>
    <mergeCell ref="W10:W11"/>
    <mergeCell ref="X10:X11"/>
    <mergeCell ref="Y10:Y11"/>
    <mergeCell ref="T10:T11"/>
    <mergeCell ref="U10:U11"/>
    <mergeCell ref="P10:P11"/>
    <mergeCell ref="Q10:Q11"/>
    <mergeCell ref="R10:R11"/>
    <mergeCell ref="A3:AD3"/>
    <mergeCell ref="A4:A6"/>
    <mergeCell ref="A8:AD8"/>
    <mergeCell ref="A9:AD9"/>
    <mergeCell ref="A10:A11"/>
    <mergeCell ref="Z10:Z11"/>
    <mergeCell ref="AA10:AA11"/>
    <mergeCell ref="AB10:AB11"/>
    <mergeCell ref="AC10:AC11"/>
    <mergeCell ref="AD10:AD11"/>
    <mergeCell ref="N10:N11"/>
    <mergeCell ref="O10:O11"/>
    <mergeCell ref="B4:B6"/>
    <mergeCell ref="C4:C6"/>
    <mergeCell ref="D4:D6"/>
    <mergeCell ref="E4:AC4"/>
    <mergeCell ref="S10:S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</mergeCells>
  <pageMargins left="0.11811023622047245" right="0.11811023622047245" top="0.74803149606299213" bottom="0.74803149606299213" header="0.31496062992125984" footer="0.31496062992125984"/>
  <pageSetup paperSize="9" scale="5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1конеч.рез.</vt:lpstr>
      <vt:lpstr>2.переченьПБДД</vt:lpstr>
      <vt:lpstr>3.переченьМРАД</vt:lpstr>
      <vt:lpstr>4.меропр.</vt:lpstr>
      <vt:lpstr>5.индик.</vt:lpstr>
      <vt:lpstr>Лист1</vt:lpstr>
      <vt:lpstr>'1конеч.рез.'!Заголовки_для_печати</vt:lpstr>
      <vt:lpstr>'2.переченьПБДД'!Заголовки_для_печати</vt:lpstr>
      <vt:lpstr>'3.переченьМРАД'!Заголовки_для_печати</vt:lpstr>
      <vt:lpstr>'4.меропр.'!Заголовки_для_печати</vt:lpstr>
      <vt:lpstr>'5.индик.'!Заголовки_для_печати</vt:lpstr>
      <vt:lpstr>'1конеч.рез.'!Область_печати</vt:lpstr>
      <vt:lpstr>'2.переченьПБДД'!Область_печати</vt:lpstr>
      <vt:lpstr>'3.переченьМРАД'!Область_печати</vt:lpstr>
      <vt:lpstr>'4.меропр.'!Область_печати</vt:lpstr>
      <vt:lpstr>'5.индик.'!Область_печати</vt:lpstr>
    </vt:vector>
  </TitlesOfParts>
  <Company>job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demidova.man</cp:lastModifiedBy>
  <cp:lastPrinted>2021-04-12T12:37:18Z</cp:lastPrinted>
  <dcterms:created xsi:type="dcterms:W3CDTF">2014-07-04T09:02:24Z</dcterms:created>
  <dcterms:modified xsi:type="dcterms:W3CDTF">2021-04-15T06:53:46Z</dcterms:modified>
</cp:coreProperties>
</file>