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dorhoz\tumplan\эл.почта\ОТЧЕТЫ ЭКОНОМИСТЫ\Программа\Новая программа 2026-2030\Проекты постановлений\Программа\2026 год\2)Изм №1032от14.04.26(РД819от08.04.26)Пост№___-п-1от__.04.26г\"/>
    </mc:Choice>
  </mc:AlternateContent>
  <bookViews>
    <workbookView xWindow="-120" yWindow="-120" windowWidth="20730" windowHeight="11160" tabRatio="599" firstSheet="1" activeTab="3"/>
  </bookViews>
  <sheets>
    <sheet name="конеч.рез." sheetId="9" state="hidden" r:id="rId1"/>
    <sheet name="1. Финансирование" sheetId="4" r:id="rId2"/>
    <sheet name="2. Показатели" sheetId="8" r:id="rId3"/>
    <sheet name="5. Перечень МРАД" sheetId="10" r:id="rId4"/>
  </sheets>
  <externalReferences>
    <externalReference r:id="rId5"/>
  </externalReferences>
  <definedNames>
    <definedName name="_xlnm._FilterDatabase" localSheetId="1" hidden="1">'1. Финансирование'!#REF!</definedName>
    <definedName name="_xlnm._FilterDatabase" localSheetId="3" hidden="1">'5. Перечень МРАД'!$A$4:$V$6</definedName>
    <definedName name="Aс1" localSheetId="3">'[1]1. Финансирование'!#REF!</definedName>
    <definedName name="Aс1">'1. Финансирование'!#REF!</definedName>
    <definedName name="_xlnm.Print_Titles" localSheetId="1">'1. Финансирование'!$4:$7</definedName>
    <definedName name="_xlnm.Print_Titles" localSheetId="2">'2. Показатели'!$5:$9</definedName>
    <definedName name="_xlnm.Print_Titles" localSheetId="3">'5. Перечень МРАД'!$4:$7</definedName>
    <definedName name="_xlnm.Print_Titles" localSheetId="0">конеч.рез.!$3:$5</definedName>
    <definedName name="_xlnm.Print_Area" localSheetId="1">'1. Финансирование'!$A$1:$AD$103</definedName>
    <definedName name="_xlnm.Print_Area" localSheetId="2">'2. Показатели'!$A$1:$J$114</definedName>
    <definedName name="_xlnm.Print_Area" localSheetId="3">'5. Перечень МРАД'!$A$1:$T$138</definedName>
    <definedName name="_xlnm.Print_Area" localSheetId="0">конеч.рез.!$A$1:$I$28</definedName>
  </definedNames>
  <calcPr calcId="162913"/>
</workbook>
</file>

<file path=xl/calcChain.xml><?xml version="1.0" encoding="utf-8"?>
<calcChain xmlns="http://schemas.openxmlformats.org/spreadsheetml/2006/main">
  <c r="H91" i="10" l="1"/>
  <c r="F90" i="10"/>
  <c r="N71" i="8" l="1"/>
  <c r="G91" i="10" l="1"/>
  <c r="F71" i="8" l="1"/>
  <c r="G70" i="8"/>
  <c r="F70" i="8"/>
  <c r="N70" i="8" l="1"/>
  <c r="T132" i="10" l="1"/>
  <c r="S132" i="10"/>
  <c r="R132" i="10" s="1"/>
  <c r="Q132" i="10"/>
  <c r="P132" i="10"/>
  <c r="N132" i="10"/>
  <c r="M132" i="10"/>
  <c r="K132" i="10"/>
  <c r="J132" i="10"/>
  <c r="I132" i="10" s="1"/>
  <c r="H132" i="10"/>
  <c r="G132" i="10"/>
  <c r="R94" i="10"/>
  <c r="O94" i="10"/>
  <c r="L94" i="10"/>
  <c r="I94" i="10"/>
  <c r="H94" i="10"/>
  <c r="G94" i="10"/>
  <c r="D94" i="10"/>
  <c r="D122" i="10" s="1"/>
  <c r="F72" i="10"/>
  <c r="E72" i="10" s="1"/>
  <c r="D72" i="10"/>
  <c r="AA65" i="4"/>
  <c r="Z65" i="4"/>
  <c r="V65" i="4"/>
  <c r="Q65" i="4"/>
  <c r="L65" i="4"/>
  <c r="G65" i="4"/>
  <c r="F65" i="4"/>
  <c r="N91" i="10"/>
  <c r="M91" i="10"/>
  <c r="P63" i="4" s="1"/>
  <c r="K91" i="10"/>
  <c r="L63" i="4" s="1"/>
  <c r="J91" i="10"/>
  <c r="K63" i="4" s="1"/>
  <c r="L89" i="10"/>
  <c r="E89" i="10" s="1"/>
  <c r="L88" i="10"/>
  <c r="E88" i="10" s="1"/>
  <c r="L87" i="10"/>
  <c r="E87" i="10" s="1"/>
  <c r="L86" i="10"/>
  <c r="E86" i="10" s="1"/>
  <c r="L85" i="10"/>
  <c r="E85" i="10" s="1"/>
  <c r="I84" i="10"/>
  <c r="E84" i="10" s="1"/>
  <c r="I83" i="10"/>
  <c r="E83" i="10" s="1"/>
  <c r="I82" i="10"/>
  <c r="E82" i="10" s="1"/>
  <c r="I81" i="10"/>
  <c r="E81" i="10" s="1"/>
  <c r="I80" i="10"/>
  <c r="E80" i="10" s="1"/>
  <c r="I79" i="10"/>
  <c r="E79" i="10" s="1"/>
  <c r="I78" i="10"/>
  <c r="E78" i="10" s="1"/>
  <c r="I77" i="10"/>
  <c r="E77" i="10" s="1"/>
  <c r="I76" i="10"/>
  <c r="E76" i="10" s="1"/>
  <c r="I75" i="10"/>
  <c r="E75" i="10" s="1"/>
  <c r="I74" i="10"/>
  <c r="E74" i="10" s="1"/>
  <c r="I73" i="10"/>
  <c r="E73" i="10" s="1"/>
  <c r="R71" i="10"/>
  <c r="O71" i="10"/>
  <c r="L71" i="10"/>
  <c r="I71" i="10"/>
  <c r="F71" i="10"/>
  <c r="T70" i="10"/>
  <c r="T91" i="10" s="1"/>
  <c r="AA63" i="4" s="1"/>
  <c r="S70" i="10"/>
  <c r="S91" i="10" s="1"/>
  <c r="Z63" i="4" s="1"/>
  <c r="Q70" i="10"/>
  <c r="Q91" i="10" s="1"/>
  <c r="V63" i="4" s="1"/>
  <c r="P70" i="10"/>
  <c r="P91" i="10" s="1"/>
  <c r="U63" i="4" s="1"/>
  <c r="L70" i="10"/>
  <c r="I70" i="10"/>
  <c r="F70" i="10"/>
  <c r="R69" i="10"/>
  <c r="O69" i="10"/>
  <c r="L69" i="10"/>
  <c r="I69" i="10"/>
  <c r="F69" i="10"/>
  <c r="R68" i="10"/>
  <c r="O68" i="10"/>
  <c r="L68" i="10"/>
  <c r="I68" i="10"/>
  <c r="F68" i="10"/>
  <c r="R67" i="10"/>
  <c r="O67" i="10"/>
  <c r="L67" i="10"/>
  <c r="I67" i="10"/>
  <c r="F67" i="10"/>
  <c r="R66" i="10"/>
  <c r="O66" i="10"/>
  <c r="L66" i="10"/>
  <c r="I66" i="10"/>
  <c r="F66" i="10"/>
  <c r="R65" i="10"/>
  <c r="O65" i="10"/>
  <c r="L65" i="10"/>
  <c r="I65" i="10"/>
  <c r="F65" i="10"/>
  <c r="D65" i="10"/>
  <c r="R64" i="10"/>
  <c r="O64" i="10"/>
  <c r="L64" i="10"/>
  <c r="I64" i="10"/>
  <c r="F64" i="10"/>
  <c r="R63" i="10"/>
  <c r="O63" i="10"/>
  <c r="L63" i="10"/>
  <c r="I63" i="10"/>
  <c r="F63" i="10"/>
  <c r="R62" i="10"/>
  <c r="O62" i="10"/>
  <c r="L62" i="10"/>
  <c r="I62" i="10"/>
  <c r="F62" i="10"/>
  <c r="R61" i="10"/>
  <c r="O61" i="10"/>
  <c r="L61" i="10"/>
  <c r="I61" i="10"/>
  <c r="F61" i="10"/>
  <c r="R60" i="10"/>
  <c r="O60" i="10"/>
  <c r="L60" i="10"/>
  <c r="I60" i="10"/>
  <c r="F60" i="10"/>
  <c r="R59" i="10"/>
  <c r="O59" i="10"/>
  <c r="L59" i="10"/>
  <c r="I59" i="10"/>
  <c r="F59" i="10"/>
  <c r="R58" i="10"/>
  <c r="O58" i="10"/>
  <c r="L58" i="10"/>
  <c r="I58" i="10"/>
  <c r="F58" i="10"/>
  <c r="R57" i="10"/>
  <c r="O57" i="10"/>
  <c r="L57" i="10"/>
  <c r="I57" i="10"/>
  <c r="F57" i="10"/>
  <c r="R56" i="10"/>
  <c r="O56" i="10"/>
  <c r="L56" i="10"/>
  <c r="I56" i="10"/>
  <c r="F56" i="10"/>
  <c r="R55" i="10"/>
  <c r="O55" i="10"/>
  <c r="L55" i="10"/>
  <c r="I55" i="10"/>
  <c r="F55" i="10"/>
  <c r="D55" i="10"/>
  <c r="D91" i="10" s="1"/>
  <c r="D123" i="10" s="1"/>
  <c r="N122" i="10"/>
  <c r="M122" i="10"/>
  <c r="K122" i="10"/>
  <c r="J122" i="10"/>
  <c r="H9" i="10"/>
  <c r="F132" i="10" l="1"/>
  <c r="F94" i="10"/>
  <c r="E94" i="10" s="1"/>
  <c r="L132" i="10"/>
  <c r="O132" i="10"/>
  <c r="E132" i="10"/>
  <c r="L122" i="10"/>
  <c r="L91" i="10"/>
  <c r="F91" i="10"/>
  <c r="Q63" i="4"/>
  <c r="E66" i="10"/>
  <c r="R70" i="10"/>
  <c r="E67" i="10"/>
  <c r="K123" i="10"/>
  <c r="K53" i="10" s="1"/>
  <c r="R91" i="10"/>
  <c r="N123" i="10"/>
  <c r="N53" i="10" s="1"/>
  <c r="E61" i="10"/>
  <c r="E64" i="10"/>
  <c r="E68" i="10"/>
  <c r="O70" i="10"/>
  <c r="M123" i="10"/>
  <c r="E60" i="10"/>
  <c r="E69" i="10"/>
  <c r="E71" i="10"/>
  <c r="I122" i="10"/>
  <c r="E65" i="10"/>
  <c r="G63" i="4"/>
  <c r="I91" i="10"/>
  <c r="J123" i="10"/>
  <c r="E57" i="10"/>
  <c r="E59" i="10"/>
  <c r="E55" i="10"/>
  <c r="E58" i="10"/>
  <c r="E62" i="10"/>
  <c r="E56" i="10"/>
  <c r="E63" i="10"/>
  <c r="R14" i="10"/>
  <c r="O14" i="10"/>
  <c r="L14" i="10"/>
  <c r="I14" i="10"/>
  <c r="AA50" i="4"/>
  <c r="Z50" i="4"/>
  <c r="V50" i="4"/>
  <c r="Q50" i="4"/>
  <c r="P50" i="4"/>
  <c r="L50" i="4"/>
  <c r="K50" i="4"/>
  <c r="G50" i="4"/>
  <c r="O17" i="10"/>
  <c r="R17" i="10"/>
  <c r="L17" i="10"/>
  <c r="I17" i="10"/>
  <c r="F17" i="10"/>
  <c r="H42" i="10"/>
  <c r="T50" i="4" l="1"/>
  <c r="E50" i="4"/>
  <c r="E70" i="10"/>
  <c r="F63" i="4"/>
  <c r="O91" i="10"/>
  <c r="M53" i="10"/>
  <c r="L53" i="10" s="1"/>
  <c r="L123" i="10"/>
  <c r="E91" i="10"/>
  <c r="I123" i="10"/>
  <c r="J53" i="10"/>
  <c r="Y50" i="4"/>
  <c r="O50" i="4"/>
  <c r="J50" i="4"/>
  <c r="E17" i="10"/>
  <c r="G42" i="10"/>
  <c r="AD50" i="4" l="1"/>
  <c r="G122" i="10"/>
  <c r="G123" i="10" l="1"/>
  <c r="G53" i="10" s="1"/>
  <c r="F64" i="4"/>
  <c r="D53" i="10"/>
  <c r="H122" i="10" l="1"/>
  <c r="F23" i="8"/>
  <c r="H123" i="10" l="1"/>
  <c r="H53" i="10" s="1"/>
  <c r="G64" i="4"/>
  <c r="E64" i="4" s="1"/>
  <c r="F122" i="10"/>
  <c r="H15" i="10"/>
  <c r="G15" i="10"/>
  <c r="G18" i="10"/>
  <c r="F123" i="10" l="1"/>
  <c r="F121" i="10"/>
  <c r="E121" i="10" s="1"/>
  <c r="F120" i="10"/>
  <c r="E120" i="10" s="1"/>
  <c r="F119" i="10"/>
  <c r="E119" i="10" s="1"/>
  <c r="F118" i="10"/>
  <c r="E118" i="10" s="1"/>
  <c r="F117" i="10"/>
  <c r="E117" i="10" s="1"/>
  <c r="F116" i="10"/>
  <c r="E116" i="10" s="1"/>
  <c r="F115" i="10"/>
  <c r="E115" i="10" s="1"/>
  <c r="F114" i="10"/>
  <c r="E114" i="10" s="1"/>
  <c r="F113" i="10"/>
  <c r="E113" i="10" s="1"/>
  <c r="F112" i="10"/>
  <c r="E112" i="10" s="1"/>
  <c r="F111" i="10"/>
  <c r="E111" i="10" s="1"/>
  <c r="F110" i="10"/>
  <c r="E110" i="10" s="1"/>
  <c r="F109" i="10"/>
  <c r="E109" i="10" s="1"/>
  <c r="F108" i="10"/>
  <c r="E108" i="10" s="1"/>
  <c r="F107" i="10"/>
  <c r="E107" i="10" s="1"/>
  <c r="F106" i="10"/>
  <c r="E106" i="10" s="1"/>
  <c r="F105" i="10"/>
  <c r="E105" i="10" s="1"/>
  <c r="F104" i="10"/>
  <c r="E104" i="10" s="1"/>
  <c r="F103" i="10"/>
  <c r="E103" i="10" s="1"/>
  <c r="F102" i="10"/>
  <c r="E102" i="10" s="1"/>
  <c r="F101" i="10"/>
  <c r="E101" i="10" s="1"/>
  <c r="F100" i="10"/>
  <c r="E100" i="10" s="1"/>
  <c r="F99" i="10"/>
  <c r="E99" i="10" s="1"/>
  <c r="F98" i="10"/>
  <c r="E98" i="10" s="1"/>
  <c r="F97" i="10"/>
  <c r="E97" i="10" s="1"/>
  <c r="F96" i="10"/>
  <c r="E96" i="10" s="1"/>
  <c r="G93" i="4" l="1"/>
  <c r="AC52" i="4" l="1"/>
  <c r="AB52" i="4"/>
  <c r="AA52" i="4"/>
  <c r="AA73" i="4" s="1"/>
  <c r="AA99" i="4" s="1"/>
  <c r="Z52" i="4"/>
  <c r="Z73" i="4" s="1"/>
  <c r="X52" i="4"/>
  <c r="W52" i="4"/>
  <c r="V52" i="4"/>
  <c r="V73" i="4" s="1"/>
  <c r="V99" i="4" s="1"/>
  <c r="U52" i="4"/>
  <c r="U73" i="4" s="1"/>
  <c r="S52" i="4"/>
  <c r="R52" i="4"/>
  <c r="Q52" i="4"/>
  <c r="Q73" i="4" s="1"/>
  <c r="Q99" i="4" s="1"/>
  <c r="P52" i="4"/>
  <c r="P73" i="4" s="1"/>
  <c r="N52" i="4"/>
  <c r="M52" i="4"/>
  <c r="L52" i="4"/>
  <c r="L73" i="4" s="1"/>
  <c r="L99" i="4" s="1"/>
  <c r="K52" i="4"/>
  <c r="K73" i="4" s="1"/>
  <c r="K99" i="4" s="1"/>
  <c r="J99" i="4" s="1"/>
  <c r="G52" i="4"/>
  <c r="H52" i="4"/>
  <c r="I52" i="4"/>
  <c r="F52" i="4"/>
  <c r="F73" i="4" l="1"/>
  <c r="G73" i="4"/>
  <c r="G99" i="4" s="1"/>
  <c r="E73" i="4"/>
  <c r="F99" i="4"/>
  <c r="E99" i="4" s="1"/>
  <c r="O73" i="4"/>
  <c r="P99" i="4"/>
  <c r="O99" i="4" s="1"/>
  <c r="Y73" i="4"/>
  <c r="Z99" i="4"/>
  <c r="Y99" i="4" s="1"/>
  <c r="T73" i="4"/>
  <c r="U99" i="4"/>
  <c r="T99" i="4" s="1"/>
  <c r="J73" i="4"/>
  <c r="J52" i="4"/>
  <c r="Y52" i="4"/>
  <c r="O52" i="4"/>
  <c r="T52" i="4"/>
  <c r="E52" i="4"/>
  <c r="F34" i="4"/>
  <c r="G9" i="10"/>
  <c r="H18" i="10"/>
  <c r="F20" i="10"/>
  <c r="F21" i="10"/>
  <c r="F22" i="10"/>
  <c r="E22" i="10" s="1"/>
  <c r="AD73" i="4" l="1"/>
  <c r="AD99" i="4"/>
  <c r="AD52" i="4"/>
  <c r="F54" i="8"/>
  <c r="F14" i="10"/>
  <c r="E14" i="10" s="1"/>
  <c r="F13" i="10"/>
  <c r="G26" i="10" l="1"/>
  <c r="F21" i="4"/>
  <c r="F97" i="8"/>
  <c r="G107" i="8" l="1"/>
  <c r="H107" i="8"/>
  <c r="I107" i="8"/>
  <c r="J107" i="8"/>
  <c r="F107" i="8"/>
  <c r="G105" i="8"/>
  <c r="H105" i="8"/>
  <c r="I105" i="8"/>
  <c r="J105" i="8"/>
  <c r="F105" i="8"/>
  <c r="F38" i="8" l="1"/>
  <c r="F30" i="4" l="1"/>
  <c r="F32" i="4"/>
  <c r="F93" i="4"/>
  <c r="F83" i="4"/>
  <c r="F73" i="8" l="1"/>
  <c r="L93" i="10" l="1"/>
  <c r="O93" i="10"/>
  <c r="R93" i="10"/>
  <c r="L95" i="10"/>
  <c r="O95" i="10"/>
  <c r="R95" i="10"/>
  <c r="I93" i="10"/>
  <c r="I95" i="10"/>
  <c r="F93" i="10"/>
  <c r="F95" i="10"/>
  <c r="E95" i="10" l="1"/>
  <c r="E93" i="10"/>
  <c r="K17" i="4" l="1"/>
  <c r="F28" i="8" l="1"/>
  <c r="F27" i="8"/>
  <c r="F23" i="4"/>
  <c r="F20" i="4"/>
  <c r="Y21" i="4"/>
  <c r="T21" i="4"/>
  <c r="O21" i="4"/>
  <c r="J21" i="4"/>
  <c r="E21" i="4"/>
  <c r="AD21" i="4" s="1"/>
  <c r="F26" i="10" l="1"/>
  <c r="E26" i="10" s="1"/>
  <c r="F57" i="8"/>
  <c r="K93" i="4"/>
  <c r="F17" i="4"/>
  <c r="G19" i="8"/>
  <c r="F19" i="8"/>
  <c r="H21" i="8"/>
  <c r="P18" i="4"/>
  <c r="G25" i="10"/>
  <c r="G24" i="10"/>
  <c r="G23" i="10" s="1"/>
  <c r="F19" i="4"/>
  <c r="F22" i="8"/>
  <c r="F49" i="4" l="1"/>
  <c r="P65" i="4" l="1"/>
  <c r="U65" i="4"/>
  <c r="K65" i="4"/>
  <c r="AA53" i="4"/>
  <c r="Z53" i="4"/>
  <c r="V53" i="4"/>
  <c r="U53" i="4"/>
  <c r="Q53" i="4"/>
  <c r="P53" i="4"/>
  <c r="L53" i="4"/>
  <c r="K53" i="4"/>
  <c r="G53" i="4"/>
  <c r="T53" i="4" l="1"/>
  <c r="O53" i="4"/>
  <c r="J53" i="4"/>
  <c r="Y53" i="4"/>
  <c r="G35" i="10"/>
  <c r="P35" i="10"/>
  <c r="L130" i="10" l="1"/>
  <c r="I130" i="10"/>
  <c r="F130" i="10"/>
  <c r="L128" i="10"/>
  <c r="I128" i="10"/>
  <c r="F128" i="10"/>
  <c r="L127" i="10"/>
  <c r="I127" i="10"/>
  <c r="F127" i="10"/>
  <c r="L126" i="10"/>
  <c r="I126" i="10"/>
  <c r="F126" i="10"/>
  <c r="L125" i="10"/>
  <c r="I125" i="10"/>
  <c r="F125" i="10"/>
  <c r="R124" i="10"/>
  <c r="O124" i="10"/>
  <c r="L124" i="10"/>
  <c r="I124" i="10"/>
  <c r="F124" i="10"/>
  <c r="Y51" i="10"/>
  <c r="V51" i="10"/>
  <c r="R51" i="10"/>
  <c r="O51" i="10"/>
  <c r="L51" i="10"/>
  <c r="Y50" i="10"/>
  <c r="V50" i="10"/>
  <c r="R50" i="10"/>
  <c r="O50" i="10"/>
  <c r="L50" i="10"/>
  <c r="X48" i="10"/>
  <c r="Y48" i="10" s="1"/>
  <c r="U48" i="10"/>
  <c r="V48" i="10" s="1"/>
  <c r="R48" i="10"/>
  <c r="O48" i="10"/>
  <c r="L48" i="10"/>
  <c r="X47" i="10"/>
  <c r="Y47" i="10" s="1"/>
  <c r="U47" i="10"/>
  <c r="V47" i="10" s="1"/>
  <c r="R47" i="10"/>
  <c r="O47" i="10"/>
  <c r="L47" i="10"/>
  <c r="O45" i="10"/>
  <c r="L45" i="10"/>
  <c r="U43" i="10"/>
  <c r="R43" i="10"/>
  <c r="O43" i="10"/>
  <c r="L43" i="10"/>
  <c r="T42" i="10"/>
  <c r="S42" i="10"/>
  <c r="Q42" i="10"/>
  <c r="P42" i="10"/>
  <c r="N42" i="10"/>
  <c r="M42" i="10"/>
  <c r="R40" i="10"/>
  <c r="O40" i="10"/>
  <c r="L40" i="10"/>
  <c r="U39" i="10"/>
  <c r="R39" i="10"/>
  <c r="O39" i="10"/>
  <c r="L39" i="10"/>
  <c r="U38" i="10"/>
  <c r="R38" i="10"/>
  <c r="O38" i="10"/>
  <c r="L38" i="10"/>
  <c r="R37" i="10"/>
  <c r="O37" i="10"/>
  <c r="L37" i="10"/>
  <c r="U36" i="10"/>
  <c r="R36" i="10"/>
  <c r="O36" i="10"/>
  <c r="L36" i="10"/>
  <c r="I40" i="10"/>
  <c r="F40" i="10"/>
  <c r="U13" i="10"/>
  <c r="R13" i="10"/>
  <c r="O13" i="10"/>
  <c r="L13" i="10"/>
  <c r="I13" i="10"/>
  <c r="U12" i="10"/>
  <c r="R12" i="10"/>
  <c r="Q12" i="10"/>
  <c r="O12" i="10" s="1"/>
  <c r="L12" i="10"/>
  <c r="I12" i="10"/>
  <c r="F12" i="10"/>
  <c r="U11" i="10"/>
  <c r="R11" i="10"/>
  <c r="O11" i="10"/>
  <c r="L11" i="10"/>
  <c r="I11" i="10"/>
  <c r="F11" i="10"/>
  <c r="U10" i="10"/>
  <c r="R10" i="10"/>
  <c r="Q10" i="10"/>
  <c r="O10" i="10" s="1"/>
  <c r="N10" i="10"/>
  <c r="L10" i="10" s="1"/>
  <c r="K10" i="10"/>
  <c r="I10" i="10" s="1"/>
  <c r="F10" i="10"/>
  <c r="F25" i="10"/>
  <c r="E25" i="10" s="1"/>
  <c r="F24" i="10"/>
  <c r="F53" i="4"/>
  <c r="E53" i="4" s="1"/>
  <c r="AD53" i="4" s="1"/>
  <c r="I21" i="10"/>
  <c r="E21" i="10" s="1"/>
  <c r="L20" i="10"/>
  <c r="E20" i="10" s="1"/>
  <c r="R19" i="10"/>
  <c r="O19" i="10"/>
  <c r="L19" i="10"/>
  <c r="I19" i="10"/>
  <c r="F19" i="10"/>
  <c r="T18" i="10"/>
  <c r="S18" i="10"/>
  <c r="Q18" i="10"/>
  <c r="P18" i="10"/>
  <c r="N18" i="10"/>
  <c r="M18" i="10"/>
  <c r="K18" i="10"/>
  <c r="J18" i="10"/>
  <c r="U16" i="10"/>
  <c r="R16" i="10"/>
  <c r="O16" i="10"/>
  <c r="L16" i="10"/>
  <c r="I16" i="10"/>
  <c r="F16" i="10"/>
  <c r="F34" i="10"/>
  <c r="E34" i="10" s="1"/>
  <c r="R33" i="10"/>
  <c r="O33" i="10"/>
  <c r="L33" i="10"/>
  <c r="I33" i="10"/>
  <c r="U32" i="10"/>
  <c r="R32" i="10"/>
  <c r="O32" i="10"/>
  <c r="L32" i="10"/>
  <c r="I32" i="10"/>
  <c r="U31" i="10"/>
  <c r="V31" i="10" s="1"/>
  <c r="R31" i="10"/>
  <c r="O31" i="10"/>
  <c r="L31" i="10"/>
  <c r="I31" i="10"/>
  <c r="U30" i="10"/>
  <c r="R30" i="10"/>
  <c r="O30" i="10"/>
  <c r="L30" i="10"/>
  <c r="I30" i="10"/>
  <c r="U29" i="10"/>
  <c r="R29" i="10"/>
  <c r="O29" i="10"/>
  <c r="L29" i="10"/>
  <c r="I29" i="10"/>
  <c r="I59" i="8"/>
  <c r="L18" i="10" l="1"/>
  <c r="E24" i="10"/>
  <c r="F23" i="10"/>
  <c r="E23" i="10" s="1"/>
  <c r="O42" i="10"/>
  <c r="E30" i="10"/>
  <c r="E19" i="10"/>
  <c r="I18" i="10"/>
  <c r="O18" i="10"/>
  <c r="E32" i="10"/>
  <c r="R18" i="10"/>
  <c r="E33" i="10"/>
  <c r="E31" i="10"/>
  <c r="E124" i="10"/>
  <c r="E16" i="10"/>
  <c r="E40" i="10"/>
  <c r="L42" i="10"/>
  <c r="E29" i="10"/>
  <c r="V29" i="10"/>
  <c r="W29" i="10" s="1"/>
  <c r="W31" i="10"/>
  <c r="V32" i="10"/>
  <c r="W32" i="10" s="1"/>
  <c r="R42" i="10"/>
  <c r="Z47" i="10"/>
  <c r="F18" i="10"/>
  <c r="W48" i="10"/>
  <c r="W47" i="10"/>
  <c r="Z48" i="10"/>
  <c r="V43" i="10"/>
  <c r="W43" i="10" s="1"/>
  <c r="D28" i="10"/>
  <c r="E18" i="10" l="1"/>
  <c r="Y31" i="4"/>
  <c r="T31" i="4"/>
  <c r="O31" i="4"/>
  <c r="J31" i="4"/>
  <c r="E31" i="4"/>
  <c r="Y20" i="4"/>
  <c r="T20" i="4"/>
  <c r="O20" i="4"/>
  <c r="J20" i="4"/>
  <c r="E20" i="4"/>
  <c r="Y19" i="4"/>
  <c r="T19" i="4"/>
  <c r="O19" i="4"/>
  <c r="J19" i="4"/>
  <c r="E19" i="4"/>
  <c r="AD31" i="4" l="1"/>
  <c r="AD20" i="4"/>
  <c r="AD19" i="4"/>
  <c r="F97" i="4" l="1"/>
  <c r="Z84" i="4" l="1"/>
  <c r="U84" i="4"/>
  <c r="P84" i="4"/>
  <c r="K84" i="4"/>
  <c r="F84" i="4"/>
  <c r="Y83" i="4"/>
  <c r="T83" i="4"/>
  <c r="O83" i="4"/>
  <c r="J83" i="4"/>
  <c r="E83" i="4"/>
  <c r="Y82" i="4"/>
  <c r="T82" i="4"/>
  <c r="O82" i="4"/>
  <c r="J82" i="4"/>
  <c r="E82" i="4"/>
  <c r="Y80" i="4"/>
  <c r="T80" i="4"/>
  <c r="O80" i="4"/>
  <c r="J80" i="4"/>
  <c r="E80" i="4"/>
  <c r="AD80" i="4" s="1"/>
  <c r="Y79" i="4"/>
  <c r="T79" i="4"/>
  <c r="O79" i="4"/>
  <c r="J79" i="4"/>
  <c r="E79" i="4"/>
  <c r="J84" i="4" l="1"/>
  <c r="T84" i="4"/>
  <c r="Y84" i="4"/>
  <c r="AD79" i="4"/>
  <c r="E84" i="4"/>
  <c r="O84" i="4"/>
  <c r="AD83" i="4"/>
  <c r="AD82" i="4"/>
  <c r="Z71" i="4"/>
  <c r="AA71" i="4"/>
  <c r="U71" i="4"/>
  <c r="V71" i="4"/>
  <c r="P71" i="4"/>
  <c r="Q71" i="4"/>
  <c r="K71" i="4"/>
  <c r="L71" i="4"/>
  <c r="J71" i="4" s="1"/>
  <c r="F71" i="4"/>
  <c r="G71" i="4"/>
  <c r="F67" i="4"/>
  <c r="G67" i="4"/>
  <c r="K67" i="4"/>
  <c r="L67" i="4"/>
  <c r="P67" i="4"/>
  <c r="Q67" i="4"/>
  <c r="U67" i="4"/>
  <c r="V67" i="4"/>
  <c r="Z67" i="4"/>
  <c r="AA67" i="4"/>
  <c r="F68" i="4"/>
  <c r="G68" i="4"/>
  <c r="K68" i="4"/>
  <c r="L68" i="4"/>
  <c r="P68" i="4"/>
  <c r="Q68" i="4"/>
  <c r="U68" i="4"/>
  <c r="V68" i="4"/>
  <c r="Z68" i="4"/>
  <c r="AA68" i="4"/>
  <c r="F69" i="4"/>
  <c r="G69" i="4"/>
  <c r="E69" i="4" s="1"/>
  <c r="K69" i="4"/>
  <c r="L69" i="4"/>
  <c r="P69" i="4"/>
  <c r="Q69" i="4"/>
  <c r="U69" i="4"/>
  <c r="V69" i="4"/>
  <c r="Z69" i="4"/>
  <c r="AA69" i="4"/>
  <c r="F66" i="4"/>
  <c r="G66" i="4"/>
  <c r="K66" i="4"/>
  <c r="L66" i="4"/>
  <c r="P66" i="4"/>
  <c r="Q66" i="4"/>
  <c r="U66" i="4"/>
  <c r="V66" i="4"/>
  <c r="Z66" i="4"/>
  <c r="AA66" i="4"/>
  <c r="Z57" i="4"/>
  <c r="AA57" i="4"/>
  <c r="U57" i="4"/>
  <c r="V57" i="4"/>
  <c r="P57" i="4"/>
  <c r="Q57" i="4"/>
  <c r="Z51" i="4"/>
  <c r="AA51" i="4"/>
  <c r="U51" i="4"/>
  <c r="V51" i="4"/>
  <c r="Q51" i="4"/>
  <c r="L51" i="4"/>
  <c r="F51" i="4"/>
  <c r="G51" i="4"/>
  <c r="R130" i="10"/>
  <c r="O130" i="10"/>
  <c r="R128" i="10"/>
  <c r="O128" i="10"/>
  <c r="R127" i="10"/>
  <c r="O127" i="10"/>
  <c r="E127" i="10" s="1"/>
  <c r="R126" i="10"/>
  <c r="O126" i="10"/>
  <c r="R125" i="10"/>
  <c r="O125" i="10"/>
  <c r="T122" i="10"/>
  <c r="T123" i="10" s="1"/>
  <c r="T53" i="10" s="1"/>
  <c r="S122" i="10"/>
  <c r="Q122" i="10"/>
  <c r="Q123" i="10" s="1"/>
  <c r="Q53" i="10" s="1"/>
  <c r="P122" i="10"/>
  <c r="L62" i="4"/>
  <c r="I51" i="10"/>
  <c r="F51" i="10"/>
  <c r="I50" i="10"/>
  <c r="F50" i="10"/>
  <c r="T49" i="10"/>
  <c r="AA60" i="4" s="1"/>
  <c r="S49" i="10"/>
  <c r="Z60" i="4" s="1"/>
  <c r="Q49" i="10"/>
  <c r="V60" i="4" s="1"/>
  <c r="P49" i="10"/>
  <c r="N49" i="10"/>
  <c r="Q60" i="4" s="1"/>
  <c r="M49" i="10"/>
  <c r="P60" i="4" s="1"/>
  <c r="K49" i="10"/>
  <c r="L60" i="4" s="1"/>
  <c r="J49" i="10"/>
  <c r="K60" i="4" s="1"/>
  <c r="H49" i="10"/>
  <c r="G60" i="4" s="1"/>
  <c r="G49" i="10"/>
  <c r="F60" i="4" s="1"/>
  <c r="I48" i="10"/>
  <c r="F48" i="10"/>
  <c r="I47" i="10"/>
  <c r="F47" i="10"/>
  <c r="T46" i="10"/>
  <c r="AA59" i="4" s="1"/>
  <c r="S46" i="10"/>
  <c r="Q46" i="10"/>
  <c r="V59" i="4" s="1"/>
  <c r="P46" i="10"/>
  <c r="U59" i="4" s="1"/>
  <c r="N46" i="10"/>
  <c r="Q59" i="4" s="1"/>
  <c r="M46" i="10"/>
  <c r="K46" i="10"/>
  <c r="L59" i="4" s="1"/>
  <c r="J46" i="10"/>
  <c r="H46" i="10"/>
  <c r="G59" i="4" s="1"/>
  <c r="G46" i="10"/>
  <c r="F59" i="4" s="1"/>
  <c r="D46" i="10"/>
  <c r="R45" i="10"/>
  <c r="I45" i="10"/>
  <c r="F45" i="10"/>
  <c r="T44" i="10"/>
  <c r="AA58" i="4" s="1"/>
  <c r="S44" i="10"/>
  <c r="Q44" i="10"/>
  <c r="V58" i="4" s="1"/>
  <c r="P44" i="10"/>
  <c r="U58" i="4" s="1"/>
  <c r="N44" i="10"/>
  <c r="Q58" i="4" s="1"/>
  <c r="M44" i="10"/>
  <c r="P58" i="4" s="1"/>
  <c r="K44" i="10"/>
  <c r="L58" i="4" s="1"/>
  <c r="J44" i="10"/>
  <c r="K58" i="4" s="1"/>
  <c r="H44" i="10"/>
  <c r="G58" i="4" s="1"/>
  <c r="G44" i="10"/>
  <c r="I43" i="10"/>
  <c r="F43" i="10"/>
  <c r="K42" i="10"/>
  <c r="J42" i="10"/>
  <c r="K57" i="4" s="1"/>
  <c r="G57" i="4"/>
  <c r="C42" i="10"/>
  <c r="R41" i="10"/>
  <c r="O41" i="10"/>
  <c r="L41" i="10"/>
  <c r="I41" i="10"/>
  <c r="F41" i="10"/>
  <c r="I39" i="10"/>
  <c r="F39" i="10"/>
  <c r="I38" i="10"/>
  <c r="F38" i="10"/>
  <c r="I37" i="10"/>
  <c r="F37" i="10"/>
  <c r="I36" i="10"/>
  <c r="F36" i="10"/>
  <c r="T35" i="10"/>
  <c r="AA56" i="4" s="1"/>
  <c r="S35" i="10"/>
  <c r="Z56" i="4" s="1"/>
  <c r="Q35" i="10"/>
  <c r="V56" i="4" s="1"/>
  <c r="U56" i="4"/>
  <c r="N35" i="10"/>
  <c r="Q56" i="4" s="1"/>
  <c r="M35" i="10"/>
  <c r="P56" i="4" s="1"/>
  <c r="K35" i="10"/>
  <c r="L56" i="4" s="1"/>
  <c r="J35" i="10"/>
  <c r="H35" i="10"/>
  <c r="G56" i="4" s="1"/>
  <c r="F56" i="4"/>
  <c r="T28" i="10"/>
  <c r="AA55" i="4" s="1"/>
  <c r="S28" i="10"/>
  <c r="Q28" i="10"/>
  <c r="V55" i="4" s="1"/>
  <c r="P28" i="10"/>
  <c r="U55" i="4" s="1"/>
  <c r="N28" i="10"/>
  <c r="Q55" i="4" s="1"/>
  <c r="M28" i="10"/>
  <c r="K28" i="10"/>
  <c r="L55" i="4" s="1"/>
  <c r="J28" i="10"/>
  <c r="H28" i="10"/>
  <c r="G55" i="4" s="1"/>
  <c r="G28" i="10"/>
  <c r="P51" i="4"/>
  <c r="T15" i="10"/>
  <c r="AA49" i="4" s="1"/>
  <c r="S15" i="10"/>
  <c r="Q15" i="10"/>
  <c r="V49" i="4" s="1"/>
  <c r="P15" i="10"/>
  <c r="N15" i="10"/>
  <c r="Q49" i="4" s="1"/>
  <c r="M15" i="10"/>
  <c r="P49" i="4" s="1"/>
  <c r="K15" i="10"/>
  <c r="L49" i="4" s="1"/>
  <c r="J15" i="10"/>
  <c r="G49" i="4"/>
  <c r="E13" i="10"/>
  <c r="E11" i="10"/>
  <c r="T9" i="10"/>
  <c r="S9" i="10"/>
  <c r="P9" i="10"/>
  <c r="N9" i="10"/>
  <c r="M9" i="10"/>
  <c r="J9" i="10"/>
  <c r="J69" i="4" l="1"/>
  <c r="T66" i="4"/>
  <c r="J68" i="4"/>
  <c r="E67" i="4"/>
  <c r="O122" i="10"/>
  <c r="P123" i="10"/>
  <c r="R122" i="10"/>
  <c r="S123" i="10"/>
  <c r="E68" i="4"/>
  <c r="R28" i="10"/>
  <c r="F55" i="4"/>
  <c r="E55" i="4" s="1"/>
  <c r="G131" i="10"/>
  <c r="G133" i="10" s="1"/>
  <c r="AA62" i="4"/>
  <c r="E36" i="10"/>
  <c r="AD84" i="4"/>
  <c r="E71" i="4"/>
  <c r="E63" i="4"/>
  <c r="G62" i="4"/>
  <c r="T68" i="4"/>
  <c r="T71" i="4"/>
  <c r="T69" i="4"/>
  <c r="J67" i="4"/>
  <c r="Y71" i="4"/>
  <c r="F44" i="10"/>
  <c r="E50" i="10"/>
  <c r="L46" i="10"/>
  <c r="I15" i="10"/>
  <c r="F46" i="10"/>
  <c r="E128" i="10"/>
  <c r="I35" i="10"/>
  <c r="E38" i="10"/>
  <c r="I28" i="10"/>
  <c r="E39" i="10"/>
  <c r="E43" i="10"/>
  <c r="E45" i="10"/>
  <c r="E126" i="10"/>
  <c r="R46" i="10"/>
  <c r="E130" i="10"/>
  <c r="E47" i="10"/>
  <c r="E125" i="10"/>
  <c r="E48" i="10"/>
  <c r="P59" i="4"/>
  <c r="O59" i="4" s="1"/>
  <c r="F49" i="10"/>
  <c r="I42" i="10"/>
  <c r="E37" i="10"/>
  <c r="F42" i="10"/>
  <c r="E51" i="10"/>
  <c r="T67" i="4"/>
  <c r="O71" i="4"/>
  <c r="Q62" i="4"/>
  <c r="G48" i="4"/>
  <c r="U48" i="4"/>
  <c r="R44" i="10"/>
  <c r="R49" i="10"/>
  <c r="F58" i="4"/>
  <c r="E58" i="4" s="1"/>
  <c r="L57" i="4"/>
  <c r="J57" i="4" s="1"/>
  <c r="Z48" i="4"/>
  <c r="I44" i="10"/>
  <c r="K48" i="4"/>
  <c r="J131" i="10"/>
  <c r="J133" i="10" s="1"/>
  <c r="L15" i="10"/>
  <c r="M131" i="10"/>
  <c r="M133" i="10" s="1"/>
  <c r="AA48" i="4"/>
  <c r="R15" i="10"/>
  <c r="I46" i="10"/>
  <c r="I49" i="10"/>
  <c r="O49" i="10"/>
  <c r="F57" i="4"/>
  <c r="Y57" i="4"/>
  <c r="Z58" i="4"/>
  <c r="Y58" i="4" s="1"/>
  <c r="K59" i="4"/>
  <c r="J59" i="4" s="1"/>
  <c r="T58" i="4"/>
  <c r="Y65" i="4"/>
  <c r="E65" i="4"/>
  <c r="L49" i="10"/>
  <c r="U60" i="4"/>
  <c r="T60" i="4" s="1"/>
  <c r="Z59" i="4"/>
  <c r="Y59" i="4" s="1"/>
  <c r="O46" i="10"/>
  <c r="T59" i="4"/>
  <c r="L44" i="10"/>
  <c r="O44" i="10"/>
  <c r="E41" i="10"/>
  <c r="L35" i="10"/>
  <c r="F35" i="10"/>
  <c r="O35" i="10"/>
  <c r="R35" i="10"/>
  <c r="K56" i="4"/>
  <c r="J56" i="4" s="1"/>
  <c r="T56" i="4"/>
  <c r="Q48" i="4"/>
  <c r="Z49" i="4"/>
  <c r="O15" i="10"/>
  <c r="K49" i="4"/>
  <c r="K55" i="4"/>
  <c r="J55" i="4" s="1"/>
  <c r="F28" i="10"/>
  <c r="Z55" i="4"/>
  <c r="Y55" i="4" s="1"/>
  <c r="O28" i="10"/>
  <c r="T55" i="4"/>
  <c r="L28" i="10"/>
  <c r="P55" i="4"/>
  <c r="O55" i="4" s="1"/>
  <c r="K51" i="4"/>
  <c r="U49" i="4"/>
  <c r="F15" i="10"/>
  <c r="P48" i="4"/>
  <c r="E10" i="10"/>
  <c r="F48" i="4"/>
  <c r="J63" i="4"/>
  <c r="J58" i="4"/>
  <c r="J60" i="4"/>
  <c r="F62" i="4"/>
  <c r="P62" i="4"/>
  <c r="O60" i="4"/>
  <c r="Y60" i="4"/>
  <c r="O66" i="4"/>
  <c r="J66" i="4"/>
  <c r="O58" i="4"/>
  <c r="T65" i="4"/>
  <c r="J65" i="4"/>
  <c r="Y66" i="4"/>
  <c r="E66" i="4"/>
  <c r="Y69" i="4"/>
  <c r="O69" i="4"/>
  <c r="Y68" i="4"/>
  <c r="O68" i="4"/>
  <c r="Y67" i="4"/>
  <c r="O67" i="4"/>
  <c r="O65" i="4"/>
  <c r="T57" i="4"/>
  <c r="O57" i="4"/>
  <c r="Y56" i="4"/>
  <c r="E56" i="4"/>
  <c r="E12" i="10"/>
  <c r="L9" i="10"/>
  <c r="R9" i="10"/>
  <c r="K9" i="10"/>
  <c r="Q9" i="10"/>
  <c r="F9" i="10"/>
  <c r="E59" i="4"/>
  <c r="E60" i="4"/>
  <c r="O56" i="4"/>
  <c r="F72" i="4" l="1"/>
  <c r="F98" i="4" s="1"/>
  <c r="G72" i="4"/>
  <c r="G74" i="4" s="1"/>
  <c r="S53" i="10"/>
  <c r="R123" i="10"/>
  <c r="P53" i="10"/>
  <c r="O53" i="10" s="1"/>
  <c r="O123" i="10"/>
  <c r="E123" i="10" s="1"/>
  <c r="E122" i="10"/>
  <c r="K131" i="10"/>
  <c r="P131" i="10"/>
  <c r="P133" i="10" s="1"/>
  <c r="O133" i="10" s="1"/>
  <c r="E57" i="4"/>
  <c r="AD57" i="4" s="1"/>
  <c r="V62" i="4"/>
  <c r="Q131" i="10"/>
  <c r="Q133" i="10" s="1"/>
  <c r="AD71" i="4"/>
  <c r="Y63" i="4"/>
  <c r="O62" i="4"/>
  <c r="E42" i="10"/>
  <c r="E15" i="10"/>
  <c r="O48" i="4"/>
  <c r="N131" i="10"/>
  <c r="Y48" i="4"/>
  <c r="E44" i="10"/>
  <c r="E49" i="10"/>
  <c r="E46" i="10"/>
  <c r="T63" i="4"/>
  <c r="T131" i="10"/>
  <c r="T133" i="10" s="1"/>
  <c r="O63" i="4"/>
  <c r="S131" i="10"/>
  <c r="S133" i="10" s="1"/>
  <c r="R133" i="10" s="1"/>
  <c r="H131" i="10"/>
  <c r="F53" i="10"/>
  <c r="E62" i="4"/>
  <c r="E35" i="10"/>
  <c r="V48" i="4"/>
  <c r="T48" i="4" s="1"/>
  <c r="L48" i="4"/>
  <c r="J48" i="4" s="1"/>
  <c r="E28" i="10"/>
  <c r="AD68" i="4"/>
  <c r="AD69" i="4"/>
  <c r="AD65" i="4"/>
  <c r="AD55" i="4"/>
  <c r="AD67" i="4"/>
  <c r="AD66" i="4"/>
  <c r="I53" i="10"/>
  <c r="K62" i="4"/>
  <c r="J62" i="4" s="1"/>
  <c r="U62" i="4"/>
  <c r="AD60" i="4"/>
  <c r="AD56" i="4"/>
  <c r="O9" i="10"/>
  <c r="I9" i="10"/>
  <c r="AD59" i="4"/>
  <c r="AD58" i="4"/>
  <c r="F131" i="10" l="1"/>
  <c r="H133" i="10"/>
  <c r="F133" i="10" s="1"/>
  <c r="L131" i="10"/>
  <c r="N133" i="10"/>
  <c r="L133" i="10" s="1"/>
  <c r="I131" i="10"/>
  <c r="K133" i="10"/>
  <c r="I133" i="10" s="1"/>
  <c r="F100" i="4"/>
  <c r="F74" i="4"/>
  <c r="E74" i="4" s="1"/>
  <c r="R53" i="10"/>
  <c r="E53" i="10" s="1"/>
  <c r="Z62" i="4"/>
  <c r="Y62" i="4" s="1"/>
  <c r="T62" i="4"/>
  <c r="AD62" i="4" s="1"/>
  <c r="O131" i="10"/>
  <c r="AD63" i="4"/>
  <c r="R131" i="10"/>
  <c r="E9" i="10"/>
  <c r="Z34" i="4"/>
  <c r="Y34" i="4" s="1"/>
  <c r="U34" i="4"/>
  <c r="T34" i="4" s="1"/>
  <c r="O34" i="4"/>
  <c r="J34" i="4"/>
  <c r="E34" i="4"/>
  <c r="Y32" i="4"/>
  <c r="T32" i="4"/>
  <c r="O32" i="4"/>
  <c r="J32" i="4"/>
  <c r="E32" i="4"/>
  <c r="Y30" i="4"/>
  <c r="T30" i="4"/>
  <c r="O30" i="4"/>
  <c r="J30" i="4"/>
  <c r="E30" i="4"/>
  <c r="Y29" i="4"/>
  <c r="T29" i="4"/>
  <c r="O29" i="4"/>
  <c r="J29" i="4"/>
  <c r="E29" i="4"/>
  <c r="Y28" i="4"/>
  <c r="T28" i="4"/>
  <c r="O28" i="4"/>
  <c r="J28" i="4"/>
  <c r="E28" i="4"/>
  <c r="Y27" i="4"/>
  <c r="T27" i="4"/>
  <c r="O27" i="4"/>
  <c r="J27" i="4"/>
  <c r="E27" i="4"/>
  <c r="Y26" i="4"/>
  <c r="T26" i="4"/>
  <c r="O26" i="4"/>
  <c r="J26" i="4"/>
  <c r="E26" i="4"/>
  <c r="Y25" i="4"/>
  <c r="T25" i="4"/>
  <c r="O25" i="4"/>
  <c r="J25" i="4"/>
  <c r="E25" i="4"/>
  <c r="Y24" i="4"/>
  <c r="T24" i="4"/>
  <c r="O24" i="4"/>
  <c r="J24" i="4"/>
  <c r="E24" i="4"/>
  <c r="Y23" i="4"/>
  <c r="T23" i="4"/>
  <c r="O23" i="4"/>
  <c r="J23" i="4"/>
  <c r="E23" i="4"/>
  <c r="Y18" i="4"/>
  <c r="T18" i="4"/>
  <c r="O18" i="4"/>
  <c r="J18" i="4"/>
  <c r="E18" i="4"/>
  <c r="Y17" i="4"/>
  <c r="T17" i="4"/>
  <c r="O17" i="4"/>
  <c r="J17" i="4"/>
  <c r="E17" i="4"/>
  <c r="Y16" i="4"/>
  <c r="T16" i="4"/>
  <c r="O16" i="4"/>
  <c r="J16" i="4"/>
  <c r="E16" i="4"/>
  <c r="Y15" i="4"/>
  <c r="T15" i="4"/>
  <c r="O15" i="4"/>
  <c r="J15" i="4"/>
  <c r="E15" i="4"/>
  <c r="Y14" i="4"/>
  <c r="T14" i="4"/>
  <c r="O14" i="4"/>
  <c r="J14" i="4"/>
  <c r="E14" i="4"/>
  <c r="Y13" i="4"/>
  <c r="T13" i="4"/>
  <c r="O13" i="4"/>
  <c r="J13" i="4"/>
  <c r="E13" i="4"/>
  <c r="E131" i="10" l="1"/>
  <c r="E133" i="10"/>
  <c r="AD30" i="4"/>
  <c r="AD34" i="4"/>
  <c r="AD13" i="4"/>
  <c r="AD15" i="4"/>
  <c r="AD17" i="4"/>
  <c r="AD18" i="4"/>
  <c r="AD23" i="4"/>
  <c r="AD25" i="4"/>
  <c r="AD26" i="4"/>
  <c r="AD28" i="4"/>
  <c r="AD14" i="4"/>
  <c r="AD16" i="4"/>
  <c r="AD24" i="4"/>
  <c r="AD27" i="4"/>
  <c r="AD29" i="4"/>
  <c r="AD32" i="4"/>
  <c r="Y51" i="4" l="1"/>
  <c r="T51" i="4"/>
  <c r="O51" i="4"/>
  <c r="J51" i="4"/>
  <c r="E51" i="4"/>
  <c r="AD51" i="4" l="1"/>
  <c r="AC72" i="4" l="1"/>
  <c r="AB72" i="4"/>
  <c r="X72" i="4"/>
  <c r="W72" i="4"/>
  <c r="S72" i="4"/>
  <c r="R72" i="4"/>
  <c r="N72" i="4"/>
  <c r="M72" i="4"/>
  <c r="H72" i="4"/>
  <c r="I72" i="4"/>
  <c r="E72" i="4" l="1"/>
  <c r="AH72" i="4"/>
  <c r="AG72" i="4"/>
  <c r="O49" i="4"/>
  <c r="P72" i="4"/>
  <c r="Z72" i="4"/>
  <c r="E48" i="4"/>
  <c r="E49" i="4"/>
  <c r="J49" i="4"/>
  <c r="T49" i="4"/>
  <c r="Q72" i="4"/>
  <c r="Q74" i="4" s="1"/>
  <c r="V72" i="4"/>
  <c r="V74" i="4" s="1"/>
  <c r="AA72" i="4"/>
  <c r="AA74" i="4" s="1"/>
  <c r="Y49" i="4"/>
  <c r="U72" i="4"/>
  <c r="Z74" i="4" l="1"/>
  <c r="Y74" i="4" s="1"/>
  <c r="Y72" i="4"/>
  <c r="T72" i="4"/>
  <c r="U74" i="4"/>
  <c r="T74" i="4" s="1"/>
  <c r="O72" i="4"/>
  <c r="P74" i="4"/>
  <c r="O74" i="4" s="1"/>
  <c r="AD48" i="4"/>
  <c r="K72" i="4"/>
  <c r="L72" i="4"/>
  <c r="L74" i="4" s="1"/>
  <c r="J72" i="4" l="1"/>
  <c r="K74" i="4"/>
  <c r="J74" i="4" s="1"/>
  <c r="AD74" i="4" s="1"/>
  <c r="AF72" i="4"/>
  <c r="AE72" i="4"/>
  <c r="E96" i="4"/>
  <c r="J96" i="4"/>
  <c r="O96" i="4"/>
  <c r="T96" i="4"/>
  <c r="Y96" i="4"/>
  <c r="G97" i="4"/>
  <c r="H97" i="4"/>
  <c r="I97" i="4"/>
  <c r="K97" i="4"/>
  <c r="L97" i="4"/>
  <c r="M97" i="4"/>
  <c r="N97" i="4"/>
  <c r="P97" i="4"/>
  <c r="Q97" i="4"/>
  <c r="R97" i="4"/>
  <c r="U97" i="4"/>
  <c r="V97" i="4"/>
  <c r="W97" i="4"/>
  <c r="Z97" i="4"/>
  <c r="AA97" i="4"/>
  <c r="AB97" i="4"/>
  <c r="AE97" i="4" l="1"/>
  <c r="AG97" i="4"/>
  <c r="AF97" i="4"/>
  <c r="E97" i="4"/>
  <c r="AD96" i="4"/>
  <c r="J97" i="4"/>
  <c r="F43" i="4" l="1"/>
  <c r="P43" i="4"/>
  <c r="Y94" i="4" l="1"/>
  <c r="T94" i="4"/>
  <c r="O94" i="4"/>
  <c r="J94" i="4"/>
  <c r="E94" i="4"/>
  <c r="E92" i="4"/>
  <c r="J92" i="4"/>
  <c r="O92" i="4"/>
  <c r="T92" i="4"/>
  <c r="Y92" i="4"/>
  <c r="AD94" i="4" l="1"/>
  <c r="AD92" i="4"/>
  <c r="J109" i="8" l="1"/>
  <c r="I109" i="8"/>
  <c r="Q43" i="4" l="1"/>
  <c r="R43" i="4"/>
  <c r="S43" i="4"/>
  <c r="N43" i="4"/>
  <c r="G43" i="4"/>
  <c r="H43" i="4"/>
  <c r="I43" i="4"/>
  <c r="L43" i="4"/>
  <c r="M43" i="4"/>
  <c r="E43" i="4" l="1"/>
  <c r="E98" i="4" s="1"/>
  <c r="O43" i="4"/>
  <c r="I13" i="9" l="1"/>
  <c r="I9" i="9"/>
  <c r="H9" i="9" l="1"/>
  <c r="H10" i="9" l="1"/>
  <c r="G17" i="9" l="1"/>
  <c r="G15" i="9"/>
  <c r="H13" i="9" l="1"/>
  <c r="U43" i="4" l="1"/>
  <c r="U98" i="4" s="1"/>
  <c r="U100" i="4" s="1"/>
  <c r="T43" i="4" l="1"/>
  <c r="X89" i="4" l="1"/>
  <c r="X97" i="4" s="1"/>
  <c r="T97" i="4" s="1"/>
  <c r="AC89" i="4"/>
  <c r="AC97" i="4" s="1"/>
  <c r="Y97" i="4" s="1"/>
  <c r="G22" i="9" l="1"/>
  <c r="G13" i="9"/>
  <c r="G10" i="9"/>
  <c r="G9" i="9"/>
  <c r="H18" i="9" l="1"/>
  <c r="G18" i="9"/>
  <c r="H17" i="9"/>
  <c r="H16" i="9"/>
  <c r="G16" i="9"/>
  <c r="H15" i="9"/>
  <c r="S89" i="4" l="1"/>
  <c r="S97" i="4" s="1"/>
  <c r="O97" i="4" l="1"/>
  <c r="AH97" i="4"/>
  <c r="P98" i="4" l="1"/>
  <c r="P100" i="4" s="1"/>
  <c r="AC84" i="4" l="1"/>
  <c r="AC98" i="4" s="1"/>
  <c r="AC100" i="4" s="1"/>
  <c r="AB84" i="4"/>
  <c r="AB98" i="4" s="1"/>
  <c r="AB100" i="4" s="1"/>
  <c r="AA84" i="4"/>
  <c r="AA98" i="4" s="1"/>
  <c r="AA100" i="4" s="1"/>
  <c r="X84" i="4"/>
  <c r="X98" i="4" s="1"/>
  <c r="X100" i="4" s="1"/>
  <c r="W84" i="4"/>
  <c r="W98" i="4" s="1"/>
  <c r="W100" i="4" s="1"/>
  <c r="V84" i="4"/>
  <c r="V98" i="4" s="1"/>
  <c r="V100" i="4" s="1"/>
  <c r="S84" i="4"/>
  <c r="S98" i="4" s="1"/>
  <c r="S100" i="4" s="1"/>
  <c r="R84" i="4"/>
  <c r="R98" i="4" s="1"/>
  <c r="R100" i="4" s="1"/>
  <c r="Q84" i="4"/>
  <c r="Q98" i="4" s="1"/>
  <c r="Q100" i="4" s="1"/>
  <c r="N84" i="4"/>
  <c r="N98" i="4" s="1"/>
  <c r="N100" i="4" s="1"/>
  <c r="M84" i="4"/>
  <c r="M98" i="4" s="1"/>
  <c r="M100" i="4" s="1"/>
  <c r="L84" i="4"/>
  <c r="L98" i="4" s="1"/>
  <c r="L100" i="4" s="1"/>
  <c r="I84" i="4"/>
  <c r="H84" i="4"/>
  <c r="G84" i="4"/>
  <c r="O100" i="4" l="1"/>
  <c r="T100" i="4"/>
  <c r="AH84" i="4"/>
  <c r="AG84" i="4"/>
  <c r="AF84" i="4"/>
  <c r="G98" i="4"/>
  <c r="G100" i="4" s="1"/>
  <c r="F22" i="9" l="1"/>
  <c r="G11" i="9"/>
  <c r="Z43" i="4" l="1"/>
  <c r="Y43" i="4" l="1"/>
  <c r="Z98" i="4"/>
  <c r="Z100" i="4" s="1"/>
  <c r="Y100" i="4" s="1"/>
  <c r="T93" i="4" l="1"/>
  <c r="O93" i="4"/>
  <c r="Y91" i="4"/>
  <c r="T91" i="4"/>
  <c r="O91" i="4"/>
  <c r="Y89" i="4"/>
  <c r="T89" i="4"/>
  <c r="O89" i="4"/>
  <c r="F12" i="9" l="1"/>
  <c r="K43" i="4" l="1"/>
  <c r="K98" i="4" s="1"/>
  <c r="K100" i="4" s="1"/>
  <c r="J100" i="4" s="1"/>
  <c r="J43" i="4" l="1"/>
  <c r="AE43" i="4"/>
  <c r="AD43" i="4" l="1"/>
  <c r="J91" i="4" l="1"/>
  <c r="E91" i="4"/>
  <c r="AD91" i="4" l="1"/>
  <c r="AE84" i="4" l="1"/>
  <c r="I98" i="4" l="1"/>
  <c r="AH98" i="4" l="1"/>
  <c r="I100" i="4"/>
  <c r="Y93" i="4"/>
  <c r="J89" i="4" l="1"/>
  <c r="E89" i="4"/>
  <c r="AF43" i="4" l="1"/>
  <c r="AH43" i="4"/>
  <c r="AG43" i="4"/>
  <c r="AD89" i="4"/>
  <c r="E93" i="4"/>
  <c r="J93" i="4"/>
  <c r="J98" i="4" l="1"/>
  <c r="O98" i="4"/>
  <c r="Y98" i="4"/>
  <c r="T98" i="4"/>
  <c r="AD93" i="4"/>
  <c r="AD97" i="4" s="1"/>
  <c r="AD98" i="4" l="1"/>
  <c r="AE98" i="4"/>
  <c r="H98" i="4" l="1"/>
  <c r="AF98" i="4"/>
  <c r="AG98" i="4" l="1"/>
  <c r="H100" i="4"/>
  <c r="E100" i="4" s="1"/>
  <c r="AD100" i="4" s="1"/>
  <c r="AD49" i="4"/>
  <c r="AD72" i="4" l="1"/>
</calcChain>
</file>

<file path=xl/sharedStrings.xml><?xml version="1.0" encoding="utf-8"?>
<sst xmlns="http://schemas.openxmlformats.org/spreadsheetml/2006/main" count="1321" uniqueCount="579">
  <si>
    <t>Наименование мероприятий по объектам</t>
  </si>
  <si>
    <t>1.1.</t>
  </si>
  <si>
    <t>2.1.</t>
  </si>
  <si>
    <t>4.2.</t>
  </si>
  <si>
    <t>1.1.1.</t>
  </si>
  <si>
    <t>2.1.1.</t>
  </si>
  <si>
    <t>1.2.</t>
  </si>
  <si>
    <t>1.2.1.</t>
  </si>
  <si>
    <t>1.2.2.</t>
  </si>
  <si>
    <t>Стоимость работ по годам, тыс.руб.</t>
  </si>
  <si>
    <t>1.1.2.</t>
  </si>
  <si>
    <t>1.3.</t>
  </si>
  <si>
    <t>1.2.3.</t>
  </si>
  <si>
    <t>1.1.3.</t>
  </si>
  <si>
    <t>4.1.</t>
  </si>
  <si>
    <t>4.3.</t>
  </si>
  <si>
    <t>2.1.2.</t>
  </si>
  <si>
    <t>3.1.</t>
  </si>
  <si>
    <t>3.2.</t>
  </si>
  <si>
    <t>ИТОГО ПО ПОДПРОГРАММЕ "РГПТ"</t>
  </si>
  <si>
    <t xml:space="preserve">Департамент дорожного хозяйства и транспорта администрации городского округа Тольятти </t>
  </si>
  <si>
    <t xml:space="preserve">Изготовление и установка табличек на остановочных пунктах                                                     </t>
  </si>
  <si>
    <t>Департамент дорожного хозяйства и транспорта  администрации городского округа Тольятти</t>
  </si>
  <si>
    <t>Департамент дорожного хозяйства и транспорта            администрации городского округа Тольятти</t>
  </si>
  <si>
    <t>Департамент дорожного хозяйства и транспорта администрации городского округа Тольятти</t>
  </si>
  <si>
    <t xml:space="preserve">Департамент дорожного хозяйства и транспорта  администрации городского округа Тольятти                           </t>
  </si>
  <si>
    <t>федеральный   бюджет</t>
  </si>
  <si>
    <t>Всего</t>
  </si>
  <si>
    <t>Итого</t>
  </si>
  <si>
    <t>Финансовое обеспечение реализации муниципальной программы, тыс. руб.</t>
  </si>
  <si>
    <t>Ответственный 
исполнитель</t>
  </si>
  <si>
    <t xml:space="preserve">
Наименование целей, задач и мероприятий муниципальной программы</t>
  </si>
  <si>
    <t>№</t>
  </si>
  <si>
    <t>внебюд-жетные средства</t>
  </si>
  <si>
    <t>федераль-ный   бюджет</t>
  </si>
  <si>
    <t>Нанесение горизонтальной дорожной разметки</t>
  </si>
  <si>
    <t>ИТОГО ПО ПОДПРОГРАММЕ "СУДС"</t>
  </si>
  <si>
    <t>Сроки реали-зации</t>
  </si>
  <si>
    <t>местный бюджет</t>
  </si>
  <si>
    <t>областной бюджет</t>
  </si>
  <si>
    <t>Наименование целей, задач и мероприятий муниципальной программы</t>
  </si>
  <si>
    <t>Наименование показателей (индикаторов)</t>
  </si>
  <si>
    <t>Единица измере-ния</t>
  </si>
  <si>
    <t>Базовое значение</t>
  </si>
  <si>
    <t>Значение показателей (индикаторов) по годам</t>
  </si>
  <si>
    <t>шт.</t>
  </si>
  <si>
    <t>-</t>
  </si>
  <si>
    <t>Количество устроенных искусственных дорожных неровностей</t>
  </si>
  <si>
    <t>тыс.м.п.</t>
  </si>
  <si>
    <t>Количество обустроенных светофорных объектов</t>
  </si>
  <si>
    <t>ед.</t>
  </si>
  <si>
    <t xml:space="preserve">Уровень исполнения бюджетной сметы расходов учреждения </t>
  </si>
  <si>
    <t>%</t>
  </si>
  <si>
    <t>Количество установленных табличек</t>
  </si>
  <si>
    <t>км</t>
  </si>
  <si>
    <t>тыс. м2</t>
  </si>
  <si>
    <t>тыс.м2</t>
  </si>
  <si>
    <t>Площадь содержания автомобильных дорог</t>
  </si>
  <si>
    <t xml:space="preserve">Содержание надземных и подземных пешеходных переходов </t>
  </si>
  <si>
    <t>Количество типов дорожной разметки</t>
  </si>
  <si>
    <t>1.3.1.</t>
  </si>
  <si>
    <t>Количество перевезенных пассажиров льготной категории граждан</t>
  </si>
  <si>
    <t>тыс.пас.</t>
  </si>
  <si>
    <t>шт</t>
  </si>
  <si>
    <t>Доля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общей площади автомобильных дорог с невысокой транспортной нагрузкой в городском округе Тольятти</t>
  </si>
  <si>
    <t>Удовлетворенность населения содержанием УДС (от числа опрошенных)</t>
  </si>
  <si>
    <t>Наименование показателя конечного результата</t>
  </si>
  <si>
    <t>Единица измерения</t>
  </si>
  <si>
    <t>Планируемые значения показателя конечного результата</t>
  </si>
  <si>
    <t>Пассажирооборот транспорта общего пользования</t>
  </si>
  <si>
    <t>Доля подвижного состава автобусов, не превышающих нормативный срок эксплуатации</t>
  </si>
  <si>
    <t>Доля подвижного состава троллейбусов, не превышающих нормативный срок эксплуатации</t>
  </si>
  <si>
    <t>Обеспеченность парка транспортом с низким (пониженным) уровнем пола МП "ТТУ"</t>
  </si>
  <si>
    <t xml:space="preserve">Доля протяженности дорожной сети городского округа Тольятти, находящейся в нормативном состоянии </t>
  </si>
  <si>
    <t>Уровень дорожно-транспортного травматизма «Тяжесть последствий» (число погибших на 100 пострадавших) (обратный показатель)</t>
  </si>
  <si>
    <t>Количество зарегистрированных ДТП на территории городского округа Тольятти (обратный показатель)</t>
  </si>
  <si>
    <t>Протяженность установленных пешеходных ограждений</t>
  </si>
  <si>
    <t>Устройство технических средств организации дорожного движения</t>
  </si>
  <si>
    <t>Приобретение дорожных знаков (заготовок дорожных знаков)</t>
  </si>
  <si>
    <t>Количество приобретенных дорожных знаков (заготовок дорожных знаков)</t>
  </si>
  <si>
    <t>Количество установленных дорожных знаков</t>
  </si>
  <si>
    <t>Показатели конечного результата муниципальной программы</t>
  </si>
  <si>
    <t>Площадь дорожных сооружений, находящихся на содержании</t>
  </si>
  <si>
    <t>Проектно-изыскательские работы по устройству линий наружного электроосвещения</t>
  </si>
  <si>
    <t>Доля отечественного оборудования (товаров, работ, услуг) в общем объеме закупок</t>
  </si>
  <si>
    <t>Протяженность дорог, находящихся в нормативном состоянии,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</si>
  <si>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построенных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</si>
  <si>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реконструированных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</si>
  <si>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Доля отремонтированных за счет капитального ремонта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</si>
  <si>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Выполнение работ по обеспечению безопасности участников дорожного движения</t>
  </si>
  <si>
    <t>Целевые показатели (индикаторы) национального проекта "Безопасные качественные дороги", в части касающейся городского округа Тольятти</t>
  </si>
  <si>
    <t xml:space="preserve">Показатели (индикаторы) Стратегии, определенные Планом мероприятий по реализации Стратегии </t>
  </si>
  <si>
    <t>3.1.1.</t>
  </si>
  <si>
    <t>3.2.1.</t>
  </si>
  <si>
    <t>4.1.1.</t>
  </si>
  <si>
    <t>4.2.1.</t>
  </si>
  <si>
    <t>4.3.1.</t>
  </si>
  <si>
    <t>1.</t>
  </si>
  <si>
    <t>2.</t>
  </si>
  <si>
    <t>1.1.4.</t>
  </si>
  <si>
    <t>1.1.5.</t>
  </si>
  <si>
    <t>1.1.6.</t>
  </si>
  <si>
    <t>1.1.7.</t>
  </si>
  <si>
    <t>1.2.4.</t>
  </si>
  <si>
    <t>1.2.5.</t>
  </si>
  <si>
    <t>3.</t>
  </si>
  <si>
    <t>3.1.2.</t>
  </si>
  <si>
    <t xml:space="preserve">4. </t>
  </si>
  <si>
    <t>Задача 1 подпрограммы: совершенствование технического и технологического обеспечения транспортного обслуживания</t>
  </si>
  <si>
    <t>4.2.2.</t>
  </si>
  <si>
    <t>4.2.3.</t>
  </si>
  <si>
    <t>4.2.4.</t>
  </si>
  <si>
    <t>4.</t>
  </si>
  <si>
    <t>на 2021 г.</t>
  </si>
  <si>
    <t>на 2022 г.</t>
  </si>
  <si>
    <t>на 2023 г.</t>
  </si>
  <si>
    <t>на 2024 г.</t>
  </si>
  <si>
    <t>на 2025 г.</t>
  </si>
  <si>
    <t>км.</t>
  </si>
  <si>
    <t>Пробег специализированных автомобилей, осуществляющих перевозку маломобильных граждан</t>
  </si>
  <si>
    <t>пас.</t>
  </si>
  <si>
    <t>Количество перевезенных маломобильных граждан специализированными автомобилями</t>
  </si>
  <si>
    <t>Приложение № 1                                                                                              к  постановлению администрации 
городского округа Тольятти 
от_______________№ _________</t>
  </si>
  <si>
    <t>Количество объектов, на которых установлены указатели</t>
  </si>
  <si>
    <t>Устройство тактильной плитки</t>
  </si>
  <si>
    <r>
      <t xml:space="preserve">Выполнение работ по осуществлению регулярных перевозок пассажиров и багажа по регулируемым тарифам                                   </t>
    </r>
    <r>
      <rPr>
        <i/>
        <sz val="12"/>
        <rFont val="Times New Roman"/>
        <family val="1"/>
        <charset val="204"/>
      </rPr>
      <t xml:space="preserve">    (ГП "Развитие транспортной системы Самарской области") </t>
    </r>
  </si>
  <si>
    <t xml:space="preserve">МКУ "ЦОДД ГОТ" (Департамент дорожного хозяйства и транспорта  администрации городского округа Тольятти)                              </t>
  </si>
  <si>
    <t xml:space="preserve">МКУ "ЦОДД ГОТ" (Департамент дорожного хозяйства и транспорта  администрации городского округа Тольятти)                                                    </t>
  </si>
  <si>
    <t xml:space="preserve">Доля объектов, на которых предусматривается использование новых и наилучших технологий, включенных в Реестр </t>
  </si>
  <si>
    <t>Количество погибших в дорожно-транспортных происшествиях, человек на 100 тыс. населения</t>
  </si>
  <si>
    <t>№   п/п</t>
  </si>
  <si>
    <t>Цель муниципальной программы: развитие дорожно-транспортной инфраструктуры в городском округе Тольятти, обеспечение безопасных условий дорожного движения</t>
  </si>
  <si>
    <t>Цель подпрограммы: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</si>
  <si>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Задача 4 муниципальной 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</si>
  <si>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Количество диагностируемых надземных пешеходных переходов (мостов, путепроводов)</t>
  </si>
  <si>
    <t>1.4.</t>
  </si>
  <si>
    <t>1.4.1.</t>
  </si>
  <si>
    <t>1.4.2.</t>
  </si>
  <si>
    <t>1.4.3.</t>
  </si>
  <si>
    <t>1.4.4.</t>
  </si>
  <si>
    <t>1.4.5.</t>
  </si>
  <si>
    <t>1.4.6.</t>
  </si>
  <si>
    <t>Департамент образования  администрации городского округа Тольятти</t>
  </si>
  <si>
    <t>Проведение городского профилактического мероприятия на знание правил дорожного движения "Интеллектуальный квиз "Дорога и СИМ"</t>
  </si>
  <si>
    <t>Задача 4 подпрограммы: формирование законопослушного поведения участников дорожного движения</t>
  </si>
  <si>
    <t>Количество проведенных акций</t>
  </si>
  <si>
    <t>Количество проведенных мероприятий</t>
  </si>
  <si>
    <t>Доля муниципальных дошкольных образовательных учреждений, в которых проведена акция</t>
  </si>
  <si>
    <t xml:space="preserve">Организация работы отрядов Юных помощников инспекторов движения </t>
  </si>
  <si>
    <t>Доля муниципальных общеобразовательных учреждений, в которых проведено тестирование</t>
  </si>
  <si>
    <t>1.4.7.</t>
  </si>
  <si>
    <t>Количество размещенной информации</t>
  </si>
  <si>
    <t>Информационное оповещение пассажиров о правилах дорожного движения в общественном городском наземном транспорте</t>
  </si>
  <si>
    <t>Доля подвижного состава, информирующая пассажиров о правилах дорожного движения</t>
  </si>
  <si>
    <t>Доля образовательных учреждений, принявших участие в профилактических  мероприятиях</t>
  </si>
  <si>
    <t>не менее 3</t>
  </si>
  <si>
    <t>не менее 50</t>
  </si>
  <si>
    <t>млн. пассажиро-километров</t>
  </si>
  <si>
    <t>Проведение городской акции по профилактике и предупреждению дорожно-транспортных происшествий и правонарушений с участием лиц, использующих для передвижения средства индивидуальной мобильности "По Тольятти на СИМ безопасно колесим"</t>
  </si>
  <si>
    <t xml:space="preserve">Количество разработанной документации </t>
  </si>
  <si>
    <t>Доля выполненных работ по обеспечению безопасности участников дорожного движения</t>
  </si>
  <si>
    <t>Обеспеченность парка транспортом с низким (пониженным) уровнем пола МП "ТПАТП № 3" / АО ТПАТП № 3 (с 19.11.2024)</t>
  </si>
  <si>
    <t>Размещение на официальном сайте органов местного самоуправления информации о безопасном поведении на дороге</t>
  </si>
  <si>
    <t xml:space="preserve">Приложение № 1
к муниципальной программе
"Развитие транспортной системы
и дорожного хозяйства
городского округа Тольятти
на 2026 - 2030 годы"
</t>
  </si>
  <si>
    <t xml:space="preserve"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мероприятий муниципальной программы "Развитие транспортной системы и дорожного хозяйства городского округа Тольятти на 2026-2030 годы" </t>
  </si>
  <si>
    <t>№ п/п</t>
  </si>
  <si>
    <t>внебюджетные средства</t>
  </si>
  <si>
    <t xml:space="preserve"> План на 2026 год</t>
  </si>
  <si>
    <t xml:space="preserve"> План на 2027 год</t>
  </si>
  <si>
    <t xml:space="preserve"> План на 2028 год</t>
  </si>
  <si>
    <t xml:space="preserve"> План на 2029 год</t>
  </si>
  <si>
    <t xml:space="preserve"> План на 2030 год</t>
  </si>
  <si>
    <t>Задача 1 муниципальной программы: повышение безопасности дорожного движения, сохранение жизни, здоровья и имущества населения</t>
  </si>
  <si>
    <t xml:space="preserve">Подпрограмма "Безопасность дорожного движения на 2026 - 2030 годы"                      </t>
  </si>
  <si>
    <t>Цель подпрограммы: повышение безопасности дорожного движения, сохранение жизни, здоровья и имущества населения</t>
  </si>
  <si>
    <t>Задача 1 подпрограммы: проведение организационных и инженерных мероприятий, направленных на ликвидацию и предупреждение причин возникновения дорожно-транспортных происшествий</t>
  </si>
  <si>
    <t>2026-2030</t>
  </si>
  <si>
    <t>Устройство искусственных дорожных неровностей</t>
  </si>
  <si>
    <t>Задача 2 подпрограммы: оптимизация режимов движения на участках улично-дорожной сети с использованием современных схем организации дорожного движения, технических средств организации дорожного движения и автоматизированных систем управления дорожным движением</t>
  </si>
  <si>
    <t>Задача 3 подпрограммы : обеспечение деятельности муниципального казенного учреждения «Центр организации дорожного движения городского округа Тольятти»</t>
  </si>
  <si>
    <t xml:space="preserve">МП "ТТУ",                        АО ТПАТП №3          (Департамент дорожного хозяйства и транспорта  администрации городского округа Тольятти)                                                    </t>
  </si>
  <si>
    <t xml:space="preserve">ИТОГО ПО ПОДПРОГРАММЕ "БДД"                                                                                                                      </t>
  </si>
  <si>
    <t>99,5 и более</t>
  </si>
  <si>
    <t xml:space="preserve">Приложение № 2
к муниципальной программе
"Развитие транспортной системы
и дорожного хозяйства
городского округа Тольятти
на 2026 - 2030 годы"
</t>
  </si>
  <si>
    <t>Организация и проведение тестирования учащихся 3, 7, 10 классов на знание правил дорожного движения</t>
  </si>
  <si>
    <t>Проведение акции "Безопасность на дорогах начинается с семьи"</t>
  </si>
  <si>
    <t>Замена павильонов остановок общественного транспорта</t>
  </si>
  <si>
    <t>Подпрограмма «Развитие городского пассажирского транспорта на 2026 - 2030 годы»</t>
  </si>
  <si>
    <t>Задача 2 подпрограммы: обеспечение организации регулярных перевозок пассажиров по регулируемым тарифам</t>
  </si>
  <si>
    <t>Задача 3 подпрограммы: оптимизация структуры парков транспортных средств и обновление их подвижного состава</t>
  </si>
  <si>
    <t>90 и более</t>
  </si>
  <si>
    <t>1 000 и более</t>
  </si>
  <si>
    <t>Подпрограмма "Развитие городского пассажирского транспорта на 2026 - 2030 годы"</t>
  </si>
  <si>
    <t xml:space="preserve">Уровень исполнения обязательств по лизингу </t>
  </si>
  <si>
    <t xml:space="preserve">Количество действующих маршрутов на выполнение регулярных перевозок пассажиров и багажа по регулируемым тарифам  по муниципальным маршрутам  </t>
  </si>
  <si>
    <t xml:space="preserve">Количество действующих маршрутов на выполнение регулярных перевозок пассажиров и багажа по регулируемым тарифам по межмуниципальным маршрутам  на садово-дачные массивы    </t>
  </si>
  <si>
    <r>
      <t xml:space="preserve">Выполнение работ по осуществлению регулярных перевозок пассажиров и багажа по регулируемым тарифам по межмуниципальным маршрутам  на садово-дачные массивы                                </t>
    </r>
    <r>
      <rPr>
        <i/>
        <sz val="12"/>
        <rFont val="Times New Roman"/>
        <family val="1"/>
        <charset val="204"/>
      </rPr>
      <t xml:space="preserve">  (ГП "Развитие транспортной системы Самарской области") </t>
    </r>
  </si>
  <si>
    <t>Задача 3 подпрограммы: Оптимизация структуры парков транспортных средств и обновление их подвижного состава</t>
  </si>
  <si>
    <t xml:space="preserve">Изготовление и установка табличек на остановочных пунктах                                             </t>
  </si>
  <si>
    <t xml:space="preserve">Регулярность выполнения перевозок по муниципальным маршрутам  </t>
  </si>
  <si>
    <t xml:space="preserve">Количество построенных пешеходных дорожек, тротуаров
</t>
  </si>
  <si>
    <t xml:space="preserve">Устройство линий наружного электроосвещения </t>
  </si>
  <si>
    <t>Проектно-изыскательские работы по устройству пешеходных дорожек</t>
  </si>
  <si>
    <t xml:space="preserve">Количество устроенных линий наружного электроосвещения 
</t>
  </si>
  <si>
    <t xml:space="preserve">Подпрограмма "Содержание улично-дорожной сети на 2026-2030 годы"                      </t>
  </si>
  <si>
    <r>
      <t>Содержание автомобильных дорог, в том числе: посадочных площадок остановок общественного транспорта, тротуаров, разделительных полос, элементов системы водоотвода, путепроводов, удерживающих барьерных ограждений</t>
    </r>
    <r>
      <rPr>
        <sz val="14"/>
        <rFont val="Times New Roman"/>
        <family val="1"/>
        <charset val="204"/>
      </rPr>
      <t xml:space="preserve"> </t>
    </r>
  </si>
  <si>
    <t xml:space="preserve">Содержание автомобильных дорог, в том числе: посадочных площадок остановок общественного транспорта, тротуаров, разделительных полос, элементов системы водоотвода, путепроводов, удерживающих барьерных ограждений </t>
  </si>
  <si>
    <t>Подпрограмма "Модернизация и развитие автомобильных дорог общего пользования местного значения на 2026 - 2030 годы"</t>
  </si>
  <si>
    <t>2.2.</t>
  </si>
  <si>
    <t>2.2.1.</t>
  </si>
  <si>
    <t>2.3.</t>
  </si>
  <si>
    <t>2.3.1.</t>
  </si>
  <si>
    <t>2.4.</t>
  </si>
  <si>
    <t>2.4.1.</t>
  </si>
  <si>
    <t xml:space="preserve">Протяженность построенных автомобильных дорог общего пользования местного значения </t>
  </si>
  <si>
    <r>
      <t xml:space="preserve">Строительство автомобильных дорог общего пользования местного значения </t>
    </r>
    <r>
      <rPr>
        <i/>
        <sz val="12"/>
        <rFont val="Times New Roman"/>
        <family val="1"/>
        <charset val="204"/>
      </rPr>
      <t>(ГП "Развитие транспортной системы Самарской области")</t>
    </r>
  </si>
  <si>
    <t>2.2.2.</t>
  </si>
  <si>
    <r>
      <t xml:space="preserve">Строительство автомобильных дорог общего пользования местного значения </t>
    </r>
    <r>
      <rPr>
        <i/>
        <sz val="10"/>
        <rFont val="Times New Roman"/>
        <family val="1"/>
        <charset val="204"/>
      </rPr>
      <t>(ГП "Развитие транспортной системы Самарской области")</t>
    </r>
  </si>
  <si>
    <t xml:space="preserve">Количество разработанной документации
</t>
  </si>
  <si>
    <t>2.3.2.</t>
  </si>
  <si>
    <t xml:space="preserve">Строительный контроль и авторский надзор  по строительству автомобильных дорог общего пользования местного значения
</t>
  </si>
  <si>
    <t xml:space="preserve">Строительный контроль и авторский надзор  по реконструкции автомобильных дорог общего пользования местного значения
</t>
  </si>
  <si>
    <r>
      <t>Реконструкция автомобильных дорог общего пользования местного значения</t>
    </r>
    <r>
      <rPr>
        <i/>
        <sz val="12"/>
        <rFont val="Times New Roman"/>
        <family val="1"/>
        <charset val="204"/>
      </rPr>
      <t xml:space="preserve"> (ГП "Развитие транспортной системы Самарской области")</t>
    </r>
    <r>
      <rPr>
        <sz val="12"/>
        <rFont val="Times New Roman"/>
        <family val="1"/>
        <charset val="204"/>
      </rPr>
      <t xml:space="preserve">
</t>
    </r>
  </si>
  <si>
    <r>
      <t xml:space="preserve">Реконструкция автомобильных дорог общего пользования местного значения </t>
    </r>
    <r>
      <rPr>
        <i/>
        <sz val="10"/>
        <rFont val="Times New Roman"/>
        <family val="1"/>
        <charset val="204"/>
      </rPr>
      <t xml:space="preserve">(ГП "Развитие транспортной системы Самарской области")
</t>
    </r>
  </si>
  <si>
    <t xml:space="preserve">L объекта, км </t>
  </si>
  <si>
    <t>S объекта, (тыс.м2)</t>
  </si>
  <si>
    <t>2026 год</t>
  </si>
  <si>
    <t>2027 год</t>
  </si>
  <si>
    <t>2028 год</t>
  </si>
  <si>
    <t>2029 год</t>
  </si>
  <si>
    <t>2030 год</t>
  </si>
  <si>
    <t>всего</t>
  </si>
  <si>
    <t xml:space="preserve">Выполнение проектно-изыскательских работ по реконструкции автомобильных дорог общего пользования местного значения
</t>
  </si>
  <si>
    <t xml:space="preserve">Корректировка проектно-сметной документации по строительству автомобильных дорог общего пользования местного значения
</t>
  </si>
  <si>
    <t>Корректировка проектно-сметной документации по объекту "Строительство магистральной улицы районного значения транспортно-пешеходной ул. Механизаторов от ул. Лизы Чайкиной до ул. Громовой в Комсомольском районе города Тольятти"</t>
  </si>
  <si>
    <t>Корректировка проектно-сметной документации по объекту "Строительство магистральной улицы общегородского значения регулируемого движения в продолжение ул. Фермерской до Южного шоссе"</t>
  </si>
  <si>
    <t>Корректировка проектно-сметной документации по объекту "Строительство улицы Ивана Красюка в жилой застройке микрорайона Жигулевское море от ул. Казачьей до пересечения ул. Молодецкая и проезда Оренбургский"</t>
  </si>
  <si>
    <t>Корректировка проектно-сметной документации по объекту "Строительство улицы Казачья в жилой застройке микрорайона Жигулевское море от ул. Ивана Красюка до ул. Бориса Коваленко"</t>
  </si>
  <si>
    <t>Выполнение проектно-изыскательских работ по реконструкции автомобильных дорог общего пользования местного значения</t>
  </si>
  <si>
    <t>Проектно-изыскательские работы "Реконструкция кольцевой транспортной развязки  ул. Автостроителей – ул. Свердлова – ул. 40 лет Победы"</t>
  </si>
  <si>
    <t xml:space="preserve">Строительство автомобильных дорог общего пользования местного значения </t>
  </si>
  <si>
    <t>Строительство магистральной улицы районного значения транспортно-пешеходной ул. Механизаторов от ул. Громовой до ул. Лизы Чайкиной в Комсомольском районе города Тольятти</t>
  </si>
  <si>
    <t>Строительство бокового проезда - подъездной дороги к земельному участку, на котором расположен физкультурно-оздоровительный комплекс СДЮШОР N 8 "Союз"</t>
  </si>
  <si>
    <t>Строительство улицы Ивана Красюка в жилой застройке микрорайона Жигулевское море от ул. Казачьей до пересечения ул. Молодецкая и проезда Оренбургский</t>
  </si>
  <si>
    <t>Строительство улицы Казачья в жилой застройке микрорайона Жигулевское море от ул. Ивана Красюка до ул. Бориса Коваленко</t>
  </si>
  <si>
    <t>Строительство магистральной улицы общегородского значения регулируемого движения в продолжение ул. Фермерской до Южного шоссе</t>
  </si>
  <si>
    <t>Строительный контроль и авторский надзор  по строительству магистральной улицы районного значения транспортно-пешеходной ул. Механизаторов от ул. Громовой до ул. Лизы Чайкиной в Комсомольском районе города Тольятти</t>
  </si>
  <si>
    <t>Строительный контроль и авторский надзор  по строительству бокового проезда - подъездной дороги к земельному участку, на котором расположен физкультурно-оздоровительный комплекс СДЮШОР N 8 "Союз"</t>
  </si>
  <si>
    <t>Строительный контроль и авторский надзор  по строительству улицы Ивана Красюка в жилой застройке микрорайона Жигулевское море от ул. Казачьей до пересечения ул. Молодецкая и проезда Оренбургский</t>
  </si>
  <si>
    <t>Строительный контроль и авторский надзор  по строительству улицы Казачья в жилой застройке микрорайона Жигулевское море от ул. Ивана Красюка до ул. Бориса Коваленко</t>
  </si>
  <si>
    <t>Строительный контроль и авторский надзор  по строительству магистральной улицы общегородского значения регулируемого движения в продолжение ул. Фермерской до Южного шоссе</t>
  </si>
  <si>
    <t>Реконструкция автомобильных дорог общего пользования местного значения</t>
  </si>
  <si>
    <t>Реконструкция кольцевой транспортной развязки  ул. Автостроителей – ул. Свердлова – ул. 40 лет Победы</t>
  </si>
  <si>
    <r>
      <t xml:space="preserve">Капитальный ремонт автомобильных  дорог общего пользования местного значения                                        </t>
    </r>
    <r>
      <rPr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</si>
  <si>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t xml:space="preserve">Площадь реконструированных автомобильных дорог общего пользования местного значения городского округа Тольятти
</t>
  </si>
  <si>
    <t>Строительный контроль и авторский надзор  по реконструкции кольцевой транспортной развязки  ул. Автостроителей – ул. Свердлова – ул. 40 лет Победы</t>
  </si>
  <si>
    <r>
      <t xml:space="preserve">Капитальный ремонт автомобильных  дорог общего пользования местного значения                  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</si>
  <si>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t xml:space="preserve">Протяженность отремонтированных путем капитального ремонта автомобильных дорог общего пользования местного значения </t>
  </si>
  <si>
    <t xml:space="preserve">Количество разработанной проектно-сметной документации </t>
  </si>
  <si>
    <t xml:space="preserve">Количество откорректированной проектно-сметной документации 
</t>
  </si>
  <si>
    <t xml:space="preserve">Капитальный ремонт автомобильных  дорог общего пользования местного значения                                       </t>
  </si>
  <si>
    <t>Капитальный ремонт автомобильной дороги по улице Базовая от ул. Комсомольская до улицы Ларина</t>
  </si>
  <si>
    <t>Капитальный ремонт автомобильной дороги по Тупиковому проезду</t>
  </si>
  <si>
    <t>Строительный контроль и авторский надзор  по капитальному ремонту автомобильной дороги по улице Базовая от ул. Комсомольская до улицы Ларина</t>
  </si>
  <si>
    <t xml:space="preserve">Доля выполненных работ от общего объема строительных работ, запланированных в текущем году
</t>
  </si>
  <si>
    <t xml:space="preserve">Доля выполненных работ от общего объема работ по капитальному ремонту, запланированных в текущем году
</t>
  </si>
  <si>
    <t xml:space="preserve">Подготовка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дорог
</t>
  </si>
  <si>
    <t xml:space="preserve">Количество представленных экспертных заключений
</t>
  </si>
  <si>
    <t xml:space="preserve">Проведение негосударственной (государственной) экспертизы обоснования начальной (максимальной) цены контракта на выполнение работ по капитальному ремонту и ремонту автомобильных дорог общего пользования местного значения
</t>
  </si>
  <si>
    <t xml:space="preserve">Проведение технического учета и паспортизации автомобильных дорог общего пользования местного значения
</t>
  </si>
  <si>
    <t xml:space="preserve">Количество автомобильных дорог общего пользования местного значения городского округа Тольятти, на которых проведен технический учет и паспортизация
</t>
  </si>
  <si>
    <t xml:space="preserve">Устройство съездов для инвалидов и других маломобильных групп населения </t>
  </si>
  <si>
    <t xml:space="preserve">Количество объектов, оборудованных съездами 
</t>
  </si>
  <si>
    <t xml:space="preserve">Площадь автомобильных дорог, на которых проведен ремонт "картами"
</t>
  </si>
  <si>
    <t xml:space="preserve">Ремонт "картами"автомобильных дорог общего пользования местного значения </t>
  </si>
  <si>
    <t xml:space="preserve">в том числе в рамках реализации национального проекта "Инфраструктура для жизни" </t>
  </si>
  <si>
    <t>ул. Комсомольская</t>
  </si>
  <si>
    <t>ул. Советская</t>
  </si>
  <si>
    <t>Московский проспект</t>
  </si>
  <si>
    <t>ул. Дзержинского</t>
  </si>
  <si>
    <t>ул. Революционная</t>
  </si>
  <si>
    <t xml:space="preserve">Площадь отремонтированных путем отсыпки асфальтогранулятом автомобильных дорог
</t>
  </si>
  <si>
    <t>1.2.6.</t>
  </si>
  <si>
    <t>Разработка проекта организации дорожного движения</t>
  </si>
  <si>
    <t>Количество разработанных проектов</t>
  </si>
  <si>
    <t>1.2.7.</t>
  </si>
  <si>
    <t>1.2.8.</t>
  </si>
  <si>
    <t xml:space="preserve">Количество  замененных павильонов </t>
  </si>
  <si>
    <t xml:space="preserve">Количество разработанной проектно-сметной документации 
</t>
  </si>
  <si>
    <t>Выполнение проектно-изыскательских работ по устройству рамной П-образной опоры (РМП)</t>
  </si>
  <si>
    <t xml:space="preserve">Устройство рамной П-образной опоры (РМП)
</t>
  </si>
  <si>
    <t xml:space="preserve">Количество объектов, на которых установлены РМП
</t>
  </si>
  <si>
    <t>2.1.3.</t>
  </si>
  <si>
    <t>Проектно-изыскательские работы по строительству улично-дорожной сети в мкр."Тимофеевка-2"</t>
  </si>
  <si>
    <t>2028</t>
  </si>
  <si>
    <t xml:space="preserve">Оплата услуг финансовой аренды (лизинга) за приобретенные в 2022 году автобусы </t>
  </si>
  <si>
    <t>Оплата услуг финансовой аренды (лизинга) за приобретенные в 2022 году автобусы</t>
  </si>
  <si>
    <r>
      <t xml:space="preserve">Выполнение работ по осуществлению регулярных перевозок пассажиров и багажа по регулируемым тарифам по межмуниципальным маршрутам  на садово-дачные массивы                                                         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 (ГП "Развитие транспортной системы Самарской области") </t>
    </r>
  </si>
  <si>
    <t>Департамент общественной безопасности и противодействия коррупции администрации городского округа Тольятти</t>
  </si>
  <si>
    <t xml:space="preserve">Выполнение проектно-изыскательских работ по строительству автомобильных дорог общего пользования местного значения
</t>
  </si>
  <si>
    <t xml:space="preserve">Строительный контроль и авторский надзор  по капитальному ремонту автомобильных дорог общего пользования местного значения
</t>
  </si>
  <si>
    <t>Подпрограмма "Содержание улично-дорожной сети на 2026 - 2030 годы"</t>
  </si>
  <si>
    <t xml:space="preserve">Общая стоимость работ (ориентировочная), тыс. руб
</t>
  </si>
  <si>
    <t xml:space="preserve">Строительный контроль и авторский надзор  по строительству автомобильных дорог общего пользования местного значения
</t>
  </si>
  <si>
    <r>
      <t xml:space="preserve">Выполнение работ по осуществлению регулярных перевозок пассажиров и багажа по регулируемым тарифам                                                             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  (ГП "Развитие транспортной системы Самарской области") </t>
    </r>
  </si>
  <si>
    <t xml:space="preserve">Ремонт "картами" автомобильных дорог общего пользования местного значения </t>
  </si>
  <si>
    <t>Диагностика надземных пешеходных переходов (мостов, путепроводов)</t>
  </si>
  <si>
    <t xml:space="preserve"> Устройство пешеходных дорожек, тротуаров, подходов к кнопкам вызова пешеходной фазы</t>
  </si>
  <si>
    <t>Количество светофорных объектов на которых  устроены подходы в твердом порытии</t>
  </si>
  <si>
    <t>Соответствие нанесенной дорожной разметки утвержденной дислокации горизонтальной дорожной разметки</t>
  </si>
  <si>
    <t>1.2.9.</t>
  </si>
  <si>
    <t>Устройство парковочных площадок, карманов и стоянок</t>
  </si>
  <si>
    <t>Строительный контроль и авторский  надзор по устройству парковочных площадок, карманов и стоянок</t>
  </si>
  <si>
    <r>
      <t xml:space="preserve">Обеспечение деятельности МКУ "ЦОДД  ГОТ"                        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 xml:space="preserve">   (ГП "Развитие транспортной системы Самарской области") </t>
    </r>
  </si>
  <si>
    <t>Количество  вновь введенных в эксплуатацию (реконструируемых) парковочных площадок, карманов и стоянок</t>
  </si>
  <si>
    <t>2.2.3.</t>
  </si>
  <si>
    <t>2.2.4.</t>
  </si>
  <si>
    <t>2.2.5.</t>
  </si>
  <si>
    <t>2.2.6.</t>
  </si>
  <si>
    <t>Количество функционирующих интеллектуальных транспортных систем в г.о.Тольятти</t>
  </si>
  <si>
    <r>
      <t xml:space="preserve">Обеспечение деятельности МКУ "ЦОДД  ГОТ"                                                        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 (ГП "Развитие транспортной системы Самарской области") </t>
    </r>
  </si>
  <si>
    <t>Задача 1 подпрограммы:  выполнение проектно-изыскательских работ для строительства, реконструкции и капитального ремонта автомобильных дорог</t>
  </si>
  <si>
    <t>Задача 2 подпрограммы: развитие и модернизация улично-дорожной сети путём строительства, реконструкции и капитального ремонта автомобильных дорог общего пользования местного значения для приведения их в нормативное состояние и увеличения пропускной способности</t>
  </si>
  <si>
    <t>Задача 3 подпрограммы:  содержание и поддержание транспортно-эксплуатационных характеристик автомобильных дорог за счет проведения ремонтных работ</t>
  </si>
  <si>
    <t>2.3.3.</t>
  </si>
  <si>
    <t>2.3.4.</t>
  </si>
  <si>
    <t>2.3.5.</t>
  </si>
  <si>
    <t>2.3.6.</t>
  </si>
  <si>
    <t>2..4.</t>
  </si>
  <si>
    <t xml:space="preserve"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объектов подпрограммы "Модернизация и развитие автомобильных дорог общего пользования местного значения в городском округе Тольятти на 2026 - 2030 годы" </t>
  </si>
  <si>
    <t>Задача 1 подпрограммы: выполнение проектно-изыскательских работ для строительства, реконструкции и капитального ремонта автомобильных дорог</t>
  </si>
  <si>
    <t>2.1.1.1.</t>
  </si>
  <si>
    <t>2.1.1.2.</t>
  </si>
  <si>
    <t>2.1.1.3.</t>
  </si>
  <si>
    <t>2.1.1.4.</t>
  </si>
  <si>
    <t>2.1.2.1.</t>
  </si>
  <si>
    <t>2.1.3.1.</t>
  </si>
  <si>
    <t>2.2.1.1.</t>
  </si>
  <si>
    <t>2.2.1.2.</t>
  </si>
  <si>
    <t>2.2.1.3.</t>
  </si>
  <si>
    <t>2.2.1.4.</t>
  </si>
  <si>
    <t>2.2.1.5.</t>
  </si>
  <si>
    <t>Проектно-изыскательские работы по капитальному ремонту и ремонту путепроводов, подземных пешеходных переходов и мостов</t>
  </si>
  <si>
    <t>3.2.2.</t>
  </si>
  <si>
    <t>2.3.1.1.</t>
  </si>
  <si>
    <t>2.3.1.2.</t>
  </si>
  <si>
    <t>2.3.1.3.</t>
  </si>
  <si>
    <t>2.3.1.4.</t>
  </si>
  <si>
    <t>2.3.1.5.</t>
  </si>
  <si>
    <t>2.3.1.6.</t>
  </si>
  <si>
    <t>2.3.1.7.</t>
  </si>
  <si>
    <t>2.3.1.8.</t>
  </si>
  <si>
    <t>2.3.1.9.</t>
  </si>
  <si>
    <t>2.3.1.10.</t>
  </si>
  <si>
    <t>2.3.1.11.</t>
  </si>
  <si>
    <t>2.3.1.12.</t>
  </si>
  <si>
    <t>2.3.1.13.</t>
  </si>
  <si>
    <t>2.3.1.14.</t>
  </si>
  <si>
    <t>2.3.1.15.</t>
  </si>
  <si>
    <t>ул. Голосова (от ул. Баныкина до ул. Мира)</t>
  </si>
  <si>
    <t>ул. Родины (от ул. Комсомольской до ул. Баныкина)</t>
  </si>
  <si>
    <t>Приморский бульвар (от ул. Юбилейной до проспекта Степана Разина)</t>
  </si>
  <si>
    <t>ул. Карбышева</t>
  </si>
  <si>
    <t>ул. Советская (от ул. Лесная до ул. Ленинградская)</t>
  </si>
  <si>
    <t>ул. Клавдии Вавиловой</t>
  </si>
  <si>
    <t>ул. Самарская (от ул. Чапаева до ул. Максима Горького)</t>
  </si>
  <si>
    <t>ул. Новопромышленная (от ул. Комсомольской до ул. Голосова)</t>
  </si>
  <si>
    <t>Количество разработанной проектно-сметной документации по ремонту путепроводов</t>
  </si>
  <si>
    <t>Задача 3 подпрограммы: содержание и поддержание транспортно-эксплуатационных характеристик автомобильных дорог за счет проведения ремонтных работ</t>
  </si>
  <si>
    <t>Задача 3 муниципальной программы: содержание улично-дорожной сети, искусственных дорожных сооружений и дорожной инфраструктуры в нормативном состоянии для обеспечения круглогодичного и бесперебойного дорожного движения</t>
  </si>
  <si>
    <t>Цель подпрограммы: содержание улично-дорожной сети, искусственных дорожных сооружений и дорожной инфраструктуры в нормативном состоянии для обеспечения круглогодичного и бесперебойного дорожного движения</t>
  </si>
  <si>
    <t>Задача 1 подпрограммы: содержание в нормативном состоянии улично-дорожной сети, искусственных дорожных сооружений и дорожной инфраструктуры</t>
  </si>
  <si>
    <t>Задача 2 подпрограммы: обеспечение безопасной эксплуатации искусственных дорожных сооружений на основе систематического контроля их технического состояния</t>
  </si>
  <si>
    <t xml:space="preserve">ПОКАЗАТЕЛИ (ИНДИКАТОРЫ)
муниципальной программы "Развитие транспортной системы и дорожного хозяйства городского округа Тольятти на 2026-2030 годы" 
</t>
  </si>
  <si>
    <t>Цель подпрограммы:  содержание улично-дорожной сети, искусственных дорожных сооружений и дорожной инфраструктуры в нормативном состоянии для обеспечения круглогодичного и бесперебойного дорожного движения</t>
  </si>
  <si>
    <t xml:space="preserve">Строительный контроль и авторский надзор  по капитальному ремонту автомобильных дорог общего пользования местного значения 
</t>
  </si>
  <si>
    <t>Отсыпка асфальтогранулятом автомобильных дорог с низкой интенсивностью движения</t>
  </si>
  <si>
    <t>Задача 4 подпрограммы: создание и обустройство автомобильных дорог с низкой интенсивностью движения</t>
  </si>
  <si>
    <t>Задача 4 подпрограммы:  создание и обустройство автомобильных дорог с низкой интенсивностью движения</t>
  </si>
  <si>
    <t>2.2.2.1.</t>
  </si>
  <si>
    <t>2.2.2.2.</t>
  </si>
  <si>
    <t>2.2.2.3.</t>
  </si>
  <si>
    <t>2.2.2.4.</t>
  </si>
  <si>
    <t>2.2.2.5.</t>
  </si>
  <si>
    <t>1.1.8.</t>
  </si>
  <si>
    <t>1.2.10.</t>
  </si>
  <si>
    <t>2026-2028</t>
  </si>
  <si>
    <t>Проектно-изыскательские работы по устройству и переносу остановок общественного транспорта</t>
  </si>
  <si>
    <t>Проектно-изыскательские работы по устройству (строительству) парковочных площадок</t>
  </si>
  <si>
    <t>Количество разработанной проектно-сметной документации по устройству и переносу остановок общественного транспорта</t>
  </si>
  <si>
    <t xml:space="preserve">Количество разработанной проектно-сметной документации по устройству (строительству) парковочных площадок </t>
  </si>
  <si>
    <t>2.1.3.2.</t>
  </si>
  <si>
    <t>2.1.3.3.</t>
  </si>
  <si>
    <t>2.1.4.</t>
  </si>
  <si>
    <t xml:space="preserve">Выполнение проектно-изыскательских работ по капитальному ремонту автомобильных дорог общего пользования местного значения
</t>
  </si>
  <si>
    <t>2.1.4.1.</t>
  </si>
  <si>
    <t>Проектно-изыскательские работы по капитальному ремонту Ленинского проспекта (3А, 3Б, 5, 9 квартала Автозаводского района)</t>
  </si>
  <si>
    <t>2.1.4.2.</t>
  </si>
  <si>
    <t>2.2.2.6.</t>
  </si>
  <si>
    <t>2.2.3.1.</t>
  </si>
  <si>
    <t>2.2.5.1.</t>
  </si>
  <si>
    <t>2.2.5.2.</t>
  </si>
  <si>
    <t>2.2.6.1.</t>
  </si>
  <si>
    <t>2.2.6.2.</t>
  </si>
  <si>
    <t>Хрящевское шоссе (от Тольяттинского таможенного поста до здания по адресу Хрящевское шоссе, 14)</t>
  </si>
  <si>
    <t>ул. Кудашева (от Автозаводского шоссе до границы г.о. Тольятти)</t>
  </si>
  <si>
    <t>ул. Индустриальная (от ул. Ларина до здания по адресу ул. Индустриальная 7Д)</t>
  </si>
  <si>
    <t>2.3.1.16.</t>
  </si>
  <si>
    <t xml:space="preserve">Выполнение проектно-изыскательских работ по капитальному ремонту  автомобильных дорог общего пользования местного значения
</t>
  </si>
  <si>
    <t>Проектно-изыскательские работы по капитальному ремонту автомобильной дороги на участке от Комсомольского шоссе кафе "Волжский замок"</t>
  </si>
  <si>
    <t>2.2.1.6.</t>
  </si>
  <si>
    <t>Строительство заезда на внутриквартальный проезд (дублер) по Московскому проспекту в районе жилых домов № 57-49</t>
  </si>
  <si>
    <t>2.2.4.1.</t>
  </si>
  <si>
    <t>Приложение № 1                                                                                             к  постановлению администрации                     городского округа Тольятти от______________№ __________</t>
  </si>
  <si>
    <t>Приложение № 2                                                                                              к  постановлению администрации                                                       городского округа Тольятти                        от_______________№ _________</t>
  </si>
  <si>
    <t>Приложение № 5                                                                                              к  постановлению администрации                                                       городского округа Тольятти                        от_______________№ _________</t>
  </si>
  <si>
    <t>2026, 2029, 2030</t>
  </si>
  <si>
    <t>2026, 2027, 2029, 2030</t>
  </si>
  <si>
    <t>2026, 2027,  2028</t>
  </si>
  <si>
    <t>2029, 2030</t>
  </si>
  <si>
    <t>2029-2030</t>
  </si>
  <si>
    <t>2029- 2030</t>
  </si>
  <si>
    <t>2027-2028</t>
  </si>
  <si>
    <t>2026-2027, 2029-2030</t>
  </si>
  <si>
    <t>2026-2027,  2029-2030</t>
  </si>
  <si>
    <t>2026, 2029-2030</t>
  </si>
  <si>
    <t xml:space="preserve">Приложение № 5
к муниципальной программе
"Развитие транспортной системы
и дорожного хозяйства
городского округа Тольятти
на 2026 - 2030 годы"
</t>
  </si>
  <si>
    <t xml:space="preserve">Итого по объектам ремонта дорог в рамках реализации национального проекта "Инфраструктура для жизни" </t>
  </si>
  <si>
    <t>Строительный контроль и авторский надзор  по капитальному ремонту автомобильной дороги по Тупиковому проезду</t>
  </si>
  <si>
    <t xml:space="preserve">Количество объектов, подключенных к централизованной системе водоотведения </t>
  </si>
  <si>
    <t>2.1.4.3.</t>
  </si>
  <si>
    <t>Проектно-изыскательские работы по капитальному ремонту автомобильной дороги "Благоустройство территории в границах ул. Свердлова и ул. Юбилейной в Автозаводском районе г.о. Тольятти"</t>
  </si>
  <si>
    <t>2.1.1.5.</t>
  </si>
  <si>
    <t>Корректировка проектно-сметной документации по объекту "Капитальный ремонт автодороги по ул. Никонова г.о. Тольятти Самарской области"</t>
  </si>
  <si>
    <t>1.1.9.</t>
  </si>
  <si>
    <t>Устройство и перенос остановок общественного транспорта на территории городского округа Тольятти</t>
  </si>
  <si>
    <t>Количество вновь введенных (перенесенных) в эксплуатацию остановок общественного транспорта</t>
  </si>
  <si>
    <t>2.3.1.18.</t>
  </si>
  <si>
    <t>2.3.1.19.</t>
  </si>
  <si>
    <t>2.3.1.20.</t>
  </si>
  <si>
    <t>ул. Комсомольская (от ул. Победы до ул. Мира)</t>
  </si>
  <si>
    <t>ул. Кошеля</t>
  </si>
  <si>
    <t>Хрящевское шоссе (от автосервиса по адресу Хрящевское шоссе, 11 до АЗС "ВИС")</t>
  </si>
  <si>
    <t>2026, 2029</t>
  </si>
  <si>
    <t>2.3.1.17.</t>
  </si>
  <si>
    <t>Количество автомобильных дорог общего пользования местного значения городского округа Тольятти, на которых увеличено числа полос для движения</t>
  </si>
  <si>
    <t xml:space="preserve">Доля выполненных работ по обеспечению безопасности участников дорожного движения </t>
  </si>
  <si>
    <t>Количество капитально отремонтированных пешеходных дорожек</t>
  </si>
  <si>
    <t>Количество построенных пешеходных дорожек</t>
  </si>
  <si>
    <t>Количество модернизированных светофорных объектов</t>
  </si>
  <si>
    <t>Протяженность установленных дорожных ограждений</t>
  </si>
  <si>
    <t>Количество объектов, на которых установлены световозвращатели</t>
  </si>
  <si>
    <t>ул Первомайская (от ул Комсомольская до ул Алтайская)</t>
  </si>
  <si>
    <t>ул Пугачёвская</t>
  </si>
  <si>
    <t>ул Маяковского</t>
  </si>
  <si>
    <t>ул Минская</t>
  </si>
  <si>
    <t>ул Садовая</t>
  </si>
  <si>
    <t>ул Чапаева</t>
  </si>
  <si>
    <t>ул Радищева</t>
  </si>
  <si>
    <t>ул Уральская</t>
  </si>
  <si>
    <t>Южное шоссе (от ул Офицерская до Автозаводского шоссе)</t>
  </si>
  <si>
    <t>Московский проспект (от Приморского бульвара да Ленинского проспекта)</t>
  </si>
  <si>
    <t>ул Крупской</t>
  </si>
  <si>
    <t>ул Голосова (от ул Мира до ул Новозаводская)</t>
  </si>
  <si>
    <t>Южное шоссе (от ул Полякова до ул Офицерская)</t>
  </si>
  <si>
    <t>Московский проспект (от Ленинского проспекта до ул Заставная)</t>
  </si>
  <si>
    <t>2026год</t>
  </si>
  <si>
    <t>2027год</t>
  </si>
  <si>
    <t>2028год</t>
  </si>
  <si>
    <t>98+3</t>
  </si>
  <si>
    <t>2.3.1.21.</t>
  </si>
  <si>
    <t>2.3.1.22.</t>
  </si>
  <si>
    <t>2.3.1.23.</t>
  </si>
  <si>
    <t>2.3.1.24.</t>
  </si>
  <si>
    <t>2.3.1.25.</t>
  </si>
  <si>
    <t>2.3.1.26.</t>
  </si>
  <si>
    <t>2.3.1.27.</t>
  </si>
  <si>
    <t>2.3.1.28.</t>
  </si>
  <si>
    <t>2.3.1.29.</t>
  </si>
  <si>
    <t>2.3.1.30.</t>
  </si>
  <si>
    <t>2.3.1.31.</t>
  </si>
  <si>
    <t>2.3.1.32.</t>
  </si>
  <si>
    <t>2.3.1.33.</t>
  </si>
  <si>
    <t>2.3.1.34.</t>
  </si>
  <si>
    <t>2.3.1.35.</t>
  </si>
  <si>
    <t>2.3.1.36.</t>
  </si>
  <si>
    <t>2.3.1.37.</t>
  </si>
  <si>
    <t>пр-т. Степана Разина
(от ул. Фрунзе до ул. Спортивная)</t>
  </si>
  <si>
    <t>Субсидии на возмещение недополученных доходов при осуществлении регулярных перевозок льготных категорий граждан по муниципальным маршрутам по льготному электронному проездному билету</t>
  </si>
  <si>
    <t>Субсидии на возмещение затрат (части затрат) на предоставление услуги по перевозке маломобильных граждан специализированными автомобилями в городском округе Тольятти</t>
  </si>
  <si>
    <t>Задача 2 муниципальной 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а также дорог с низкой интенсивностью движения</t>
  </si>
  <si>
    <t>Цель подпрограммы: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а также дорог с низкой интенсивностью движения</t>
  </si>
  <si>
    <t>Количество устроенных линий наружного электроосвещения</t>
  </si>
  <si>
    <t>ул Юбилейная (от ул Свердлова до ул Ленинского проспекта)</t>
  </si>
  <si>
    <t>2026 (Оплата ранее принятых обязательств)</t>
  </si>
  <si>
    <t>Капитальный ремонт пешеходной дорожки  по адресу: 
ул. Северной на участке от ООТ «Волжский машиностроительный завод» до ООТ «УМР»</t>
  </si>
  <si>
    <t>Устройство  искусственных дорожных неровностей на дублере Ленинский проспект в районе дома №3</t>
  </si>
  <si>
    <t>Устройство  искусственной дорожной неровности на ул. Земляничная в районе дома №3 по ул. 40 лет Победы</t>
  </si>
  <si>
    <t>Устройство  искусственных дорожных неровностей на бульваре Ленина в районе д. №11</t>
  </si>
  <si>
    <t>Устройство  искусственной дорожной неровности на ул. Шлютова в районе пересечния с ул. Калинина</t>
  </si>
  <si>
    <t>Устройство  искусственной дорожной неровности совмещенной с пешеходным переходом с установкой соответствующих ТСОДД на улице Горького в районе пересечения с ул. К.Маркса</t>
  </si>
  <si>
    <t>Устройство  искусственной дорожной неровности на ул.Плотинная (ул. Громова, 38,42А)</t>
  </si>
  <si>
    <t>Устройство  искусственной дорожной неровности с установкой соответствующих ТСОДД на внутриквартальном проезде в районе дома №20 по ул. Матросова.</t>
  </si>
  <si>
    <t>Устройство  искусственной дорожной неровности на пер. Ученическом в районе пересечения с ул. Краснознаменная.</t>
  </si>
  <si>
    <t>Устройство  искусственной дорожной неровности на ул. Сиреневая, 24</t>
  </si>
  <si>
    <t>Устройство  искусственной дорожной неровности на ул.Олимпийская в районе дома №24 по ул. Сиреневая</t>
  </si>
  <si>
    <t>Устройство  искусственных дорожных неровностей на внутриквартальном проезде от ул. Борковская до ул. Воскресенская</t>
  </si>
  <si>
    <t>Устройство  искусственной дорожной неровности с установкой соответствующих ТСОДД на ул. Крупской в районе дома №137</t>
  </si>
  <si>
    <t>Устройство пешеходной дорожки на подходах к пешеходному переходу на ул. Новозаводской в районе пересечения с бульваром 50 лет Октября, д.10 "А"</t>
  </si>
  <si>
    <t>Устройство пешеходной дорожки на подходах к пешеходному переходу на ул. 60 лет СССР в районе дома №13</t>
  </si>
  <si>
    <t>Устройство недостающих опор линии наружного освещения на кольцовой транспортной развязке  ул.Л.Яшина-ул.70л Октября-ул.40л Победы.</t>
  </si>
  <si>
    <t>Устройство разворота на ул. Офицерской в районе д. 22.</t>
  </si>
  <si>
    <t>Ликвидация места для разворота на ул. Спортивная в районе дома № 40 ст. 1 по ул. Юбилейная</t>
  </si>
  <si>
    <t>Перенос места разворота на ул. Ботаническая в районе пересечния с ул. В.Высоцкого</t>
  </si>
  <si>
    <t>Увеличение числа полос для движения транспортных средств до 3-х по ул. Автостроителей перед пересечением с ул. Дзержинского (с двух полос)</t>
  </si>
  <si>
    <t>Выполнение работ по установке световозвращателей типа КД-3 с автономным источником питания.</t>
  </si>
  <si>
    <t>Ликвидация заезда на дублер со стороны б-ра Ленина в районе пересечния с ул. Баныкина</t>
  </si>
  <si>
    <t>Модернизация светофорного объекта  на персечении автомобильных дорог ул. Автостроителей и ул.Дзержинского</t>
  </si>
  <si>
    <t>Устройство островков безопасности в районе пересечения проспекта Ст.Разина и ул.Свердлова</t>
  </si>
  <si>
    <t>Устройство дорожного ограждения  барьерного типа на участке Лесопарковое шоссе д.75 стр.6 (Юность) при движении со стороны пр-та Степана Разина</t>
  </si>
  <si>
    <t>Устройство дорожного ограждения  барьерного типа на участке Лесопарковое шоссе д.85 (Звездный) при движении со стороны пр-та Степана Разина</t>
  </si>
  <si>
    <r>
      <rPr>
        <b/>
        <u/>
        <sz val="10"/>
        <rFont val="Times New Roman"/>
        <family val="1"/>
        <charset val="204"/>
      </rPr>
      <t xml:space="preserve">Оплата ранее принятых обязательств. </t>
    </r>
    <r>
      <rPr>
        <i/>
        <sz val="10"/>
        <rFont val="Times New Roman"/>
        <family val="1"/>
        <charset val="204"/>
      </rPr>
      <t>Проектно-изыскательские работы по строительству магистральной улицы районного значения транспортно-пешеходной в продолжение ул. Дзержинского от Московского проспекта до ул. Фермерская</t>
    </r>
  </si>
  <si>
    <t>2.1.3.4.</t>
  </si>
  <si>
    <t>2.3.1.38.</t>
  </si>
  <si>
    <t>2.3.1.39.</t>
  </si>
  <si>
    <t>2.3.1.40.</t>
  </si>
  <si>
    <t>2.3.1.41.</t>
  </si>
  <si>
    <t>2.3.1.42.</t>
  </si>
  <si>
    <t>2.3.1.43.</t>
  </si>
  <si>
    <t>2.3.1.44.</t>
  </si>
  <si>
    <t>2.3.1.45.</t>
  </si>
  <si>
    <t>2.3.1.46.</t>
  </si>
  <si>
    <t>2.3.1.47.</t>
  </si>
  <si>
    <t>2.3.1.48.</t>
  </si>
  <si>
    <t>2.3.1.49.</t>
  </si>
  <si>
    <t>2.3.1.50.</t>
  </si>
  <si>
    <t>2.3.1.51.</t>
  </si>
  <si>
    <t>2.3.1.52.</t>
  </si>
  <si>
    <t>2.3.1.53.</t>
  </si>
  <si>
    <t>2.3.1.54.</t>
  </si>
  <si>
    <t>2.3.1.55.</t>
  </si>
  <si>
    <t>2.3.1.56.</t>
  </si>
  <si>
    <t>2.3.1.57.</t>
  </si>
  <si>
    <t>2.3.1.58.</t>
  </si>
  <si>
    <t>2.3.1.59.</t>
  </si>
  <si>
    <t>2.3.1.60.</t>
  </si>
  <si>
    <t>2.3.1.61.</t>
  </si>
  <si>
    <t>2.3.1.62.</t>
  </si>
  <si>
    <t>2.3.1.63.</t>
  </si>
  <si>
    <t>Департамент дорожного хозяйства и транспорта администрации городского округа Тольятти.             Департамент градостроительной деятельности администрации городского округа Тольятти</t>
  </si>
  <si>
    <t xml:space="preserve">Ремонт автомобильных дорог общего пользования местного значения / в том числе в рамках реализации национального проекта "Инфраструктура для жизни"                                                   </t>
  </si>
  <si>
    <r>
      <rPr>
        <b/>
        <u/>
        <sz val="10"/>
        <rFont val="Times New Roman"/>
        <family val="1"/>
        <charset val="204"/>
      </rPr>
      <t>Оплата ранее принятых обязательств.</t>
    </r>
    <r>
      <rPr>
        <sz val="10"/>
        <rFont val="Times New Roman"/>
        <family val="1"/>
        <charset val="204"/>
      </rPr>
      <t xml:space="preserve"> Реконструкция магистральной улицы городского значения регулируемого движения по ул. Спортивной на участке от пр-та Степана Разина до ул. Юбилейная (строительство бокового проезда) в 8 квартале Автозаводского района г.Тольятти</t>
    </r>
  </si>
  <si>
    <t>2.1.2.2.</t>
  </si>
  <si>
    <t>2.3.1.64.</t>
  </si>
  <si>
    <t xml:space="preserve">ИТОГО ПО ПОДПРОГРАММЕ "МРАД" без учета оплаты ранее принятых обязательств                                            </t>
  </si>
  <si>
    <t xml:space="preserve">Оплата ранее принятых обязательств                                            </t>
  </si>
  <si>
    <t xml:space="preserve">ИТОГО ПО ПОДПРОГРАММЕ "МРАД" с учетом оплаты ранее принятых обязательств                                            </t>
  </si>
  <si>
    <t xml:space="preserve">ИТОГО ПО ПОДПРОГРАММЕ "МРАД" без учета оплаты ранее принятых обязательств                                                 </t>
  </si>
  <si>
    <t xml:space="preserve">ИТОГО ПО ПОДПРОГРАММЕ "МРАД" с учетом оплаты ранее принятых обязательств                                                 </t>
  </si>
  <si>
    <t xml:space="preserve">оплата ранее принятых обязательств                                                 </t>
  </si>
  <si>
    <t xml:space="preserve">ИТОГО ПО МУНИЦИПАЛЬНОЙ ПРОГРАММЕ без учета оплаты ранее принятых обязательств                                                  </t>
  </si>
  <si>
    <t xml:space="preserve">оплата ранее принятых обязательств                                                  </t>
  </si>
  <si>
    <t xml:space="preserve">ИТОГО ПО МУНИЦИПАЛЬНОЙ ПРОГРАММЕ с  учетом оплаты ранее принятых обязательств                                                  </t>
  </si>
  <si>
    <t>Протяженность отремонтированных путем ремонта автомобильных дорог в рамках реализации национального проекта "Инфраструктура для жизни"</t>
  </si>
  <si>
    <t xml:space="preserve">Протяженность отремонтированных путем ремонта автомобильных дорог
</t>
  </si>
  <si>
    <t>ИТОГО:</t>
  </si>
  <si>
    <t xml:space="preserve"> - в рамках реализации национального проекта "Инфраструктура для жизни"</t>
  </si>
  <si>
    <t xml:space="preserve"> - выполнение работ по ремонту автомобильных дорог</t>
  </si>
  <si>
    <r>
      <t xml:space="preserve">Ремонт автомобильных дорог общего пользования местного значения                                                  </t>
    </r>
    <r>
      <rPr>
        <i/>
        <sz val="12"/>
        <rFont val="Times New Roman"/>
        <family val="1"/>
        <charset val="204"/>
      </rPr>
      <t xml:space="preserve">   (ГП "Развитие транспортной системы Самарской области".                                   В том числе:</t>
    </r>
  </si>
  <si>
    <r>
      <t xml:space="preserve">Ремонт автомобильных дорог общего пользования местного значения                                                                      </t>
    </r>
    <r>
      <rPr>
        <i/>
        <sz val="10"/>
        <rFont val="Times New Roman"/>
        <family val="1"/>
        <charset val="204"/>
      </rPr>
      <t xml:space="preserve">   (ГП "Развитие транспортной системы Самарской области".                                                                                                         В том числе:</t>
    </r>
  </si>
  <si>
    <t xml:space="preserve"> - в рамках реализации национального проекта "Инфраструктура для жизни"
</t>
  </si>
  <si>
    <t>Всего по объектам ремонта дорог по разделу 2.3.1.</t>
  </si>
  <si>
    <t>Итого по объектам ремонта автомобильных дорогобщего пользования местного значения</t>
  </si>
  <si>
    <t>? ЖДЕМ изменения дополнения на 2026г</t>
  </si>
  <si>
    <t>в том числе Ремонт автомобильных дорог общего пользования местного значения</t>
  </si>
  <si>
    <t>0,135+3,457</t>
  </si>
  <si>
    <t>11,25+0,12</t>
  </si>
  <si>
    <t>7,3+6,509</t>
  </si>
  <si>
    <t>Свободный остаток сверхсофинансирования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</si>
</sst>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\ _₽_-;\-* #,##0.00\ _₽_-;_-* &quot;-&quot;??\ _₽_-;_-@_-"/>
    <numFmt numFmtId="164" formatCode="0.0"/>
    <numFmt numFmtId="165" formatCode="#,##0.0"/>
    <numFmt numFmtId="166" formatCode="#,##0.0_р_."/>
    <numFmt numFmtId="167" formatCode="#,##0_р_."/>
    <numFmt numFmtId="168" formatCode="#,##0.00_р_."/>
    <numFmt numFmtId="169" formatCode="#,##0.000_р_."/>
    <numFmt numFmtId="170" formatCode="0.000"/>
    <numFmt numFmtId="171" formatCode="#,##0.000"/>
    <numFmt numFmtId="172" formatCode="#,##0;[Red]#,##0"/>
    <numFmt numFmtId="173" formatCode="0.0000"/>
    <numFmt numFmtId="174" formatCode="0.00000"/>
    <numFmt numFmtId="175" formatCode="0.0000;[Red]0.0000"/>
    <numFmt numFmtId="176" formatCode="#,##0.000;[Red]#,##0.000"/>
  </numFmts>
  <fonts count="4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name val="Arial Cyr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Arial Cyr"/>
      <charset val="204"/>
    </font>
    <font>
      <sz val="11"/>
      <name val="Times New Roman"/>
      <family val="1"/>
      <charset val="204"/>
    </font>
    <font>
      <b/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Arial Cyr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20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name val="Times New Roman Cyr"/>
      <charset val="204"/>
    </font>
    <font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color theme="1"/>
      <name val="Times New Roman Cyr"/>
      <family val="1"/>
      <charset val="204"/>
    </font>
    <font>
      <b/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18" fillId="0" borderId="0"/>
    <xf numFmtId="0" fontId="18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379">
    <xf numFmtId="0" fontId="0" fillId="0" borderId="0" xfId="0"/>
    <xf numFmtId="0" fontId="25" fillId="0" borderId="0" xfId="0" applyFont="1" applyAlignment="1">
      <alignment wrapText="1"/>
    </xf>
    <xf numFmtId="0" fontId="0" fillId="0" borderId="6" xfId="0" applyBorder="1"/>
    <xf numFmtId="0" fontId="0" fillId="2" borderId="0" xfId="0" applyFill="1"/>
    <xf numFmtId="0" fontId="3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32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3" fontId="26" fillId="0" borderId="1" xfId="4" applyNumberFormat="1" applyFont="1" applyFill="1" applyBorder="1" applyAlignment="1">
      <alignment horizontal="center" vertical="center"/>
    </xf>
    <xf numFmtId="3" fontId="26" fillId="0" borderId="1" xfId="4" applyNumberFormat="1" applyFont="1" applyFill="1" applyBorder="1" applyAlignment="1">
      <alignment horizontal="center" vertical="top"/>
    </xf>
    <xf numFmtId="172" fontId="8" fillId="0" borderId="1" xfId="4" applyNumberFormat="1" applyFont="1" applyFill="1" applyBorder="1" applyAlignment="1">
      <alignment horizontal="center" vertical="top" wrapText="1"/>
    </xf>
    <xf numFmtId="4" fontId="13" fillId="0" borderId="1" xfId="1" applyNumberFormat="1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top" wrapText="1"/>
    </xf>
    <xf numFmtId="3" fontId="8" fillId="0" borderId="1" xfId="1" applyNumberFormat="1" applyFont="1" applyFill="1" applyBorder="1" applyAlignment="1">
      <alignment horizontal="center" vertical="top" wrapText="1"/>
    </xf>
    <xf numFmtId="3" fontId="25" fillId="0" borderId="1" xfId="16" applyNumberFormat="1" applyFont="1" applyFill="1" applyBorder="1" applyAlignment="1">
      <alignment horizontal="center" vertical="top" wrapText="1"/>
    </xf>
    <xf numFmtId="3" fontId="8" fillId="0" borderId="1" xfId="0" applyNumberFormat="1" applyFont="1" applyFill="1" applyBorder="1" applyAlignment="1">
      <alignment horizontal="center" vertical="top" wrapText="1" shrinkToFit="1"/>
    </xf>
    <xf numFmtId="3" fontId="8" fillId="0" borderId="1" xfId="0" applyNumberFormat="1" applyFont="1" applyFill="1" applyBorder="1" applyAlignment="1">
      <alignment horizontal="center" vertical="top"/>
    </xf>
    <xf numFmtId="3" fontId="37" fillId="0" borderId="1" xfId="0" applyNumberFormat="1" applyFont="1" applyFill="1" applyBorder="1" applyAlignment="1">
      <alignment horizontal="center" vertical="top"/>
    </xf>
    <xf numFmtId="3" fontId="26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3" fontId="9" fillId="0" borderId="1" xfId="0" applyNumberFormat="1" applyFont="1" applyFill="1" applyBorder="1" applyAlignment="1">
      <alignment horizontal="center" vertical="top" wrapText="1" shrinkToFit="1"/>
    </xf>
    <xf numFmtId="3" fontId="19" fillId="0" borderId="1" xfId="0" applyNumberFormat="1" applyFont="1" applyFill="1" applyBorder="1" applyAlignment="1">
      <alignment horizontal="center" vertical="top" wrapText="1"/>
    </xf>
    <xf numFmtId="3" fontId="19" fillId="0" borderId="1" xfId="0" applyNumberFormat="1" applyFont="1" applyFill="1" applyBorder="1" applyAlignment="1">
      <alignment horizontal="center" vertical="center"/>
    </xf>
    <xf numFmtId="3" fontId="26" fillId="0" borderId="1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top"/>
    </xf>
    <xf numFmtId="4" fontId="10" fillId="0" borderId="1" xfId="16" applyNumberFormat="1" applyFont="1" applyFill="1" applyBorder="1" applyAlignment="1">
      <alignment horizontal="left" vertical="center" wrapText="1"/>
    </xf>
    <xf numFmtId="4" fontId="45" fillId="0" borderId="1" xfId="1" applyNumberFormat="1" applyFont="1" applyFill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center" vertical="top" wrapText="1"/>
    </xf>
    <xf numFmtId="3" fontId="21" fillId="0" borderId="1" xfId="16" applyNumberFormat="1" applyFont="1" applyFill="1" applyBorder="1" applyAlignment="1">
      <alignment horizontal="center" vertical="top" wrapText="1"/>
    </xf>
    <xf numFmtId="4" fontId="42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vertical="top" wrapText="1"/>
    </xf>
    <xf numFmtId="2" fontId="9" fillId="0" borderId="1" xfId="0" applyNumberFormat="1" applyFont="1" applyFill="1" applyBorder="1" applyAlignment="1">
      <alignment horizontal="center" vertical="top" wrapText="1" shrinkToFit="1"/>
    </xf>
    <xf numFmtId="3" fontId="19" fillId="0" borderId="1" xfId="16" applyNumberFormat="1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 wrapText="1" shrinkToFit="1"/>
    </xf>
    <xf numFmtId="3" fontId="31" fillId="0" borderId="1" xfId="16" applyNumberFormat="1" applyFont="1" applyFill="1" applyBorder="1" applyAlignment="1">
      <alignment horizontal="center" vertical="center" wrapText="1"/>
    </xf>
    <xf numFmtId="3" fontId="31" fillId="0" borderId="1" xfId="0" applyNumberFormat="1" applyFont="1" applyFill="1" applyBorder="1" applyAlignment="1">
      <alignment horizontal="center" vertical="center" wrapText="1" shrinkToFit="1"/>
    </xf>
    <xf numFmtId="3" fontId="39" fillId="0" borderId="1" xfId="4" applyNumberFormat="1" applyFont="1" applyFill="1" applyBorder="1" applyAlignment="1">
      <alignment horizontal="center" vertical="center"/>
    </xf>
    <xf numFmtId="3" fontId="31" fillId="0" borderId="1" xfId="0" applyNumberFormat="1" applyFont="1" applyFill="1" applyBorder="1" applyAlignment="1">
      <alignment horizontal="center" vertical="center"/>
    </xf>
    <xf numFmtId="3" fontId="19" fillId="0" borderId="0" xfId="0" applyNumberFormat="1" applyFont="1" applyFill="1"/>
    <xf numFmtId="0" fontId="8" fillId="0" borderId="0" xfId="0" applyFont="1" applyFill="1"/>
    <xf numFmtId="0" fontId="7" fillId="0" borderId="0" xfId="0" applyFont="1" applyFill="1"/>
    <xf numFmtId="0" fontId="0" fillId="0" borderId="0" xfId="0" applyFill="1" applyAlignment="1">
      <alignment horizontal="right" vertical="top"/>
    </xf>
    <xf numFmtId="0" fontId="0" fillId="0" borderId="0" xfId="0" applyFill="1"/>
    <xf numFmtId="0" fontId="2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15" fillId="0" borderId="0" xfId="0" applyFont="1" applyFill="1"/>
    <xf numFmtId="0" fontId="24" fillId="0" borderId="0" xfId="0" applyFont="1" applyFill="1"/>
    <xf numFmtId="0" fontId="24" fillId="0" borderId="0" xfId="0" applyFont="1" applyFill="1" applyAlignment="1">
      <alignment horizontal="center" vertical="top" wrapText="1"/>
    </xf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12" fillId="0" borderId="0" xfId="0" applyFont="1" applyFill="1"/>
    <xf numFmtId="0" fontId="25" fillId="0" borderId="0" xfId="0" applyFont="1" applyFill="1"/>
    <xf numFmtId="0" fontId="8" fillId="0" borderId="0" xfId="0" applyFont="1" applyFill="1" applyAlignment="1">
      <alignment wrapText="1"/>
    </xf>
    <xf numFmtId="164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/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6" fillId="0" borderId="0" xfId="0" applyFont="1" applyFill="1"/>
    <xf numFmtId="14" fontId="16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center" vertical="top" wrapText="1"/>
    </xf>
    <xf numFmtId="167" fontId="35" fillId="0" borderId="1" xfId="0" applyNumberFormat="1" applyFont="1" applyFill="1" applyBorder="1" applyAlignment="1">
      <alignment horizontal="center" vertical="top" wrapText="1"/>
    </xf>
    <xf numFmtId="3" fontId="36" fillId="0" borderId="1" xfId="0" applyNumberFormat="1" applyFont="1" applyFill="1" applyBorder="1" applyAlignment="1">
      <alignment horizontal="center" vertical="top"/>
    </xf>
    <xf numFmtId="0" fontId="20" fillId="0" borderId="0" xfId="0" applyFont="1" applyFill="1"/>
    <xf numFmtId="0" fontId="16" fillId="0" borderId="1" xfId="0" applyFont="1" applyFill="1" applyBorder="1" applyAlignment="1">
      <alignment horizontal="center" vertical="top"/>
    </xf>
    <xf numFmtId="0" fontId="25" fillId="0" borderId="1" xfId="0" applyFont="1" applyFill="1" applyBorder="1" applyAlignment="1">
      <alignment horizontal="left" vertical="top" wrapText="1"/>
    </xf>
    <xf numFmtId="49" fontId="35" fillId="0" borderId="1" xfId="0" applyNumberFormat="1" applyFont="1" applyFill="1" applyBorder="1" applyAlignment="1">
      <alignment horizontal="center" vertical="top" wrapText="1"/>
    </xf>
    <xf numFmtId="167" fontId="25" fillId="0" borderId="1" xfId="0" applyNumberFormat="1" applyFont="1" applyFill="1" applyBorder="1" applyAlignment="1">
      <alignment horizontal="center" vertical="top" wrapText="1"/>
    </xf>
    <xf numFmtId="0" fontId="35" fillId="0" borderId="1" xfId="0" applyFont="1" applyFill="1" applyBorder="1" applyAlignment="1">
      <alignment horizontal="center" vertical="top" wrapText="1"/>
    </xf>
    <xf numFmtId="166" fontId="25" fillId="0" borderId="1" xfId="0" applyNumberFormat="1" applyFont="1" applyFill="1" applyBorder="1" applyAlignment="1">
      <alignment horizontal="center" vertical="top" wrapText="1"/>
    </xf>
    <xf numFmtId="167" fontId="19" fillId="0" borderId="1" xfId="0" applyNumberFormat="1" applyFont="1" applyFill="1" applyBorder="1" applyAlignment="1">
      <alignment horizontal="center" vertical="top"/>
    </xf>
    <xf numFmtId="3" fontId="19" fillId="0" borderId="1" xfId="0" applyNumberFormat="1" applyFont="1" applyFill="1" applyBorder="1" applyAlignment="1">
      <alignment horizontal="center" vertical="top"/>
    </xf>
    <xf numFmtId="0" fontId="25" fillId="0" borderId="1" xfId="0" applyFont="1" applyFill="1" applyBorder="1" applyAlignment="1">
      <alignment horizontal="center" vertical="top"/>
    </xf>
    <xf numFmtId="166" fontId="25" fillId="0" borderId="1" xfId="0" applyNumberFormat="1" applyFont="1" applyFill="1" applyBorder="1" applyAlignment="1">
      <alignment horizontal="center" vertical="center" wrapText="1"/>
    </xf>
    <xf numFmtId="167" fontId="19" fillId="0" borderId="1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25" fillId="0" borderId="1" xfId="0" applyFont="1" applyFill="1" applyBorder="1" applyAlignment="1">
      <alignment horizontal="center" vertical="top" wrapText="1"/>
    </xf>
    <xf numFmtId="3" fontId="26" fillId="0" borderId="1" xfId="0" applyNumberFormat="1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25" fillId="0" borderId="5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vertical="top" wrapText="1"/>
    </xf>
    <xf numFmtId="0" fontId="16" fillId="0" borderId="4" xfId="0" applyFont="1" applyFill="1" applyBorder="1" applyAlignment="1">
      <alignment horizontal="center" vertical="center"/>
    </xf>
    <xf numFmtId="4" fontId="25" fillId="0" borderId="1" xfId="1" applyNumberFormat="1" applyFont="1" applyFill="1" applyBorder="1" applyAlignment="1">
      <alignment horizontal="left" vertical="top" wrapText="1"/>
    </xf>
    <xf numFmtId="4" fontId="25" fillId="0" borderId="0" xfId="0" applyNumberFormat="1" applyFont="1" applyFill="1"/>
    <xf numFmtId="3" fontId="25" fillId="0" borderId="0" xfId="0" applyNumberFormat="1" applyFont="1" applyFill="1"/>
    <xf numFmtId="0" fontId="12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3" fontId="26" fillId="0" borderId="11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vertical="center" wrapText="1"/>
    </xf>
    <xf numFmtId="16" fontId="19" fillId="0" borderId="1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/>
    <xf numFmtId="0" fontId="14" fillId="0" borderId="0" xfId="0" applyFont="1" applyFill="1"/>
    <xf numFmtId="166" fontId="26" fillId="0" borderId="1" xfId="0" applyNumberFormat="1" applyFont="1" applyFill="1" applyBorder="1" applyAlignment="1">
      <alignment horizontal="center" vertical="center" wrapText="1"/>
    </xf>
    <xf numFmtId="164" fontId="25" fillId="0" borderId="1" xfId="6" applyNumberFormat="1" applyFont="1" applyFill="1" applyBorder="1" applyAlignment="1">
      <alignment horizontal="left" vertical="top" wrapText="1"/>
    </xf>
    <xf numFmtId="0" fontId="8" fillId="0" borderId="1" xfId="6" applyFont="1" applyFill="1" applyBorder="1" applyAlignment="1">
      <alignment horizontal="center" vertical="top" wrapText="1"/>
    </xf>
    <xf numFmtId="0" fontId="25" fillId="0" borderId="1" xfId="6" applyFont="1" applyFill="1" applyBorder="1" applyAlignment="1">
      <alignment horizontal="center" vertical="top" wrapText="1"/>
    </xf>
    <xf numFmtId="3" fontId="19" fillId="0" borderId="1" xfId="6" applyNumberFormat="1" applyFont="1" applyFill="1" applyBorder="1" applyAlignment="1">
      <alignment horizontal="center" vertical="top"/>
    </xf>
    <xf numFmtId="3" fontId="26" fillId="0" borderId="1" xfId="6" applyNumberFormat="1" applyFont="1" applyFill="1" applyBorder="1" applyAlignment="1">
      <alignment horizontal="center" vertical="top"/>
    </xf>
    <xf numFmtId="0" fontId="17" fillId="0" borderId="0" xfId="0" applyFont="1" applyFill="1"/>
    <xf numFmtId="164" fontId="25" fillId="0" borderId="1" xfId="0" applyNumberFormat="1" applyFont="1" applyFill="1" applyBorder="1" applyAlignment="1">
      <alignment horizontal="left" vertical="top" wrapText="1"/>
    </xf>
    <xf numFmtId="0" fontId="9" fillId="0" borderId="0" xfId="0" applyFont="1" applyFill="1" applyAlignment="1">
      <alignment vertical="center"/>
    </xf>
    <xf numFmtId="0" fontId="9" fillId="0" borderId="9" xfId="0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165" fontId="16" fillId="0" borderId="11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165" fontId="12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center"/>
    </xf>
    <xf numFmtId="3" fontId="7" fillId="0" borderId="0" xfId="0" applyNumberFormat="1" applyFont="1" applyFill="1"/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top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center" vertical="top" wrapText="1"/>
    </xf>
    <xf numFmtId="167" fontId="8" fillId="0" borderId="4" xfId="0" applyNumberFormat="1" applyFont="1" applyFill="1" applyBorder="1" applyAlignment="1">
      <alignment horizontal="center" vertical="top" wrapText="1"/>
    </xf>
    <xf numFmtId="168" fontId="8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0" fontId="13" fillId="0" borderId="7" xfId="0" applyFont="1" applyFill="1" applyBorder="1" applyAlignment="1">
      <alignment horizontal="center" vertical="top" wrapText="1"/>
    </xf>
    <xf numFmtId="167" fontId="8" fillId="0" borderId="1" xfId="0" applyNumberFormat="1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168" fontId="8" fillId="0" borderId="4" xfId="0" applyNumberFormat="1" applyFont="1" applyFill="1" applyBorder="1" applyAlignment="1">
      <alignment horizontal="center" vertical="top" wrapText="1"/>
    </xf>
    <xf numFmtId="167" fontId="32" fillId="0" borderId="1" xfId="0" applyNumberFormat="1" applyFont="1" applyFill="1" applyBorder="1" applyAlignment="1">
      <alignment horizontal="center" vertical="top" wrapText="1"/>
    </xf>
    <xf numFmtId="170" fontId="8" fillId="0" borderId="1" xfId="0" applyNumberFormat="1" applyFont="1" applyFill="1" applyBorder="1" applyAlignment="1">
      <alignment horizontal="center" vertical="top"/>
    </xf>
    <xf numFmtId="169" fontId="8" fillId="0" borderId="1" xfId="0" applyNumberFormat="1" applyFont="1" applyFill="1" applyBorder="1" applyAlignment="1">
      <alignment horizontal="center" vertical="top" wrapText="1"/>
    </xf>
    <xf numFmtId="167" fontId="38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166" fontId="8" fillId="0" borderId="1" xfId="0" applyNumberFormat="1" applyFont="1" applyFill="1" applyBorder="1" applyAlignment="1">
      <alignment horizontal="center" vertical="top" wrapText="1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/>
    </xf>
    <xf numFmtId="164" fontId="8" fillId="0" borderId="1" xfId="0" applyNumberFormat="1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center" vertical="top" wrapText="1"/>
    </xf>
    <xf numFmtId="174" fontId="8" fillId="0" borderId="1" xfId="0" applyNumberFormat="1" applyFont="1" applyFill="1" applyBorder="1" applyAlignment="1">
      <alignment horizontal="center" vertical="top" wrapText="1" shrinkToFit="1"/>
    </xf>
    <xf numFmtId="173" fontId="8" fillId="0" borderId="1" xfId="0" applyNumberFormat="1" applyFont="1" applyFill="1" applyBorder="1" applyAlignment="1">
      <alignment horizontal="center" vertical="top" wrapText="1" shrinkToFit="1"/>
    </xf>
    <xf numFmtId="2" fontId="8" fillId="0" borderId="1" xfId="0" applyNumberFormat="1" applyFont="1" applyFill="1" applyBorder="1" applyAlignment="1">
      <alignment horizontal="center" vertical="top" wrapText="1" shrinkToFit="1"/>
    </xf>
    <xf numFmtId="0" fontId="0" fillId="0" borderId="1" xfId="0" applyFill="1" applyBorder="1" applyAlignment="1">
      <alignment horizontal="center" vertical="top"/>
    </xf>
    <xf numFmtId="175" fontId="8" fillId="0" borderId="1" xfId="0" applyNumberFormat="1" applyFont="1" applyFill="1" applyBorder="1" applyAlignment="1">
      <alignment horizontal="center" vertical="top" wrapText="1" shrinkToFit="1"/>
    </xf>
    <xf numFmtId="0" fontId="39" fillId="0" borderId="0" xfId="0" applyFont="1" applyFill="1" applyAlignment="1">
      <alignment horizontal="center"/>
    </xf>
    <xf numFmtId="0" fontId="8" fillId="0" borderId="0" xfId="0" applyFont="1" applyFill="1" applyBorder="1" applyAlignment="1">
      <alignment vertical="center"/>
    </xf>
    <xf numFmtId="170" fontId="8" fillId="0" borderId="1" xfId="0" applyNumberFormat="1" applyFont="1" applyFill="1" applyBorder="1" applyAlignment="1">
      <alignment horizontal="center" vertical="top" wrapText="1"/>
    </xf>
    <xf numFmtId="4" fontId="8" fillId="0" borderId="1" xfId="1" applyNumberFormat="1" applyFont="1" applyFill="1" applyBorder="1" applyAlignment="1">
      <alignment horizontal="left" vertical="top" wrapText="1"/>
    </xf>
    <xf numFmtId="168" fontId="8" fillId="0" borderId="1" xfId="0" applyNumberFormat="1" applyFont="1" applyFill="1" applyBorder="1" applyAlignment="1">
      <alignment horizontal="center" vertical="top" wrapText="1"/>
    </xf>
    <xf numFmtId="176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top" wrapText="1"/>
    </xf>
    <xf numFmtId="0" fontId="0" fillId="0" borderId="6" xfId="0" applyFill="1" applyBorder="1"/>
    <xf numFmtId="2" fontId="19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 shrinkToFit="1"/>
    </xf>
    <xf numFmtId="1" fontId="25" fillId="0" borderId="1" xfId="0" applyNumberFormat="1" applyFont="1" applyFill="1" applyBorder="1" applyAlignment="1">
      <alignment horizontal="center" vertical="center" shrinkToFit="1"/>
    </xf>
    <xf numFmtId="4" fontId="12" fillId="0" borderId="1" xfId="0" applyNumberFormat="1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left" vertical="top" wrapText="1"/>
    </xf>
    <xf numFmtId="4" fontId="12" fillId="0" borderId="1" xfId="0" applyNumberFormat="1" applyFont="1" applyFill="1" applyBorder="1" applyAlignment="1">
      <alignment vertical="top" wrapText="1" shrinkToFit="1"/>
    </xf>
    <xf numFmtId="2" fontId="12" fillId="0" borderId="1" xfId="0" applyNumberFormat="1" applyFont="1" applyFill="1" applyBorder="1" applyAlignment="1">
      <alignment horizontal="center" vertical="top" wrapText="1" shrinkToFit="1"/>
    </xf>
    <xf numFmtId="3" fontId="12" fillId="0" borderId="1" xfId="0" applyNumberFormat="1" applyFont="1" applyFill="1" applyBorder="1" applyAlignment="1">
      <alignment horizontal="center" vertical="top" wrapText="1" shrinkToFit="1"/>
    </xf>
    <xf numFmtId="4" fontId="8" fillId="0" borderId="1" xfId="0" applyNumberFormat="1" applyFont="1" applyFill="1" applyBorder="1" applyAlignment="1">
      <alignment horizontal="center" vertical="center" wrapText="1" shrinkToFit="1"/>
    </xf>
    <xf numFmtId="4" fontId="8" fillId="0" borderId="1" xfId="16" applyNumberFormat="1" applyFont="1" applyFill="1" applyBorder="1" applyAlignment="1">
      <alignment horizontal="left" vertical="top" wrapText="1"/>
    </xf>
    <xf numFmtId="4" fontId="13" fillId="0" borderId="1" xfId="0" applyNumberFormat="1" applyFont="1" applyFill="1" applyBorder="1" applyAlignment="1">
      <alignment vertical="top" wrapText="1" shrinkToFit="1"/>
    </xf>
    <xf numFmtId="3" fontId="8" fillId="0" borderId="1" xfId="0" applyNumberFormat="1" applyFont="1" applyFill="1" applyBorder="1" applyAlignment="1">
      <alignment horizontal="center" vertical="top" shrinkToFit="1"/>
    </xf>
    <xf numFmtId="4" fontId="14" fillId="0" borderId="1" xfId="0" applyNumberFormat="1" applyFont="1" applyFill="1" applyBorder="1" applyAlignment="1">
      <alignment vertical="top" wrapText="1" shrinkToFit="1"/>
    </xf>
    <xf numFmtId="0" fontId="7" fillId="0" borderId="0" xfId="0" applyFont="1" applyFill="1" applyAlignment="1">
      <alignment horizontal="center" vertical="top"/>
    </xf>
    <xf numFmtId="4" fontId="9" fillId="0" borderId="1" xfId="0" applyNumberFormat="1" applyFont="1" applyFill="1" applyBorder="1" applyAlignment="1">
      <alignment horizontal="center" vertical="center" wrapText="1" shrinkToFit="1"/>
    </xf>
    <xf numFmtId="3" fontId="8" fillId="0" borderId="0" xfId="0" applyNumberFormat="1" applyFont="1" applyFill="1" applyBorder="1" applyAlignment="1">
      <alignment horizontal="center" vertical="top" wrapText="1" shrinkToFit="1"/>
    </xf>
    <xf numFmtId="0" fontId="9" fillId="0" borderId="1" xfId="0" applyFont="1" applyFill="1" applyBorder="1" applyAlignment="1">
      <alignment vertical="top" wrapText="1"/>
    </xf>
    <xf numFmtId="4" fontId="21" fillId="0" borderId="1" xfId="16" applyNumberFormat="1" applyFont="1" applyFill="1" applyBorder="1" applyAlignment="1">
      <alignment horizontal="left" vertical="top" wrapText="1"/>
    </xf>
    <xf numFmtId="4" fontId="12" fillId="0" borderId="1" xfId="0" applyNumberFormat="1" applyFont="1" applyFill="1" applyBorder="1" applyAlignment="1">
      <alignment horizontal="center" vertical="top" wrapText="1" shrinkToFit="1"/>
    </xf>
    <xf numFmtId="0" fontId="12" fillId="0" borderId="1" xfId="0" applyFont="1" applyFill="1" applyBorder="1" applyAlignment="1">
      <alignment vertical="top" wrapText="1"/>
    </xf>
    <xf numFmtId="174" fontId="12" fillId="0" borderId="1" xfId="0" applyNumberFormat="1" applyFont="1" applyFill="1" applyBorder="1" applyAlignment="1">
      <alignment horizontal="center" vertical="top" wrapText="1" shrinkToFit="1"/>
    </xf>
    <xf numFmtId="4" fontId="8" fillId="0" borderId="1" xfId="0" applyNumberFormat="1" applyFont="1" applyFill="1" applyBorder="1" applyAlignment="1">
      <alignment horizontal="center" vertical="top" wrapText="1" shrinkToFit="1"/>
    </xf>
    <xf numFmtId="4" fontId="8" fillId="0" borderId="1" xfId="0" applyNumberFormat="1" applyFont="1" applyFill="1" applyBorder="1" applyAlignment="1">
      <alignment horizontal="left" vertical="top" wrapText="1" shrinkToFit="1"/>
    </xf>
    <xf numFmtId="0" fontId="13" fillId="0" borderId="1" xfId="0" applyFont="1" applyFill="1" applyBorder="1" applyAlignment="1">
      <alignment vertical="center" wrapText="1"/>
    </xf>
    <xf numFmtId="3" fontId="0" fillId="0" borderId="0" xfId="0" applyNumberFormat="1" applyFill="1"/>
    <xf numFmtId="0" fontId="14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vertical="center" wrapText="1"/>
    </xf>
    <xf numFmtId="2" fontId="25" fillId="0" borderId="1" xfId="0" applyNumberFormat="1" applyFont="1" applyFill="1" applyBorder="1" applyAlignment="1">
      <alignment horizontal="center" vertical="center" wrapText="1" shrinkToFit="1"/>
    </xf>
    <xf numFmtId="2" fontId="9" fillId="0" borderId="1" xfId="0" applyNumberFormat="1" applyFont="1" applyFill="1" applyBorder="1" applyAlignment="1">
      <alignment horizontal="center" vertical="center" wrapText="1" shrinkToFit="1"/>
    </xf>
    <xf numFmtId="2" fontId="8" fillId="0" borderId="1" xfId="0" applyNumberFormat="1" applyFont="1" applyFill="1" applyBorder="1" applyAlignment="1">
      <alignment horizontal="center" vertical="center" wrapText="1" shrinkToFit="1"/>
    </xf>
    <xf numFmtId="4" fontId="9" fillId="0" borderId="1" xfId="0" applyNumberFormat="1" applyFont="1" applyFill="1" applyBorder="1" applyAlignment="1">
      <alignment horizontal="center" vertical="top" wrapText="1" shrinkToFit="1"/>
    </xf>
    <xf numFmtId="175" fontId="9" fillId="0" borderId="1" xfId="0" applyNumberFormat="1" applyFont="1" applyFill="1" applyBorder="1" applyAlignment="1">
      <alignment horizontal="center" vertical="top" wrapText="1" shrinkToFit="1"/>
    </xf>
    <xf numFmtId="0" fontId="22" fillId="0" borderId="5" xfId="0" applyFont="1" applyFill="1" applyBorder="1" applyAlignment="1">
      <alignment horizontal="center" vertical="top"/>
    </xf>
    <xf numFmtId="4" fontId="14" fillId="0" borderId="1" xfId="0" applyNumberFormat="1" applyFont="1" applyFill="1" applyBorder="1" applyAlignment="1">
      <alignment horizontal="left" vertical="center" wrapText="1" shrinkToFit="1"/>
    </xf>
    <xf numFmtId="171" fontId="12" fillId="0" borderId="1" xfId="0" applyNumberFormat="1" applyFont="1" applyFill="1" applyBorder="1" applyAlignment="1">
      <alignment horizontal="center" vertical="top" wrapText="1" shrinkToFit="1"/>
    </xf>
    <xf numFmtId="170" fontId="8" fillId="0" borderId="1" xfId="0" applyNumberFormat="1" applyFont="1" applyFill="1" applyBorder="1" applyAlignment="1">
      <alignment horizontal="center" vertical="top" wrapText="1" shrinkToFit="1"/>
    </xf>
    <xf numFmtId="0" fontId="12" fillId="0" borderId="5" xfId="0" applyFont="1" applyFill="1" applyBorder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left" vertical="center" wrapText="1" shrinkToFit="1"/>
    </xf>
    <xf numFmtId="0" fontId="12" fillId="0" borderId="5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top" wrapText="1"/>
    </xf>
    <xf numFmtId="4" fontId="13" fillId="0" borderId="1" xfId="0" applyNumberFormat="1" applyFont="1" applyFill="1" applyBorder="1" applyAlignment="1">
      <alignment horizontal="left" vertical="center" wrapText="1"/>
    </xf>
    <xf numFmtId="171" fontId="12" fillId="0" borderId="1" xfId="0" applyNumberFormat="1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7" fillId="0" borderId="0" xfId="0" applyFont="1" applyFill="1" applyAlignment="1">
      <alignment horizontal="center" vertical="center"/>
    </xf>
    <xf numFmtId="164" fontId="12" fillId="0" borderId="1" xfId="1" applyNumberFormat="1" applyFont="1" applyFill="1" applyBorder="1" applyAlignment="1">
      <alignment horizontal="left" vertical="center" wrapText="1"/>
    </xf>
    <xf numFmtId="170" fontId="25" fillId="0" borderId="1" xfId="0" applyNumberFormat="1" applyFont="1" applyFill="1" applyBorder="1" applyAlignment="1">
      <alignment horizontal="center" vertical="top" wrapText="1"/>
    </xf>
    <xf numFmtId="2" fontId="8" fillId="0" borderId="1" xfId="6" applyNumberFormat="1" applyFont="1" applyFill="1" applyBorder="1" applyAlignment="1">
      <alignment horizontal="left" vertical="center" wrapText="1"/>
    </xf>
    <xf numFmtId="170" fontId="25" fillId="0" borderId="1" xfId="0" applyNumberFormat="1" applyFont="1" applyFill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left" vertical="top" wrapText="1"/>
    </xf>
    <xf numFmtId="3" fontId="8" fillId="0" borderId="1" xfId="16" applyNumberFormat="1" applyFont="1" applyFill="1" applyBorder="1" applyAlignment="1">
      <alignment horizontal="center" vertical="top" wrapText="1"/>
    </xf>
    <xf numFmtId="0" fontId="8" fillId="0" borderId="1" xfId="6" applyFont="1" applyFill="1" applyBorder="1" applyAlignment="1">
      <alignment vertical="center" wrapText="1"/>
    </xf>
    <xf numFmtId="4" fontId="11" fillId="0" borderId="0" xfId="0" applyNumberFormat="1" applyFont="1" applyFill="1" applyAlignment="1">
      <alignment horizontal="center" vertical="center"/>
    </xf>
    <xf numFmtId="3" fontId="41" fillId="0" borderId="4" xfId="1" applyNumberFormat="1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center" vertical="center"/>
    </xf>
    <xf numFmtId="3" fontId="41" fillId="0" borderId="1" xfId="1" applyNumberFormat="1" applyFont="1" applyFill="1" applyBorder="1" applyAlignment="1">
      <alignment horizontal="center" vertical="top" wrapText="1"/>
    </xf>
    <xf numFmtId="3" fontId="41" fillId="0" borderId="5" xfId="1" applyNumberFormat="1" applyFont="1" applyFill="1" applyBorder="1" applyAlignment="1">
      <alignment horizontal="center" vertical="top" wrapText="1"/>
    </xf>
    <xf numFmtId="3" fontId="41" fillId="0" borderId="0" xfId="1" applyNumberFormat="1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/>
    </xf>
    <xf numFmtId="0" fontId="40" fillId="0" borderId="1" xfId="6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3" fontId="10" fillId="0" borderId="1" xfId="16" applyNumberFormat="1" applyFont="1" applyFill="1" applyBorder="1" applyAlignment="1">
      <alignment horizontal="center" vertical="top" wrapText="1"/>
    </xf>
    <xf numFmtId="3" fontId="8" fillId="0" borderId="0" xfId="1" applyNumberFormat="1" applyFont="1" applyFill="1" applyBorder="1" applyAlignment="1">
      <alignment horizontal="center" vertical="top" wrapText="1"/>
    </xf>
    <xf numFmtId="0" fontId="44" fillId="0" borderId="1" xfId="6" applyFont="1" applyFill="1" applyBorder="1" applyAlignment="1">
      <alignment vertical="center" wrapText="1"/>
    </xf>
    <xf numFmtId="0" fontId="44" fillId="0" borderId="1" xfId="6" applyFont="1" applyFill="1" applyBorder="1" applyAlignment="1">
      <alignment horizontal="left" vertical="center" wrapText="1"/>
    </xf>
    <xf numFmtId="3" fontId="10" fillId="0" borderId="1" xfId="1" applyNumberFormat="1" applyFont="1" applyFill="1" applyBorder="1" applyAlignment="1">
      <alignment horizontal="center" vertical="top" wrapText="1"/>
    </xf>
    <xf numFmtId="4" fontId="21" fillId="0" borderId="1" xfId="0" applyNumberFormat="1" applyFont="1" applyFill="1" applyBorder="1" applyAlignment="1">
      <alignment horizontal="center" vertical="center"/>
    </xf>
    <xf numFmtId="3" fontId="42" fillId="0" borderId="0" xfId="16" applyNumberFormat="1" applyFont="1" applyFill="1" applyBorder="1" applyAlignment="1">
      <alignment horizontal="center" vertical="top" wrapText="1"/>
    </xf>
    <xf numFmtId="4" fontId="10" fillId="0" borderId="1" xfId="16" applyNumberFormat="1" applyFont="1" applyFill="1" applyBorder="1" applyAlignment="1">
      <alignment horizontal="center" vertical="center" wrapText="1"/>
    </xf>
    <xf numFmtId="3" fontId="12" fillId="0" borderId="1" xfId="16" applyNumberFormat="1" applyFont="1" applyFill="1" applyBorder="1" applyAlignment="1">
      <alignment horizontal="center" vertical="top" wrapText="1"/>
    </xf>
    <xf numFmtId="4" fontId="12" fillId="0" borderId="1" xfId="16" applyNumberFormat="1" applyFont="1" applyFill="1" applyBorder="1" applyAlignment="1">
      <alignment horizontal="left" vertical="top" wrapText="1"/>
    </xf>
    <xf numFmtId="164" fontId="12" fillId="0" borderId="1" xfId="16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center" vertical="top"/>
    </xf>
    <xf numFmtId="2" fontId="13" fillId="0" borderId="1" xfId="16" applyNumberFormat="1" applyFont="1" applyFill="1" applyBorder="1" applyAlignment="1">
      <alignment horizontal="left" vertical="center" wrapText="1"/>
    </xf>
    <xf numFmtId="2" fontId="8" fillId="0" borderId="1" xfId="16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left" wrapText="1"/>
    </xf>
    <xf numFmtId="3" fontId="9" fillId="0" borderId="0" xfId="0" applyNumberFormat="1" applyFont="1" applyFill="1" applyAlignment="1">
      <alignment horizontal="center" vertical="center" wrapText="1" shrinkToFit="1"/>
    </xf>
    <xf numFmtId="1" fontId="0" fillId="0" borderId="0" xfId="0" applyNumberFormat="1" applyFill="1"/>
    <xf numFmtId="2" fontId="0" fillId="0" borderId="0" xfId="0" applyNumberFormat="1" applyFill="1"/>
    <xf numFmtId="2" fontId="7" fillId="0" borderId="0" xfId="0" applyNumberFormat="1" applyFont="1" applyFill="1"/>
    <xf numFmtId="0" fontId="0" fillId="0" borderId="6" xfId="0" applyFill="1" applyBorder="1" applyAlignment="1">
      <alignment wrapText="1"/>
    </xf>
    <xf numFmtId="0" fontId="7" fillId="0" borderId="6" xfId="0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171" fontId="10" fillId="0" borderId="1" xfId="16" applyNumberFormat="1" applyFont="1" applyFill="1" applyBorder="1" applyAlignment="1">
      <alignment horizontal="center" vertical="top" wrapText="1"/>
    </xf>
    <xf numFmtId="3" fontId="9" fillId="0" borderId="1" xfId="0" applyNumberFormat="1" applyFont="1" applyFill="1" applyBorder="1" applyAlignment="1">
      <alignment horizontal="center" vertical="top" wrapText="1"/>
    </xf>
    <xf numFmtId="171" fontId="10" fillId="0" borderId="1" xfId="1" applyNumberFormat="1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vertical="top" wrapText="1"/>
    </xf>
    <xf numFmtId="170" fontId="19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left" vertical="top" wrapText="1"/>
    </xf>
    <xf numFmtId="171" fontId="10" fillId="0" borderId="1" xfId="16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center" vertical="top"/>
    </xf>
    <xf numFmtId="0" fontId="25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top" wrapText="1"/>
    </xf>
    <xf numFmtId="0" fontId="25" fillId="0" borderId="0" xfId="0" applyFont="1" applyFill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 shrinkToFit="1"/>
    </xf>
    <xf numFmtId="2" fontId="8" fillId="0" borderId="1" xfId="6" applyNumberFormat="1" applyFont="1" applyFill="1" applyBorder="1" applyAlignment="1">
      <alignment horizontal="left" vertical="top" wrapText="1"/>
    </xf>
    <xf numFmtId="4" fontId="10" fillId="0" borderId="1" xfId="16" applyNumberFormat="1" applyFont="1" applyFill="1" applyBorder="1" applyAlignment="1">
      <alignment horizontal="left" vertical="top" wrapText="1"/>
    </xf>
    <xf numFmtId="0" fontId="25" fillId="2" borderId="6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top" wrapText="1"/>
    </xf>
    <xf numFmtId="0" fontId="16" fillId="2" borderId="7" xfId="0" applyFont="1" applyFill="1" applyBorder="1" applyAlignment="1">
      <alignment wrapText="1"/>
    </xf>
    <xf numFmtId="0" fontId="16" fillId="2" borderId="3" xfId="0" applyFont="1" applyFill="1" applyBorder="1" applyAlignment="1">
      <alignment wrapText="1"/>
    </xf>
    <xf numFmtId="0" fontId="16" fillId="2" borderId="2" xfId="0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center" vertical="top"/>
    </xf>
    <xf numFmtId="0" fontId="25" fillId="0" borderId="5" xfId="0" applyFont="1" applyFill="1" applyBorder="1" applyAlignment="1">
      <alignment horizontal="center" vertical="top" wrapText="1"/>
    </xf>
    <xf numFmtId="0" fontId="25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 wrapText="1"/>
    </xf>
    <xf numFmtId="0" fontId="25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wrapText="1"/>
    </xf>
    <xf numFmtId="0" fontId="29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28" fillId="0" borderId="6" xfId="0" applyFont="1" applyFill="1" applyBorder="1"/>
    <xf numFmtId="0" fontId="2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38" fillId="0" borderId="5" xfId="0" applyFont="1" applyFill="1" applyBorder="1" applyAlignment="1">
      <alignment horizontal="left" vertical="top" wrapText="1"/>
    </xf>
    <xf numFmtId="0" fontId="38" fillId="0" borderId="4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left" vertical="top" wrapText="1"/>
    </xf>
    <xf numFmtId="0" fontId="32" fillId="0" borderId="5" xfId="0" applyFont="1" applyFill="1" applyBorder="1" applyAlignment="1">
      <alignment horizontal="left" vertical="top" wrapText="1"/>
    </xf>
    <xf numFmtId="0" fontId="32" fillId="0" borderId="4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164" fontId="12" fillId="0" borderId="1" xfId="16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31" fillId="0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wrapText="1"/>
    </xf>
    <xf numFmtId="0" fontId="27" fillId="0" borderId="0" xfId="0" applyFont="1" applyFill="1" applyAlignment="1">
      <alignment horizontal="center"/>
    </xf>
    <xf numFmtId="1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 shrinkToFit="1"/>
    </xf>
    <xf numFmtId="2" fontId="25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</cellXfs>
  <cellStyles count="18">
    <cellStyle name="Обычный" xfId="0" builtinId="0"/>
    <cellStyle name="Обычный 2" xfId="1"/>
    <cellStyle name="Обычный 2 2" xfId="6"/>
    <cellStyle name="Обычный 2 3" xfId="7"/>
    <cellStyle name="Обычный 2 4" xfId="10"/>
    <cellStyle name="Обычный 2 4 2" xfId="14"/>
    <cellStyle name="Обычный 2 5" xfId="12"/>
    <cellStyle name="Обычный 2 6" xfId="16"/>
    <cellStyle name="Обычный 2 6 2" xfId="17"/>
    <cellStyle name="Обычный 3" xfId="2"/>
    <cellStyle name="Обычный 3 2" xfId="11"/>
    <cellStyle name="Обычный 3 2 2" xfId="15"/>
    <cellStyle name="Обычный 3 3" xfId="13"/>
    <cellStyle name="Обычный 4" xfId="3"/>
    <cellStyle name="Финансовый" xfId="4" builtinId="3"/>
    <cellStyle name="Финансовый 2" xfId="5"/>
    <cellStyle name="Финансовый 3" xfId="8"/>
    <cellStyle name="Финансовый 4" xfId="9"/>
  </cellStyles>
  <dxfs count="0"/>
  <tableStyles count="0" defaultTableStyle="TableStyleMedium2" defaultPivotStyle="PivotStyleLight16"/>
  <colors>
    <mruColors>
      <color rgb="FFFF9933"/>
      <color rgb="FFFFFF66"/>
      <color rgb="FFFFFF00"/>
      <color rgb="FFFFFF99"/>
      <color rgb="FFFFFFCC"/>
      <color rgb="FFF9B67F"/>
      <color rgb="FFFFCC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hoz\Users\utkina.nu\Desktop\&#1053;&#1054;&#1042;&#1040;&#1071;%20&#1052;&#1055;\&#1053;&#1054;&#1042;&#1067;&#1045;%204%20&#1055;&#1056;&#1054;&#1043;&#1056;&#1040;&#1052;&#1052;&#1067;\&#1052;&#1056;&#1040;&#1044;\&#1055;&#1088;&#1080;&#1083;&#1086;&#1078;&#1077;&#1085;&#1080;&#1103;%20&#1052;&#1056;&#1040;&#1044;%20&#1074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еч.рез."/>
      <sheetName val="1. Финансирование"/>
      <sheetName val="2. Показатели"/>
      <sheetName val="5. Перечень МРАД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27"/>
  <sheetViews>
    <sheetView view="pageBreakPreview" topLeftCell="A19" zoomScale="85" zoomScaleNormal="85" zoomScaleSheetLayoutView="85" zoomScalePageLayoutView="130" workbookViewId="0">
      <selection activeCell="I13" sqref="I13"/>
    </sheetView>
  </sheetViews>
  <sheetFormatPr defaultColWidth="9.140625" defaultRowHeight="12.75" x14ac:dyDescent="0.2"/>
  <cols>
    <col min="1" max="1" width="4.85546875" customWidth="1"/>
    <col min="2" max="2" width="35.140625" customWidth="1"/>
    <col min="3" max="3" width="11.5703125" customWidth="1"/>
    <col min="4" max="4" width="8.85546875"/>
    <col min="5" max="6" width="10.85546875" customWidth="1"/>
    <col min="7" max="7" width="11.5703125" customWidth="1"/>
    <col min="8" max="8" width="11" customWidth="1"/>
    <col min="9" max="9" width="12.42578125" customWidth="1"/>
    <col min="10" max="10" width="18.5703125" customWidth="1"/>
  </cols>
  <sheetData>
    <row r="1" spans="1:11" ht="84" customHeight="1" x14ac:dyDescent="0.25">
      <c r="A1" s="3"/>
      <c r="B1" s="3"/>
      <c r="C1" s="3"/>
      <c r="D1" s="3"/>
      <c r="E1" s="288" t="s">
        <v>122</v>
      </c>
      <c r="F1" s="288"/>
      <c r="G1" s="288"/>
      <c r="H1" s="288"/>
      <c r="I1" s="288"/>
      <c r="J1" s="1"/>
      <c r="K1" s="1"/>
    </row>
    <row r="2" spans="1:11" ht="40.15" customHeight="1" x14ac:dyDescent="0.2">
      <c r="A2" s="287" t="s">
        <v>81</v>
      </c>
      <c r="B2" s="287"/>
      <c r="C2" s="287"/>
      <c r="D2" s="287"/>
      <c r="E2" s="287"/>
      <c r="F2" s="287"/>
      <c r="G2" s="287"/>
      <c r="H2" s="287"/>
      <c r="I2" s="287"/>
    </row>
    <row r="3" spans="1:11" ht="31.5" customHeight="1" x14ac:dyDescent="0.2">
      <c r="A3" s="294" t="s">
        <v>32</v>
      </c>
      <c r="B3" s="294" t="s">
        <v>66</v>
      </c>
      <c r="C3" s="294" t="s">
        <v>67</v>
      </c>
      <c r="D3" s="294" t="s">
        <v>43</v>
      </c>
      <c r="E3" s="294" t="s">
        <v>68</v>
      </c>
      <c r="F3" s="294"/>
      <c r="G3" s="294"/>
      <c r="H3" s="294"/>
      <c r="I3" s="294"/>
    </row>
    <row r="4" spans="1:11" ht="27" customHeight="1" x14ac:dyDescent="0.2">
      <c r="A4" s="294"/>
      <c r="B4" s="294"/>
      <c r="C4" s="294"/>
      <c r="D4" s="294"/>
      <c r="E4" s="4" t="s">
        <v>113</v>
      </c>
      <c r="F4" s="4" t="s">
        <v>114</v>
      </c>
      <c r="G4" s="4" t="s">
        <v>115</v>
      </c>
      <c r="H4" s="4" t="s">
        <v>116</v>
      </c>
      <c r="I4" s="4" t="s">
        <v>117</v>
      </c>
    </row>
    <row r="5" spans="1:11" ht="15" x14ac:dyDescent="0.2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</row>
    <row r="6" spans="1:11" ht="61.5" customHeight="1" x14ac:dyDescent="0.2">
      <c r="A6" s="8">
        <v>1</v>
      </c>
      <c r="B6" s="5" t="s">
        <v>74</v>
      </c>
      <c r="C6" s="8" t="s">
        <v>52</v>
      </c>
      <c r="D6" s="8">
        <v>2.5</v>
      </c>
      <c r="E6" s="8">
        <v>2.4500000000000002</v>
      </c>
      <c r="F6" s="10">
        <v>2.4</v>
      </c>
      <c r="G6" s="10">
        <v>2.35</v>
      </c>
      <c r="H6" s="10" t="s">
        <v>46</v>
      </c>
      <c r="I6" s="8" t="s">
        <v>46</v>
      </c>
    </row>
    <row r="7" spans="1:11" ht="45" customHeight="1" x14ac:dyDescent="0.2">
      <c r="A7" s="8">
        <v>2</v>
      </c>
      <c r="B7" s="5" t="s">
        <v>75</v>
      </c>
      <c r="C7" s="8" t="s">
        <v>63</v>
      </c>
      <c r="D7" s="8">
        <v>789</v>
      </c>
      <c r="E7" s="8">
        <v>788</v>
      </c>
      <c r="F7" s="8">
        <v>785</v>
      </c>
      <c r="G7" s="8">
        <v>780</v>
      </c>
      <c r="H7" s="8">
        <v>775</v>
      </c>
      <c r="I7" s="8">
        <v>770</v>
      </c>
    </row>
    <row r="8" spans="1:11" ht="48" customHeight="1" x14ac:dyDescent="0.2">
      <c r="A8" s="8">
        <v>3</v>
      </c>
      <c r="B8" s="5" t="s">
        <v>154</v>
      </c>
      <c r="C8" s="8" t="s">
        <v>52</v>
      </c>
      <c r="D8" s="8" t="s">
        <v>46</v>
      </c>
      <c r="E8" s="8" t="s">
        <v>46</v>
      </c>
      <c r="F8" s="8" t="s">
        <v>46</v>
      </c>
      <c r="G8" s="8" t="s">
        <v>46</v>
      </c>
      <c r="H8" s="8">
        <v>100</v>
      </c>
      <c r="I8" s="8">
        <v>100</v>
      </c>
    </row>
    <row r="9" spans="1:11" ht="86.25" customHeight="1" x14ac:dyDescent="0.2">
      <c r="A9" s="8">
        <v>4</v>
      </c>
      <c r="B9" s="5" t="s">
        <v>85</v>
      </c>
      <c r="C9" s="8" t="s">
        <v>54</v>
      </c>
      <c r="D9" s="8">
        <v>711.9</v>
      </c>
      <c r="E9" s="9">
        <v>730.5</v>
      </c>
      <c r="F9" s="11">
        <v>755.75</v>
      </c>
      <c r="G9" s="11">
        <f>763.95-3.61+3.44-3.11</f>
        <v>760.67000000000007</v>
      </c>
      <c r="H9" s="11">
        <f>810.3-44.18-1.53+4.25+11.33-7.64</f>
        <v>772.53000000000009</v>
      </c>
      <c r="I9" s="14">
        <f>798.27</f>
        <v>798.27</v>
      </c>
    </row>
    <row r="10" spans="1:11" ht="98.25" customHeight="1" x14ac:dyDescent="0.2">
      <c r="A10" s="8">
        <v>5</v>
      </c>
      <c r="B10" s="5" t="s">
        <v>86</v>
      </c>
      <c r="C10" s="8" t="s">
        <v>52</v>
      </c>
      <c r="D10" s="8" t="s">
        <v>46</v>
      </c>
      <c r="E10" s="10">
        <v>0.35</v>
      </c>
      <c r="F10" s="11">
        <v>0.02</v>
      </c>
      <c r="G10" s="11">
        <f>0+0.19-0.17</f>
        <v>1.999999999999999E-2</v>
      </c>
      <c r="H10" s="11">
        <f>0.18-0.07</f>
        <v>0.10999999999999999</v>
      </c>
      <c r="I10" s="10" t="s">
        <v>46</v>
      </c>
    </row>
    <row r="11" spans="1:11" ht="112.5" customHeight="1" x14ac:dyDescent="0.2">
      <c r="A11" s="8">
        <v>6</v>
      </c>
      <c r="B11" s="5" t="s">
        <v>87</v>
      </c>
      <c r="C11" s="8" t="s">
        <v>52</v>
      </c>
      <c r="D11" s="8" t="s">
        <v>46</v>
      </c>
      <c r="E11" s="10">
        <v>0.1</v>
      </c>
      <c r="F11" s="11">
        <v>0.05</v>
      </c>
      <c r="G11" s="11">
        <f>100/868.09*1.96</f>
        <v>0.22578304092893592</v>
      </c>
      <c r="H11" s="8" t="s">
        <v>46</v>
      </c>
      <c r="I11" s="8" t="s">
        <v>46</v>
      </c>
    </row>
    <row r="12" spans="1:11" ht="112.5" customHeight="1" x14ac:dyDescent="0.2">
      <c r="A12" s="8">
        <v>7</v>
      </c>
      <c r="B12" s="5" t="s">
        <v>88</v>
      </c>
      <c r="C12" s="8" t="s">
        <v>52</v>
      </c>
      <c r="D12" s="8" t="s">
        <v>46</v>
      </c>
      <c r="E12" s="10">
        <v>0.05</v>
      </c>
      <c r="F12" s="11">
        <f>1.41-0.92</f>
        <v>0.48999999999999988</v>
      </c>
      <c r="G12" s="11" t="s">
        <v>46</v>
      </c>
      <c r="H12" s="10">
        <v>0.49</v>
      </c>
      <c r="I12" s="16">
        <v>0.49</v>
      </c>
    </row>
    <row r="13" spans="1:11" ht="146.25" customHeight="1" x14ac:dyDescent="0.2">
      <c r="A13" s="8">
        <v>8</v>
      </c>
      <c r="B13" s="5" t="s">
        <v>64</v>
      </c>
      <c r="C13" s="8" t="s">
        <v>52</v>
      </c>
      <c r="D13" s="8">
        <v>43.8</v>
      </c>
      <c r="E13" s="8">
        <v>3</v>
      </c>
      <c r="F13" s="12">
        <v>0.61</v>
      </c>
      <c r="G13" s="12">
        <f>2.34-0.17-0.18</f>
        <v>1.99</v>
      </c>
      <c r="H13" s="8">
        <f>2.16-0.29-0.12</f>
        <v>1.75</v>
      </c>
      <c r="I13" s="14">
        <f>0.78</f>
        <v>0.78</v>
      </c>
    </row>
    <row r="14" spans="1:11" ht="36" customHeight="1" x14ac:dyDescent="0.2">
      <c r="A14" s="8">
        <v>9</v>
      </c>
      <c r="B14" s="5" t="s">
        <v>65</v>
      </c>
      <c r="C14" s="8" t="s">
        <v>52</v>
      </c>
      <c r="D14" s="8">
        <v>40</v>
      </c>
      <c r="E14" s="8">
        <v>45</v>
      </c>
      <c r="F14" s="8">
        <v>49</v>
      </c>
      <c r="G14" s="8">
        <v>50</v>
      </c>
      <c r="H14" s="8">
        <v>55</v>
      </c>
      <c r="I14" s="8">
        <v>60</v>
      </c>
    </row>
    <row r="15" spans="1:11" ht="48.75" customHeight="1" x14ac:dyDescent="0.2">
      <c r="A15" s="8">
        <v>10</v>
      </c>
      <c r="B15" s="5" t="s">
        <v>70</v>
      </c>
      <c r="C15" s="8" t="s">
        <v>52</v>
      </c>
      <c r="D15" s="8">
        <v>20.5</v>
      </c>
      <c r="E15" s="8">
        <v>38.700000000000003</v>
      </c>
      <c r="F15" s="8">
        <v>18.8</v>
      </c>
      <c r="G15" s="8">
        <f>24.2+4.7-3.6</f>
        <v>25.299999999999997</v>
      </c>
      <c r="H15" s="8">
        <f>24.2+4.7</f>
        <v>28.9</v>
      </c>
      <c r="I15" s="14">
        <v>38.200000000000003</v>
      </c>
    </row>
    <row r="16" spans="1:11" ht="41.25" customHeight="1" x14ac:dyDescent="0.2">
      <c r="A16" s="8">
        <v>11</v>
      </c>
      <c r="B16" s="5" t="s">
        <v>71</v>
      </c>
      <c r="C16" s="8" t="s">
        <v>52</v>
      </c>
      <c r="D16" s="8">
        <v>77.5</v>
      </c>
      <c r="E16" s="8">
        <v>50.6</v>
      </c>
      <c r="F16" s="8">
        <v>54.8</v>
      </c>
      <c r="G16" s="8">
        <f>54.8+2.6</f>
        <v>57.4</v>
      </c>
      <c r="H16" s="8">
        <f>54.8+2.6</f>
        <v>57.4</v>
      </c>
      <c r="I16" s="14">
        <v>13.7</v>
      </c>
    </row>
    <row r="17" spans="1:9" ht="59.25" customHeight="1" x14ac:dyDescent="0.2">
      <c r="A17" s="8">
        <v>12</v>
      </c>
      <c r="B17" s="5" t="s">
        <v>161</v>
      </c>
      <c r="C17" s="8" t="s">
        <v>52</v>
      </c>
      <c r="D17" s="8">
        <v>90.1</v>
      </c>
      <c r="E17" s="9">
        <v>94</v>
      </c>
      <c r="F17" s="9">
        <v>95.1</v>
      </c>
      <c r="G17" s="9">
        <f>95.4+0.4-0.2</f>
        <v>95.600000000000009</v>
      </c>
      <c r="H17" s="9">
        <f>95.4+0.4</f>
        <v>95.800000000000011</v>
      </c>
      <c r="I17" s="13">
        <v>96.9</v>
      </c>
    </row>
    <row r="18" spans="1:9" ht="42" customHeight="1" x14ac:dyDescent="0.2">
      <c r="A18" s="8">
        <v>13</v>
      </c>
      <c r="B18" s="5" t="s">
        <v>72</v>
      </c>
      <c r="C18" s="8" t="s">
        <v>52</v>
      </c>
      <c r="D18" s="8">
        <v>81.3</v>
      </c>
      <c r="E18" s="8">
        <v>82.3</v>
      </c>
      <c r="F18" s="9">
        <v>89</v>
      </c>
      <c r="G18" s="9">
        <f>89+2.2</f>
        <v>91.2</v>
      </c>
      <c r="H18" s="9">
        <f>89+2.2</f>
        <v>91.2</v>
      </c>
      <c r="I18" s="15">
        <v>98</v>
      </c>
    </row>
    <row r="19" spans="1:9" ht="13.5" x14ac:dyDescent="0.25">
      <c r="A19" s="292" t="s">
        <v>91</v>
      </c>
      <c r="B19" s="293"/>
      <c r="C19" s="293"/>
      <c r="D19" s="293"/>
      <c r="E19" s="293"/>
      <c r="F19" s="293"/>
      <c r="G19" s="293"/>
      <c r="H19" s="293"/>
      <c r="I19" s="293"/>
    </row>
    <row r="20" spans="1:9" ht="39.75" customHeight="1" x14ac:dyDescent="0.2">
      <c r="A20" s="8">
        <v>14</v>
      </c>
      <c r="B20" s="6" t="s">
        <v>69</v>
      </c>
      <c r="C20" s="8" t="s">
        <v>157</v>
      </c>
      <c r="D20" s="9">
        <v>1115.1470999999999</v>
      </c>
      <c r="E20" s="8">
        <v>1115.5</v>
      </c>
      <c r="F20" s="9">
        <v>1115.75</v>
      </c>
      <c r="G20" s="9">
        <v>1116</v>
      </c>
      <c r="H20" s="9">
        <v>1116.25</v>
      </c>
      <c r="I20" s="8">
        <v>1116.5</v>
      </c>
    </row>
    <row r="21" spans="1:9" ht="29.25" customHeight="1" x14ac:dyDescent="0.25">
      <c r="A21" s="289" t="s">
        <v>90</v>
      </c>
      <c r="B21" s="290"/>
      <c r="C21" s="290"/>
      <c r="D21" s="290"/>
      <c r="E21" s="290"/>
      <c r="F21" s="290"/>
      <c r="G21" s="290"/>
      <c r="H21" s="290"/>
      <c r="I21" s="291"/>
    </row>
    <row r="22" spans="1:9" ht="49.5" customHeight="1" x14ac:dyDescent="0.2">
      <c r="A22" s="8">
        <v>15</v>
      </c>
      <c r="B22" s="5" t="s">
        <v>73</v>
      </c>
      <c r="C22" s="8" t="s">
        <v>52</v>
      </c>
      <c r="D22" s="9" t="s">
        <v>46</v>
      </c>
      <c r="E22" s="9">
        <v>74.66</v>
      </c>
      <c r="F22" s="9">
        <f>80.1+0.6</f>
        <v>80.699999999999989</v>
      </c>
      <c r="G22" s="10">
        <f>84.14+0.22-0.22</f>
        <v>84.14</v>
      </c>
      <c r="H22" s="9">
        <v>92.3</v>
      </c>
      <c r="I22" s="9">
        <v>87</v>
      </c>
    </row>
    <row r="23" spans="1:9" ht="55.5" customHeight="1" x14ac:dyDescent="0.2">
      <c r="A23" s="8">
        <v>16</v>
      </c>
      <c r="B23" s="5" t="s">
        <v>128</v>
      </c>
      <c r="C23" s="8" t="s">
        <v>52</v>
      </c>
      <c r="D23" s="8" t="s">
        <v>46</v>
      </c>
      <c r="E23" s="8">
        <v>10</v>
      </c>
      <c r="F23" s="8">
        <v>20</v>
      </c>
      <c r="G23" s="8">
        <v>30</v>
      </c>
      <c r="H23" s="8">
        <v>100</v>
      </c>
      <c r="I23" s="8" t="s">
        <v>46</v>
      </c>
    </row>
    <row r="24" spans="1:9" ht="49.5" customHeight="1" x14ac:dyDescent="0.2">
      <c r="A24" s="8">
        <v>17</v>
      </c>
      <c r="B24" s="5" t="s">
        <v>84</v>
      </c>
      <c r="C24" s="8" t="s">
        <v>52</v>
      </c>
      <c r="D24" s="8" t="s">
        <v>46</v>
      </c>
      <c r="E24" s="8">
        <v>62</v>
      </c>
      <c r="F24" s="8">
        <v>64</v>
      </c>
      <c r="G24" s="8">
        <v>66</v>
      </c>
      <c r="H24" s="8">
        <v>100</v>
      </c>
      <c r="I24" s="8" t="s">
        <v>46</v>
      </c>
    </row>
    <row r="25" spans="1:9" ht="46.5" customHeight="1" x14ac:dyDescent="0.2">
      <c r="A25" s="8">
        <v>18</v>
      </c>
      <c r="B25" s="5" t="s">
        <v>129</v>
      </c>
      <c r="C25" s="8" t="s">
        <v>52</v>
      </c>
      <c r="D25" s="8" t="s">
        <v>46</v>
      </c>
      <c r="E25" s="8" t="s">
        <v>46</v>
      </c>
      <c r="F25" s="8" t="s">
        <v>46</v>
      </c>
      <c r="G25" s="8" t="s">
        <v>46</v>
      </c>
      <c r="H25" s="8">
        <v>2.67</v>
      </c>
      <c r="I25" s="8" t="s">
        <v>46</v>
      </c>
    </row>
    <row r="26" spans="1:9" ht="30.75" customHeight="1" x14ac:dyDescent="0.2"/>
    <row r="27" spans="1:9" ht="27" customHeight="1" x14ac:dyDescent="0.2">
      <c r="D27" s="2"/>
      <c r="E27" s="2"/>
    </row>
  </sheetData>
  <mergeCells count="9">
    <mergeCell ref="A2:I2"/>
    <mergeCell ref="E1:I1"/>
    <mergeCell ref="A21:I21"/>
    <mergeCell ref="A19:I19"/>
    <mergeCell ref="A3:A4"/>
    <mergeCell ref="B3:B4"/>
    <mergeCell ref="C3:C4"/>
    <mergeCell ref="D3:D4"/>
    <mergeCell ref="E3:I3"/>
  </mergeCells>
  <pageMargins left="0.70866141732283472" right="0.11811023622047245" top="0.74803149606299213" bottom="0.74803149606299213" header="0.31496062992125984" footer="0.31496062992125984"/>
  <pageSetup paperSize="9" scale="82" firstPageNumber="9" fitToHeight="0" orientation="portrait" useFirstPageNumber="1" r:id="rId1"/>
  <headerFooter>
    <oddHeader>&amp;C&amp;P</oddHeader>
  </headerFooter>
  <rowBreaks count="1" manualBreakCount="1">
    <brk id="1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P103"/>
  <sheetViews>
    <sheetView view="pageBreakPreview" zoomScale="70" zoomScaleNormal="100" zoomScaleSheetLayoutView="70" workbookViewId="0">
      <pane ySplit="7" topLeftCell="A62" activePane="bottomLeft" state="frozen"/>
      <selection pane="bottomLeft" activeCell="F72" sqref="F72"/>
    </sheetView>
  </sheetViews>
  <sheetFormatPr defaultColWidth="9.140625" defaultRowHeight="42" customHeight="1" outlineLevelRow="1" x14ac:dyDescent="0.2"/>
  <cols>
    <col min="1" max="1" width="8.140625" style="53" customWidth="1"/>
    <col min="2" max="2" width="23.85546875" style="128" customWidth="1"/>
    <col min="3" max="3" width="19.7109375" style="80" customWidth="1"/>
    <col min="4" max="4" width="11.7109375" style="53" customWidth="1"/>
    <col min="5" max="5" width="14.140625" style="51" customWidth="1"/>
    <col min="6" max="6" width="12.85546875" style="53" customWidth="1"/>
    <col min="7" max="7" width="13.85546875" style="53" customWidth="1"/>
    <col min="8" max="8" width="9.28515625" style="53" customWidth="1"/>
    <col min="9" max="9" width="8.85546875" style="53" customWidth="1"/>
    <col min="10" max="10" width="15" style="51" customWidth="1"/>
    <col min="11" max="11" width="13.7109375" style="53" customWidth="1"/>
    <col min="12" max="12" width="13" style="53" customWidth="1"/>
    <col min="13" max="13" width="9.140625" style="53" customWidth="1"/>
    <col min="14" max="14" width="8.42578125" style="53" customWidth="1"/>
    <col min="15" max="15" width="13.85546875" style="51" customWidth="1"/>
    <col min="16" max="16" width="14.28515625" style="53" customWidth="1"/>
    <col min="17" max="17" width="13.7109375" style="53" customWidth="1"/>
    <col min="18" max="18" width="8.5703125" style="53" customWidth="1"/>
    <col min="19" max="19" width="8.42578125" style="53" customWidth="1"/>
    <col min="20" max="20" width="14.42578125" style="51" customWidth="1"/>
    <col min="21" max="21" width="14.42578125" style="53" customWidth="1"/>
    <col min="22" max="22" width="16" style="53" customWidth="1"/>
    <col min="23" max="23" width="8.5703125" style="53" customWidth="1"/>
    <col min="24" max="24" width="8.42578125" style="53" customWidth="1"/>
    <col min="25" max="25" width="13.85546875" style="51" customWidth="1"/>
    <col min="26" max="26" width="13.140625" style="53" customWidth="1"/>
    <col min="27" max="27" width="13.85546875" style="53" customWidth="1"/>
    <col min="28" max="28" width="8.5703125" style="53" customWidth="1"/>
    <col min="29" max="29" width="7.7109375" style="53" customWidth="1"/>
    <col min="30" max="30" width="15.7109375" style="118" customWidth="1"/>
    <col min="31" max="31" width="16.42578125" style="53" bestFit="1" customWidth="1"/>
    <col min="32" max="32" width="22.28515625" style="53" customWidth="1"/>
    <col min="33" max="33" width="16.28515625" style="53" customWidth="1"/>
    <col min="34" max="34" width="14.7109375" style="53" bestFit="1" customWidth="1"/>
    <col min="35" max="16384" width="9.140625" style="53"/>
  </cols>
  <sheetData>
    <row r="1" spans="1:34" s="59" customFormat="1" ht="87.75" customHeight="1" x14ac:dyDescent="0.25">
      <c r="A1" s="54"/>
      <c r="B1" s="55"/>
      <c r="C1" s="56"/>
      <c r="D1" s="57"/>
      <c r="E1" s="58"/>
      <c r="J1" s="60"/>
      <c r="K1" s="61"/>
      <c r="L1" s="61"/>
      <c r="M1" s="61"/>
      <c r="N1" s="61"/>
      <c r="O1" s="53"/>
      <c r="P1" s="53"/>
      <c r="Q1" s="62"/>
      <c r="R1" s="53"/>
      <c r="S1" s="53"/>
      <c r="T1" s="53"/>
      <c r="U1" s="53"/>
      <c r="V1" s="53"/>
      <c r="W1" s="53"/>
      <c r="X1" s="53"/>
      <c r="Y1" s="51"/>
      <c r="Z1" s="53"/>
      <c r="AA1" s="317" t="s">
        <v>413</v>
      </c>
      <c r="AB1" s="317"/>
      <c r="AC1" s="317"/>
      <c r="AD1" s="317"/>
      <c r="AE1" s="63"/>
      <c r="AF1" s="63"/>
    </row>
    <row r="2" spans="1:34" s="59" customFormat="1" ht="112.5" customHeight="1" x14ac:dyDescent="0.25">
      <c r="A2" s="54"/>
      <c r="B2" s="55"/>
      <c r="C2" s="56"/>
      <c r="D2" s="57"/>
      <c r="E2" s="64"/>
      <c r="F2" s="65"/>
      <c r="G2" s="65"/>
      <c r="H2" s="65"/>
      <c r="I2" s="65"/>
      <c r="J2" s="280"/>
      <c r="K2" s="66"/>
      <c r="L2" s="66"/>
      <c r="M2" s="66"/>
      <c r="N2" s="66"/>
      <c r="O2" s="50"/>
      <c r="P2" s="50"/>
      <c r="Q2" s="67"/>
      <c r="R2" s="50"/>
      <c r="S2" s="50"/>
      <c r="T2" s="50"/>
      <c r="U2" s="50"/>
      <c r="V2" s="50"/>
      <c r="W2" s="50"/>
      <c r="X2" s="50"/>
      <c r="Y2" s="68"/>
      <c r="Z2" s="50"/>
      <c r="AA2" s="318" t="s">
        <v>163</v>
      </c>
      <c r="AB2" s="318"/>
      <c r="AC2" s="318"/>
      <c r="AD2" s="318"/>
      <c r="AE2" s="65"/>
      <c r="AF2" s="65"/>
      <c r="AG2" s="65"/>
      <c r="AH2" s="65"/>
    </row>
    <row r="3" spans="1:34" ht="66" customHeight="1" x14ac:dyDescent="0.35">
      <c r="A3" s="69"/>
      <c r="B3" s="324" t="s">
        <v>164</v>
      </c>
      <c r="C3" s="324"/>
      <c r="D3" s="324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50"/>
      <c r="AF3" s="50"/>
      <c r="AG3" s="50"/>
      <c r="AH3" s="50"/>
    </row>
    <row r="4" spans="1:34" ht="42" customHeight="1" x14ac:dyDescent="0.2">
      <c r="A4" s="323" t="s">
        <v>165</v>
      </c>
      <c r="B4" s="321" t="s">
        <v>31</v>
      </c>
      <c r="C4" s="321" t="s">
        <v>30</v>
      </c>
      <c r="D4" s="321" t="s">
        <v>37</v>
      </c>
      <c r="E4" s="326" t="s">
        <v>29</v>
      </c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7" t="s">
        <v>28</v>
      </c>
      <c r="AE4" s="50"/>
      <c r="AF4" s="50"/>
      <c r="AG4" s="50"/>
      <c r="AH4" s="50"/>
    </row>
    <row r="5" spans="1:34" ht="42" customHeight="1" x14ac:dyDescent="0.2">
      <c r="A5" s="323"/>
      <c r="B5" s="322"/>
      <c r="C5" s="321"/>
      <c r="D5" s="321"/>
      <c r="E5" s="319" t="s">
        <v>167</v>
      </c>
      <c r="F5" s="319"/>
      <c r="G5" s="319"/>
      <c r="H5" s="319"/>
      <c r="I5" s="319"/>
      <c r="J5" s="319" t="s">
        <v>168</v>
      </c>
      <c r="K5" s="319"/>
      <c r="L5" s="319"/>
      <c r="M5" s="319"/>
      <c r="N5" s="319"/>
      <c r="O5" s="319" t="s">
        <v>169</v>
      </c>
      <c r="P5" s="319"/>
      <c r="Q5" s="319"/>
      <c r="R5" s="319"/>
      <c r="S5" s="319"/>
      <c r="T5" s="319" t="s">
        <v>170</v>
      </c>
      <c r="U5" s="319"/>
      <c r="V5" s="319"/>
      <c r="W5" s="319"/>
      <c r="X5" s="319"/>
      <c r="Y5" s="319" t="s">
        <v>171</v>
      </c>
      <c r="Z5" s="319"/>
      <c r="AA5" s="319"/>
      <c r="AB5" s="319"/>
      <c r="AC5" s="319"/>
      <c r="AD5" s="327"/>
      <c r="AE5" s="50"/>
      <c r="AF5" s="50"/>
      <c r="AG5" s="50"/>
      <c r="AH5" s="50"/>
    </row>
    <row r="6" spans="1:34" ht="57.6" customHeight="1" x14ac:dyDescent="0.25">
      <c r="A6" s="323"/>
      <c r="B6" s="322"/>
      <c r="C6" s="321"/>
      <c r="D6" s="321"/>
      <c r="E6" s="70" t="s">
        <v>27</v>
      </c>
      <c r="F6" s="281" t="s">
        <v>38</v>
      </c>
      <c r="G6" s="281" t="s">
        <v>39</v>
      </c>
      <c r="H6" s="281" t="s">
        <v>26</v>
      </c>
      <c r="I6" s="281" t="s">
        <v>33</v>
      </c>
      <c r="J6" s="70" t="s">
        <v>27</v>
      </c>
      <c r="K6" s="281" t="s">
        <v>38</v>
      </c>
      <c r="L6" s="281" t="s">
        <v>39</v>
      </c>
      <c r="M6" s="281" t="s">
        <v>26</v>
      </c>
      <c r="N6" s="281" t="s">
        <v>166</v>
      </c>
      <c r="O6" s="70" t="s">
        <v>27</v>
      </c>
      <c r="P6" s="281" t="s">
        <v>38</v>
      </c>
      <c r="Q6" s="281" t="s">
        <v>39</v>
      </c>
      <c r="R6" s="281" t="s">
        <v>34</v>
      </c>
      <c r="S6" s="281" t="s">
        <v>33</v>
      </c>
      <c r="T6" s="70" t="s">
        <v>27</v>
      </c>
      <c r="U6" s="281" t="s">
        <v>38</v>
      </c>
      <c r="V6" s="281" t="s">
        <v>39</v>
      </c>
      <c r="W6" s="281" t="s">
        <v>34</v>
      </c>
      <c r="X6" s="281" t="s">
        <v>33</v>
      </c>
      <c r="Y6" s="70" t="s">
        <v>27</v>
      </c>
      <c r="Z6" s="281" t="s">
        <v>38</v>
      </c>
      <c r="AA6" s="281" t="s">
        <v>39</v>
      </c>
      <c r="AB6" s="281" t="s">
        <v>34</v>
      </c>
      <c r="AC6" s="281" t="s">
        <v>33</v>
      </c>
      <c r="AD6" s="327"/>
      <c r="AE6" s="71"/>
      <c r="AF6" s="71"/>
      <c r="AG6" s="71"/>
      <c r="AH6" s="71"/>
    </row>
    <row r="7" spans="1:34" s="71" customFormat="1" ht="25.15" customHeight="1" x14ac:dyDescent="0.25">
      <c r="A7" s="72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72">
        <v>7</v>
      </c>
      <c r="H7" s="72">
        <v>8</v>
      </c>
      <c r="I7" s="72">
        <v>9</v>
      </c>
      <c r="J7" s="72">
        <v>10</v>
      </c>
      <c r="K7" s="72">
        <v>11</v>
      </c>
      <c r="L7" s="72">
        <v>12</v>
      </c>
      <c r="M7" s="72">
        <v>13</v>
      </c>
      <c r="N7" s="72">
        <v>14</v>
      </c>
      <c r="O7" s="72">
        <v>15</v>
      </c>
      <c r="P7" s="72">
        <v>16</v>
      </c>
      <c r="Q7" s="72">
        <v>17</v>
      </c>
      <c r="R7" s="72">
        <v>18</v>
      </c>
      <c r="S7" s="72">
        <v>19</v>
      </c>
      <c r="T7" s="72">
        <v>20</v>
      </c>
      <c r="U7" s="72">
        <v>21</v>
      </c>
      <c r="V7" s="72">
        <v>22</v>
      </c>
      <c r="W7" s="72">
        <v>23</v>
      </c>
      <c r="X7" s="72">
        <v>24</v>
      </c>
      <c r="Y7" s="72">
        <v>25</v>
      </c>
      <c r="Z7" s="72">
        <v>26</v>
      </c>
      <c r="AA7" s="72">
        <v>27</v>
      </c>
      <c r="AB7" s="72">
        <v>28</v>
      </c>
      <c r="AC7" s="72">
        <v>29</v>
      </c>
      <c r="AD7" s="72">
        <v>30</v>
      </c>
    </row>
    <row r="8" spans="1:34" s="71" customFormat="1" ht="33" customHeight="1" x14ac:dyDescent="0.25">
      <c r="A8" s="320" t="s">
        <v>131</v>
      </c>
      <c r="B8" s="320"/>
      <c r="C8" s="320"/>
      <c r="D8" s="320"/>
      <c r="E8" s="320"/>
      <c r="F8" s="320"/>
      <c r="G8" s="320"/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20"/>
      <c r="U8" s="320"/>
      <c r="V8" s="320"/>
      <c r="W8" s="320"/>
      <c r="X8" s="320"/>
      <c r="Y8" s="320"/>
      <c r="Z8" s="320"/>
      <c r="AA8" s="320"/>
      <c r="AB8" s="320"/>
      <c r="AC8" s="320"/>
      <c r="AD8" s="320"/>
    </row>
    <row r="9" spans="1:34" s="71" customFormat="1" ht="42" customHeight="1" x14ac:dyDescent="0.25">
      <c r="A9" s="73" t="s">
        <v>97</v>
      </c>
      <c r="B9" s="328" t="s">
        <v>172</v>
      </c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  <c r="V9" s="328"/>
      <c r="W9" s="328"/>
      <c r="X9" s="328"/>
      <c r="Y9" s="328"/>
      <c r="Z9" s="328"/>
      <c r="AA9" s="328"/>
      <c r="AB9" s="328"/>
      <c r="AC9" s="328"/>
      <c r="AD9" s="328"/>
      <c r="AE9" s="65"/>
      <c r="AF9" s="65"/>
      <c r="AG9" s="65"/>
      <c r="AH9" s="65"/>
    </row>
    <row r="10" spans="1:34" s="59" customFormat="1" ht="44.25" customHeight="1" x14ac:dyDescent="0.25">
      <c r="A10" s="335" t="s">
        <v>173</v>
      </c>
      <c r="B10" s="335"/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65"/>
      <c r="AF10" s="65"/>
      <c r="AG10" s="65"/>
      <c r="AH10" s="65"/>
    </row>
    <row r="11" spans="1:34" s="59" customFormat="1" ht="52.5" customHeight="1" outlineLevel="1" x14ac:dyDescent="0.25">
      <c r="A11" s="314" t="s">
        <v>174</v>
      </c>
      <c r="B11" s="314"/>
      <c r="C11" s="314"/>
      <c r="D11" s="314"/>
      <c r="E11" s="314"/>
      <c r="F11" s="314"/>
      <c r="G11" s="314"/>
      <c r="H11" s="314"/>
      <c r="I11" s="314"/>
      <c r="J11" s="314"/>
      <c r="K11" s="314"/>
      <c r="L11" s="314"/>
      <c r="M11" s="314"/>
      <c r="N11" s="314"/>
      <c r="O11" s="314"/>
      <c r="P11" s="314"/>
      <c r="Q11" s="314"/>
      <c r="R11" s="314"/>
      <c r="S11" s="314"/>
      <c r="T11" s="314"/>
      <c r="U11" s="314"/>
      <c r="V11" s="314"/>
      <c r="W11" s="314"/>
      <c r="X11" s="314"/>
      <c r="Y11" s="314"/>
      <c r="Z11" s="314"/>
      <c r="AA11" s="314"/>
      <c r="AB11" s="314"/>
      <c r="AC11" s="314"/>
      <c r="AD11" s="314"/>
      <c r="AE11" s="65"/>
      <c r="AF11" s="65"/>
      <c r="AG11" s="65"/>
      <c r="AH11" s="65"/>
    </row>
    <row r="12" spans="1:34" s="59" customFormat="1" ht="38.25" customHeight="1" outlineLevel="1" x14ac:dyDescent="0.25">
      <c r="A12" s="267" t="s">
        <v>1</v>
      </c>
      <c r="B12" s="314" t="s">
        <v>175</v>
      </c>
      <c r="C12" s="314"/>
      <c r="D12" s="314"/>
      <c r="E12" s="314"/>
      <c r="F12" s="314"/>
      <c r="G12" s="314"/>
      <c r="H12" s="314"/>
      <c r="I12" s="314"/>
      <c r="J12" s="314"/>
      <c r="K12" s="314"/>
      <c r="L12" s="314"/>
      <c r="M12" s="314"/>
      <c r="N12" s="314"/>
      <c r="O12" s="314"/>
      <c r="P12" s="314"/>
      <c r="Q12" s="314"/>
      <c r="R12" s="314"/>
      <c r="S12" s="314"/>
      <c r="T12" s="314"/>
      <c r="U12" s="314"/>
      <c r="V12" s="314"/>
      <c r="W12" s="314"/>
      <c r="X12" s="314"/>
      <c r="Y12" s="314"/>
      <c r="Z12" s="314"/>
      <c r="AA12" s="314"/>
      <c r="AB12" s="314"/>
      <c r="AC12" s="314"/>
      <c r="AD12" s="314"/>
      <c r="AE12" s="74"/>
      <c r="AF12" s="74"/>
      <c r="AG12" s="74"/>
      <c r="AH12" s="74"/>
    </row>
    <row r="13" spans="1:34" s="80" customFormat="1" ht="95.25" customHeight="1" outlineLevel="1" x14ac:dyDescent="0.25">
      <c r="A13" s="75" t="s">
        <v>4</v>
      </c>
      <c r="B13" s="76" t="s">
        <v>89</v>
      </c>
      <c r="C13" s="77" t="s">
        <v>22</v>
      </c>
      <c r="D13" s="78" t="s">
        <v>416</v>
      </c>
      <c r="E13" s="79">
        <f>SUM(F13:I13)</f>
        <v>281</v>
      </c>
      <c r="F13" s="26">
        <v>281</v>
      </c>
      <c r="G13" s="26">
        <v>0</v>
      </c>
      <c r="H13" s="26">
        <v>0</v>
      </c>
      <c r="I13" s="26">
        <v>0</v>
      </c>
      <c r="J13" s="79">
        <f>SUM(K13:N13)</f>
        <v>0</v>
      </c>
      <c r="K13" s="26">
        <v>0</v>
      </c>
      <c r="L13" s="26">
        <v>0</v>
      </c>
      <c r="M13" s="26">
        <v>0</v>
      </c>
      <c r="N13" s="26">
        <v>0</v>
      </c>
      <c r="O13" s="79">
        <f>SUM(P13:S13)</f>
        <v>0</v>
      </c>
      <c r="P13" s="26">
        <v>0</v>
      </c>
      <c r="Q13" s="26">
        <v>0</v>
      </c>
      <c r="R13" s="26">
        <v>0</v>
      </c>
      <c r="S13" s="26">
        <v>0</v>
      </c>
      <c r="T13" s="79">
        <f t="shared" ref="T13:T18" si="0">SUM(U13:X13)</f>
        <v>6200</v>
      </c>
      <c r="U13" s="26">
        <v>6200</v>
      </c>
      <c r="V13" s="26">
        <v>0</v>
      </c>
      <c r="W13" s="26">
        <v>0</v>
      </c>
      <c r="X13" s="26">
        <v>0</v>
      </c>
      <c r="Y13" s="79">
        <f t="shared" ref="Y13:Y18" si="1">SUM(Z13:AC13)</f>
        <v>6500</v>
      </c>
      <c r="Z13" s="26">
        <v>6500</v>
      </c>
      <c r="AA13" s="26">
        <v>0</v>
      </c>
      <c r="AB13" s="26">
        <v>0</v>
      </c>
      <c r="AC13" s="26">
        <v>0</v>
      </c>
      <c r="AD13" s="79">
        <f>E13+J13+O13+T13+Y13</f>
        <v>12981</v>
      </c>
      <c r="AE13" s="74"/>
      <c r="AF13" s="74"/>
      <c r="AG13" s="74"/>
      <c r="AH13" s="74"/>
    </row>
    <row r="14" spans="1:34" s="80" customFormat="1" ht="87.75" customHeight="1" outlineLevel="1" x14ac:dyDescent="0.2">
      <c r="A14" s="75" t="s">
        <v>10</v>
      </c>
      <c r="B14" s="76" t="s">
        <v>201</v>
      </c>
      <c r="C14" s="77" t="s">
        <v>22</v>
      </c>
      <c r="D14" s="78" t="s">
        <v>386</v>
      </c>
      <c r="E14" s="79">
        <f t="shared" ref="E14:E18" si="2">SUM(F14:I14)</f>
        <v>29757</v>
      </c>
      <c r="F14" s="26">
        <v>29757</v>
      </c>
      <c r="G14" s="26">
        <v>0</v>
      </c>
      <c r="H14" s="26">
        <v>0</v>
      </c>
      <c r="I14" s="26">
        <v>0</v>
      </c>
      <c r="J14" s="79">
        <f t="shared" ref="J14:J18" si="3">SUM(K14:N14)</f>
        <v>71549</v>
      </c>
      <c r="K14" s="26">
        <v>71549</v>
      </c>
      <c r="L14" s="26">
        <v>0</v>
      </c>
      <c r="M14" s="26">
        <v>0</v>
      </c>
      <c r="N14" s="26">
        <v>0</v>
      </c>
      <c r="O14" s="79">
        <f t="shared" ref="O14:O18" si="4">SUM(P14:S14)</f>
        <v>13882</v>
      </c>
      <c r="P14" s="26">
        <v>13882</v>
      </c>
      <c r="Q14" s="26">
        <v>0</v>
      </c>
      <c r="R14" s="26">
        <v>0</v>
      </c>
      <c r="S14" s="26">
        <v>0</v>
      </c>
      <c r="T14" s="79">
        <f t="shared" si="0"/>
        <v>0</v>
      </c>
      <c r="U14" s="26">
        <v>0</v>
      </c>
      <c r="V14" s="26">
        <v>0</v>
      </c>
      <c r="W14" s="26">
        <v>0</v>
      </c>
      <c r="X14" s="26">
        <v>0</v>
      </c>
      <c r="Y14" s="79">
        <f t="shared" si="1"/>
        <v>0</v>
      </c>
      <c r="Z14" s="26">
        <v>0</v>
      </c>
      <c r="AA14" s="26">
        <v>0</v>
      </c>
      <c r="AB14" s="26">
        <v>0</v>
      </c>
      <c r="AC14" s="26">
        <v>0</v>
      </c>
      <c r="AD14" s="79">
        <f>E14+J14+O14+T14+Y14</f>
        <v>115188</v>
      </c>
      <c r="AE14" s="50"/>
      <c r="AF14" s="50"/>
      <c r="AG14" s="50"/>
      <c r="AH14" s="50"/>
    </row>
    <row r="15" spans="1:34" ht="85.5" customHeight="1" outlineLevel="1" x14ac:dyDescent="0.2">
      <c r="A15" s="81" t="s">
        <v>13</v>
      </c>
      <c r="B15" s="76" t="s">
        <v>177</v>
      </c>
      <c r="C15" s="77" t="s">
        <v>22</v>
      </c>
      <c r="D15" s="78" t="s">
        <v>416</v>
      </c>
      <c r="E15" s="79">
        <f t="shared" si="2"/>
        <v>3606</v>
      </c>
      <c r="F15" s="26">
        <v>3606</v>
      </c>
      <c r="G15" s="26">
        <v>0</v>
      </c>
      <c r="H15" s="26">
        <v>0</v>
      </c>
      <c r="I15" s="26">
        <v>0</v>
      </c>
      <c r="J15" s="79">
        <f t="shared" si="3"/>
        <v>0</v>
      </c>
      <c r="K15" s="26">
        <v>0</v>
      </c>
      <c r="L15" s="26">
        <v>0</v>
      </c>
      <c r="M15" s="26">
        <v>0</v>
      </c>
      <c r="N15" s="26">
        <v>0</v>
      </c>
      <c r="O15" s="79">
        <f t="shared" si="4"/>
        <v>0</v>
      </c>
      <c r="P15" s="26">
        <v>0</v>
      </c>
      <c r="Q15" s="26">
        <v>0</v>
      </c>
      <c r="R15" s="26">
        <v>0</v>
      </c>
      <c r="S15" s="26">
        <v>0</v>
      </c>
      <c r="T15" s="79">
        <f t="shared" si="0"/>
        <v>3261</v>
      </c>
      <c r="U15" s="26">
        <v>3261</v>
      </c>
      <c r="V15" s="26">
        <v>0</v>
      </c>
      <c r="W15" s="26">
        <v>0</v>
      </c>
      <c r="X15" s="26">
        <v>0</v>
      </c>
      <c r="Y15" s="79">
        <f t="shared" si="1"/>
        <v>3391</v>
      </c>
      <c r="Z15" s="26">
        <v>3391</v>
      </c>
      <c r="AA15" s="26">
        <v>0</v>
      </c>
      <c r="AB15" s="26">
        <v>0</v>
      </c>
      <c r="AC15" s="26">
        <v>0</v>
      </c>
      <c r="AD15" s="79">
        <f t="shared" ref="AD15:AD18" si="5">E15+J15+O15+T15+Y15</f>
        <v>10258</v>
      </c>
      <c r="AE15" s="50"/>
      <c r="AF15" s="50"/>
      <c r="AG15" s="50"/>
      <c r="AH15" s="50"/>
    </row>
    <row r="16" spans="1:34" ht="88.5" customHeight="1" outlineLevel="1" x14ac:dyDescent="0.2">
      <c r="A16" s="81" t="s">
        <v>99</v>
      </c>
      <c r="B16" s="76" t="s">
        <v>124</v>
      </c>
      <c r="C16" s="77" t="s">
        <v>22</v>
      </c>
      <c r="D16" s="78" t="s">
        <v>417</v>
      </c>
      <c r="E16" s="79">
        <f t="shared" si="2"/>
        <v>124</v>
      </c>
      <c r="F16" s="26">
        <v>124</v>
      </c>
      <c r="G16" s="26">
        <v>0</v>
      </c>
      <c r="H16" s="26">
        <v>0</v>
      </c>
      <c r="I16" s="26">
        <v>0</v>
      </c>
      <c r="J16" s="79">
        <f t="shared" si="3"/>
        <v>129</v>
      </c>
      <c r="K16" s="26">
        <v>129</v>
      </c>
      <c r="L16" s="26">
        <v>0</v>
      </c>
      <c r="M16" s="26">
        <v>0</v>
      </c>
      <c r="N16" s="26">
        <v>0</v>
      </c>
      <c r="O16" s="79">
        <f t="shared" si="4"/>
        <v>0</v>
      </c>
      <c r="P16" s="26">
        <v>0</v>
      </c>
      <c r="Q16" s="26">
        <v>0</v>
      </c>
      <c r="R16" s="26">
        <v>0</v>
      </c>
      <c r="S16" s="26">
        <v>0</v>
      </c>
      <c r="T16" s="79">
        <f t="shared" si="0"/>
        <v>4593</v>
      </c>
      <c r="U16" s="26">
        <v>4593</v>
      </c>
      <c r="V16" s="26">
        <v>0</v>
      </c>
      <c r="W16" s="26">
        <v>0</v>
      </c>
      <c r="X16" s="26">
        <v>0</v>
      </c>
      <c r="Y16" s="79">
        <f t="shared" si="1"/>
        <v>4777</v>
      </c>
      <c r="Z16" s="26">
        <v>4777</v>
      </c>
      <c r="AA16" s="26">
        <v>0</v>
      </c>
      <c r="AB16" s="26">
        <v>0</v>
      </c>
      <c r="AC16" s="26">
        <v>0</v>
      </c>
      <c r="AD16" s="79">
        <f t="shared" si="5"/>
        <v>9623</v>
      </c>
      <c r="AE16" s="50"/>
      <c r="AF16" s="50"/>
      <c r="AG16" s="50"/>
      <c r="AH16" s="50"/>
    </row>
    <row r="17" spans="1:34" ht="100.5" customHeight="1" outlineLevel="1" x14ac:dyDescent="0.2">
      <c r="A17" s="81" t="s">
        <v>100</v>
      </c>
      <c r="B17" s="76" t="s">
        <v>307</v>
      </c>
      <c r="C17" s="77" t="s">
        <v>22</v>
      </c>
      <c r="D17" s="78" t="s">
        <v>418</v>
      </c>
      <c r="E17" s="79">
        <f t="shared" ref="E17" si="6">SUM(F17:I17)</f>
        <v>22702</v>
      </c>
      <c r="F17" s="26">
        <f>113904-91202</f>
        <v>22702</v>
      </c>
      <c r="G17" s="26">
        <v>0</v>
      </c>
      <c r="H17" s="26">
        <v>0</v>
      </c>
      <c r="I17" s="26">
        <v>0</v>
      </c>
      <c r="J17" s="79">
        <f t="shared" si="3"/>
        <v>138013</v>
      </c>
      <c r="K17" s="26">
        <f>46811+91202</f>
        <v>138013</v>
      </c>
      <c r="L17" s="26">
        <v>0</v>
      </c>
      <c r="M17" s="26">
        <v>0</v>
      </c>
      <c r="N17" s="26">
        <v>0</v>
      </c>
      <c r="O17" s="79">
        <f t="shared" si="4"/>
        <v>59447</v>
      </c>
      <c r="P17" s="26">
        <v>59447</v>
      </c>
      <c r="Q17" s="26">
        <v>0</v>
      </c>
      <c r="R17" s="26">
        <v>0</v>
      </c>
      <c r="S17" s="26">
        <v>0</v>
      </c>
      <c r="T17" s="79">
        <f t="shared" ref="T17" si="7">SUM(U17:X17)</f>
        <v>0</v>
      </c>
      <c r="U17" s="26">
        <v>0</v>
      </c>
      <c r="V17" s="26">
        <v>0</v>
      </c>
      <c r="W17" s="26">
        <v>0</v>
      </c>
      <c r="X17" s="26">
        <v>0</v>
      </c>
      <c r="Y17" s="79">
        <f>SUM(Z17:AC17)</f>
        <v>0</v>
      </c>
      <c r="Z17" s="26">
        <v>0</v>
      </c>
      <c r="AA17" s="26">
        <v>0</v>
      </c>
      <c r="AB17" s="26">
        <v>0</v>
      </c>
      <c r="AC17" s="26">
        <v>0</v>
      </c>
      <c r="AD17" s="79">
        <f t="shared" si="5"/>
        <v>220162</v>
      </c>
      <c r="AE17" s="50"/>
      <c r="AF17" s="50"/>
      <c r="AG17" s="50"/>
      <c r="AH17" s="50"/>
    </row>
    <row r="18" spans="1:34" ht="87.75" customHeight="1" outlineLevel="1" x14ac:dyDescent="0.2">
      <c r="A18" s="75" t="s">
        <v>101</v>
      </c>
      <c r="B18" s="82" t="s">
        <v>202</v>
      </c>
      <c r="C18" s="77" t="s">
        <v>25</v>
      </c>
      <c r="D18" s="83" t="s">
        <v>294</v>
      </c>
      <c r="E18" s="79">
        <f t="shared" si="2"/>
        <v>0</v>
      </c>
      <c r="F18" s="26">
        <v>0</v>
      </c>
      <c r="G18" s="26">
        <v>0</v>
      </c>
      <c r="H18" s="26">
        <v>0</v>
      </c>
      <c r="I18" s="26">
        <v>0</v>
      </c>
      <c r="J18" s="79">
        <f t="shared" si="3"/>
        <v>0</v>
      </c>
      <c r="K18" s="26">
        <v>0</v>
      </c>
      <c r="L18" s="26">
        <v>0</v>
      </c>
      <c r="M18" s="26">
        <v>0</v>
      </c>
      <c r="N18" s="26">
        <v>0</v>
      </c>
      <c r="O18" s="79">
        <f t="shared" si="4"/>
        <v>4729</v>
      </c>
      <c r="P18" s="26">
        <f>12154-7425</f>
        <v>4729</v>
      </c>
      <c r="Q18" s="26">
        <v>0</v>
      </c>
      <c r="R18" s="26">
        <v>0</v>
      </c>
      <c r="S18" s="26">
        <v>0</v>
      </c>
      <c r="T18" s="79">
        <f t="shared" si="0"/>
        <v>0</v>
      </c>
      <c r="U18" s="26">
        <v>0</v>
      </c>
      <c r="V18" s="26">
        <v>0</v>
      </c>
      <c r="W18" s="26">
        <v>0</v>
      </c>
      <c r="X18" s="26">
        <v>0</v>
      </c>
      <c r="Y18" s="79">
        <f t="shared" si="1"/>
        <v>0</v>
      </c>
      <c r="Z18" s="26">
        <v>0</v>
      </c>
      <c r="AA18" s="26">
        <v>0</v>
      </c>
      <c r="AB18" s="26">
        <v>0</v>
      </c>
      <c r="AC18" s="26">
        <v>0</v>
      </c>
      <c r="AD18" s="79">
        <f t="shared" si="5"/>
        <v>4729</v>
      </c>
      <c r="AE18" s="50"/>
      <c r="AF18" s="50"/>
      <c r="AG18" s="50"/>
      <c r="AH18" s="50"/>
    </row>
    <row r="19" spans="1:34" ht="103.5" customHeight="1" outlineLevel="1" x14ac:dyDescent="0.2">
      <c r="A19" s="81" t="s">
        <v>102</v>
      </c>
      <c r="B19" s="76" t="s">
        <v>83</v>
      </c>
      <c r="C19" s="77" t="s">
        <v>22</v>
      </c>
      <c r="D19" s="78" t="s">
        <v>386</v>
      </c>
      <c r="E19" s="79">
        <f t="shared" ref="E19:E20" si="8">SUM(F19:I19)</f>
        <v>0</v>
      </c>
      <c r="F19" s="26">
        <f>1807-1807</f>
        <v>0</v>
      </c>
      <c r="G19" s="26">
        <v>0</v>
      </c>
      <c r="H19" s="26">
        <v>0</v>
      </c>
      <c r="I19" s="26">
        <v>0</v>
      </c>
      <c r="J19" s="79">
        <f t="shared" ref="J19:J20" si="9">SUM(K19:N19)</f>
        <v>5007</v>
      </c>
      <c r="K19" s="26">
        <v>5007</v>
      </c>
      <c r="L19" s="26">
        <v>0</v>
      </c>
      <c r="M19" s="26">
        <v>0</v>
      </c>
      <c r="N19" s="26">
        <v>0</v>
      </c>
      <c r="O19" s="79">
        <f t="shared" ref="O19:O20" si="10">SUM(P19:S19)</f>
        <v>6719</v>
      </c>
      <c r="P19" s="26">
        <v>6719</v>
      </c>
      <c r="Q19" s="26">
        <v>0</v>
      </c>
      <c r="R19" s="26">
        <v>0</v>
      </c>
      <c r="S19" s="26">
        <v>0</v>
      </c>
      <c r="T19" s="79">
        <f t="shared" ref="T19:T20" si="11">SUM(U19:X19)</f>
        <v>0</v>
      </c>
      <c r="U19" s="26">
        <v>0</v>
      </c>
      <c r="V19" s="26">
        <v>0</v>
      </c>
      <c r="W19" s="26">
        <v>0</v>
      </c>
      <c r="X19" s="26">
        <v>0</v>
      </c>
      <c r="Y19" s="79">
        <f t="shared" ref="Y19:Y20" si="12">SUM(Z19:AC19)</f>
        <v>0</v>
      </c>
      <c r="Z19" s="26">
        <v>0</v>
      </c>
      <c r="AA19" s="26">
        <v>0</v>
      </c>
      <c r="AB19" s="26">
        <v>0</v>
      </c>
      <c r="AC19" s="26">
        <v>0</v>
      </c>
      <c r="AD19" s="79">
        <f t="shared" ref="AD19:AD20" si="13">E19+J19+O19+T19+Y19</f>
        <v>11726</v>
      </c>
      <c r="AE19" s="50"/>
      <c r="AF19" s="50"/>
      <c r="AG19" s="50"/>
      <c r="AH19" s="50"/>
    </row>
    <row r="20" spans="1:34" ht="111.75" customHeight="1" outlineLevel="1" x14ac:dyDescent="0.2">
      <c r="A20" s="81" t="s">
        <v>384</v>
      </c>
      <c r="B20" s="76" t="s">
        <v>387</v>
      </c>
      <c r="C20" s="77" t="s">
        <v>22</v>
      </c>
      <c r="D20" s="84">
        <v>2026</v>
      </c>
      <c r="E20" s="79">
        <f t="shared" si="8"/>
        <v>2050</v>
      </c>
      <c r="F20" s="26">
        <f>1450+600</f>
        <v>2050</v>
      </c>
      <c r="G20" s="26">
        <v>0</v>
      </c>
      <c r="H20" s="26">
        <v>0</v>
      </c>
      <c r="I20" s="26">
        <v>0</v>
      </c>
      <c r="J20" s="79">
        <f t="shared" si="9"/>
        <v>0</v>
      </c>
      <c r="K20" s="26">
        <v>0</v>
      </c>
      <c r="L20" s="26">
        <v>0</v>
      </c>
      <c r="M20" s="26">
        <v>0</v>
      </c>
      <c r="N20" s="26">
        <v>0</v>
      </c>
      <c r="O20" s="79">
        <f t="shared" si="10"/>
        <v>0</v>
      </c>
      <c r="P20" s="26">
        <v>0</v>
      </c>
      <c r="Q20" s="26">
        <v>0</v>
      </c>
      <c r="R20" s="26">
        <v>0</v>
      </c>
      <c r="S20" s="26">
        <v>0</v>
      </c>
      <c r="T20" s="79">
        <f t="shared" si="11"/>
        <v>0</v>
      </c>
      <c r="U20" s="26">
        <v>0</v>
      </c>
      <c r="V20" s="26">
        <v>0</v>
      </c>
      <c r="W20" s="26">
        <v>0</v>
      </c>
      <c r="X20" s="26">
        <v>0</v>
      </c>
      <c r="Y20" s="79">
        <f t="shared" si="12"/>
        <v>0</v>
      </c>
      <c r="Z20" s="26">
        <v>0</v>
      </c>
      <c r="AA20" s="26">
        <v>0</v>
      </c>
      <c r="AB20" s="26">
        <v>0</v>
      </c>
      <c r="AC20" s="26">
        <v>0</v>
      </c>
      <c r="AD20" s="79">
        <f t="shared" si="13"/>
        <v>2050</v>
      </c>
      <c r="AE20" s="50"/>
      <c r="AF20" s="50"/>
      <c r="AG20" s="50"/>
      <c r="AH20" s="50"/>
    </row>
    <row r="21" spans="1:34" ht="123" customHeight="1" outlineLevel="1" x14ac:dyDescent="0.2">
      <c r="A21" s="81" t="s">
        <v>434</v>
      </c>
      <c r="B21" s="76" t="s">
        <v>435</v>
      </c>
      <c r="C21" s="77" t="s">
        <v>22</v>
      </c>
      <c r="D21" s="85">
        <v>2026</v>
      </c>
      <c r="E21" s="79">
        <f t="shared" ref="E21" si="14">SUM(F21:I21)</f>
        <v>3907</v>
      </c>
      <c r="F21" s="26">
        <f>0+3907</f>
        <v>3907</v>
      </c>
      <c r="G21" s="26">
        <v>0</v>
      </c>
      <c r="H21" s="26">
        <v>0</v>
      </c>
      <c r="I21" s="26">
        <v>0</v>
      </c>
      <c r="J21" s="79">
        <f t="shared" ref="J21" si="15">SUM(K21:N21)</f>
        <v>0</v>
      </c>
      <c r="K21" s="26">
        <v>0</v>
      </c>
      <c r="L21" s="26">
        <v>0</v>
      </c>
      <c r="M21" s="26">
        <v>0</v>
      </c>
      <c r="N21" s="26">
        <v>0</v>
      </c>
      <c r="O21" s="79">
        <f t="shared" ref="O21" si="16">SUM(P21:S21)</f>
        <v>0</v>
      </c>
      <c r="P21" s="26">
        <v>0</v>
      </c>
      <c r="Q21" s="26">
        <v>0</v>
      </c>
      <c r="R21" s="26">
        <v>0</v>
      </c>
      <c r="S21" s="26">
        <v>0</v>
      </c>
      <c r="T21" s="79">
        <f t="shared" ref="T21" si="17">SUM(U21:X21)</f>
        <v>0</v>
      </c>
      <c r="U21" s="26">
        <v>0</v>
      </c>
      <c r="V21" s="26">
        <v>0</v>
      </c>
      <c r="W21" s="26">
        <v>0</v>
      </c>
      <c r="X21" s="26">
        <v>0</v>
      </c>
      <c r="Y21" s="79">
        <f t="shared" ref="Y21" si="18">SUM(Z21:AC21)</f>
        <v>0</v>
      </c>
      <c r="Z21" s="26">
        <v>0</v>
      </c>
      <c r="AA21" s="26">
        <v>0</v>
      </c>
      <c r="AB21" s="26">
        <v>0</v>
      </c>
      <c r="AC21" s="26">
        <v>0</v>
      </c>
      <c r="AD21" s="79">
        <f t="shared" ref="AD21" si="19">E21+J21+O21+T21+Y21</f>
        <v>3907</v>
      </c>
      <c r="AE21" s="50"/>
      <c r="AF21" s="50"/>
      <c r="AG21" s="50"/>
      <c r="AH21" s="50"/>
    </row>
    <row r="22" spans="1:34" ht="40.9" customHeight="1" outlineLevel="1" x14ac:dyDescent="0.2">
      <c r="A22" s="73" t="s">
        <v>6</v>
      </c>
      <c r="B22" s="328" t="s">
        <v>178</v>
      </c>
      <c r="C22" s="328"/>
      <c r="D22" s="328"/>
      <c r="E22" s="328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328"/>
      <c r="W22" s="328"/>
      <c r="X22" s="328"/>
      <c r="Y22" s="328"/>
      <c r="Z22" s="328"/>
      <c r="AA22" s="328"/>
      <c r="AB22" s="328"/>
      <c r="AC22" s="328"/>
      <c r="AD22" s="328"/>
      <c r="AE22" s="50"/>
      <c r="AF22" s="50"/>
      <c r="AG22" s="50"/>
      <c r="AH22" s="50"/>
    </row>
    <row r="23" spans="1:34" ht="99.95" customHeight="1" outlineLevel="1" x14ac:dyDescent="0.2">
      <c r="A23" s="75" t="s">
        <v>7</v>
      </c>
      <c r="B23" s="76" t="s">
        <v>77</v>
      </c>
      <c r="C23" s="77" t="s">
        <v>126</v>
      </c>
      <c r="D23" s="85" t="s">
        <v>176</v>
      </c>
      <c r="E23" s="79">
        <f t="shared" ref="E23:E32" si="20">SUM(F23:I23)</f>
        <v>28632</v>
      </c>
      <c r="F23" s="26">
        <f>10639+10000+7993</f>
        <v>28632</v>
      </c>
      <c r="G23" s="26">
        <v>0</v>
      </c>
      <c r="H23" s="26">
        <v>0</v>
      </c>
      <c r="I23" s="26">
        <v>0</v>
      </c>
      <c r="J23" s="79">
        <f>SUM(K23:N23)</f>
        <v>11065</v>
      </c>
      <c r="K23" s="26">
        <v>11065</v>
      </c>
      <c r="L23" s="26">
        <v>0</v>
      </c>
      <c r="M23" s="26">
        <v>0</v>
      </c>
      <c r="N23" s="26">
        <v>0</v>
      </c>
      <c r="O23" s="79">
        <f>SUM(P23:S23)</f>
        <v>11508</v>
      </c>
      <c r="P23" s="26">
        <v>11508</v>
      </c>
      <c r="Q23" s="26">
        <v>0</v>
      </c>
      <c r="R23" s="26">
        <v>0</v>
      </c>
      <c r="S23" s="26">
        <v>0</v>
      </c>
      <c r="T23" s="79">
        <f t="shared" ref="T23:T29" si="21">SUM(U23:X23)</f>
        <v>6100</v>
      </c>
      <c r="U23" s="26">
        <v>6100</v>
      </c>
      <c r="V23" s="26">
        <v>0</v>
      </c>
      <c r="W23" s="26">
        <v>0</v>
      </c>
      <c r="X23" s="26">
        <v>0</v>
      </c>
      <c r="Y23" s="79">
        <f t="shared" ref="Y23:Y29" si="22">SUM(Z23:AC23)</f>
        <v>6344</v>
      </c>
      <c r="Z23" s="26">
        <v>6344</v>
      </c>
      <c r="AA23" s="26">
        <v>0</v>
      </c>
      <c r="AB23" s="26">
        <v>0</v>
      </c>
      <c r="AC23" s="26">
        <v>0</v>
      </c>
      <c r="AD23" s="79">
        <f t="shared" ref="AD23:AD32" si="23">E23+J23+O23+T23+Y23</f>
        <v>63649</v>
      </c>
      <c r="AE23" s="50"/>
      <c r="AF23" s="50"/>
      <c r="AG23" s="50"/>
      <c r="AH23" s="50"/>
    </row>
    <row r="24" spans="1:34" ht="99.95" customHeight="1" outlineLevel="1" x14ac:dyDescent="0.2">
      <c r="A24" s="81" t="s">
        <v>8</v>
      </c>
      <c r="B24" s="76" t="s">
        <v>78</v>
      </c>
      <c r="C24" s="77" t="s">
        <v>127</v>
      </c>
      <c r="D24" s="85" t="s">
        <v>176</v>
      </c>
      <c r="E24" s="79">
        <f t="shared" si="20"/>
        <v>1652</v>
      </c>
      <c r="F24" s="26">
        <v>1652</v>
      </c>
      <c r="G24" s="26">
        <v>0</v>
      </c>
      <c r="H24" s="26">
        <v>0</v>
      </c>
      <c r="I24" s="26">
        <v>0</v>
      </c>
      <c r="J24" s="79">
        <f>K24</f>
        <v>1718</v>
      </c>
      <c r="K24" s="26">
        <v>1718</v>
      </c>
      <c r="L24" s="26">
        <v>0</v>
      </c>
      <c r="M24" s="26">
        <v>0</v>
      </c>
      <c r="N24" s="26">
        <v>0</v>
      </c>
      <c r="O24" s="79">
        <f t="shared" ref="O24:O29" si="24">SUM(P24:S24)</f>
        <v>1787</v>
      </c>
      <c r="P24" s="26">
        <v>1787</v>
      </c>
      <c r="Q24" s="26">
        <v>0</v>
      </c>
      <c r="R24" s="26">
        <v>0</v>
      </c>
      <c r="S24" s="26">
        <v>0</v>
      </c>
      <c r="T24" s="79">
        <f t="shared" si="21"/>
        <v>6568</v>
      </c>
      <c r="U24" s="26">
        <v>6568</v>
      </c>
      <c r="V24" s="26">
        <v>0</v>
      </c>
      <c r="W24" s="26">
        <v>0</v>
      </c>
      <c r="X24" s="26">
        <v>0</v>
      </c>
      <c r="Y24" s="79">
        <f t="shared" si="22"/>
        <v>6831</v>
      </c>
      <c r="Z24" s="26">
        <v>6831</v>
      </c>
      <c r="AA24" s="26">
        <v>0</v>
      </c>
      <c r="AB24" s="26">
        <v>0</v>
      </c>
      <c r="AC24" s="26">
        <v>0</v>
      </c>
      <c r="AD24" s="79">
        <f>E24+J24+O24+T24+Y24</f>
        <v>18556</v>
      </c>
      <c r="AE24" s="50"/>
      <c r="AF24" s="50"/>
      <c r="AG24" s="50"/>
      <c r="AH24" s="50"/>
    </row>
    <row r="25" spans="1:34" ht="99.95" customHeight="1" outlineLevel="1" x14ac:dyDescent="0.2">
      <c r="A25" s="81" t="s">
        <v>12</v>
      </c>
      <c r="B25" s="76" t="s">
        <v>186</v>
      </c>
      <c r="C25" s="77" t="s">
        <v>127</v>
      </c>
      <c r="D25" s="85" t="s">
        <v>419</v>
      </c>
      <c r="E25" s="79">
        <f t="shared" si="20"/>
        <v>0</v>
      </c>
      <c r="F25" s="26">
        <v>0</v>
      </c>
      <c r="G25" s="26">
        <v>0</v>
      </c>
      <c r="H25" s="26">
        <v>0</v>
      </c>
      <c r="I25" s="26">
        <v>0</v>
      </c>
      <c r="J25" s="79">
        <f>SUM(K25:N25)</f>
        <v>0</v>
      </c>
      <c r="K25" s="26">
        <v>0</v>
      </c>
      <c r="L25" s="26">
        <v>0</v>
      </c>
      <c r="M25" s="26">
        <v>0</v>
      </c>
      <c r="N25" s="26">
        <v>0</v>
      </c>
      <c r="O25" s="79">
        <f t="shared" si="24"/>
        <v>0</v>
      </c>
      <c r="P25" s="27">
        <v>0</v>
      </c>
      <c r="Q25" s="26">
        <v>0</v>
      </c>
      <c r="R25" s="26">
        <v>0</v>
      </c>
      <c r="S25" s="26">
        <v>0</v>
      </c>
      <c r="T25" s="79">
        <f t="shared" si="21"/>
        <v>30321</v>
      </c>
      <c r="U25" s="26">
        <v>30321</v>
      </c>
      <c r="V25" s="26">
        <v>0</v>
      </c>
      <c r="W25" s="26">
        <v>0</v>
      </c>
      <c r="X25" s="26">
        <v>0</v>
      </c>
      <c r="Y25" s="79">
        <f t="shared" si="22"/>
        <v>31534</v>
      </c>
      <c r="Z25" s="26">
        <v>31534</v>
      </c>
      <c r="AA25" s="26">
        <v>0</v>
      </c>
      <c r="AB25" s="26">
        <v>0</v>
      </c>
      <c r="AC25" s="26">
        <v>0</v>
      </c>
      <c r="AD25" s="79">
        <f t="shared" si="23"/>
        <v>61855</v>
      </c>
      <c r="AE25" s="50"/>
      <c r="AF25" s="50"/>
      <c r="AG25" s="50"/>
      <c r="AH25" s="50"/>
    </row>
    <row r="26" spans="1:34" ht="99.95" customHeight="1" outlineLevel="1" x14ac:dyDescent="0.2">
      <c r="A26" s="81" t="s">
        <v>103</v>
      </c>
      <c r="B26" s="76" t="s">
        <v>289</v>
      </c>
      <c r="C26" s="77" t="s">
        <v>127</v>
      </c>
      <c r="D26" s="85" t="s">
        <v>176</v>
      </c>
      <c r="E26" s="79">
        <f t="shared" si="20"/>
        <v>0</v>
      </c>
      <c r="F26" s="26">
        <v>0</v>
      </c>
      <c r="G26" s="26">
        <v>0</v>
      </c>
      <c r="H26" s="26">
        <v>0</v>
      </c>
      <c r="I26" s="26">
        <v>0</v>
      </c>
      <c r="J26" s="79">
        <f t="shared" ref="J26:J27" si="25">SUM(K26:N26)</f>
        <v>0</v>
      </c>
      <c r="K26" s="26">
        <v>0</v>
      </c>
      <c r="L26" s="26">
        <v>0</v>
      </c>
      <c r="M26" s="26">
        <v>0</v>
      </c>
      <c r="N26" s="26">
        <v>0</v>
      </c>
      <c r="O26" s="79">
        <f t="shared" si="24"/>
        <v>0</v>
      </c>
      <c r="P26" s="27">
        <v>0</v>
      </c>
      <c r="Q26" s="26">
        <v>0</v>
      </c>
      <c r="R26" s="26">
        <v>0</v>
      </c>
      <c r="S26" s="26">
        <v>0</v>
      </c>
      <c r="T26" s="79">
        <f t="shared" si="21"/>
        <v>0</v>
      </c>
      <c r="U26" s="26">
        <v>0</v>
      </c>
      <c r="V26" s="26">
        <v>0</v>
      </c>
      <c r="W26" s="26">
        <v>0</v>
      </c>
      <c r="X26" s="26">
        <v>0</v>
      </c>
      <c r="Y26" s="79">
        <f t="shared" si="22"/>
        <v>0</v>
      </c>
      <c r="Z26" s="26">
        <v>0</v>
      </c>
      <c r="AA26" s="26">
        <v>0</v>
      </c>
      <c r="AB26" s="26">
        <v>0</v>
      </c>
      <c r="AC26" s="26">
        <v>0</v>
      </c>
      <c r="AD26" s="79">
        <f t="shared" si="23"/>
        <v>0</v>
      </c>
      <c r="AE26" s="50"/>
      <c r="AF26" s="50"/>
      <c r="AG26" s="50"/>
      <c r="AH26" s="50"/>
    </row>
    <row r="27" spans="1:34" ht="99.95" customHeight="1" outlineLevel="1" x14ac:dyDescent="0.2">
      <c r="A27" s="81" t="s">
        <v>104</v>
      </c>
      <c r="B27" s="76" t="s">
        <v>290</v>
      </c>
      <c r="C27" s="77" t="s">
        <v>127</v>
      </c>
      <c r="D27" s="85" t="s">
        <v>176</v>
      </c>
      <c r="E27" s="79">
        <f t="shared" si="20"/>
        <v>0</v>
      </c>
      <c r="F27" s="26">
        <v>0</v>
      </c>
      <c r="G27" s="26">
        <v>0</v>
      </c>
      <c r="H27" s="26">
        <v>0</v>
      </c>
      <c r="I27" s="26">
        <v>0</v>
      </c>
      <c r="J27" s="79">
        <f t="shared" si="25"/>
        <v>0</v>
      </c>
      <c r="K27" s="26">
        <v>0</v>
      </c>
      <c r="L27" s="26">
        <v>0</v>
      </c>
      <c r="M27" s="26">
        <v>0</v>
      </c>
      <c r="N27" s="26">
        <v>0</v>
      </c>
      <c r="O27" s="79">
        <f t="shared" si="24"/>
        <v>0</v>
      </c>
      <c r="P27" s="27">
        <v>0</v>
      </c>
      <c r="Q27" s="26">
        <v>0</v>
      </c>
      <c r="R27" s="26">
        <v>0</v>
      </c>
      <c r="S27" s="26">
        <v>0</v>
      </c>
      <c r="T27" s="79">
        <f t="shared" si="21"/>
        <v>0</v>
      </c>
      <c r="U27" s="26">
        <v>0</v>
      </c>
      <c r="V27" s="26">
        <v>0</v>
      </c>
      <c r="W27" s="26">
        <v>0</v>
      </c>
      <c r="X27" s="26">
        <v>0</v>
      </c>
      <c r="Y27" s="79">
        <f t="shared" si="22"/>
        <v>0</v>
      </c>
      <c r="Z27" s="26">
        <v>0</v>
      </c>
      <c r="AA27" s="26">
        <v>0</v>
      </c>
      <c r="AB27" s="26">
        <v>0</v>
      </c>
      <c r="AC27" s="26">
        <v>0</v>
      </c>
      <c r="AD27" s="79">
        <f t="shared" si="23"/>
        <v>0</v>
      </c>
      <c r="AE27" s="50"/>
      <c r="AF27" s="50"/>
      <c r="AG27" s="50"/>
      <c r="AH27" s="50"/>
    </row>
    <row r="28" spans="1:34" ht="99.95" customHeight="1" outlineLevel="1" x14ac:dyDescent="0.2">
      <c r="A28" s="81" t="s">
        <v>282</v>
      </c>
      <c r="B28" s="76" t="s">
        <v>283</v>
      </c>
      <c r="C28" s="77" t="s">
        <v>22</v>
      </c>
      <c r="D28" s="85" t="s">
        <v>176</v>
      </c>
      <c r="E28" s="79">
        <f t="shared" si="20"/>
        <v>0</v>
      </c>
      <c r="F28" s="26">
        <v>0</v>
      </c>
      <c r="G28" s="26">
        <v>0</v>
      </c>
      <c r="H28" s="26">
        <v>0</v>
      </c>
      <c r="I28" s="26">
        <v>0</v>
      </c>
      <c r="J28" s="79">
        <f>SUM(K28:N28)</f>
        <v>0</v>
      </c>
      <c r="K28" s="26">
        <v>0</v>
      </c>
      <c r="L28" s="26">
        <v>0</v>
      </c>
      <c r="M28" s="26">
        <v>0</v>
      </c>
      <c r="N28" s="26">
        <v>0</v>
      </c>
      <c r="O28" s="79">
        <f t="shared" si="24"/>
        <v>0</v>
      </c>
      <c r="P28" s="27">
        <v>0</v>
      </c>
      <c r="Q28" s="26">
        <v>0</v>
      </c>
      <c r="R28" s="26">
        <v>0</v>
      </c>
      <c r="S28" s="26">
        <v>0</v>
      </c>
      <c r="T28" s="79">
        <f t="shared" si="21"/>
        <v>0</v>
      </c>
      <c r="U28" s="26">
        <v>0</v>
      </c>
      <c r="V28" s="26">
        <v>0</v>
      </c>
      <c r="W28" s="26">
        <v>0</v>
      </c>
      <c r="X28" s="26">
        <v>0</v>
      </c>
      <c r="Y28" s="79">
        <f t="shared" si="22"/>
        <v>0</v>
      </c>
      <c r="Z28" s="26">
        <v>0</v>
      </c>
      <c r="AA28" s="26">
        <v>0</v>
      </c>
      <c r="AB28" s="26">
        <v>0</v>
      </c>
      <c r="AC28" s="26">
        <v>0</v>
      </c>
      <c r="AD28" s="79">
        <f t="shared" si="23"/>
        <v>0</v>
      </c>
      <c r="AE28" s="50"/>
      <c r="AF28" s="50"/>
      <c r="AG28" s="50"/>
      <c r="AH28" s="50"/>
    </row>
    <row r="29" spans="1:34" ht="99.95" customHeight="1" outlineLevel="1" x14ac:dyDescent="0.2">
      <c r="A29" s="81" t="s">
        <v>285</v>
      </c>
      <c r="B29" s="76" t="s">
        <v>35</v>
      </c>
      <c r="C29" s="77" t="s">
        <v>22</v>
      </c>
      <c r="D29" s="85" t="s">
        <v>176</v>
      </c>
      <c r="E29" s="79">
        <f t="shared" si="20"/>
        <v>70636</v>
      </c>
      <c r="F29" s="26">
        <v>70636</v>
      </c>
      <c r="G29" s="26">
        <v>0</v>
      </c>
      <c r="H29" s="26">
        <v>0</v>
      </c>
      <c r="I29" s="26">
        <v>0</v>
      </c>
      <c r="J29" s="79">
        <f>SUM(K29:N29)</f>
        <v>77650</v>
      </c>
      <c r="K29" s="26">
        <v>77650</v>
      </c>
      <c r="L29" s="26">
        <v>0</v>
      </c>
      <c r="M29" s="26">
        <v>0</v>
      </c>
      <c r="N29" s="26">
        <v>0</v>
      </c>
      <c r="O29" s="79">
        <f t="shared" si="24"/>
        <v>80756</v>
      </c>
      <c r="P29" s="27">
        <v>80756</v>
      </c>
      <c r="Q29" s="26">
        <v>0</v>
      </c>
      <c r="R29" s="26">
        <v>0</v>
      </c>
      <c r="S29" s="26">
        <v>0</v>
      </c>
      <c r="T29" s="79">
        <f t="shared" si="21"/>
        <v>80407</v>
      </c>
      <c r="U29" s="26">
        <v>80407</v>
      </c>
      <c r="V29" s="26">
        <v>0</v>
      </c>
      <c r="W29" s="26">
        <v>0</v>
      </c>
      <c r="X29" s="26">
        <v>0</v>
      </c>
      <c r="Y29" s="79">
        <f t="shared" si="22"/>
        <v>83623</v>
      </c>
      <c r="Z29" s="26">
        <v>83623</v>
      </c>
      <c r="AA29" s="26">
        <v>0</v>
      </c>
      <c r="AB29" s="26">
        <v>0</v>
      </c>
      <c r="AC29" s="26">
        <v>0</v>
      </c>
      <c r="AD29" s="79">
        <f t="shared" si="23"/>
        <v>393072</v>
      </c>
      <c r="AE29" s="50"/>
      <c r="AF29" s="50"/>
      <c r="AG29" s="50"/>
      <c r="AH29" s="50"/>
    </row>
    <row r="30" spans="1:34" ht="99.95" customHeight="1" outlineLevel="1" x14ac:dyDescent="0.2">
      <c r="A30" s="81" t="s">
        <v>286</v>
      </c>
      <c r="B30" s="76" t="s">
        <v>311</v>
      </c>
      <c r="C30" s="77" t="s">
        <v>22</v>
      </c>
      <c r="D30" s="85">
        <v>2026</v>
      </c>
      <c r="E30" s="79">
        <f t="shared" si="20"/>
        <v>21377</v>
      </c>
      <c r="F30" s="26">
        <f>21377</f>
        <v>21377</v>
      </c>
      <c r="G30" s="26">
        <v>0</v>
      </c>
      <c r="H30" s="26">
        <v>0</v>
      </c>
      <c r="I30" s="26">
        <v>0</v>
      </c>
      <c r="J30" s="79">
        <f>SUM(K30:N30)</f>
        <v>0</v>
      </c>
      <c r="K30" s="26">
        <v>0</v>
      </c>
      <c r="L30" s="26">
        <v>0</v>
      </c>
      <c r="M30" s="26">
        <v>0</v>
      </c>
      <c r="N30" s="26">
        <v>0</v>
      </c>
      <c r="O30" s="79">
        <f>SUM(P30:S30)</f>
        <v>0</v>
      </c>
      <c r="P30" s="27">
        <v>0</v>
      </c>
      <c r="Q30" s="26">
        <v>0</v>
      </c>
      <c r="R30" s="26">
        <v>0</v>
      </c>
      <c r="S30" s="26">
        <v>0</v>
      </c>
      <c r="T30" s="79">
        <f>SUM(U30:X30)</f>
        <v>0</v>
      </c>
      <c r="U30" s="26">
        <v>0</v>
      </c>
      <c r="V30" s="26">
        <v>0</v>
      </c>
      <c r="W30" s="26">
        <v>0</v>
      </c>
      <c r="X30" s="26">
        <v>0</v>
      </c>
      <c r="Y30" s="79">
        <f>SUM(Z30:AC30)</f>
        <v>0</v>
      </c>
      <c r="Z30" s="26">
        <v>0</v>
      </c>
      <c r="AA30" s="26">
        <v>0</v>
      </c>
      <c r="AB30" s="26">
        <v>0</v>
      </c>
      <c r="AC30" s="26">
        <v>0</v>
      </c>
      <c r="AD30" s="79">
        <f t="shared" si="23"/>
        <v>21377</v>
      </c>
      <c r="AE30" s="50"/>
      <c r="AF30" s="50"/>
      <c r="AG30" s="50"/>
      <c r="AH30" s="50"/>
    </row>
    <row r="31" spans="1:34" ht="99.95" customHeight="1" outlineLevel="1" x14ac:dyDescent="0.2">
      <c r="A31" s="81" t="s">
        <v>310</v>
      </c>
      <c r="B31" s="76" t="s">
        <v>312</v>
      </c>
      <c r="C31" s="77" t="s">
        <v>22</v>
      </c>
      <c r="D31" s="85">
        <v>2026</v>
      </c>
      <c r="E31" s="79">
        <f t="shared" ref="E31" si="26">SUM(F31:I31)</f>
        <v>437</v>
      </c>
      <c r="F31" s="26">
        <v>437</v>
      </c>
      <c r="G31" s="26">
        <v>0</v>
      </c>
      <c r="H31" s="26">
        <v>0</v>
      </c>
      <c r="I31" s="26">
        <v>0</v>
      </c>
      <c r="J31" s="79">
        <f>SUM(K31:N31)</f>
        <v>0</v>
      </c>
      <c r="K31" s="26">
        <v>0</v>
      </c>
      <c r="L31" s="26">
        <v>0</v>
      </c>
      <c r="M31" s="26">
        <v>0</v>
      </c>
      <c r="N31" s="26">
        <v>0</v>
      </c>
      <c r="O31" s="79">
        <f>SUM(P31:S31)</f>
        <v>0</v>
      </c>
      <c r="P31" s="27">
        <v>0</v>
      </c>
      <c r="Q31" s="26">
        <v>0</v>
      </c>
      <c r="R31" s="26">
        <v>0</v>
      </c>
      <c r="S31" s="26">
        <v>0</v>
      </c>
      <c r="T31" s="79">
        <f>SUM(U31:X31)</f>
        <v>0</v>
      </c>
      <c r="U31" s="26">
        <v>0</v>
      </c>
      <c r="V31" s="26">
        <v>0</v>
      </c>
      <c r="W31" s="26">
        <v>0</v>
      </c>
      <c r="X31" s="26">
        <v>0</v>
      </c>
      <c r="Y31" s="79">
        <f>SUM(Z31:AC31)</f>
        <v>0</v>
      </c>
      <c r="Z31" s="26">
        <v>0</v>
      </c>
      <c r="AA31" s="26">
        <v>0</v>
      </c>
      <c r="AB31" s="26">
        <v>0</v>
      </c>
      <c r="AC31" s="26">
        <v>0</v>
      </c>
      <c r="AD31" s="79">
        <f t="shared" ref="AD31" si="27">E31+J31+O31+T31+Y31</f>
        <v>437</v>
      </c>
      <c r="AE31" s="50"/>
      <c r="AF31" s="50"/>
      <c r="AG31" s="50"/>
      <c r="AH31" s="50"/>
    </row>
    <row r="32" spans="1:34" ht="99.95" customHeight="1" outlineLevel="1" x14ac:dyDescent="0.2">
      <c r="A32" s="81" t="s">
        <v>385</v>
      </c>
      <c r="B32" s="76" t="s">
        <v>388</v>
      </c>
      <c r="C32" s="77" t="s">
        <v>22</v>
      </c>
      <c r="D32" s="85">
        <v>2026</v>
      </c>
      <c r="E32" s="79">
        <f t="shared" si="20"/>
        <v>966</v>
      </c>
      <c r="F32" s="26">
        <f>2901-1935</f>
        <v>966</v>
      </c>
      <c r="G32" s="26">
        <v>0</v>
      </c>
      <c r="H32" s="26">
        <v>0</v>
      </c>
      <c r="I32" s="26">
        <v>0</v>
      </c>
      <c r="J32" s="79">
        <f>SUM(K32:N32)</f>
        <v>0</v>
      </c>
      <c r="K32" s="26">
        <v>0</v>
      </c>
      <c r="L32" s="26">
        <v>0</v>
      </c>
      <c r="M32" s="26">
        <v>0</v>
      </c>
      <c r="N32" s="26">
        <v>0</v>
      </c>
      <c r="O32" s="79">
        <f>SUM(P32:S32)</f>
        <v>0</v>
      </c>
      <c r="P32" s="27">
        <v>0</v>
      </c>
      <c r="Q32" s="26">
        <v>0</v>
      </c>
      <c r="R32" s="26">
        <v>0</v>
      </c>
      <c r="S32" s="26">
        <v>0</v>
      </c>
      <c r="T32" s="79">
        <f>SUM(U32:X32)</f>
        <v>0</v>
      </c>
      <c r="U32" s="26">
        <v>0</v>
      </c>
      <c r="V32" s="26">
        <v>0</v>
      </c>
      <c r="W32" s="26">
        <v>0</v>
      </c>
      <c r="X32" s="26">
        <v>0</v>
      </c>
      <c r="Y32" s="79">
        <f>SUM(Z32:AC32)</f>
        <v>0</v>
      </c>
      <c r="Z32" s="26">
        <v>0</v>
      </c>
      <c r="AA32" s="26">
        <v>0</v>
      </c>
      <c r="AB32" s="26">
        <v>0</v>
      </c>
      <c r="AC32" s="26">
        <v>0</v>
      </c>
      <c r="AD32" s="79">
        <f t="shared" si="23"/>
        <v>966</v>
      </c>
      <c r="AE32" s="50"/>
      <c r="AF32" s="50"/>
      <c r="AG32" s="50"/>
      <c r="AH32" s="50"/>
    </row>
    <row r="33" spans="1:34" ht="46.9" customHeight="1" outlineLevel="1" x14ac:dyDescent="0.2">
      <c r="A33" s="73" t="s">
        <v>11</v>
      </c>
      <c r="B33" s="328" t="s">
        <v>179</v>
      </c>
      <c r="C33" s="328"/>
      <c r="D33" s="328"/>
      <c r="E33" s="328"/>
      <c r="F33" s="328"/>
      <c r="G33" s="328"/>
      <c r="H33" s="328"/>
      <c r="I33" s="328"/>
      <c r="J33" s="328"/>
      <c r="K33" s="328"/>
      <c r="L33" s="328"/>
      <c r="M33" s="328"/>
      <c r="N33" s="328"/>
      <c r="O33" s="328"/>
      <c r="P33" s="328"/>
      <c r="Q33" s="328"/>
      <c r="R33" s="328"/>
      <c r="S33" s="328"/>
      <c r="T33" s="328"/>
      <c r="U33" s="328"/>
      <c r="V33" s="328"/>
      <c r="W33" s="328"/>
      <c r="X33" s="328"/>
      <c r="Y33" s="328"/>
      <c r="Z33" s="328"/>
      <c r="AA33" s="328"/>
      <c r="AB33" s="328"/>
      <c r="AC33" s="328"/>
      <c r="AD33" s="328"/>
      <c r="AE33" s="50"/>
      <c r="AF33" s="50"/>
      <c r="AG33" s="50"/>
      <c r="AH33" s="50"/>
    </row>
    <row r="34" spans="1:34" ht="119.25" customHeight="1" outlineLevel="1" x14ac:dyDescent="0.2">
      <c r="A34" s="81" t="s">
        <v>60</v>
      </c>
      <c r="B34" s="82" t="s">
        <v>313</v>
      </c>
      <c r="C34" s="282" t="s">
        <v>127</v>
      </c>
      <c r="D34" s="86" t="s">
        <v>176</v>
      </c>
      <c r="E34" s="87">
        <f>SUM(F34:I34)</f>
        <v>97206</v>
      </c>
      <c r="F34" s="27">
        <f>97206</f>
        <v>97206</v>
      </c>
      <c r="G34" s="27">
        <v>0</v>
      </c>
      <c r="H34" s="27">
        <v>0</v>
      </c>
      <c r="I34" s="27">
        <v>0</v>
      </c>
      <c r="J34" s="88">
        <f>SUM(K34:N34)</f>
        <v>97682</v>
      </c>
      <c r="K34" s="27">
        <v>97682</v>
      </c>
      <c r="L34" s="27">
        <v>0</v>
      </c>
      <c r="M34" s="27">
        <v>0</v>
      </c>
      <c r="N34" s="27">
        <v>0</v>
      </c>
      <c r="O34" s="88">
        <f>SUM(P34:S34)</f>
        <v>95773</v>
      </c>
      <c r="P34" s="27">
        <v>95773</v>
      </c>
      <c r="Q34" s="27">
        <v>0</v>
      </c>
      <c r="R34" s="27">
        <v>0</v>
      </c>
      <c r="S34" s="27">
        <v>0</v>
      </c>
      <c r="T34" s="88">
        <f>SUM(U34:X34)</f>
        <v>99397</v>
      </c>
      <c r="U34" s="27">
        <f>92591+6806</f>
        <v>99397</v>
      </c>
      <c r="V34" s="27">
        <v>0</v>
      </c>
      <c r="W34" s="27">
        <v>0</v>
      </c>
      <c r="X34" s="27">
        <v>0</v>
      </c>
      <c r="Y34" s="88">
        <f>SUM(Z34:AC34)</f>
        <v>103373</v>
      </c>
      <c r="Z34" s="27">
        <f>96295+7078</f>
        <v>103373</v>
      </c>
      <c r="AA34" s="27">
        <v>0</v>
      </c>
      <c r="AB34" s="27">
        <v>0</v>
      </c>
      <c r="AC34" s="27">
        <v>0</v>
      </c>
      <c r="AD34" s="88">
        <f>E34+J34+O34+T34+Y34</f>
        <v>493431</v>
      </c>
      <c r="AE34" s="50"/>
      <c r="AF34" s="50"/>
      <c r="AG34" s="50"/>
      <c r="AH34" s="50"/>
    </row>
    <row r="35" spans="1:34" ht="49.5" customHeight="1" outlineLevel="1" x14ac:dyDescent="0.2">
      <c r="A35" s="73" t="s">
        <v>135</v>
      </c>
      <c r="B35" s="328" t="s">
        <v>144</v>
      </c>
      <c r="C35" s="328"/>
      <c r="D35" s="328"/>
      <c r="E35" s="328"/>
      <c r="F35" s="328"/>
      <c r="G35" s="328"/>
      <c r="H35" s="328"/>
      <c r="I35" s="328"/>
      <c r="J35" s="328"/>
      <c r="K35" s="328"/>
      <c r="L35" s="328"/>
      <c r="M35" s="328"/>
      <c r="N35" s="328"/>
      <c r="O35" s="328"/>
      <c r="P35" s="328"/>
      <c r="Q35" s="328"/>
      <c r="R35" s="328"/>
      <c r="S35" s="328"/>
      <c r="T35" s="328"/>
      <c r="U35" s="328"/>
      <c r="V35" s="328"/>
      <c r="W35" s="328"/>
      <c r="X35" s="328"/>
      <c r="Y35" s="328"/>
      <c r="Z35" s="328"/>
      <c r="AA35" s="328"/>
      <c r="AB35" s="328"/>
      <c r="AC35" s="328"/>
      <c r="AD35" s="328"/>
      <c r="AE35" s="50"/>
      <c r="AF35" s="50"/>
      <c r="AG35" s="50"/>
      <c r="AH35" s="50"/>
    </row>
    <row r="36" spans="1:34" ht="251.25" customHeight="1" outlineLevel="1" x14ac:dyDescent="0.2">
      <c r="A36" s="89" t="s">
        <v>136</v>
      </c>
      <c r="B36" s="82" t="s">
        <v>158</v>
      </c>
      <c r="C36" s="282" t="s">
        <v>142</v>
      </c>
      <c r="D36" s="84" t="s">
        <v>176</v>
      </c>
      <c r="E36" s="27" t="s">
        <v>46</v>
      </c>
      <c r="F36" s="27" t="s">
        <v>46</v>
      </c>
      <c r="G36" s="27" t="s">
        <v>46</v>
      </c>
      <c r="H36" s="27" t="s">
        <v>46</v>
      </c>
      <c r="I36" s="27" t="s">
        <v>46</v>
      </c>
      <c r="J36" s="27" t="s">
        <v>46</v>
      </c>
      <c r="K36" s="27" t="s">
        <v>46</v>
      </c>
      <c r="L36" s="27" t="s">
        <v>46</v>
      </c>
      <c r="M36" s="27" t="s">
        <v>46</v>
      </c>
      <c r="N36" s="27" t="s">
        <v>46</v>
      </c>
      <c r="O36" s="27" t="s">
        <v>46</v>
      </c>
      <c r="P36" s="27" t="s">
        <v>46</v>
      </c>
      <c r="Q36" s="27" t="s">
        <v>46</v>
      </c>
      <c r="R36" s="27" t="s">
        <v>46</v>
      </c>
      <c r="S36" s="27" t="s">
        <v>46</v>
      </c>
      <c r="T36" s="88" t="s">
        <v>46</v>
      </c>
      <c r="U36" s="88" t="s">
        <v>46</v>
      </c>
      <c r="V36" s="88" t="s">
        <v>46</v>
      </c>
      <c r="W36" s="88" t="s">
        <v>46</v>
      </c>
      <c r="X36" s="88" t="s">
        <v>46</v>
      </c>
      <c r="Y36" s="88" t="s">
        <v>46</v>
      </c>
      <c r="Z36" s="88" t="s">
        <v>46</v>
      </c>
      <c r="AA36" s="88" t="s">
        <v>46</v>
      </c>
      <c r="AB36" s="88" t="s">
        <v>46</v>
      </c>
      <c r="AC36" s="88" t="s">
        <v>46</v>
      </c>
      <c r="AD36" s="88" t="s">
        <v>46</v>
      </c>
      <c r="AE36" s="50"/>
      <c r="AF36" s="50"/>
      <c r="AG36" s="50"/>
      <c r="AH36" s="50"/>
    </row>
    <row r="37" spans="1:34" ht="138" customHeight="1" outlineLevel="1" x14ac:dyDescent="0.2">
      <c r="A37" s="89" t="s">
        <v>137</v>
      </c>
      <c r="B37" s="82" t="s">
        <v>143</v>
      </c>
      <c r="C37" s="282" t="s">
        <v>142</v>
      </c>
      <c r="D37" s="84" t="s">
        <v>176</v>
      </c>
      <c r="E37" s="27" t="s">
        <v>46</v>
      </c>
      <c r="F37" s="27" t="s">
        <v>46</v>
      </c>
      <c r="G37" s="27" t="s">
        <v>46</v>
      </c>
      <c r="H37" s="27" t="s">
        <v>46</v>
      </c>
      <c r="I37" s="27" t="s">
        <v>46</v>
      </c>
      <c r="J37" s="27" t="s">
        <v>46</v>
      </c>
      <c r="K37" s="27" t="s">
        <v>46</v>
      </c>
      <c r="L37" s="27" t="s">
        <v>46</v>
      </c>
      <c r="M37" s="27" t="s">
        <v>46</v>
      </c>
      <c r="N37" s="27" t="s">
        <v>46</v>
      </c>
      <c r="O37" s="27" t="s">
        <v>46</v>
      </c>
      <c r="P37" s="27" t="s">
        <v>46</v>
      </c>
      <c r="Q37" s="27" t="s">
        <v>46</v>
      </c>
      <c r="R37" s="27" t="s">
        <v>46</v>
      </c>
      <c r="S37" s="27" t="s">
        <v>46</v>
      </c>
      <c r="T37" s="88" t="s">
        <v>46</v>
      </c>
      <c r="U37" s="88" t="s">
        <v>46</v>
      </c>
      <c r="V37" s="88" t="s">
        <v>46</v>
      </c>
      <c r="W37" s="88" t="s">
        <v>46</v>
      </c>
      <c r="X37" s="88" t="s">
        <v>46</v>
      </c>
      <c r="Y37" s="88" t="s">
        <v>46</v>
      </c>
      <c r="Z37" s="88" t="s">
        <v>46</v>
      </c>
      <c r="AA37" s="88" t="s">
        <v>46</v>
      </c>
      <c r="AB37" s="88" t="s">
        <v>46</v>
      </c>
      <c r="AC37" s="88" t="s">
        <v>46</v>
      </c>
      <c r="AD37" s="88" t="s">
        <v>46</v>
      </c>
      <c r="AE37" s="50"/>
      <c r="AF37" s="50"/>
      <c r="AG37" s="50"/>
      <c r="AH37" s="50"/>
    </row>
    <row r="38" spans="1:34" ht="120" customHeight="1" outlineLevel="1" x14ac:dyDescent="0.2">
      <c r="A38" s="89" t="s">
        <v>138</v>
      </c>
      <c r="B38" s="82" t="s">
        <v>184</v>
      </c>
      <c r="C38" s="282" t="s">
        <v>142</v>
      </c>
      <c r="D38" s="84" t="s">
        <v>176</v>
      </c>
      <c r="E38" s="27" t="s">
        <v>46</v>
      </c>
      <c r="F38" s="27" t="s">
        <v>46</v>
      </c>
      <c r="G38" s="27" t="s">
        <v>46</v>
      </c>
      <c r="H38" s="27" t="s">
        <v>46</v>
      </c>
      <c r="I38" s="27" t="s">
        <v>46</v>
      </c>
      <c r="J38" s="27" t="s">
        <v>46</v>
      </c>
      <c r="K38" s="27" t="s">
        <v>46</v>
      </c>
      <c r="L38" s="27" t="s">
        <v>46</v>
      </c>
      <c r="M38" s="27" t="s">
        <v>46</v>
      </c>
      <c r="N38" s="27" t="s">
        <v>46</v>
      </c>
      <c r="O38" s="27" t="s">
        <v>46</v>
      </c>
      <c r="P38" s="27" t="s">
        <v>46</v>
      </c>
      <c r="Q38" s="27" t="s">
        <v>46</v>
      </c>
      <c r="R38" s="27" t="s">
        <v>46</v>
      </c>
      <c r="S38" s="27" t="s">
        <v>46</v>
      </c>
      <c r="T38" s="88" t="s">
        <v>46</v>
      </c>
      <c r="U38" s="88" t="s">
        <v>46</v>
      </c>
      <c r="V38" s="88" t="s">
        <v>46</v>
      </c>
      <c r="W38" s="88" t="s">
        <v>46</v>
      </c>
      <c r="X38" s="88" t="s">
        <v>46</v>
      </c>
      <c r="Y38" s="88" t="s">
        <v>46</v>
      </c>
      <c r="Z38" s="88" t="s">
        <v>46</v>
      </c>
      <c r="AA38" s="88" t="s">
        <v>46</v>
      </c>
      <c r="AB38" s="88" t="s">
        <v>46</v>
      </c>
      <c r="AC38" s="88" t="s">
        <v>46</v>
      </c>
      <c r="AD38" s="88" t="s">
        <v>46</v>
      </c>
      <c r="AE38" s="50"/>
      <c r="AF38" s="50"/>
      <c r="AG38" s="50"/>
      <c r="AH38" s="50"/>
    </row>
    <row r="39" spans="1:34" ht="92.25" customHeight="1" outlineLevel="1" x14ac:dyDescent="0.2">
      <c r="A39" s="89" t="s">
        <v>139</v>
      </c>
      <c r="B39" s="82" t="s">
        <v>185</v>
      </c>
      <c r="C39" s="282" t="s">
        <v>142</v>
      </c>
      <c r="D39" s="84" t="s">
        <v>176</v>
      </c>
      <c r="E39" s="27" t="s">
        <v>46</v>
      </c>
      <c r="F39" s="27" t="s">
        <v>46</v>
      </c>
      <c r="G39" s="27" t="s">
        <v>46</v>
      </c>
      <c r="H39" s="27" t="s">
        <v>46</v>
      </c>
      <c r="I39" s="27" t="s">
        <v>46</v>
      </c>
      <c r="J39" s="27" t="s">
        <v>46</v>
      </c>
      <c r="K39" s="27" t="s">
        <v>46</v>
      </c>
      <c r="L39" s="27" t="s">
        <v>46</v>
      </c>
      <c r="M39" s="27" t="s">
        <v>46</v>
      </c>
      <c r="N39" s="27" t="s">
        <v>46</v>
      </c>
      <c r="O39" s="27" t="s">
        <v>46</v>
      </c>
      <c r="P39" s="27" t="s">
        <v>46</v>
      </c>
      <c r="Q39" s="27" t="s">
        <v>46</v>
      </c>
      <c r="R39" s="27" t="s">
        <v>46</v>
      </c>
      <c r="S39" s="27" t="s">
        <v>46</v>
      </c>
      <c r="T39" s="88" t="s">
        <v>46</v>
      </c>
      <c r="U39" s="88" t="s">
        <v>46</v>
      </c>
      <c r="V39" s="88" t="s">
        <v>46</v>
      </c>
      <c r="W39" s="88" t="s">
        <v>46</v>
      </c>
      <c r="X39" s="88" t="s">
        <v>46</v>
      </c>
      <c r="Y39" s="88" t="s">
        <v>46</v>
      </c>
      <c r="Z39" s="88" t="s">
        <v>46</v>
      </c>
      <c r="AA39" s="88" t="s">
        <v>46</v>
      </c>
      <c r="AB39" s="88" t="s">
        <v>46</v>
      </c>
      <c r="AC39" s="88" t="s">
        <v>46</v>
      </c>
      <c r="AD39" s="88" t="s">
        <v>46</v>
      </c>
      <c r="AE39" s="50"/>
      <c r="AF39" s="50"/>
      <c r="AG39" s="50"/>
      <c r="AH39" s="50"/>
    </row>
    <row r="40" spans="1:34" ht="90" customHeight="1" outlineLevel="1" x14ac:dyDescent="0.2">
      <c r="A40" s="89" t="s">
        <v>140</v>
      </c>
      <c r="B40" s="82" t="s">
        <v>148</v>
      </c>
      <c r="C40" s="282" t="s">
        <v>142</v>
      </c>
      <c r="D40" s="84" t="s">
        <v>176</v>
      </c>
      <c r="E40" s="27" t="s">
        <v>46</v>
      </c>
      <c r="F40" s="27" t="s">
        <v>46</v>
      </c>
      <c r="G40" s="27" t="s">
        <v>46</v>
      </c>
      <c r="H40" s="27" t="s">
        <v>46</v>
      </c>
      <c r="I40" s="27" t="s">
        <v>46</v>
      </c>
      <c r="J40" s="27" t="s">
        <v>46</v>
      </c>
      <c r="K40" s="27" t="s">
        <v>46</v>
      </c>
      <c r="L40" s="27" t="s">
        <v>46</v>
      </c>
      <c r="M40" s="27" t="s">
        <v>46</v>
      </c>
      <c r="N40" s="27" t="s">
        <v>46</v>
      </c>
      <c r="O40" s="27" t="s">
        <v>46</v>
      </c>
      <c r="P40" s="27" t="s">
        <v>46</v>
      </c>
      <c r="Q40" s="27" t="s">
        <v>46</v>
      </c>
      <c r="R40" s="27" t="s">
        <v>46</v>
      </c>
      <c r="S40" s="27" t="s">
        <v>46</v>
      </c>
      <c r="T40" s="88" t="s">
        <v>46</v>
      </c>
      <c r="U40" s="88" t="s">
        <v>46</v>
      </c>
      <c r="V40" s="88" t="s">
        <v>46</v>
      </c>
      <c r="W40" s="88" t="s">
        <v>46</v>
      </c>
      <c r="X40" s="88" t="s">
        <v>46</v>
      </c>
      <c r="Y40" s="88" t="s">
        <v>46</v>
      </c>
      <c r="Z40" s="88" t="s">
        <v>46</v>
      </c>
      <c r="AA40" s="88" t="s">
        <v>46</v>
      </c>
      <c r="AB40" s="88" t="s">
        <v>46</v>
      </c>
      <c r="AC40" s="88" t="s">
        <v>46</v>
      </c>
      <c r="AD40" s="88" t="s">
        <v>46</v>
      </c>
      <c r="AE40" s="50"/>
      <c r="AF40" s="50"/>
      <c r="AG40" s="50"/>
      <c r="AH40" s="50"/>
    </row>
    <row r="41" spans="1:34" ht="112.5" customHeight="1" outlineLevel="1" x14ac:dyDescent="0.2">
      <c r="A41" s="89" t="s">
        <v>141</v>
      </c>
      <c r="B41" s="28" t="s">
        <v>152</v>
      </c>
      <c r="C41" s="271" t="s">
        <v>180</v>
      </c>
      <c r="D41" s="84" t="s">
        <v>176</v>
      </c>
      <c r="E41" s="27" t="s">
        <v>46</v>
      </c>
      <c r="F41" s="27" t="s">
        <v>46</v>
      </c>
      <c r="G41" s="27" t="s">
        <v>46</v>
      </c>
      <c r="H41" s="27" t="s">
        <v>46</v>
      </c>
      <c r="I41" s="27" t="s">
        <v>46</v>
      </c>
      <c r="J41" s="27" t="s">
        <v>46</v>
      </c>
      <c r="K41" s="27" t="s">
        <v>46</v>
      </c>
      <c r="L41" s="27" t="s">
        <v>46</v>
      </c>
      <c r="M41" s="27" t="s">
        <v>46</v>
      </c>
      <c r="N41" s="27" t="s">
        <v>46</v>
      </c>
      <c r="O41" s="27" t="s">
        <v>46</v>
      </c>
      <c r="P41" s="27" t="s">
        <v>46</v>
      </c>
      <c r="Q41" s="27" t="s">
        <v>46</v>
      </c>
      <c r="R41" s="27" t="s">
        <v>46</v>
      </c>
      <c r="S41" s="27" t="s">
        <v>46</v>
      </c>
      <c r="T41" s="88" t="s">
        <v>46</v>
      </c>
      <c r="U41" s="88" t="s">
        <v>46</v>
      </c>
      <c r="V41" s="88" t="s">
        <v>46</v>
      </c>
      <c r="W41" s="88" t="s">
        <v>46</v>
      </c>
      <c r="X41" s="88" t="s">
        <v>46</v>
      </c>
      <c r="Y41" s="88" t="s">
        <v>46</v>
      </c>
      <c r="Z41" s="88" t="s">
        <v>46</v>
      </c>
      <c r="AA41" s="88" t="s">
        <v>46</v>
      </c>
      <c r="AB41" s="88" t="s">
        <v>46</v>
      </c>
      <c r="AC41" s="88" t="s">
        <v>46</v>
      </c>
      <c r="AD41" s="88" t="s">
        <v>46</v>
      </c>
      <c r="AE41" s="50"/>
      <c r="AF41" s="50"/>
      <c r="AG41" s="50"/>
      <c r="AH41" s="50"/>
    </row>
    <row r="42" spans="1:34" ht="114.75" customHeight="1" outlineLevel="1" x14ac:dyDescent="0.2">
      <c r="A42" s="89" t="s">
        <v>150</v>
      </c>
      <c r="B42" s="28" t="s">
        <v>162</v>
      </c>
      <c r="C42" s="282" t="s">
        <v>298</v>
      </c>
      <c r="D42" s="84" t="s">
        <v>176</v>
      </c>
      <c r="E42" s="27" t="s">
        <v>46</v>
      </c>
      <c r="F42" s="27" t="s">
        <v>46</v>
      </c>
      <c r="G42" s="27" t="s">
        <v>46</v>
      </c>
      <c r="H42" s="27" t="s">
        <v>46</v>
      </c>
      <c r="I42" s="27" t="s">
        <v>46</v>
      </c>
      <c r="J42" s="27" t="s">
        <v>46</v>
      </c>
      <c r="K42" s="27" t="s">
        <v>46</v>
      </c>
      <c r="L42" s="27" t="s">
        <v>46</v>
      </c>
      <c r="M42" s="27" t="s">
        <v>46</v>
      </c>
      <c r="N42" s="27" t="s">
        <v>46</v>
      </c>
      <c r="O42" s="27" t="s">
        <v>46</v>
      </c>
      <c r="P42" s="27" t="s">
        <v>46</v>
      </c>
      <c r="Q42" s="27" t="s">
        <v>46</v>
      </c>
      <c r="R42" s="27" t="s">
        <v>46</v>
      </c>
      <c r="S42" s="27" t="s">
        <v>46</v>
      </c>
      <c r="T42" s="27" t="s">
        <v>46</v>
      </c>
      <c r="U42" s="27" t="s">
        <v>46</v>
      </c>
      <c r="V42" s="27" t="s">
        <v>46</v>
      </c>
      <c r="W42" s="27" t="s">
        <v>46</v>
      </c>
      <c r="X42" s="27" t="s">
        <v>46</v>
      </c>
      <c r="Y42" s="27" t="s">
        <v>46</v>
      </c>
      <c r="Z42" s="27" t="s">
        <v>46</v>
      </c>
      <c r="AA42" s="27" t="s">
        <v>46</v>
      </c>
      <c r="AB42" s="27" t="s">
        <v>46</v>
      </c>
      <c r="AC42" s="27" t="s">
        <v>46</v>
      </c>
      <c r="AD42" s="88" t="s">
        <v>46</v>
      </c>
      <c r="AE42" s="50"/>
      <c r="AF42" s="50"/>
      <c r="AG42" s="50"/>
      <c r="AH42" s="50"/>
    </row>
    <row r="43" spans="1:34" ht="50.25" customHeight="1" outlineLevel="1" x14ac:dyDescent="0.2">
      <c r="A43" s="329" t="s">
        <v>181</v>
      </c>
      <c r="B43" s="330"/>
      <c r="C43" s="331"/>
      <c r="D43" s="90"/>
      <c r="E43" s="91">
        <f>SUM(F43:I43)</f>
        <v>283333</v>
      </c>
      <c r="F43" s="33">
        <f>SUM(F13:F34)</f>
        <v>283333</v>
      </c>
      <c r="G43" s="33">
        <f>SUM(G13:G34)</f>
        <v>0</v>
      </c>
      <c r="H43" s="33">
        <f>SUM(H13:H34)</f>
        <v>0</v>
      </c>
      <c r="I43" s="33">
        <f>SUM(I13:I34)</f>
        <v>0</v>
      </c>
      <c r="J43" s="32">
        <f>SUM(K43:N43)</f>
        <v>402813</v>
      </c>
      <c r="K43" s="33">
        <f>SUM(K13:K34)</f>
        <v>402813</v>
      </c>
      <c r="L43" s="33">
        <f>SUM(L13:L34)</f>
        <v>0</v>
      </c>
      <c r="M43" s="33">
        <f>SUM(M13:M34)</f>
        <v>0</v>
      </c>
      <c r="N43" s="33">
        <f>SUM(N13:N34)</f>
        <v>0</v>
      </c>
      <c r="O43" s="32">
        <f>SUM(P43:S43)</f>
        <v>274601</v>
      </c>
      <c r="P43" s="33">
        <f>SUM(P13:P34)</f>
        <v>274601</v>
      </c>
      <c r="Q43" s="33">
        <f>SUM(Q13:Q34)</f>
        <v>0</v>
      </c>
      <c r="R43" s="33">
        <f>SUM(R13:R34)</f>
        <v>0</v>
      </c>
      <c r="S43" s="33">
        <f>SUM(S13:S34)</f>
        <v>0</v>
      </c>
      <c r="T43" s="32">
        <f t="shared" ref="T43" si="28">SUM(U43:X43)</f>
        <v>236847</v>
      </c>
      <c r="U43" s="33">
        <f>SUM(U13:U34)</f>
        <v>236847</v>
      </c>
      <c r="V43" s="33">
        <v>0</v>
      </c>
      <c r="W43" s="33">
        <v>0</v>
      </c>
      <c r="X43" s="33">
        <v>0</v>
      </c>
      <c r="Y43" s="32">
        <f>SUM(Z43:AC43)</f>
        <v>246373</v>
      </c>
      <c r="Z43" s="33">
        <f>SUM(Z13:Z34)</f>
        <v>246373</v>
      </c>
      <c r="AA43" s="33">
        <v>0</v>
      </c>
      <c r="AB43" s="33">
        <v>0</v>
      </c>
      <c r="AC43" s="33">
        <v>0</v>
      </c>
      <c r="AD43" s="32">
        <f>E43+J43+O43+T43+Y43</f>
        <v>1443967</v>
      </c>
      <c r="AE43" s="33">
        <f>F43+K43+P43+U43+Z43</f>
        <v>1443967</v>
      </c>
      <c r="AF43" s="33">
        <f>G43+L43+Q43+V43+AA43</f>
        <v>0</v>
      </c>
      <c r="AG43" s="33">
        <f>H43+M43+R43+W43+AB43</f>
        <v>0</v>
      </c>
      <c r="AH43" s="33">
        <f>I43+N43+S43+X43+AC43</f>
        <v>0</v>
      </c>
    </row>
    <row r="44" spans="1:34" s="92" customFormat="1" ht="47.25" customHeight="1" x14ac:dyDescent="0.2">
      <c r="A44" s="267" t="s">
        <v>98</v>
      </c>
      <c r="B44" s="332" t="s">
        <v>490</v>
      </c>
      <c r="C44" s="333"/>
      <c r="D44" s="333"/>
      <c r="E44" s="333"/>
      <c r="F44" s="333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33"/>
      <c r="T44" s="333"/>
      <c r="U44" s="333"/>
      <c r="V44" s="333"/>
      <c r="W44" s="333"/>
      <c r="X44" s="333"/>
      <c r="Y44" s="333"/>
      <c r="Z44" s="333"/>
      <c r="AA44" s="333"/>
      <c r="AB44" s="333"/>
      <c r="AC44" s="333"/>
      <c r="AD44" s="334"/>
    </row>
    <row r="45" spans="1:34" ht="42" customHeight="1" x14ac:dyDescent="0.2">
      <c r="A45" s="335" t="s">
        <v>207</v>
      </c>
      <c r="B45" s="335"/>
      <c r="C45" s="335"/>
      <c r="D45" s="335"/>
      <c r="E45" s="335"/>
      <c r="F45" s="335"/>
      <c r="G45" s="335"/>
      <c r="H45" s="335"/>
      <c r="I45" s="335"/>
      <c r="J45" s="335"/>
      <c r="K45" s="335"/>
      <c r="L45" s="335"/>
      <c r="M45" s="335"/>
      <c r="N45" s="335"/>
      <c r="O45" s="335"/>
      <c r="P45" s="335"/>
      <c r="Q45" s="335"/>
      <c r="R45" s="335"/>
      <c r="S45" s="335"/>
      <c r="T45" s="335"/>
      <c r="U45" s="335"/>
      <c r="V45" s="335"/>
      <c r="W45" s="335"/>
      <c r="X45" s="335"/>
      <c r="Y45" s="335"/>
      <c r="Z45" s="335"/>
      <c r="AA45" s="335"/>
      <c r="AB45" s="335"/>
      <c r="AC45" s="335"/>
      <c r="AD45" s="335"/>
      <c r="AE45" s="50"/>
      <c r="AF45" s="50"/>
      <c r="AG45" s="50"/>
      <c r="AH45" s="50"/>
    </row>
    <row r="46" spans="1:34" s="93" customFormat="1" ht="43.15" customHeight="1" outlineLevel="1" x14ac:dyDescent="0.2">
      <c r="A46" s="314" t="s">
        <v>491</v>
      </c>
      <c r="B46" s="314"/>
      <c r="C46" s="314"/>
      <c r="D46" s="314"/>
      <c r="E46" s="314"/>
      <c r="F46" s="314"/>
      <c r="G46" s="314"/>
      <c r="H46" s="314"/>
      <c r="I46" s="314"/>
      <c r="J46" s="314"/>
      <c r="K46" s="314"/>
      <c r="L46" s="314"/>
      <c r="M46" s="314"/>
      <c r="N46" s="314"/>
      <c r="O46" s="314"/>
      <c r="P46" s="314"/>
      <c r="Q46" s="314"/>
      <c r="R46" s="314"/>
      <c r="S46" s="314"/>
      <c r="T46" s="314"/>
      <c r="U46" s="314"/>
      <c r="V46" s="314"/>
      <c r="W46" s="314"/>
      <c r="X46" s="314"/>
      <c r="Y46" s="314"/>
      <c r="Z46" s="314"/>
      <c r="AA46" s="314"/>
      <c r="AB46" s="314"/>
      <c r="AC46" s="314"/>
      <c r="AD46" s="314"/>
      <c r="AE46" s="50"/>
      <c r="AF46" s="50"/>
      <c r="AG46" s="50"/>
      <c r="AH46" s="50"/>
    </row>
    <row r="47" spans="1:34" s="93" customFormat="1" ht="54" customHeight="1" outlineLevel="1" x14ac:dyDescent="0.2">
      <c r="A47" s="267" t="s">
        <v>2</v>
      </c>
      <c r="B47" s="298" t="s">
        <v>321</v>
      </c>
      <c r="C47" s="299"/>
      <c r="D47" s="299"/>
      <c r="E47" s="299"/>
      <c r="F47" s="299"/>
      <c r="G47" s="299"/>
      <c r="H47" s="299"/>
      <c r="I47" s="299"/>
      <c r="J47" s="299"/>
      <c r="K47" s="299"/>
      <c r="L47" s="299"/>
      <c r="M47" s="299"/>
      <c r="N47" s="299"/>
      <c r="O47" s="299"/>
      <c r="P47" s="299"/>
      <c r="Q47" s="299"/>
      <c r="R47" s="299"/>
      <c r="S47" s="299"/>
      <c r="T47" s="299"/>
      <c r="U47" s="299"/>
      <c r="V47" s="299"/>
      <c r="W47" s="299"/>
      <c r="X47" s="299"/>
      <c r="Y47" s="299"/>
      <c r="Z47" s="299"/>
      <c r="AA47" s="299"/>
      <c r="AB47" s="299"/>
      <c r="AC47" s="299"/>
      <c r="AD47" s="300"/>
      <c r="AE47" s="50"/>
      <c r="AF47" s="50"/>
      <c r="AG47" s="50"/>
      <c r="AH47" s="50"/>
    </row>
    <row r="48" spans="1:34" s="93" customFormat="1" ht="122.25" customHeight="1" outlineLevel="1" x14ac:dyDescent="0.2">
      <c r="A48" s="81" t="s">
        <v>5</v>
      </c>
      <c r="B48" s="82" t="s">
        <v>233</v>
      </c>
      <c r="C48" s="282" t="s">
        <v>24</v>
      </c>
      <c r="D48" s="94" t="s">
        <v>443</v>
      </c>
      <c r="E48" s="31">
        <f t="shared" ref="E48:E53" si="29">SUM(F48:I48)</f>
        <v>663</v>
      </c>
      <c r="F48" s="95">
        <f>'5. Перечень МРАД'!G9</f>
        <v>663</v>
      </c>
      <c r="G48" s="95">
        <f>'5. Перечень МРАД'!H9</f>
        <v>0</v>
      </c>
      <c r="H48" s="96">
        <v>0</v>
      </c>
      <c r="I48" s="96">
        <v>0</v>
      </c>
      <c r="J48" s="31">
        <f t="shared" ref="J48:J53" si="30">SUM(K48:N48)</f>
        <v>0</v>
      </c>
      <c r="K48" s="95">
        <f>'5. Перечень МРАД'!J9</f>
        <v>0</v>
      </c>
      <c r="L48" s="95">
        <f>'5. Перечень МРАД'!K9</f>
        <v>0</v>
      </c>
      <c r="M48" s="96">
        <v>0</v>
      </c>
      <c r="N48" s="96">
        <v>0</v>
      </c>
      <c r="O48" s="31">
        <f t="shared" ref="O48:O53" si="31">SUM(P48:S48)</f>
        <v>0</v>
      </c>
      <c r="P48" s="95">
        <f>'5. Перечень МРАД'!M9</f>
        <v>0</v>
      </c>
      <c r="Q48" s="95">
        <f>'5. Перечень МРАД'!N9</f>
        <v>0</v>
      </c>
      <c r="R48" s="96">
        <v>0</v>
      </c>
      <c r="S48" s="96">
        <v>0</v>
      </c>
      <c r="T48" s="31">
        <f t="shared" ref="T48:T53" si="32">SUM(U48:X48)</f>
        <v>37397</v>
      </c>
      <c r="U48" s="95">
        <f>'5. Перечень МРАД'!P9</f>
        <v>37397</v>
      </c>
      <c r="V48" s="95">
        <f>'5. Перечень МРАД'!Q9</f>
        <v>0</v>
      </c>
      <c r="W48" s="96">
        <v>0</v>
      </c>
      <c r="X48" s="96">
        <v>0</v>
      </c>
      <c r="Y48" s="31">
        <f t="shared" ref="Y48:Y53" si="33">SUM(Z48:AC48)</f>
        <v>0</v>
      </c>
      <c r="Z48" s="95">
        <f>'5. Перечень МРАД'!S9</f>
        <v>0</v>
      </c>
      <c r="AA48" s="95">
        <f>'5. Перечень МРАД'!T9</f>
        <v>0</v>
      </c>
      <c r="AB48" s="96">
        <v>0</v>
      </c>
      <c r="AC48" s="96">
        <v>0</v>
      </c>
      <c r="AD48" s="88">
        <f t="shared" ref="AD48:AD53" si="34">E48+J48+O48+T48+Y48</f>
        <v>38060</v>
      </c>
      <c r="AE48" s="50"/>
      <c r="AF48" s="50"/>
      <c r="AG48" s="50"/>
      <c r="AH48" s="50"/>
    </row>
    <row r="49" spans="1:34" ht="98.25" customHeight="1" outlineLevel="1" x14ac:dyDescent="0.2">
      <c r="A49" s="301" t="s">
        <v>16</v>
      </c>
      <c r="B49" s="303" t="s">
        <v>232</v>
      </c>
      <c r="C49" s="305" t="s">
        <v>24</v>
      </c>
      <c r="D49" s="94">
        <v>2026</v>
      </c>
      <c r="E49" s="31">
        <f t="shared" si="29"/>
        <v>0</v>
      </c>
      <c r="F49" s="18">
        <f>'5. Перечень МРАД'!G15</f>
        <v>0</v>
      </c>
      <c r="G49" s="18">
        <f>'5. Перечень МРАД'!H15</f>
        <v>0</v>
      </c>
      <c r="H49" s="18">
        <v>0</v>
      </c>
      <c r="I49" s="95">
        <v>0</v>
      </c>
      <c r="J49" s="31">
        <f t="shared" si="30"/>
        <v>0</v>
      </c>
      <c r="K49" s="18">
        <f>'5. Перечень МРАД'!J15</f>
        <v>0</v>
      </c>
      <c r="L49" s="18">
        <f>'5. Перечень МРАД'!K15</f>
        <v>0</v>
      </c>
      <c r="M49" s="18">
        <v>0</v>
      </c>
      <c r="N49" s="95">
        <v>0</v>
      </c>
      <c r="O49" s="31">
        <f t="shared" si="31"/>
        <v>0</v>
      </c>
      <c r="P49" s="18">
        <f>'5. Перечень МРАД'!M15</f>
        <v>0</v>
      </c>
      <c r="Q49" s="18">
        <f>'5. Перечень МРАД'!N15</f>
        <v>0</v>
      </c>
      <c r="R49" s="18">
        <v>0</v>
      </c>
      <c r="S49" s="95">
        <v>0</v>
      </c>
      <c r="T49" s="31">
        <f t="shared" si="32"/>
        <v>3831</v>
      </c>
      <c r="U49" s="27">
        <f>'5. Перечень МРАД'!P15</f>
        <v>3831</v>
      </c>
      <c r="V49" s="27">
        <f>'5. Перечень МРАД'!Q15</f>
        <v>0</v>
      </c>
      <c r="W49" s="27">
        <v>0</v>
      </c>
      <c r="X49" s="27">
        <v>0</v>
      </c>
      <c r="Y49" s="31">
        <f t="shared" si="33"/>
        <v>0</v>
      </c>
      <c r="Z49" s="27">
        <f>'5. Перечень МРАД'!S15</f>
        <v>0</v>
      </c>
      <c r="AA49" s="27">
        <f>'5. Перечень МРАД'!T15</f>
        <v>0</v>
      </c>
      <c r="AB49" s="27">
        <v>0</v>
      </c>
      <c r="AC49" s="27">
        <v>0</v>
      </c>
      <c r="AD49" s="88">
        <f t="shared" si="34"/>
        <v>3831</v>
      </c>
      <c r="AE49" s="50"/>
      <c r="AF49" s="50"/>
      <c r="AG49" s="50"/>
      <c r="AH49" s="50"/>
    </row>
    <row r="50" spans="1:34" ht="99" customHeight="1" outlineLevel="1" x14ac:dyDescent="0.2">
      <c r="A50" s="302"/>
      <c r="B50" s="304"/>
      <c r="C50" s="306"/>
      <c r="D50" s="94" t="s">
        <v>494</v>
      </c>
      <c r="E50" s="31">
        <f t="shared" si="29"/>
        <v>335</v>
      </c>
      <c r="F50" s="18">
        <v>335</v>
      </c>
      <c r="G50" s="18">
        <f>'5. Перечень МРАД'!H16</f>
        <v>0</v>
      </c>
      <c r="H50" s="18">
        <v>0</v>
      </c>
      <c r="I50" s="95">
        <v>0</v>
      </c>
      <c r="J50" s="31">
        <f t="shared" si="30"/>
        <v>0</v>
      </c>
      <c r="K50" s="18">
        <f>'5. Перечень МРАД'!J16</f>
        <v>0</v>
      </c>
      <c r="L50" s="18">
        <f>'5. Перечень МРАД'!K16</f>
        <v>0</v>
      </c>
      <c r="M50" s="18">
        <v>0</v>
      </c>
      <c r="N50" s="95">
        <v>0</v>
      </c>
      <c r="O50" s="31">
        <f t="shared" si="31"/>
        <v>0</v>
      </c>
      <c r="P50" s="18">
        <f>'5. Перечень МРАД'!M16</f>
        <v>0</v>
      </c>
      <c r="Q50" s="18">
        <f>'5. Перечень МРАД'!N16</f>
        <v>0</v>
      </c>
      <c r="R50" s="18">
        <v>0</v>
      </c>
      <c r="S50" s="95">
        <v>0</v>
      </c>
      <c r="T50" s="31">
        <f t="shared" si="32"/>
        <v>0</v>
      </c>
      <c r="U50" s="27">
        <v>0</v>
      </c>
      <c r="V50" s="27">
        <f>'5. Перечень МРАД'!Q16</f>
        <v>0</v>
      </c>
      <c r="W50" s="27">
        <v>0</v>
      </c>
      <c r="X50" s="27">
        <v>0</v>
      </c>
      <c r="Y50" s="31">
        <f t="shared" si="33"/>
        <v>0</v>
      </c>
      <c r="Z50" s="27">
        <f>'5. Перечень МРАД'!S16</f>
        <v>0</v>
      </c>
      <c r="AA50" s="27">
        <f>'5. Перечень МРАД'!T16</f>
        <v>0</v>
      </c>
      <c r="AB50" s="27">
        <v>0</v>
      </c>
      <c r="AC50" s="27">
        <v>0</v>
      </c>
      <c r="AD50" s="88">
        <f t="shared" si="34"/>
        <v>335</v>
      </c>
      <c r="AE50" s="50"/>
      <c r="AF50" s="50"/>
      <c r="AG50" s="50"/>
      <c r="AH50" s="50"/>
    </row>
    <row r="51" spans="1:34" ht="99" customHeight="1" outlineLevel="1" x14ac:dyDescent="0.2">
      <c r="A51" s="307" t="s">
        <v>292</v>
      </c>
      <c r="B51" s="309" t="s">
        <v>299</v>
      </c>
      <c r="C51" s="311" t="s">
        <v>549</v>
      </c>
      <c r="D51" s="94" t="s">
        <v>422</v>
      </c>
      <c r="E51" s="31">
        <f t="shared" si="29"/>
        <v>0</v>
      </c>
      <c r="F51" s="18">
        <f>'5. Перечень МРАД'!G18</f>
        <v>0</v>
      </c>
      <c r="G51" s="18">
        <f>'5. Перечень МРАД'!H18</f>
        <v>0</v>
      </c>
      <c r="H51" s="18">
        <v>0</v>
      </c>
      <c r="I51" s="95">
        <v>0</v>
      </c>
      <c r="J51" s="31">
        <f t="shared" si="30"/>
        <v>15687</v>
      </c>
      <c r="K51" s="18">
        <f>'5. Перечень МРАД'!J18</f>
        <v>15687</v>
      </c>
      <c r="L51" s="18">
        <f>'5. Перечень МРАД'!K18</f>
        <v>0</v>
      </c>
      <c r="M51" s="18">
        <v>0</v>
      </c>
      <c r="N51" s="95">
        <v>0</v>
      </c>
      <c r="O51" s="31">
        <f t="shared" si="31"/>
        <v>33849</v>
      </c>
      <c r="P51" s="18">
        <f>'5. Перечень МРАД'!M18</f>
        <v>33849</v>
      </c>
      <c r="Q51" s="18">
        <f>'5. Перечень МРАД'!N18</f>
        <v>0</v>
      </c>
      <c r="R51" s="18">
        <v>0</v>
      </c>
      <c r="S51" s="95">
        <v>0</v>
      </c>
      <c r="T51" s="31">
        <f t="shared" si="32"/>
        <v>0</v>
      </c>
      <c r="U51" s="27">
        <f>'5. Перечень МРАД'!P18</f>
        <v>0</v>
      </c>
      <c r="V51" s="27">
        <f>'5. Перечень МРАД'!Q18</f>
        <v>0</v>
      </c>
      <c r="W51" s="27">
        <v>0</v>
      </c>
      <c r="X51" s="27">
        <v>0</v>
      </c>
      <c r="Y51" s="31">
        <f t="shared" si="33"/>
        <v>0</v>
      </c>
      <c r="Z51" s="27">
        <f>'5. Перечень МРАД'!S18</f>
        <v>0</v>
      </c>
      <c r="AA51" s="27">
        <f>'5. Перечень МРАД'!T18</f>
        <v>0</v>
      </c>
      <c r="AB51" s="27">
        <v>0</v>
      </c>
      <c r="AC51" s="27">
        <v>0</v>
      </c>
      <c r="AD51" s="88">
        <f t="shared" si="34"/>
        <v>49536</v>
      </c>
      <c r="AE51" s="50"/>
      <c r="AF51" s="50"/>
      <c r="AG51" s="50"/>
      <c r="AH51" s="50"/>
    </row>
    <row r="52" spans="1:34" ht="102" customHeight="1" outlineLevel="1" x14ac:dyDescent="0.2">
      <c r="A52" s="308"/>
      <c r="B52" s="310"/>
      <c r="C52" s="312"/>
      <c r="D52" s="94" t="s">
        <v>494</v>
      </c>
      <c r="E52" s="31">
        <f t="shared" si="29"/>
        <v>6900</v>
      </c>
      <c r="F52" s="18">
        <f>'5. Перечень МРАД'!G22</f>
        <v>6900</v>
      </c>
      <c r="G52" s="18">
        <f>'5. Перечень МРАД'!H22</f>
        <v>0</v>
      </c>
      <c r="H52" s="18">
        <f>'5. Перечень МРАД'!I22</f>
        <v>0</v>
      </c>
      <c r="I52" s="18">
        <f>'5. Перечень МРАД'!J22</f>
        <v>0</v>
      </c>
      <c r="J52" s="31">
        <f t="shared" si="30"/>
        <v>0</v>
      </c>
      <c r="K52" s="18">
        <f>'5. Перечень МРАД'!L22</f>
        <v>0</v>
      </c>
      <c r="L52" s="18">
        <f>'5. Перечень МРАД'!M22</f>
        <v>0</v>
      </c>
      <c r="M52" s="18">
        <f>'5. Перечень МРАД'!N22</f>
        <v>0</v>
      </c>
      <c r="N52" s="18">
        <f>'5. Перечень МРАД'!O22</f>
        <v>0</v>
      </c>
      <c r="O52" s="31">
        <f t="shared" si="31"/>
        <v>0</v>
      </c>
      <c r="P52" s="18">
        <f>'5. Перечень МРАД'!Q22</f>
        <v>0</v>
      </c>
      <c r="Q52" s="18">
        <f>'5. Перечень МРАД'!R22</f>
        <v>0</v>
      </c>
      <c r="R52" s="18">
        <f>'5. Перечень МРАД'!S22</f>
        <v>0</v>
      </c>
      <c r="S52" s="18">
        <f>'5. Перечень МРАД'!T22</f>
        <v>0</v>
      </c>
      <c r="T52" s="31">
        <f t="shared" si="32"/>
        <v>0</v>
      </c>
      <c r="U52" s="18">
        <f>'5. Перечень МРАД'!V22</f>
        <v>0</v>
      </c>
      <c r="V52" s="18">
        <f>'5. Перечень МРАД'!W22</f>
        <v>0</v>
      </c>
      <c r="W52" s="18">
        <f>'5. Перечень МРАД'!X22</f>
        <v>0</v>
      </c>
      <c r="X52" s="18">
        <f>'5. Перечень МРАД'!Y22</f>
        <v>0</v>
      </c>
      <c r="Y52" s="31">
        <f t="shared" si="33"/>
        <v>0</v>
      </c>
      <c r="Z52" s="18">
        <f>'5. Перечень МРАД'!AA22</f>
        <v>0</v>
      </c>
      <c r="AA52" s="18">
        <f>'5. Перечень МРАД'!AB22</f>
        <v>0</v>
      </c>
      <c r="AB52" s="18">
        <f>'5. Перечень МРАД'!AC22</f>
        <v>0</v>
      </c>
      <c r="AC52" s="18">
        <f>'5. Перечень МРАД'!AD22</f>
        <v>0</v>
      </c>
      <c r="AD52" s="88">
        <f t="shared" si="34"/>
        <v>6900</v>
      </c>
      <c r="AE52" s="50"/>
      <c r="AF52" s="50"/>
      <c r="AG52" s="50"/>
      <c r="AH52" s="50"/>
    </row>
    <row r="53" spans="1:34" ht="90" customHeight="1" outlineLevel="1" x14ac:dyDescent="0.2">
      <c r="A53" s="273" t="s">
        <v>393</v>
      </c>
      <c r="B53" s="97" t="s">
        <v>394</v>
      </c>
      <c r="C53" s="282" t="s">
        <v>24</v>
      </c>
      <c r="D53" s="94">
        <v>2026</v>
      </c>
      <c r="E53" s="31">
        <f t="shared" si="29"/>
        <v>4700</v>
      </c>
      <c r="F53" s="18">
        <f>'5. Перечень МРАД'!G23</f>
        <v>4700</v>
      </c>
      <c r="G53" s="18">
        <f>'5. Перечень МРАД'!H23</f>
        <v>0</v>
      </c>
      <c r="H53" s="18">
        <v>0</v>
      </c>
      <c r="I53" s="95">
        <v>0</v>
      </c>
      <c r="J53" s="31">
        <f t="shared" si="30"/>
        <v>0</v>
      </c>
      <c r="K53" s="18">
        <f>'5. Перечень МРАД'!L23</f>
        <v>0</v>
      </c>
      <c r="L53" s="18">
        <f>'5. Перечень МРАД'!M23</f>
        <v>0</v>
      </c>
      <c r="M53" s="18">
        <v>0</v>
      </c>
      <c r="N53" s="95">
        <v>0</v>
      </c>
      <c r="O53" s="31">
        <f t="shared" si="31"/>
        <v>0</v>
      </c>
      <c r="P53" s="18">
        <f>'5. Перечень МРАД'!Q23</f>
        <v>0</v>
      </c>
      <c r="Q53" s="18">
        <f>'5. Перечень МРАД'!R23</f>
        <v>0</v>
      </c>
      <c r="R53" s="18">
        <v>0</v>
      </c>
      <c r="S53" s="95">
        <v>0</v>
      </c>
      <c r="T53" s="31">
        <f t="shared" si="32"/>
        <v>0</v>
      </c>
      <c r="U53" s="18">
        <f>'5. Перечень МРАД'!V23</f>
        <v>0</v>
      </c>
      <c r="V53" s="18">
        <f>'5. Перечень МРАД'!W23</f>
        <v>0</v>
      </c>
      <c r="W53" s="27">
        <v>0</v>
      </c>
      <c r="X53" s="27">
        <v>0</v>
      </c>
      <c r="Y53" s="31">
        <f t="shared" si="33"/>
        <v>0</v>
      </c>
      <c r="Z53" s="18">
        <f>'5. Перечень МРАД'!AA23</f>
        <v>0</v>
      </c>
      <c r="AA53" s="18">
        <f>'5. Перечень МРАД'!AB23</f>
        <v>0</v>
      </c>
      <c r="AB53" s="27">
        <v>0</v>
      </c>
      <c r="AC53" s="27">
        <v>0</v>
      </c>
      <c r="AD53" s="88">
        <f t="shared" si="34"/>
        <v>4700</v>
      </c>
      <c r="AE53" s="50"/>
      <c r="AF53" s="50"/>
      <c r="AG53" s="50"/>
      <c r="AH53" s="50"/>
    </row>
    <row r="54" spans="1:34" ht="49.5" customHeight="1" outlineLevel="1" x14ac:dyDescent="0.2">
      <c r="A54" s="34" t="s">
        <v>208</v>
      </c>
      <c r="B54" s="298" t="s">
        <v>322</v>
      </c>
      <c r="C54" s="299"/>
      <c r="D54" s="299"/>
      <c r="E54" s="299"/>
      <c r="F54" s="299"/>
      <c r="G54" s="299"/>
      <c r="H54" s="299"/>
      <c r="I54" s="299"/>
      <c r="J54" s="299"/>
      <c r="K54" s="299"/>
      <c r="L54" s="299"/>
      <c r="M54" s="299"/>
      <c r="N54" s="299"/>
      <c r="O54" s="299"/>
      <c r="P54" s="299"/>
      <c r="Q54" s="299"/>
      <c r="R54" s="299"/>
      <c r="S54" s="299"/>
      <c r="T54" s="299"/>
      <c r="U54" s="299"/>
      <c r="V54" s="299"/>
      <c r="W54" s="299"/>
      <c r="X54" s="299"/>
      <c r="Y54" s="299"/>
      <c r="Z54" s="299"/>
      <c r="AA54" s="299"/>
      <c r="AB54" s="299"/>
      <c r="AC54" s="299"/>
      <c r="AD54" s="300"/>
      <c r="AE54" s="50"/>
      <c r="AF54" s="50"/>
      <c r="AG54" s="50"/>
      <c r="AH54" s="50"/>
    </row>
    <row r="55" spans="1:34" ht="142.5" customHeight="1" outlineLevel="1" x14ac:dyDescent="0.2">
      <c r="A55" s="81" t="s">
        <v>209</v>
      </c>
      <c r="B55" s="98" t="s">
        <v>215</v>
      </c>
      <c r="C55" s="271" t="s">
        <v>24</v>
      </c>
      <c r="D55" s="94" t="s">
        <v>416</v>
      </c>
      <c r="E55" s="88">
        <f t="shared" ref="E55:E60" si="35">SUM(F55:I55)</f>
        <v>3211</v>
      </c>
      <c r="F55" s="18">
        <f>'5. Перечень МРАД'!G28</f>
        <v>3211</v>
      </c>
      <c r="G55" s="18">
        <f>'5. Перечень МРАД'!H28</f>
        <v>0</v>
      </c>
      <c r="H55" s="18">
        <v>0</v>
      </c>
      <c r="I55" s="95">
        <v>0</v>
      </c>
      <c r="J55" s="88">
        <f t="shared" ref="J55:J59" si="36">SUM(K55:N55)</f>
        <v>0</v>
      </c>
      <c r="K55" s="18">
        <f>'5. Перечень МРАД'!J28</f>
        <v>0</v>
      </c>
      <c r="L55" s="18">
        <f>'5. Перечень МРАД'!K28</f>
        <v>0</v>
      </c>
      <c r="M55" s="18">
        <v>0</v>
      </c>
      <c r="N55" s="95">
        <v>0</v>
      </c>
      <c r="O55" s="88">
        <f t="shared" ref="O55:O59" si="37">SUM(P55:S55)</f>
        <v>0</v>
      </c>
      <c r="P55" s="18">
        <f>'5. Перечень МРАД'!M28</f>
        <v>0</v>
      </c>
      <c r="Q55" s="18">
        <f>'5. Перечень МРАД'!N28</f>
        <v>0</v>
      </c>
      <c r="R55" s="18">
        <v>0</v>
      </c>
      <c r="S55" s="95">
        <v>0</v>
      </c>
      <c r="T55" s="88">
        <f t="shared" ref="T55:T59" si="38">SUM(U55:X55)</f>
        <v>536947</v>
      </c>
      <c r="U55" s="27">
        <f>'5. Перечень МРАД'!P28</f>
        <v>30950</v>
      </c>
      <c r="V55" s="27">
        <f>'5. Перечень МРАД'!Q28</f>
        <v>505997</v>
      </c>
      <c r="W55" s="27">
        <v>0</v>
      </c>
      <c r="X55" s="27">
        <v>0</v>
      </c>
      <c r="Y55" s="88">
        <f t="shared" ref="Y55:Y59" si="39">SUM(Z55:AC55)</f>
        <v>515262</v>
      </c>
      <c r="Z55" s="27">
        <f>'5. Перечень МРАД'!S28</f>
        <v>37099</v>
      </c>
      <c r="AA55" s="27">
        <f>'5. Перечень МРАД'!T28</f>
        <v>478163</v>
      </c>
      <c r="AB55" s="27">
        <v>0</v>
      </c>
      <c r="AC55" s="27">
        <v>0</v>
      </c>
      <c r="AD55" s="88">
        <f t="shared" ref="AD55:AD60" si="40">E55+J55+O55+T55+Y55</f>
        <v>1055420</v>
      </c>
      <c r="AE55" s="50"/>
      <c r="AF55" s="50"/>
      <c r="AG55" s="50"/>
      <c r="AH55" s="50"/>
    </row>
    <row r="56" spans="1:34" ht="122.25" customHeight="1" outlineLevel="1" x14ac:dyDescent="0.2">
      <c r="A56" s="81" t="s">
        <v>216</v>
      </c>
      <c r="B56" s="99" t="s">
        <v>220</v>
      </c>
      <c r="C56" s="271" t="s">
        <v>24</v>
      </c>
      <c r="D56" s="94" t="s">
        <v>420</v>
      </c>
      <c r="E56" s="88">
        <f t="shared" si="35"/>
        <v>68</v>
      </c>
      <c r="F56" s="18">
        <f>'5. Перечень МРАД'!G35</f>
        <v>68</v>
      </c>
      <c r="G56" s="18">
        <f xml:space="preserve"> '5. Перечень МРАД'!H35</f>
        <v>0</v>
      </c>
      <c r="H56" s="18">
        <v>0</v>
      </c>
      <c r="I56" s="95">
        <v>0</v>
      </c>
      <c r="J56" s="88">
        <f t="shared" si="36"/>
        <v>0</v>
      </c>
      <c r="K56" s="18">
        <f>'5. Перечень МРАД'!J35</f>
        <v>0</v>
      </c>
      <c r="L56" s="18">
        <f>'5. Перечень МРАД'!K35</f>
        <v>0</v>
      </c>
      <c r="M56" s="18">
        <v>0</v>
      </c>
      <c r="N56" s="95">
        <v>0</v>
      </c>
      <c r="O56" s="88">
        <f t="shared" si="37"/>
        <v>0</v>
      </c>
      <c r="P56" s="18">
        <f>'5. Перечень МРАД'!M35</f>
        <v>0</v>
      </c>
      <c r="Q56" s="18">
        <f>'5. Перечень МРАД'!N35</f>
        <v>0</v>
      </c>
      <c r="R56" s="18">
        <v>0</v>
      </c>
      <c r="S56" s="95">
        <v>0</v>
      </c>
      <c r="T56" s="88">
        <f t="shared" si="38"/>
        <v>11018</v>
      </c>
      <c r="U56" s="27">
        <f>'5. Перечень МРАД'!P35</f>
        <v>11018</v>
      </c>
      <c r="V56" s="27">
        <f>'5. Перечень МРАД'!Q35</f>
        <v>0</v>
      </c>
      <c r="W56" s="27">
        <v>0</v>
      </c>
      <c r="X56" s="27">
        <v>0</v>
      </c>
      <c r="Y56" s="88">
        <f t="shared" si="39"/>
        <v>9945</v>
      </c>
      <c r="Z56" s="27">
        <f>'5. Перечень МРАД'!S35</f>
        <v>9945</v>
      </c>
      <c r="AA56" s="27">
        <f>'5. Перечень МРАД'!T35</f>
        <v>0</v>
      </c>
      <c r="AB56" s="27">
        <v>0</v>
      </c>
      <c r="AC56" s="27">
        <v>0</v>
      </c>
      <c r="AD56" s="88">
        <f t="shared" si="40"/>
        <v>21031</v>
      </c>
      <c r="AE56" s="50"/>
      <c r="AF56" s="50"/>
      <c r="AG56" s="50"/>
      <c r="AH56" s="50"/>
    </row>
    <row r="57" spans="1:34" ht="135" customHeight="1" outlineLevel="1" x14ac:dyDescent="0.2">
      <c r="A57" s="268" t="s">
        <v>315</v>
      </c>
      <c r="B57" s="270" t="s">
        <v>222</v>
      </c>
      <c r="C57" s="271" t="s">
        <v>24</v>
      </c>
      <c r="D57" s="94">
        <v>2029</v>
      </c>
      <c r="E57" s="88">
        <f t="shared" si="35"/>
        <v>0</v>
      </c>
      <c r="F57" s="18">
        <f>'5. Перечень МРАД'!G42</f>
        <v>0</v>
      </c>
      <c r="G57" s="18">
        <f>'5. Перечень МРАД'!H42</f>
        <v>0</v>
      </c>
      <c r="H57" s="18">
        <v>0</v>
      </c>
      <c r="I57" s="95">
        <v>0</v>
      </c>
      <c r="J57" s="88">
        <f t="shared" si="36"/>
        <v>0</v>
      </c>
      <c r="K57" s="18">
        <f>'5. Перечень МРАД'!J42</f>
        <v>0</v>
      </c>
      <c r="L57" s="18">
        <f>'5. Перечень МРАД'!K42</f>
        <v>0</v>
      </c>
      <c r="M57" s="18">
        <v>0</v>
      </c>
      <c r="N57" s="95">
        <v>0</v>
      </c>
      <c r="O57" s="88">
        <f>SUM(P57:S57)</f>
        <v>0</v>
      </c>
      <c r="P57" s="18">
        <f>'5. Перечень МРАД'!M42</f>
        <v>0</v>
      </c>
      <c r="Q57" s="18">
        <f>'5. Перечень МРАД'!N42</f>
        <v>0</v>
      </c>
      <c r="R57" s="18">
        <v>0</v>
      </c>
      <c r="S57" s="95">
        <v>0</v>
      </c>
      <c r="T57" s="88">
        <f>SUM(U57:X57)</f>
        <v>188561</v>
      </c>
      <c r="U57" s="27">
        <f>'5. Перечень МРАД'!P42</f>
        <v>1886</v>
      </c>
      <c r="V57" s="27">
        <f>'5. Перечень МРАД'!Q42</f>
        <v>186675</v>
      </c>
      <c r="W57" s="27">
        <v>0</v>
      </c>
      <c r="X57" s="27">
        <v>0</v>
      </c>
      <c r="Y57" s="88">
        <f t="shared" si="39"/>
        <v>0</v>
      </c>
      <c r="Z57" s="27">
        <f>'5. Перечень МРАД'!S42</f>
        <v>0</v>
      </c>
      <c r="AA57" s="27">
        <f>'5. Перечень МРАД'!T42</f>
        <v>0</v>
      </c>
      <c r="AB57" s="27">
        <v>0</v>
      </c>
      <c r="AC57" s="27">
        <v>0</v>
      </c>
      <c r="AD57" s="88">
        <f t="shared" si="40"/>
        <v>188561</v>
      </c>
      <c r="AE57" s="50"/>
      <c r="AF57" s="50"/>
      <c r="AG57" s="50"/>
      <c r="AH57" s="50"/>
    </row>
    <row r="58" spans="1:34" ht="125.25" customHeight="1" outlineLevel="1" x14ac:dyDescent="0.2">
      <c r="A58" s="269" t="s">
        <v>316</v>
      </c>
      <c r="B58" s="82" t="s">
        <v>221</v>
      </c>
      <c r="C58" s="271" t="s">
        <v>24</v>
      </c>
      <c r="D58" s="94">
        <v>2029</v>
      </c>
      <c r="E58" s="88">
        <f t="shared" si="35"/>
        <v>0</v>
      </c>
      <c r="F58" s="18">
        <f>'5. Перечень МРАД'!G44</f>
        <v>0</v>
      </c>
      <c r="G58" s="18">
        <f>'5. Перечень МРАД'!H44</f>
        <v>0</v>
      </c>
      <c r="H58" s="18">
        <v>0</v>
      </c>
      <c r="I58" s="95">
        <v>0</v>
      </c>
      <c r="J58" s="88">
        <f t="shared" si="36"/>
        <v>0</v>
      </c>
      <c r="K58" s="18">
        <f>'5. Перечень МРАД'!J44</f>
        <v>0</v>
      </c>
      <c r="L58" s="18">
        <f>'5. Перечень МРАД'!K44</f>
        <v>0</v>
      </c>
      <c r="M58" s="18">
        <v>0</v>
      </c>
      <c r="N58" s="95">
        <v>0</v>
      </c>
      <c r="O58" s="88">
        <f>SUM(P58:S58)</f>
        <v>0</v>
      </c>
      <c r="P58" s="18">
        <f>'5. Перечень МРАД'!M44</f>
        <v>0</v>
      </c>
      <c r="Q58" s="18">
        <f>'5. Перечень МРАД'!N44</f>
        <v>0</v>
      </c>
      <c r="R58" s="18">
        <v>0</v>
      </c>
      <c r="S58" s="95">
        <v>0</v>
      </c>
      <c r="T58" s="88">
        <f>SUM(U58:X58)</f>
        <v>4035</v>
      </c>
      <c r="U58" s="27">
        <f>'5. Перечень МРАД'!P44</f>
        <v>4035</v>
      </c>
      <c r="V58" s="27">
        <f>'5. Перечень МРАД'!Q44</f>
        <v>0</v>
      </c>
      <c r="W58" s="27">
        <v>0</v>
      </c>
      <c r="X58" s="27">
        <v>0</v>
      </c>
      <c r="Y58" s="88">
        <f t="shared" si="39"/>
        <v>0</v>
      </c>
      <c r="Z58" s="27">
        <f>'5. Перечень МРАД'!S44</f>
        <v>0</v>
      </c>
      <c r="AA58" s="27">
        <f>'5. Перечень МРАД'!T44</f>
        <v>0</v>
      </c>
      <c r="AB58" s="27">
        <v>0</v>
      </c>
      <c r="AC58" s="27">
        <v>0</v>
      </c>
      <c r="AD58" s="88">
        <f t="shared" si="40"/>
        <v>4035</v>
      </c>
      <c r="AE58" s="50"/>
      <c r="AF58" s="50"/>
      <c r="AG58" s="50"/>
      <c r="AH58" s="50"/>
    </row>
    <row r="59" spans="1:34" ht="132.75" customHeight="1" outlineLevel="1" x14ac:dyDescent="0.2">
      <c r="A59" s="269" t="s">
        <v>317</v>
      </c>
      <c r="B59" s="82" t="s">
        <v>253</v>
      </c>
      <c r="C59" s="282" t="s">
        <v>20</v>
      </c>
      <c r="D59" s="94" t="s">
        <v>421</v>
      </c>
      <c r="E59" s="88">
        <f t="shared" si="35"/>
        <v>0</v>
      </c>
      <c r="F59" s="18">
        <f>'5. Перечень МРАД'!G46</f>
        <v>0</v>
      </c>
      <c r="G59" s="18">
        <f>'5. Перечень МРАД'!H46</f>
        <v>0</v>
      </c>
      <c r="H59" s="18">
        <v>0</v>
      </c>
      <c r="I59" s="95">
        <v>0</v>
      </c>
      <c r="J59" s="88">
        <f t="shared" si="36"/>
        <v>0</v>
      </c>
      <c r="K59" s="18">
        <f>'5. Перечень МРАД'!J46</f>
        <v>0</v>
      </c>
      <c r="L59" s="18">
        <f>'5. Перечень МРАД'!K46</f>
        <v>0</v>
      </c>
      <c r="M59" s="18">
        <v>0</v>
      </c>
      <c r="N59" s="95">
        <v>0</v>
      </c>
      <c r="O59" s="88">
        <f t="shared" si="37"/>
        <v>0</v>
      </c>
      <c r="P59" s="18">
        <f>'5. Перечень МРАД'!M46</f>
        <v>0</v>
      </c>
      <c r="Q59" s="18">
        <f>'5. Перечень МРАД'!N46</f>
        <v>0</v>
      </c>
      <c r="R59" s="18">
        <v>0</v>
      </c>
      <c r="S59" s="95">
        <v>0</v>
      </c>
      <c r="T59" s="88">
        <f t="shared" si="38"/>
        <v>565694</v>
      </c>
      <c r="U59" s="27">
        <f>'5. Перечень МРАД'!P46</f>
        <v>5657</v>
      </c>
      <c r="V59" s="27">
        <f>'5. Перечень МРАД'!Q46</f>
        <v>560037</v>
      </c>
      <c r="W59" s="27">
        <v>0</v>
      </c>
      <c r="X59" s="27">
        <v>0</v>
      </c>
      <c r="Y59" s="88">
        <f t="shared" si="39"/>
        <v>531708</v>
      </c>
      <c r="Z59" s="27">
        <f>'5. Перечень МРАД'!S46</f>
        <v>5317</v>
      </c>
      <c r="AA59" s="27">
        <f>'5. Перечень МРАД'!T46</f>
        <v>526391</v>
      </c>
      <c r="AB59" s="27">
        <v>0</v>
      </c>
      <c r="AC59" s="27">
        <v>0</v>
      </c>
      <c r="AD59" s="88">
        <f t="shared" si="40"/>
        <v>1097402</v>
      </c>
      <c r="AE59" s="50"/>
      <c r="AF59" s="50"/>
      <c r="AG59" s="50"/>
      <c r="AH59" s="50"/>
    </row>
    <row r="60" spans="1:34" ht="123" customHeight="1" outlineLevel="1" x14ac:dyDescent="0.2">
      <c r="A60" s="100" t="s">
        <v>318</v>
      </c>
      <c r="B60" s="98" t="s">
        <v>375</v>
      </c>
      <c r="C60" s="282" t="s">
        <v>20</v>
      </c>
      <c r="D60" s="94" t="s">
        <v>420</v>
      </c>
      <c r="E60" s="88">
        <f t="shared" si="35"/>
        <v>0</v>
      </c>
      <c r="F60" s="18">
        <f>'5. Перечень МРАД'!G49</f>
        <v>0</v>
      </c>
      <c r="G60" s="18">
        <f>'5. Перечень МРАД'!H49</f>
        <v>0</v>
      </c>
      <c r="H60" s="18">
        <v>0</v>
      </c>
      <c r="I60" s="95">
        <v>0</v>
      </c>
      <c r="J60" s="88">
        <f t="shared" ref="J60" si="41">SUM(K60:N60)</f>
        <v>0</v>
      </c>
      <c r="K60" s="18">
        <f>'5. Перечень МРАД'!J49</f>
        <v>0</v>
      </c>
      <c r="L60" s="18">
        <f>'5. Перечень МРАД'!K49</f>
        <v>0</v>
      </c>
      <c r="M60" s="18">
        <v>0</v>
      </c>
      <c r="N60" s="95">
        <v>0</v>
      </c>
      <c r="O60" s="88">
        <f t="shared" ref="O60" si="42">SUM(P60:S60)</f>
        <v>0</v>
      </c>
      <c r="P60" s="18">
        <f>'5. Перечень МРАД'!M49</f>
        <v>0</v>
      </c>
      <c r="Q60" s="18">
        <f>'5. Перечень МРАД'!N49</f>
        <v>0</v>
      </c>
      <c r="R60" s="18">
        <v>0</v>
      </c>
      <c r="S60" s="95">
        <v>0</v>
      </c>
      <c r="T60" s="88">
        <f t="shared" ref="T60" si="43">SUM(U60:X60)</f>
        <v>10919</v>
      </c>
      <c r="U60" s="27">
        <f>'5. Перечень МРАД'!P49</f>
        <v>10919</v>
      </c>
      <c r="V60" s="27">
        <f>'5. Перечень МРАД'!Q49</f>
        <v>0</v>
      </c>
      <c r="W60" s="27">
        <v>0</v>
      </c>
      <c r="X60" s="27">
        <v>0</v>
      </c>
      <c r="Y60" s="88">
        <f t="shared" ref="Y60" si="44">SUM(Z60:AC60)</f>
        <v>10263</v>
      </c>
      <c r="Z60" s="27">
        <f>'5. Перечень МРАД'!S49</f>
        <v>10263</v>
      </c>
      <c r="AA60" s="27">
        <f>'5. Перечень МРАД'!T49</f>
        <v>0</v>
      </c>
      <c r="AB60" s="27">
        <v>0</v>
      </c>
      <c r="AC60" s="27">
        <v>0</v>
      </c>
      <c r="AD60" s="88">
        <f t="shared" si="40"/>
        <v>21182</v>
      </c>
      <c r="AE60" s="50"/>
      <c r="AF60" s="50"/>
      <c r="AG60" s="50"/>
      <c r="AH60" s="50"/>
    </row>
    <row r="61" spans="1:34" ht="57" customHeight="1" outlineLevel="1" x14ac:dyDescent="0.2">
      <c r="A61" s="265" t="s">
        <v>210</v>
      </c>
      <c r="B61" s="298" t="s">
        <v>323</v>
      </c>
      <c r="C61" s="299"/>
      <c r="D61" s="299"/>
      <c r="E61" s="299"/>
      <c r="F61" s="299"/>
      <c r="G61" s="299"/>
      <c r="H61" s="299"/>
      <c r="I61" s="299"/>
      <c r="J61" s="299"/>
      <c r="K61" s="299"/>
      <c r="L61" s="299"/>
      <c r="M61" s="299"/>
      <c r="N61" s="299"/>
      <c r="O61" s="299"/>
      <c r="P61" s="299"/>
      <c r="Q61" s="299"/>
      <c r="R61" s="299"/>
      <c r="S61" s="299"/>
      <c r="T61" s="299"/>
      <c r="U61" s="299"/>
      <c r="V61" s="299"/>
      <c r="W61" s="299"/>
      <c r="X61" s="299"/>
      <c r="Y61" s="299"/>
      <c r="Z61" s="299"/>
      <c r="AA61" s="299"/>
      <c r="AB61" s="299"/>
      <c r="AC61" s="299"/>
      <c r="AD61" s="300"/>
      <c r="AE61" s="50"/>
      <c r="AF61" s="50"/>
      <c r="AG61" s="50"/>
      <c r="AH61" s="50"/>
    </row>
    <row r="62" spans="1:34" ht="150.75" customHeight="1" outlineLevel="1" x14ac:dyDescent="0.2">
      <c r="A62" s="307" t="s">
        <v>211</v>
      </c>
      <c r="B62" s="98" t="s">
        <v>568</v>
      </c>
      <c r="C62" s="305" t="s">
        <v>24</v>
      </c>
      <c r="D62" s="270" t="s">
        <v>386</v>
      </c>
      <c r="E62" s="88">
        <f t="shared" ref="E62:E69" si="45">F62+G62+H62+I62</f>
        <v>1057342</v>
      </c>
      <c r="F62" s="18">
        <f>'5. Перечень МРАД'!G53</f>
        <v>57342</v>
      </c>
      <c r="G62" s="18">
        <f>'5. Перечень МРАД'!H53</f>
        <v>1000000</v>
      </c>
      <c r="H62" s="18">
        <v>0</v>
      </c>
      <c r="I62" s="95">
        <v>0</v>
      </c>
      <c r="J62" s="88">
        <f t="shared" ref="J62" si="46">SUM(K62:N62)</f>
        <v>754311</v>
      </c>
      <c r="K62" s="18">
        <f>'5. Перечень МРАД'!J53</f>
        <v>54311</v>
      </c>
      <c r="L62" s="18">
        <f>'5. Перечень МРАД'!K53</f>
        <v>700000</v>
      </c>
      <c r="M62" s="18">
        <v>0</v>
      </c>
      <c r="N62" s="95">
        <v>0</v>
      </c>
      <c r="O62" s="88">
        <f t="shared" ref="O62" si="47">SUM(P62:S62)</f>
        <v>707071</v>
      </c>
      <c r="P62" s="18">
        <f>'5. Перечень МРАД'!M53</f>
        <v>7071</v>
      </c>
      <c r="Q62" s="18">
        <f>'5. Перечень МРАД'!N53</f>
        <v>700000</v>
      </c>
      <c r="R62" s="18">
        <v>0</v>
      </c>
      <c r="S62" s="95">
        <v>0</v>
      </c>
      <c r="T62" s="88">
        <f t="shared" ref="T62" si="48">SUM(U62:X62)</f>
        <v>0</v>
      </c>
      <c r="U62" s="27">
        <f>'5. Перечень МРАД'!P53</f>
        <v>0</v>
      </c>
      <c r="V62" s="27">
        <f>'5. Перечень МРАД'!Q53</f>
        <v>0</v>
      </c>
      <c r="W62" s="27">
        <v>0</v>
      </c>
      <c r="X62" s="27">
        <v>0</v>
      </c>
      <c r="Y62" s="88">
        <f t="shared" ref="Y62" si="49">SUM(Z62:AC62)</f>
        <v>0</v>
      </c>
      <c r="Z62" s="27">
        <f>'5. Перечень МРАД'!S53</f>
        <v>0</v>
      </c>
      <c r="AA62" s="27">
        <f>'5. Перечень МРАД'!T53</f>
        <v>0</v>
      </c>
      <c r="AB62" s="27">
        <v>0</v>
      </c>
      <c r="AC62" s="27">
        <v>0</v>
      </c>
      <c r="AD62" s="88">
        <f t="shared" ref="AD62:AD69" si="50">E62+J62+O62+T62+Y62</f>
        <v>2518724</v>
      </c>
      <c r="AE62" s="50"/>
      <c r="AF62" s="50"/>
      <c r="AG62" s="50"/>
      <c r="AH62" s="50"/>
    </row>
    <row r="63" spans="1:34" ht="84.75" customHeight="1" outlineLevel="1" x14ac:dyDescent="0.2">
      <c r="A63" s="315"/>
      <c r="B63" s="98" t="s">
        <v>570</v>
      </c>
      <c r="C63" s="316"/>
      <c r="D63" s="270" t="s">
        <v>386</v>
      </c>
      <c r="E63" s="88">
        <f t="shared" si="45"/>
        <v>754311</v>
      </c>
      <c r="F63" s="18">
        <f>'5. Перечень МРАД'!G91</f>
        <v>54311</v>
      </c>
      <c r="G63" s="18">
        <f>'5. Перечень МРАД'!H91</f>
        <v>700000</v>
      </c>
      <c r="H63" s="18">
        <v>0</v>
      </c>
      <c r="I63" s="95">
        <v>0</v>
      </c>
      <c r="J63" s="88">
        <f t="shared" ref="J63" si="51">SUM(K63:N63)</f>
        <v>754311</v>
      </c>
      <c r="K63" s="18">
        <f>'5. Перечень МРАД'!J91</f>
        <v>54311</v>
      </c>
      <c r="L63" s="18">
        <f>'5. Перечень МРАД'!K91</f>
        <v>700000</v>
      </c>
      <c r="M63" s="18">
        <v>0</v>
      </c>
      <c r="N63" s="95">
        <v>0</v>
      </c>
      <c r="O63" s="88">
        <f t="shared" ref="O63" si="52">SUM(P63:S63)</f>
        <v>707071</v>
      </c>
      <c r="P63" s="18">
        <f>'5. Перечень МРАД'!M91</f>
        <v>7071</v>
      </c>
      <c r="Q63" s="18">
        <f>'5. Перечень МРАД'!N91</f>
        <v>700000</v>
      </c>
      <c r="R63" s="18">
        <v>0</v>
      </c>
      <c r="S63" s="95">
        <v>0</v>
      </c>
      <c r="T63" s="88">
        <f t="shared" ref="T63" si="53">SUM(U63:X63)</f>
        <v>0</v>
      </c>
      <c r="U63" s="27">
        <f>'5. Перечень МРАД'!P91</f>
        <v>0</v>
      </c>
      <c r="V63" s="27">
        <f>'5. Перечень МРАД'!Q91</f>
        <v>0</v>
      </c>
      <c r="W63" s="27">
        <v>0</v>
      </c>
      <c r="X63" s="27">
        <v>0</v>
      </c>
      <c r="Y63" s="88">
        <f t="shared" ref="Y63" si="54">SUM(Z63:AC63)</f>
        <v>0</v>
      </c>
      <c r="Z63" s="27">
        <f>'5. Перечень МРАД'!S91</f>
        <v>0</v>
      </c>
      <c r="AA63" s="27">
        <f>'5. Перечень МРАД'!T91</f>
        <v>0</v>
      </c>
      <c r="AB63" s="27">
        <v>0</v>
      </c>
      <c r="AC63" s="27">
        <v>0</v>
      </c>
      <c r="AD63" s="88">
        <f t="shared" si="50"/>
        <v>2215693</v>
      </c>
      <c r="AE63" s="50"/>
      <c r="AF63" s="50"/>
      <c r="AG63" s="50"/>
      <c r="AH63" s="50"/>
    </row>
    <row r="64" spans="1:34" ht="57" customHeight="1" outlineLevel="1" x14ac:dyDescent="0.2">
      <c r="A64" s="308"/>
      <c r="B64" s="98" t="s">
        <v>567</v>
      </c>
      <c r="C64" s="306"/>
      <c r="D64" s="270">
        <v>2026</v>
      </c>
      <c r="E64" s="88">
        <f t="shared" ref="E64" si="55">F64+G64+H64+I64</f>
        <v>303031</v>
      </c>
      <c r="F64" s="18">
        <f>'5. Перечень МРАД'!G122</f>
        <v>3031</v>
      </c>
      <c r="G64" s="18">
        <f>'5. Перечень МРАД'!H122</f>
        <v>300000</v>
      </c>
      <c r="H64" s="18">
        <v>0</v>
      </c>
      <c r="I64" s="95">
        <v>0</v>
      </c>
      <c r="J64" s="88"/>
      <c r="K64" s="18"/>
      <c r="L64" s="18"/>
      <c r="M64" s="18"/>
      <c r="N64" s="95"/>
      <c r="O64" s="88"/>
      <c r="P64" s="18"/>
      <c r="Q64" s="18"/>
      <c r="R64" s="18"/>
      <c r="S64" s="95"/>
      <c r="T64" s="88"/>
      <c r="U64" s="27"/>
      <c r="V64" s="27"/>
      <c r="W64" s="27"/>
      <c r="X64" s="27"/>
      <c r="Y64" s="88"/>
      <c r="Z64" s="27"/>
      <c r="AA64" s="27"/>
      <c r="AB64" s="27"/>
      <c r="AC64" s="27"/>
      <c r="AD64" s="88"/>
      <c r="AE64" s="50"/>
      <c r="AF64" s="50"/>
      <c r="AG64" s="50"/>
      <c r="AH64" s="50"/>
    </row>
    <row r="65" spans="1:34" ht="203.25" customHeight="1" outlineLevel="1" x14ac:dyDescent="0.2">
      <c r="A65" s="273" t="s">
        <v>219</v>
      </c>
      <c r="B65" s="82" t="s">
        <v>266</v>
      </c>
      <c r="C65" s="282" t="s">
        <v>20</v>
      </c>
      <c r="D65" s="94" t="s">
        <v>423</v>
      </c>
      <c r="E65" s="88">
        <f t="shared" si="45"/>
        <v>2062</v>
      </c>
      <c r="F65" s="18">
        <f>'5. Перечень МРАД'!G124</f>
        <v>2062</v>
      </c>
      <c r="G65" s="18">
        <f>'5. Перечень МРАД'!H124</f>
        <v>0</v>
      </c>
      <c r="H65" s="18">
        <v>0</v>
      </c>
      <c r="I65" s="95">
        <v>0</v>
      </c>
      <c r="J65" s="88">
        <f t="shared" ref="J65" si="56">SUM(K65:N65)</f>
        <v>2062</v>
      </c>
      <c r="K65" s="18">
        <f>'5. Перечень МРАД'!J124</f>
        <v>2062</v>
      </c>
      <c r="L65" s="18">
        <f>'5. Перечень МРАД'!K124</f>
        <v>0</v>
      </c>
      <c r="M65" s="18">
        <v>0</v>
      </c>
      <c r="N65" s="95">
        <v>0</v>
      </c>
      <c r="O65" s="88">
        <f t="shared" ref="O65" si="57">SUM(P65:S65)</f>
        <v>0</v>
      </c>
      <c r="P65" s="18">
        <f>'5. Перечень МРАД'!M124</f>
        <v>0</v>
      </c>
      <c r="Q65" s="18">
        <f>'5. Перечень МРАД'!N124</f>
        <v>0</v>
      </c>
      <c r="R65" s="18">
        <v>0</v>
      </c>
      <c r="S65" s="95">
        <v>0</v>
      </c>
      <c r="T65" s="88">
        <f t="shared" ref="T65" si="58">SUM(U65:X65)</f>
        <v>2319</v>
      </c>
      <c r="U65" s="27">
        <f>'5. Перечень МРАД'!P124</f>
        <v>2319</v>
      </c>
      <c r="V65" s="27">
        <f>'5. Перечень МРАД'!Q124</f>
        <v>0</v>
      </c>
      <c r="W65" s="27">
        <v>0</v>
      </c>
      <c r="X65" s="27">
        <v>0</v>
      </c>
      <c r="Y65" s="88">
        <f t="shared" ref="Y65" si="59">SUM(Z65:AC65)</f>
        <v>2412</v>
      </c>
      <c r="Z65" s="27">
        <f>'5. Перечень МРАД'!S124</f>
        <v>2412</v>
      </c>
      <c r="AA65" s="27">
        <f>'5. Перечень МРАД'!T124</f>
        <v>0</v>
      </c>
      <c r="AB65" s="27">
        <v>0</v>
      </c>
      <c r="AC65" s="27">
        <v>0</v>
      </c>
      <c r="AD65" s="88">
        <f t="shared" si="50"/>
        <v>8855</v>
      </c>
      <c r="AE65" s="50"/>
      <c r="AF65" s="50"/>
      <c r="AG65" s="50"/>
      <c r="AH65" s="50"/>
    </row>
    <row r="66" spans="1:34" ht="234.75" customHeight="1" outlineLevel="1" x14ac:dyDescent="0.2">
      <c r="A66" s="273" t="s">
        <v>324</v>
      </c>
      <c r="B66" s="82" t="s">
        <v>268</v>
      </c>
      <c r="C66" s="282" t="s">
        <v>20</v>
      </c>
      <c r="D66" s="270" t="s">
        <v>176</v>
      </c>
      <c r="E66" s="88">
        <f t="shared" si="45"/>
        <v>212</v>
      </c>
      <c r="F66" s="18">
        <f>'5. Перечень МРАД'!G125</f>
        <v>212</v>
      </c>
      <c r="G66" s="18">
        <f>'5. Перечень МРАД'!H125</f>
        <v>0</v>
      </c>
      <c r="H66" s="18">
        <v>0</v>
      </c>
      <c r="I66" s="95">
        <v>0</v>
      </c>
      <c r="J66" s="88">
        <f t="shared" ref="J66:J67" si="60">SUM(K66:N66)</f>
        <v>221</v>
      </c>
      <c r="K66" s="18">
        <f>'5. Перечень МРАД'!J125</f>
        <v>221</v>
      </c>
      <c r="L66" s="18">
        <f>'5. Перечень МРАД'!K125</f>
        <v>0</v>
      </c>
      <c r="M66" s="18">
        <v>0</v>
      </c>
      <c r="N66" s="95">
        <v>0</v>
      </c>
      <c r="O66" s="88">
        <f t="shared" ref="O66:O67" si="61">SUM(P66:S66)</f>
        <v>230</v>
      </c>
      <c r="P66" s="18">
        <f>'5. Перечень МРАД'!M125</f>
        <v>230</v>
      </c>
      <c r="Q66" s="18">
        <f>'5. Перечень МРАД'!N125</f>
        <v>0</v>
      </c>
      <c r="R66" s="18">
        <v>0</v>
      </c>
      <c r="S66" s="95">
        <v>0</v>
      </c>
      <c r="T66" s="88">
        <f t="shared" ref="T66:T67" si="62">SUM(U66:X66)</f>
        <v>216</v>
      </c>
      <c r="U66" s="27">
        <f>'5. Перечень МРАД'!P125</f>
        <v>216</v>
      </c>
      <c r="V66" s="27">
        <f>'5. Перечень МРАД'!Q125</f>
        <v>0</v>
      </c>
      <c r="W66" s="27">
        <v>0</v>
      </c>
      <c r="X66" s="27">
        <v>0</v>
      </c>
      <c r="Y66" s="88">
        <f t="shared" ref="Y66:Y67" si="63">SUM(Z66:AC66)</f>
        <v>225</v>
      </c>
      <c r="Z66" s="27">
        <f>'5. Перечень МРАД'!S125</f>
        <v>225</v>
      </c>
      <c r="AA66" s="27">
        <f>'5. Перечень МРАД'!T125</f>
        <v>0</v>
      </c>
      <c r="AB66" s="27">
        <v>0</v>
      </c>
      <c r="AC66" s="27">
        <v>0</v>
      </c>
      <c r="AD66" s="88">
        <f t="shared" si="50"/>
        <v>1104</v>
      </c>
      <c r="AE66" s="50"/>
      <c r="AF66" s="50"/>
      <c r="AG66" s="50"/>
      <c r="AH66" s="50"/>
    </row>
    <row r="67" spans="1:34" ht="105.75" customHeight="1" outlineLevel="1" x14ac:dyDescent="0.2">
      <c r="A67" s="273" t="s">
        <v>325</v>
      </c>
      <c r="B67" s="82" t="s">
        <v>269</v>
      </c>
      <c r="C67" s="282" t="s">
        <v>20</v>
      </c>
      <c r="D67" s="94" t="s">
        <v>176</v>
      </c>
      <c r="E67" s="88">
        <f t="shared" si="45"/>
        <v>500</v>
      </c>
      <c r="F67" s="18">
        <f>'5. Перечень МРАД'!G126</f>
        <v>500</v>
      </c>
      <c r="G67" s="18">
        <f>'5. Перечень МРАД'!H126</f>
        <v>0</v>
      </c>
      <c r="H67" s="18">
        <v>0</v>
      </c>
      <c r="I67" s="95">
        <v>0</v>
      </c>
      <c r="J67" s="88">
        <f t="shared" si="60"/>
        <v>500</v>
      </c>
      <c r="K67" s="18">
        <f>'5. Перечень МРАД'!J126</f>
        <v>500</v>
      </c>
      <c r="L67" s="18">
        <f>'5. Перечень МРАД'!K126</f>
        <v>0</v>
      </c>
      <c r="M67" s="18">
        <v>0</v>
      </c>
      <c r="N67" s="95">
        <v>0</v>
      </c>
      <c r="O67" s="88">
        <f t="shared" si="61"/>
        <v>500</v>
      </c>
      <c r="P67" s="18">
        <f>'5. Перечень МРАД'!M126</f>
        <v>500</v>
      </c>
      <c r="Q67" s="18">
        <f>'5. Перечень МРАД'!N126</f>
        <v>0</v>
      </c>
      <c r="R67" s="18">
        <v>0</v>
      </c>
      <c r="S67" s="95">
        <v>0</v>
      </c>
      <c r="T67" s="88">
        <f t="shared" si="62"/>
        <v>541</v>
      </c>
      <c r="U67" s="27">
        <f>'5. Перечень МРАД'!P126</f>
        <v>541</v>
      </c>
      <c r="V67" s="27">
        <f>'5. Перечень МРАД'!Q126</f>
        <v>0</v>
      </c>
      <c r="W67" s="27">
        <v>0</v>
      </c>
      <c r="X67" s="27">
        <v>0</v>
      </c>
      <c r="Y67" s="88">
        <f t="shared" si="63"/>
        <v>563</v>
      </c>
      <c r="Z67" s="27">
        <f>'5. Перечень МРАД'!S126</f>
        <v>563</v>
      </c>
      <c r="AA67" s="27">
        <f>'5. Перечень МРАД'!T126</f>
        <v>0</v>
      </c>
      <c r="AB67" s="27">
        <v>0</v>
      </c>
      <c r="AC67" s="27">
        <v>0</v>
      </c>
      <c r="AD67" s="88">
        <f t="shared" si="50"/>
        <v>2604</v>
      </c>
      <c r="AE67" s="50"/>
      <c r="AF67" s="50"/>
      <c r="AG67" s="50"/>
      <c r="AH67" s="50"/>
    </row>
    <row r="68" spans="1:34" ht="93.75" customHeight="1" outlineLevel="1" x14ac:dyDescent="0.2">
      <c r="A68" s="273" t="s">
        <v>326</v>
      </c>
      <c r="B68" s="101" t="s">
        <v>271</v>
      </c>
      <c r="C68" s="282" t="s">
        <v>20</v>
      </c>
      <c r="D68" s="270" t="s">
        <v>424</v>
      </c>
      <c r="E68" s="88">
        <f t="shared" si="45"/>
        <v>1260</v>
      </c>
      <c r="F68" s="18">
        <f>'5. Перечень МРАД'!G127</f>
        <v>1260</v>
      </c>
      <c r="G68" s="18">
        <f>'5. Перечень МРАД'!H127</f>
        <v>0</v>
      </c>
      <c r="H68" s="18">
        <v>0</v>
      </c>
      <c r="I68" s="95">
        <v>0</v>
      </c>
      <c r="J68" s="88">
        <f t="shared" ref="J68:J69" si="64">SUM(K68:N68)</f>
        <v>5450</v>
      </c>
      <c r="K68" s="18">
        <f>'5. Перечень МРАД'!J127</f>
        <v>5450</v>
      </c>
      <c r="L68" s="18">
        <f>'5. Перечень МРАД'!K127</f>
        <v>0</v>
      </c>
      <c r="M68" s="18">
        <v>0</v>
      </c>
      <c r="N68" s="95">
        <v>0</v>
      </c>
      <c r="O68" s="88">
        <f t="shared" ref="O68:O69" si="65">SUM(P68:S68)</f>
        <v>0</v>
      </c>
      <c r="P68" s="18">
        <f>'5. Перечень МРАД'!M127</f>
        <v>0</v>
      </c>
      <c r="Q68" s="18">
        <f>'5. Перечень МРАД'!N127</f>
        <v>0</v>
      </c>
      <c r="R68" s="18">
        <v>0</v>
      </c>
      <c r="S68" s="95">
        <v>0</v>
      </c>
      <c r="T68" s="88">
        <f t="shared" ref="T68:T69" si="66">SUM(U68:X68)</f>
        <v>3428</v>
      </c>
      <c r="U68" s="27">
        <f>'5. Перечень МРАД'!P127</f>
        <v>3428</v>
      </c>
      <c r="V68" s="27">
        <f>'5. Перечень МРАД'!Q127</f>
        <v>0</v>
      </c>
      <c r="W68" s="27">
        <v>0</v>
      </c>
      <c r="X68" s="27">
        <v>0</v>
      </c>
      <c r="Y68" s="88">
        <f t="shared" ref="Y68:Y69" si="67">SUM(Z68:AC68)</f>
        <v>3565</v>
      </c>
      <c r="Z68" s="27">
        <f>'5. Перечень МРАД'!S127</f>
        <v>3565</v>
      </c>
      <c r="AA68" s="27">
        <f>'5. Перечень МРАД'!T127</f>
        <v>0</v>
      </c>
      <c r="AB68" s="27">
        <v>0</v>
      </c>
      <c r="AC68" s="27">
        <v>0</v>
      </c>
      <c r="AD68" s="88">
        <f t="shared" si="50"/>
        <v>13703</v>
      </c>
      <c r="AE68" s="50"/>
      <c r="AF68" s="50"/>
      <c r="AG68" s="50"/>
      <c r="AH68" s="50"/>
    </row>
    <row r="69" spans="1:34" ht="90" customHeight="1" outlineLevel="1" x14ac:dyDescent="0.2">
      <c r="A69" s="273" t="s">
        <v>327</v>
      </c>
      <c r="B69" s="101" t="s">
        <v>274</v>
      </c>
      <c r="C69" s="282" t="s">
        <v>20</v>
      </c>
      <c r="D69" s="94" t="s">
        <v>420</v>
      </c>
      <c r="E69" s="88">
        <f t="shared" si="45"/>
        <v>110000</v>
      </c>
      <c r="F69" s="18">
        <f>'5. Перечень МРАД'!G128</f>
        <v>110000</v>
      </c>
      <c r="G69" s="18">
        <f>'5. Перечень МРАД'!H128</f>
        <v>0</v>
      </c>
      <c r="H69" s="18">
        <v>0</v>
      </c>
      <c r="I69" s="95">
        <v>0</v>
      </c>
      <c r="J69" s="88">
        <f t="shared" si="64"/>
        <v>0</v>
      </c>
      <c r="K69" s="18">
        <f>'5. Перечень МРАД'!J128</f>
        <v>0</v>
      </c>
      <c r="L69" s="18">
        <f>'5. Перечень МРАД'!K128</f>
        <v>0</v>
      </c>
      <c r="M69" s="18">
        <v>0</v>
      </c>
      <c r="N69" s="95">
        <v>0</v>
      </c>
      <c r="O69" s="88">
        <f t="shared" si="65"/>
        <v>0</v>
      </c>
      <c r="P69" s="18">
        <f>'5. Перечень МРАД'!M128</f>
        <v>0</v>
      </c>
      <c r="Q69" s="18">
        <f>'5. Перечень МРАД'!N128</f>
        <v>0</v>
      </c>
      <c r="R69" s="18">
        <v>0</v>
      </c>
      <c r="S69" s="95">
        <v>0</v>
      </c>
      <c r="T69" s="88">
        <f t="shared" si="66"/>
        <v>129000</v>
      </c>
      <c r="U69" s="27">
        <f>'5. Перечень МРАД'!P128</f>
        <v>129000</v>
      </c>
      <c r="V69" s="27">
        <f>'5. Перечень МРАД'!Q128</f>
        <v>0</v>
      </c>
      <c r="W69" s="27">
        <v>0</v>
      </c>
      <c r="X69" s="27">
        <v>0</v>
      </c>
      <c r="Y69" s="88">
        <f t="shared" si="67"/>
        <v>134000</v>
      </c>
      <c r="Z69" s="27">
        <f>'5. Перечень МРАД'!S128</f>
        <v>134000</v>
      </c>
      <c r="AA69" s="27">
        <f>'5. Перечень МРАД'!T128</f>
        <v>0</v>
      </c>
      <c r="AB69" s="27">
        <v>0</v>
      </c>
      <c r="AC69" s="27">
        <v>0</v>
      </c>
      <c r="AD69" s="88">
        <f t="shared" si="50"/>
        <v>373000</v>
      </c>
      <c r="AE69" s="50"/>
      <c r="AF69" s="50"/>
      <c r="AG69" s="50"/>
      <c r="AH69" s="50"/>
    </row>
    <row r="70" spans="1:34" s="92" customFormat="1" ht="58.5" customHeight="1" outlineLevel="1" x14ac:dyDescent="0.25">
      <c r="A70" s="265" t="s">
        <v>328</v>
      </c>
      <c r="B70" s="314" t="s">
        <v>378</v>
      </c>
      <c r="C70" s="314"/>
      <c r="D70" s="314"/>
      <c r="E70" s="314"/>
      <c r="F70" s="314"/>
      <c r="G70" s="314"/>
      <c r="H70" s="314"/>
      <c r="I70" s="314"/>
      <c r="J70" s="314"/>
      <c r="K70" s="314"/>
      <c r="L70" s="314"/>
      <c r="M70" s="314"/>
      <c r="N70" s="314"/>
      <c r="O70" s="314"/>
      <c r="P70" s="314"/>
      <c r="Q70" s="314"/>
      <c r="R70" s="314"/>
      <c r="S70" s="314"/>
      <c r="T70" s="314"/>
      <c r="U70" s="314"/>
      <c r="V70" s="314"/>
      <c r="W70" s="314"/>
      <c r="X70" s="314"/>
      <c r="Y70" s="314"/>
      <c r="Z70" s="314"/>
      <c r="AA70" s="314"/>
      <c r="AB70" s="314"/>
      <c r="AC70" s="314"/>
      <c r="AD70" s="314"/>
      <c r="AE70" s="102"/>
      <c r="AF70" s="102"/>
      <c r="AG70" s="102"/>
      <c r="AH70" s="103"/>
    </row>
    <row r="71" spans="1:34" s="92" customFormat="1" ht="111.75" customHeight="1" outlineLevel="1" x14ac:dyDescent="0.25">
      <c r="A71" s="273" t="s">
        <v>213</v>
      </c>
      <c r="B71" s="98" t="s">
        <v>376</v>
      </c>
      <c r="C71" s="282" t="s">
        <v>24</v>
      </c>
      <c r="D71" s="94" t="s">
        <v>425</v>
      </c>
      <c r="E71" s="88">
        <f>F71+G71+H71+I71</f>
        <v>4778</v>
      </c>
      <c r="F71" s="18">
        <f>'5. Перечень МРАД'!G130</f>
        <v>4778</v>
      </c>
      <c r="G71" s="18">
        <f>'5. Перечень МРАД'!H130</f>
        <v>0</v>
      </c>
      <c r="H71" s="18">
        <v>0</v>
      </c>
      <c r="I71" s="95">
        <v>0</v>
      </c>
      <c r="J71" s="88">
        <f t="shared" ref="J71" si="68">K71+L71+M71+N71</f>
        <v>0</v>
      </c>
      <c r="K71" s="18">
        <f>'5. Перечень МРАД'!J130</f>
        <v>0</v>
      </c>
      <c r="L71" s="18">
        <f>'5. Перечень МРАД'!K130</f>
        <v>0</v>
      </c>
      <c r="M71" s="18">
        <v>0</v>
      </c>
      <c r="N71" s="95">
        <v>0</v>
      </c>
      <c r="O71" s="88">
        <f t="shared" ref="O71" si="69">SUM(P71:S71)</f>
        <v>0</v>
      </c>
      <c r="P71" s="18">
        <f>'5. Перечень МРАД'!M130</f>
        <v>0</v>
      </c>
      <c r="Q71" s="18">
        <f>'5. Перечень МРАД'!N130</f>
        <v>0</v>
      </c>
      <c r="R71" s="18">
        <v>0</v>
      </c>
      <c r="S71" s="95">
        <v>0</v>
      </c>
      <c r="T71" s="88">
        <f t="shared" ref="T71" si="70">SUM(U71:X71)</f>
        <v>4119</v>
      </c>
      <c r="U71" s="27">
        <f>'5. Перечень МРАД'!P130</f>
        <v>4119</v>
      </c>
      <c r="V71" s="27">
        <f>'5. Перечень МРАД'!Q130</f>
        <v>0</v>
      </c>
      <c r="W71" s="27">
        <v>0</v>
      </c>
      <c r="X71" s="27">
        <v>0</v>
      </c>
      <c r="Y71" s="88">
        <f t="shared" ref="Y71" si="71">SUM(Z71:AC71)</f>
        <v>4284</v>
      </c>
      <c r="Z71" s="27">
        <f>'5. Перечень МРАД'!S130</f>
        <v>4284</v>
      </c>
      <c r="AA71" s="27">
        <f>'5. Перечень МРАД'!T130</f>
        <v>0</v>
      </c>
      <c r="AB71" s="27">
        <v>0</v>
      </c>
      <c r="AC71" s="27">
        <v>0</v>
      </c>
      <c r="AD71" s="88">
        <f t="shared" ref="AD71" si="72">E71+J71+O71+T71+Y71</f>
        <v>13181</v>
      </c>
      <c r="AE71" s="102"/>
      <c r="AF71" s="102"/>
      <c r="AG71" s="102"/>
      <c r="AH71" s="103"/>
    </row>
    <row r="72" spans="1:34" s="105" customFormat="1" ht="51" customHeight="1" outlineLevel="1" x14ac:dyDescent="0.25">
      <c r="A72" s="313" t="s">
        <v>557</v>
      </c>
      <c r="B72" s="313"/>
      <c r="C72" s="313"/>
      <c r="D72" s="104"/>
      <c r="E72" s="32">
        <f>F72+G72+H72+I72</f>
        <v>1184796</v>
      </c>
      <c r="F72" s="17">
        <f>SUM(F48:F71)-F63-F52-F50-F64</f>
        <v>184796</v>
      </c>
      <c r="G72" s="17">
        <f>SUM(G48:G71)-G63-G52-G50-G64</f>
        <v>1000000</v>
      </c>
      <c r="H72" s="17">
        <f t="shared" ref="H72:AC72" si="73">SUM(H48:H71)-H63</f>
        <v>0</v>
      </c>
      <c r="I72" s="17">
        <f t="shared" si="73"/>
        <v>0</v>
      </c>
      <c r="J72" s="32">
        <f>K72+L72+M72+N72</f>
        <v>778231</v>
      </c>
      <c r="K72" s="17">
        <f t="shared" si="73"/>
        <v>78231</v>
      </c>
      <c r="L72" s="17">
        <f t="shared" si="73"/>
        <v>700000</v>
      </c>
      <c r="M72" s="17">
        <f t="shared" si="73"/>
        <v>0</v>
      </c>
      <c r="N72" s="17">
        <f t="shared" si="73"/>
        <v>0</v>
      </c>
      <c r="O72" s="32">
        <f>P72+Q72+R72+S72</f>
        <v>741650</v>
      </c>
      <c r="P72" s="17">
        <f t="shared" si="73"/>
        <v>41650</v>
      </c>
      <c r="Q72" s="17">
        <f t="shared" si="73"/>
        <v>700000</v>
      </c>
      <c r="R72" s="17">
        <f t="shared" si="73"/>
        <v>0</v>
      </c>
      <c r="S72" s="17">
        <f t="shared" si="73"/>
        <v>0</v>
      </c>
      <c r="T72" s="32">
        <f>U72+V72+W72+X72</f>
        <v>1498025</v>
      </c>
      <c r="U72" s="17">
        <f t="shared" si="73"/>
        <v>245316</v>
      </c>
      <c r="V72" s="17">
        <f t="shared" si="73"/>
        <v>1252709</v>
      </c>
      <c r="W72" s="17">
        <f t="shared" si="73"/>
        <v>0</v>
      </c>
      <c r="X72" s="17">
        <f t="shared" si="73"/>
        <v>0</v>
      </c>
      <c r="Y72" s="32">
        <f>Z72+AA72+AB72+AC72</f>
        <v>1212227</v>
      </c>
      <c r="Z72" s="17">
        <f t="shared" si="73"/>
        <v>207673</v>
      </c>
      <c r="AA72" s="17">
        <f t="shared" si="73"/>
        <v>1004554</v>
      </c>
      <c r="AB72" s="17">
        <f t="shared" si="73"/>
        <v>0</v>
      </c>
      <c r="AC72" s="17">
        <f t="shared" si="73"/>
        <v>0</v>
      </c>
      <c r="AD72" s="32">
        <f>E72+J72+O72+T72+Y72</f>
        <v>5414929</v>
      </c>
      <c r="AE72" s="33">
        <f>F72+K72+P72+U72+Z72</f>
        <v>757666</v>
      </c>
      <c r="AF72" s="33">
        <f>G72+L72+Q72+V72+AA72</f>
        <v>4657263</v>
      </c>
      <c r="AG72" s="33">
        <f>H72+M72+R72+W72+AB72</f>
        <v>0</v>
      </c>
      <c r="AH72" s="33">
        <f>I72+N72+S72+X72+AC72</f>
        <v>0</v>
      </c>
    </row>
    <row r="73" spans="1:34" s="105" customFormat="1" ht="51" customHeight="1" outlineLevel="1" x14ac:dyDescent="0.25">
      <c r="A73" s="336" t="s">
        <v>559</v>
      </c>
      <c r="B73" s="336"/>
      <c r="C73" s="336"/>
      <c r="D73" s="106"/>
      <c r="E73" s="48">
        <f>F73+G73+H73+I73</f>
        <v>7235</v>
      </c>
      <c r="F73" s="47">
        <f>F50+F52</f>
        <v>7235</v>
      </c>
      <c r="G73" s="47">
        <f>G50+G52</f>
        <v>0</v>
      </c>
      <c r="H73" s="47"/>
      <c r="I73" s="47"/>
      <c r="J73" s="48">
        <f>K73+L73+M73+N73</f>
        <v>0</v>
      </c>
      <c r="K73" s="47">
        <f>K50+K52</f>
        <v>0</v>
      </c>
      <c r="L73" s="47">
        <f>L50+L52</f>
        <v>0</v>
      </c>
      <c r="M73" s="47"/>
      <c r="N73" s="47"/>
      <c r="O73" s="48">
        <f>P73+Q73+R73+S73</f>
        <v>0</v>
      </c>
      <c r="P73" s="47">
        <f>P50+P52</f>
        <v>0</v>
      </c>
      <c r="Q73" s="47">
        <f>Q50+Q52</f>
        <v>0</v>
      </c>
      <c r="R73" s="47"/>
      <c r="S73" s="47"/>
      <c r="T73" s="48">
        <f>U73+V73+W73+X73</f>
        <v>0</v>
      </c>
      <c r="U73" s="47">
        <f>U50+U52</f>
        <v>0</v>
      </c>
      <c r="V73" s="47">
        <f>V50+V52</f>
        <v>0</v>
      </c>
      <c r="W73" s="47"/>
      <c r="X73" s="47"/>
      <c r="Y73" s="48">
        <f>Z73+AA73+AB73+AC73</f>
        <v>0</v>
      </c>
      <c r="Z73" s="47">
        <f>Z50+Z52</f>
        <v>0</v>
      </c>
      <c r="AA73" s="47">
        <f>AA50+AA52</f>
        <v>0</v>
      </c>
      <c r="AB73" s="47"/>
      <c r="AC73" s="47"/>
      <c r="AD73" s="48">
        <f>E73+J73+O73+T73+Y73</f>
        <v>7235</v>
      </c>
      <c r="AE73" s="107"/>
      <c r="AF73" s="107"/>
      <c r="AG73" s="107"/>
      <c r="AH73" s="107"/>
    </row>
    <row r="74" spans="1:34" s="105" customFormat="1" ht="51" customHeight="1" outlineLevel="1" x14ac:dyDescent="0.25">
      <c r="A74" s="313" t="s">
        <v>558</v>
      </c>
      <c r="B74" s="313"/>
      <c r="C74" s="313"/>
      <c r="D74" s="104"/>
      <c r="E74" s="32">
        <f>F74+G74+H74+I74</f>
        <v>1192031</v>
      </c>
      <c r="F74" s="17">
        <f>SUM(F72:F73)</f>
        <v>192031</v>
      </c>
      <c r="G74" s="17">
        <f>SUM(G72:G73)</f>
        <v>1000000</v>
      </c>
      <c r="H74" s="17"/>
      <c r="I74" s="17"/>
      <c r="J74" s="32">
        <f>K74+L74+M74+N74</f>
        <v>778231</v>
      </c>
      <c r="K74" s="17">
        <f>SUM(K72:K73)</f>
        <v>78231</v>
      </c>
      <c r="L74" s="17">
        <f>SUM(L72:L73)</f>
        <v>700000</v>
      </c>
      <c r="M74" s="17"/>
      <c r="N74" s="17"/>
      <c r="O74" s="32">
        <f>P74+Q74+R74+S74</f>
        <v>741650</v>
      </c>
      <c r="P74" s="17">
        <f>SUM(P72:P73)</f>
        <v>41650</v>
      </c>
      <c r="Q74" s="17">
        <f>SUM(Q72:Q73)</f>
        <v>700000</v>
      </c>
      <c r="R74" s="17"/>
      <c r="S74" s="17"/>
      <c r="T74" s="32">
        <f>U74+V74+W74+X74</f>
        <v>1498025</v>
      </c>
      <c r="U74" s="17">
        <f>SUM(U72:U73)</f>
        <v>245316</v>
      </c>
      <c r="V74" s="17">
        <f>SUM(V72:V73)</f>
        <v>1252709</v>
      </c>
      <c r="W74" s="17"/>
      <c r="X74" s="17"/>
      <c r="Y74" s="32">
        <f>Z74+AA74+AB74+AC74</f>
        <v>1212227</v>
      </c>
      <c r="Z74" s="17">
        <f>SUM(Z72:Z73)</f>
        <v>207673</v>
      </c>
      <c r="AA74" s="17">
        <f>SUM(AA72:AA73)</f>
        <v>1004554</v>
      </c>
      <c r="AB74" s="17"/>
      <c r="AC74" s="17"/>
      <c r="AD74" s="32">
        <f>E74+J74+O74+T74+Y74</f>
        <v>5422164</v>
      </c>
      <c r="AE74" s="107"/>
      <c r="AF74" s="107"/>
      <c r="AG74" s="107"/>
      <c r="AH74" s="107"/>
    </row>
    <row r="75" spans="1:34" ht="42" customHeight="1" x14ac:dyDescent="0.2">
      <c r="A75" s="267" t="s">
        <v>105</v>
      </c>
      <c r="B75" s="332" t="s">
        <v>369</v>
      </c>
      <c r="C75" s="333"/>
      <c r="D75" s="333"/>
      <c r="E75" s="333"/>
      <c r="F75" s="333"/>
      <c r="G75" s="333"/>
      <c r="H75" s="333"/>
      <c r="I75" s="333"/>
      <c r="J75" s="333"/>
      <c r="K75" s="333"/>
      <c r="L75" s="333"/>
      <c r="M75" s="333"/>
      <c r="N75" s="333"/>
      <c r="O75" s="333"/>
      <c r="P75" s="333"/>
      <c r="Q75" s="333"/>
      <c r="R75" s="333"/>
      <c r="S75" s="333"/>
      <c r="T75" s="333"/>
      <c r="U75" s="333"/>
      <c r="V75" s="333"/>
      <c r="W75" s="333"/>
      <c r="X75" s="333"/>
      <c r="Y75" s="333"/>
      <c r="Z75" s="333"/>
      <c r="AA75" s="333"/>
      <c r="AB75" s="333"/>
      <c r="AC75" s="333"/>
      <c r="AD75" s="333"/>
      <c r="AE75" s="108"/>
      <c r="AF75" s="108"/>
      <c r="AG75" s="108"/>
      <c r="AH75" s="108"/>
    </row>
    <row r="76" spans="1:34" ht="37.9" customHeight="1" x14ac:dyDescent="0.2">
      <c r="A76" s="335" t="s">
        <v>204</v>
      </c>
      <c r="B76" s="335"/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5"/>
      <c r="Y76" s="335"/>
      <c r="Z76" s="335"/>
      <c r="AA76" s="335"/>
      <c r="AB76" s="335"/>
      <c r="AC76" s="335"/>
      <c r="AD76" s="335"/>
      <c r="AE76" s="50"/>
      <c r="AF76" s="50"/>
      <c r="AG76" s="50"/>
      <c r="AH76" s="50"/>
    </row>
    <row r="77" spans="1:34" ht="36" customHeight="1" x14ac:dyDescent="0.2">
      <c r="A77" s="328" t="s">
        <v>370</v>
      </c>
      <c r="B77" s="328"/>
      <c r="C77" s="328"/>
      <c r="D77" s="328"/>
      <c r="E77" s="328"/>
      <c r="F77" s="328"/>
      <c r="G77" s="328"/>
      <c r="H77" s="328"/>
      <c r="I77" s="328"/>
      <c r="J77" s="328"/>
      <c r="K77" s="328"/>
      <c r="L77" s="328"/>
      <c r="M77" s="328"/>
      <c r="N77" s="328"/>
      <c r="O77" s="328"/>
      <c r="P77" s="328"/>
      <c r="Q77" s="328"/>
      <c r="R77" s="328"/>
      <c r="S77" s="328"/>
      <c r="T77" s="328"/>
      <c r="U77" s="328"/>
      <c r="V77" s="328"/>
      <c r="W77" s="328"/>
      <c r="X77" s="328"/>
      <c r="Y77" s="328"/>
      <c r="Z77" s="328"/>
      <c r="AA77" s="328"/>
      <c r="AB77" s="328"/>
      <c r="AC77" s="328"/>
      <c r="AD77" s="295"/>
      <c r="AE77" s="50"/>
      <c r="AF77" s="50"/>
      <c r="AG77" s="50"/>
      <c r="AH77" s="50"/>
    </row>
    <row r="78" spans="1:34" ht="36.6" customHeight="1" outlineLevel="1" x14ac:dyDescent="0.2">
      <c r="A78" s="109" t="s">
        <v>17</v>
      </c>
      <c r="B78" s="295" t="s">
        <v>371</v>
      </c>
      <c r="C78" s="296"/>
      <c r="D78" s="296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50"/>
      <c r="AF78" s="50"/>
      <c r="AG78" s="50"/>
      <c r="AH78" s="50"/>
    </row>
    <row r="79" spans="1:34" ht="189.75" customHeight="1" outlineLevel="1" x14ac:dyDescent="0.2">
      <c r="A79" s="81" t="s">
        <v>92</v>
      </c>
      <c r="B79" s="29" t="s">
        <v>205</v>
      </c>
      <c r="C79" s="282" t="s">
        <v>23</v>
      </c>
      <c r="D79" s="94" t="s">
        <v>176</v>
      </c>
      <c r="E79" s="88">
        <f>SUM(F79:I79)</f>
        <v>769549</v>
      </c>
      <c r="F79" s="27">
        <v>769549</v>
      </c>
      <c r="G79" s="27">
        <v>0</v>
      </c>
      <c r="H79" s="27">
        <v>0</v>
      </c>
      <c r="I79" s="27">
        <v>0</v>
      </c>
      <c r="J79" s="88">
        <f>SUM(K79:N79)</f>
        <v>933458</v>
      </c>
      <c r="K79" s="27">
        <v>933458</v>
      </c>
      <c r="L79" s="27">
        <v>0</v>
      </c>
      <c r="M79" s="27">
        <v>0</v>
      </c>
      <c r="N79" s="27">
        <v>0</v>
      </c>
      <c r="O79" s="88">
        <f t="shared" ref="O79:O80" si="74">SUM(P79:S79)</f>
        <v>1109480</v>
      </c>
      <c r="P79" s="27">
        <v>1109480</v>
      </c>
      <c r="Q79" s="27">
        <v>0</v>
      </c>
      <c r="R79" s="27">
        <v>0</v>
      </c>
      <c r="S79" s="27">
        <v>0</v>
      </c>
      <c r="T79" s="88">
        <f>SUM(U79:X79)</f>
        <v>1298094</v>
      </c>
      <c r="U79" s="27">
        <v>1298094</v>
      </c>
      <c r="V79" s="27">
        <v>0</v>
      </c>
      <c r="W79" s="27">
        <v>0</v>
      </c>
      <c r="X79" s="27">
        <v>0</v>
      </c>
      <c r="Y79" s="88">
        <f>SUM(Z79:AC79)</f>
        <v>1500020</v>
      </c>
      <c r="Z79" s="27">
        <v>1500020</v>
      </c>
      <c r="AA79" s="27">
        <v>0</v>
      </c>
      <c r="AB79" s="27">
        <v>0</v>
      </c>
      <c r="AC79" s="27">
        <v>0</v>
      </c>
      <c r="AD79" s="88">
        <f t="shared" ref="AD79:AD80" si="75">E79+J79+O79+T79+Y79</f>
        <v>5610601</v>
      </c>
      <c r="AE79" s="50"/>
      <c r="AF79" s="50"/>
      <c r="AG79" s="50"/>
      <c r="AH79" s="50"/>
    </row>
    <row r="80" spans="1:34" ht="98.25" customHeight="1" outlineLevel="1" x14ac:dyDescent="0.2">
      <c r="A80" s="81" t="s">
        <v>106</v>
      </c>
      <c r="B80" s="29" t="s">
        <v>58</v>
      </c>
      <c r="C80" s="282" t="s">
        <v>23</v>
      </c>
      <c r="D80" s="94" t="s">
        <v>176</v>
      </c>
      <c r="E80" s="88">
        <f>SUM(F80:I80)</f>
        <v>8772</v>
      </c>
      <c r="F80" s="27">
        <v>8772</v>
      </c>
      <c r="G80" s="27">
        <v>0</v>
      </c>
      <c r="H80" s="27">
        <v>0</v>
      </c>
      <c r="I80" s="27">
        <v>0</v>
      </c>
      <c r="J80" s="88">
        <f>SUM(K80:N80)</f>
        <v>10640</v>
      </c>
      <c r="K80" s="27">
        <v>10640</v>
      </c>
      <c r="L80" s="27">
        <v>0</v>
      </c>
      <c r="M80" s="27">
        <v>0</v>
      </c>
      <c r="N80" s="27">
        <v>0</v>
      </c>
      <c r="O80" s="88">
        <f t="shared" si="74"/>
        <v>12648</v>
      </c>
      <c r="P80" s="27">
        <v>12648</v>
      </c>
      <c r="Q80" s="27">
        <v>0</v>
      </c>
      <c r="R80" s="27">
        <v>0</v>
      </c>
      <c r="S80" s="27">
        <v>0</v>
      </c>
      <c r="T80" s="88">
        <f>SUM(U80:X80)</f>
        <v>14796</v>
      </c>
      <c r="U80" s="27">
        <v>14796</v>
      </c>
      <c r="V80" s="27">
        <v>0</v>
      </c>
      <c r="W80" s="27">
        <v>0</v>
      </c>
      <c r="X80" s="27">
        <v>0</v>
      </c>
      <c r="Y80" s="88">
        <f>SUM(Z80:AC80)</f>
        <v>17098</v>
      </c>
      <c r="Z80" s="27">
        <v>17098</v>
      </c>
      <c r="AA80" s="27">
        <v>0</v>
      </c>
      <c r="AB80" s="27">
        <v>0</v>
      </c>
      <c r="AC80" s="27">
        <v>0</v>
      </c>
      <c r="AD80" s="88">
        <f t="shared" si="75"/>
        <v>63954</v>
      </c>
      <c r="AE80" s="50"/>
      <c r="AF80" s="50"/>
      <c r="AG80" s="50"/>
      <c r="AH80" s="50"/>
    </row>
    <row r="81" spans="1:198" ht="36.6" customHeight="1" outlineLevel="1" x14ac:dyDescent="0.2">
      <c r="A81" s="109" t="s">
        <v>18</v>
      </c>
      <c r="B81" s="295" t="s">
        <v>372</v>
      </c>
      <c r="C81" s="296"/>
      <c r="D81" s="296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7"/>
      <c r="AE81" s="110"/>
      <c r="AF81" s="111"/>
      <c r="AG81" s="111"/>
      <c r="AH81" s="111"/>
    </row>
    <row r="82" spans="1:198" ht="89.25" customHeight="1" outlineLevel="1" x14ac:dyDescent="0.2">
      <c r="A82" s="81" t="s">
        <v>93</v>
      </c>
      <c r="B82" s="29" t="s">
        <v>306</v>
      </c>
      <c r="C82" s="282" t="s">
        <v>23</v>
      </c>
      <c r="D82" s="94">
        <v>2026</v>
      </c>
      <c r="E82" s="88">
        <f>SUM(F82:I82)</f>
        <v>420</v>
      </c>
      <c r="F82" s="27">
        <v>420</v>
      </c>
      <c r="G82" s="27">
        <v>0</v>
      </c>
      <c r="H82" s="27">
        <v>0</v>
      </c>
      <c r="I82" s="27">
        <v>0</v>
      </c>
      <c r="J82" s="88">
        <f>SUM(K82:N82)</f>
        <v>0</v>
      </c>
      <c r="K82" s="27">
        <v>0</v>
      </c>
      <c r="L82" s="27">
        <v>0</v>
      </c>
      <c r="M82" s="27">
        <v>0</v>
      </c>
      <c r="N82" s="27">
        <v>0</v>
      </c>
      <c r="O82" s="88">
        <f t="shared" ref="O82" si="76">SUM(P82:S82)</f>
        <v>0</v>
      </c>
      <c r="P82" s="27">
        <v>0</v>
      </c>
      <c r="Q82" s="27">
        <v>0</v>
      </c>
      <c r="R82" s="27">
        <v>0</v>
      </c>
      <c r="S82" s="27">
        <v>0</v>
      </c>
      <c r="T82" s="88">
        <f>SUM(U82:X82)</f>
        <v>0</v>
      </c>
      <c r="U82" s="27">
        <v>0</v>
      </c>
      <c r="V82" s="27">
        <v>0</v>
      </c>
      <c r="W82" s="27">
        <v>0</v>
      </c>
      <c r="X82" s="27">
        <v>0</v>
      </c>
      <c r="Y82" s="88">
        <f>SUM(Z82:AC82)</f>
        <v>0</v>
      </c>
      <c r="Z82" s="27">
        <v>0</v>
      </c>
      <c r="AA82" s="27">
        <v>0</v>
      </c>
      <c r="AB82" s="27">
        <v>0</v>
      </c>
      <c r="AC82" s="27">
        <v>0</v>
      </c>
      <c r="AD82" s="88">
        <f>E82+J82+O82+T82+Y82</f>
        <v>420</v>
      </c>
      <c r="AE82" s="50"/>
      <c r="AF82" s="50"/>
      <c r="AG82" s="50"/>
      <c r="AH82" s="50"/>
    </row>
    <row r="83" spans="1:198" ht="111.75" customHeight="1" outlineLevel="1" x14ac:dyDescent="0.2">
      <c r="A83" s="81" t="s">
        <v>343</v>
      </c>
      <c r="B83" s="29" t="s">
        <v>342</v>
      </c>
      <c r="C83" s="282" t="s">
        <v>23</v>
      </c>
      <c r="D83" s="94">
        <v>2026</v>
      </c>
      <c r="E83" s="88">
        <f>SUM(F83:I83)</f>
        <v>4484</v>
      </c>
      <c r="F83" s="27">
        <f>2549+1935</f>
        <v>4484</v>
      </c>
      <c r="G83" s="27">
        <v>0</v>
      </c>
      <c r="H83" s="27">
        <v>0</v>
      </c>
      <c r="I83" s="27">
        <v>0</v>
      </c>
      <c r="J83" s="88">
        <f>SUM(K83:N83)</f>
        <v>0</v>
      </c>
      <c r="K83" s="27">
        <v>0</v>
      </c>
      <c r="L83" s="27">
        <v>0</v>
      </c>
      <c r="M83" s="27">
        <v>0</v>
      </c>
      <c r="N83" s="27">
        <v>0</v>
      </c>
      <c r="O83" s="88">
        <f t="shared" ref="O83" si="77">SUM(P83:S83)</f>
        <v>0</v>
      </c>
      <c r="P83" s="27">
        <v>0</v>
      </c>
      <c r="Q83" s="27">
        <v>0</v>
      </c>
      <c r="R83" s="27">
        <v>0</v>
      </c>
      <c r="S83" s="27">
        <v>0</v>
      </c>
      <c r="T83" s="88">
        <f>SUM(U83:X83)</f>
        <v>0</v>
      </c>
      <c r="U83" s="27">
        <v>0</v>
      </c>
      <c r="V83" s="27">
        <v>0</v>
      </c>
      <c r="W83" s="27">
        <v>0</v>
      </c>
      <c r="X83" s="27">
        <v>0</v>
      </c>
      <c r="Y83" s="88">
        <f>SUM(Z83:AC83)</f>
        <v>0</v>
      </c>
      <c r="Z83" s="27">
        <v>0</v>
      </c>
      <c r="AA83" s="27">
        <v>0</v>
      </c>
      <c r="AB83" s="27">
        <v>0</v>
      </c>
      <c r="AC83" s="27">
        <v>0</v>
      </c>
      <c r="AD83" s="88">
        <f>E83+J83+O83+T83+Y83</f>
        <v>4484</v>
      </c>
      <c r="AE83" s="50"/>
      <c r="AF83" s="50"/>
      <c r="AG83" s="50"/>
      <c r="AH83" s="50"/>
    </row>
    <row r="84" spans="1:198" ht="39" customHeight="1" outlineLevel="1" x14ac:dyDescent="0.2">
      <c r="A84" s="337" t="s">
        <v>36</v>
      </c>
      <c r="B84" s="337"/>
      <c r="C84" s="337"/>
      <c r="D84" s="112"/>
      <c r="E84" s="32">
        <f>SUM(E79:E83)</f>
        <v>783225</v>
      </c>
      <c r="F84" s="32">
        <f>SUM(F79:F83)</f>
        <v>783225</v>
      </c>
      <c r="G84" s="32">
        <f t="shared" ref="G84:AC84" si="78">SUM(G79:G82)</f>
        <v>0</v>
      </c>
      <c r="H84" s="32">
        <f t="shared" si="78"/>
        <v>0</v>
      </c>
      <c r="I84" s="32">
        <f t="shared" si="78"/>
        <v>0</v>
      </c>
      <c r="J84" s="32">
        <f>SUM(J79:J83)</f>
        <v>944098</v>
      </c>
      <c r="K84" s="32">
        <f>SUM(K79:K83)</f>
        <v>944098</v>
      </c>
      <c r="L84" s="32">
        <f t="shared" si="78"/>
        <v>0</v>
      </c>
      <c r="M84" s="32">
        <f t="shared" si="78"/>
        <v>0</v>
      </c>
      <c r="N84" s="32">
        <f t="shared" si="78"/>
        <v>0</v>
      </c>
      <c r="O84" s="32">
        <f>SUM(O79:O83)</f>
        <v>1122128</v>
      </c>
      <c r="P84" s="32">
        <f>SUM(P79:P83)</f>
        <v>1122128</v>
      </c>
      <c r="Q84" s="32">
        <f t="shared" si="78"/>
        <v>0</v>
      </c>
      <c r="R84" s="32">
        <f t="shared" si="78"/>
        <v>0</v>
      </c>
      <c r="S84" s="32">
        <f t="shared" si="78"/>
        <v>0</v>
      </c>
      <c r="T84" s="32">
        <f>SUM(T79:T83)</f>
        <v>1312890</v>
      </c>
      <c r="U84" s="32">
        <f>SUM(U79:U83)</f>
        <v>1312890</v>
      </c>
      <c r="V84" s="32">
        <f t="shared" si="78"/>
        <v>0</v>
      </c>
      <c r="W84" s="32">
        <f t="shared" si="78"/>
        <v>0</v>
      </c>
      <c r="X84" s="32">
        <f t="shared" si="78"/>
        <v>0</v>
      </c>
      <c r="Y84" s="32">
        <f>SUM(Y79:Y83)</f>
        <v>1517118</v>
      </c>
      <c r="Z84" s="32">
        <f>SUM(Z79:Z83)</f>
        <v>1517118</v>
      </c>
      <c r="AA84" s="32">
        <f t="shared" si="78"/>
        <v>0</v>
      </c>
      <c r="AB84" s="32">
        <f t="shared" si="78"/>
        <v>0</v>
      </c>
      <c r="AC84" s="32">
        <f t="shared" si="78"/>
        <v>0</v>
      </c>
      <c r="AD84" s="32">
        <f>SUM(AD79:AD83)</f>
        <v>5679459</v>
      </c>
      <c r="AE84" s="33">
        <f>F84+K84+P84+U84+Z84</f>
        <v>5679459</v>
      </c>
      <c r="AF84" s="33">
        <f>G84+L84+Q84+V84+AA84</f>
        <v>0</v>
      </c>
      <c r="AG84" s="33">
        <f>H84+M84+R84+W84+AB84</f>
        <v>0</v>
      </c>
      <c r="AH84" s="33">
        <f>I84+N84+S84+X84+AC84</f>
        <v>0</v>
      </c>
    </row>
    <row r="85" spans="1:198" ht="39" customHeight="1" outlineLevel="1" x14ac:dyDescent="0.2">
      <c r="A85" s="267" t="s">
        <v>107</v>
      </c>
      <c r="B85" s="332" t="s">
        <v>133</v>
      </c>
      <c r="C85" s="333"/>
      <c r="D85" s="333"/>
      <c r="E85" s="333"/>
      <c r="F85" s="333"/>
      <c r="G85" s="333"/>
      <c r="H85" s="333"/>
      <c r="I85" s="333"/>
      <c r="J85" s="333"/>
      <c r="K85" s="333"/>
      <c r="L85" s="333"/>
      <c r="M85" s="333"/>
      <c r="N85" s="333"/>
      <c r="O85" s="333"/>
      <c r="P85" s="333"/>
      <c r="Q85" s="333"/>
      <c r="R85" s="333"/>
      <c r="S85" s="333"/>
      <c r="T85" s="333"/>
      <c r="U85" s="333"/>
      <c r="V85" s="333"/>
      <c r="W85" s="333"/>
      <c r="X85" s="333"/>
      <c r="Y85" s="333"/>
      <c r="Z85" s="333"/>
      <c r="AA85" s="333"/>
      <c r="AB85" s="333"/>
      <c r="AC85" s="333"/>
      <c r="AD85" s="334"/>
      <c r="AE85" s="50"/>
      <c r="AF85" s="50"/>
      <c r="AG85" s="50"/>
      <c r="AH85" s="50"/>
    </row>
    <row r="86" spans="1:198" s="92" customFormat="1" ht="38.450000000000003" customHeight="1" outlineLevel="1" x14ac:dyDescent="0.2">
      <c r="A86" s="335" t="s">
        <v>192</v>
      </c>
      <c r="B86" s="335"/>
      <c r="C86" s="335"/>
      <c r="D86" s="335"/>
      <c r="E86" s="335"/>
      <c r="F86" s="335"/>
      <c r="G86" s="335"/>
      <c r="H86" s="335"/>
      <c r="I86" s="335"/>
      <c r="J86" s="335"/>
      <c r="K86" s="335"/>
      <c r="L86" s="335"/>
      <c r="M86" s="335"/>
      <c r="N86" s="335"/>
      <c r="O86" s="335"/>
      <c r="P86" s="335"/>
      <c r="Q86" s="335"/>
      <c r="R86" s="335"/>
      <c r="S86" s="335"/>
      <c r="T86" s="335"/>
      <c r="U86" s="335"/>
      <c r="V86" s="335"/>
      <c r="W86" s="335"/>
      <c r="X86" s="335"/>
      <c r="Y86" s="335"/>
      <c r="Z86" s="335"/>
      <c r="AA86" s="335"/>
      <c r="AB86" s="335"/>
      <c r="AC86" s="335"/>
      <c r="AD86" s="335"/>
      <c r="AE86" s="50"/>
      <c r="AF86" s="50"/>
      <c r="AG86" s="50"/>
      <c r="AH86" s="50"/>
    </row>
    <row r="87" spans="1:198" ht="34.15" customHeight="1" x14ac:dyDescent="0.2">
      <c r="A87" s="328" t="s">
        <v>132</v>
      </c>
      <c r="B87" s="328"/>
      <c r="C87" s="328"/>
      <c r="D87" s="328"/>
      <c r="E87" s="328"/>
      <c r="F87" s="328"/>
      <c r="G87" s="328"/>
      <c r="H87" s="328"/>
      <c r="I87" s="328"/>
      <c r="J87" s="328"/>
      <c r="K87" s="328"/>
      <c r="L87" s="328"/>
      <c r="M87" s="328"/>
      <c r="N87" s="328"/>
      <c r="O87" s="328"/>
      <c r="P87" s="328"/>
      <c r="Q87" s="328"/>
      <c r="R87" s="328"/>
      <c r="S87" s="328"/>
      <c r="T87" s="328"/>
      <c r="U87" s="328"/>
      <c r="V87" s="328"/>
      <c r="W87" s="328"/>
      <c r="X87" s="328"/>
      <c r="Y87" s="328"/>
      <c r="Z87" s="328"/>
      <c r="AA87" s="328"/>
      <c r="AB87" s="328"/>
      <c r="AC87" s="328"/>
      <c r="AD87" s="328"/>
      <c r="AE87" s="92"/>
      <c r="AF87" s="92"/>
      <c r="AG87" s="92"/>
      <c r="AH87" s="92"/>
    </row>
    <row r="88" spans="1:198" ht="42" customHeight="1" x14ac:dyDescent="0.2">
      <c r="A88" s="73" t="s">
        <v>14</v>
      </c>
      <c r="B88" s="295" t="s">
        <v>108</v>
      </c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7"/>
      <c r="AE88" s="50"/>
      <c r="AF88" s="50"/>
      <c r="AG88" s="50"/>
      <c r="AH88" s="50"/>
    </row>
    <row r="89" spans="1:198" ht="83.25" customHeight="1" x14ac:dyDescent="0.2">
      <c r="A89" s="265" t="s">
        <v>94</v>
      </c>
      <c r="B89" s="82" t="s">
        <v>198</v>
      </c>
      <c r="C89" s="282" t="s">
        <v>20</v>
      </c>
      <c r="D89" s="94" t="s">
        <v>176</v>
      </c>
      <c r="E89" s="88">
        <f>F89+G89+H89+I89</f>
        <v>639</v>
      </c>
      <c r="F89" s="27">
        <v>639</v>
      </c>
      <c r="G89" s="27">
        <v>0</v>
      </c>
      <c r="H89" s="27">
        <v>0</v>
      </c>
      <c r="I89" s="27">
        <v>0</v>
      </c>
      <c r="J89" s="88">
        <f>K89+L89+M89+N89</f>
        <v>665</v>
      </c>
      <c r="K89" s="27">
        <v>665</v>
      </c>
      <c r="L89" s="27">
        <v>0</v>
      </c>
      <c r="M89" s="27">
        <v>0</v>
      </c>
      <c r="N89" s="27">
        <v>0</v>
      </c>
      <c r="O89" s="88">
        <f>SUM(P89:S89)</f>
        <v>485</v>
      </c>
      <c r="P89" s="27">
        <v>485</v>
      </c>
      <c r="Q89" s="27">
        <v>0</v>
      </c>
      <c r="R89" s="27">
        <v>0</v>
      </c>
      <c r="S89" s="27">
        <f>112-112</f>
        <v>0</v>
      </c>
      <c r="T89" s="88">
        <f>SUM(U89:X89)</f>
        <v>273</v>
      </c>
      <c r="U89" s="27">
        <v>273</v>
      </c>
      <c r="V89" s="27">
        <v>0</v>
      </c>
      <c r="W89" s="27">
        <v>0</v>
      </c>
      <c r="X89" s="27">
        <f>112-112</f>
        <v>0</v>
      </c>
      <c r="Y89" s="88">
        <f>SUM(Z89:AC89)</f>
        <v>284</v>
      </c>
      <c r="Z89" s="27">
        <v>284</v>
      </c>
      <c r="AA89" s="27">
        <v>0</v>
      </c>
      <c r="AB89" s="27">
        <v>0</v>
      </c>
      <c r="AC89" s="27">
        <f>112-112</f>
        <v>0</v>
      </c>
      <c r="AD89" s="88">
        <f>E89+J89+O89+T89+Y89</f>
        <v>2346</v>
      </c>
      <c r="AE89" s="50"/>
      <c r="AF89" s="50"/>
      <c r="AG89" s="50"/>
      <c r="AH89" s="50"/>
    </row>
    <row r="90" spans="1:198" ht="38.25" customHeight="1" x14ac:dyDescent="0.2">
      <c r="A90" s="267" t="s">
        <v>3</v>
      </c>
      <c r="B90" s="298" t="s">
        <v>188</v>
      </c>
      <c r="C90" s="299"/>
      <c r="D90" s="299"/>
      <c r="E90" s="299"/>
      <c r="F90" s="299"/>
      <c r="G90" s="299"/>
      <c r="H90" s="299"/>
      <c r="I90" s="299"/>
      <c r="J90" s="299"/>
      <c r="K90" s="299"/>
      <c r="L90" s="299"/>
      <c r="M90" s="299"/>
      <c r="N90" s="299"/>
      <c r="O90" s="299"/>
      <c r="P90" s="299"/>
      <c r="Q90" s="299"/>
      <c r="R90" s="299"/>
      <c r="S90" s="299"/>
      <c r="T90" s="299"/>
      <c r="U90" s="299"/>
      <c r="V90" s="299"/>
      <c r="W90" s="299"/>
      <c r="X90" s="299"/>
      <c r="Y90" s="299"/>
      <c r="Z90" s="299"/>
      <c r="AA90" s="299"/>
      <c r="AB90" s="299"/>
      <c r="AC90" s="299"/>
      <c r="AD90" s="300"/>
      <c r="AE90" s="50"/>
      <c r="AF90" s="50"/>
      <c r="AG90" s="50"/>
      <c r="AH90" s="50"/>
    </row>
    <row r="91" spans="1:198" s="118" customFormat="1" ht="216" customHeight="1" x14ac:dyDescent="0.2">
      <c r="A91" s="81" t="s">
        <v>95</v>
      </c>
      <c r="B91" s="113" t="s">
        <v>488</v>
      </c>
      <c r="C91" s="114" t="s">
        <v>20</v>
      </c>
      <c r="D91" s="115" t="s">
        <v>176</v>
      </c>
      <c r="E91" s="116">
        <f>F91+G91+H91+I91</f>
        <v>21886</v>
      </c>
      <c r="F91" s="117">
        <v>21886</v>
      </c>
      <c r="G91" s="117">
        <v>0</v>
      </c>
      <c r="H91" s="117">
        <v>0</v>
      </c>
      <c r="I91" s="117">
        <v>0</v>
      </c>
      <c r="J91" s="116">
        <f>K91+L91+M91+N91</f>
        <v>21886</v>
      </c>
      <c r="K91" s="117">
        <v>21886</v>
      </c>
      <c r="L91" s="117">
        <v>0</v>
      </c>
      <c r="M91" s="117">
        <v>0</v>
      </c>
      <c r="N91" s="117">
        <v>0</v>
      </c>
      <c r="O91" s="116">
        <f>SUM(P91:S91)</f>
        <v>21886</v>
      </c>
      <c r="P91" s="117">
        <v>21886</v>
      </c>
      <c r="Q91" s="117">
        <v>0</v>
      </c>
      <c r="R91" s="117">
        <v>0</v>
      </c>
      <c r="S91" s="117">
        <v>0</v>
      </c>
      <c r="T91" s="116">
        <f>SUM(U91:X91)</f>
        <v>23672</v>
      </c>
      <c r="U91" s="117">
        <v>23672</v>
      </c>
      <c r="V91" s="117">
        <v>0</v>
      </c>
      <c r="W91" s="117">
        <v>0</v>
      </c>
      <c r="X91" s="117">
        <v>0</v>
      </c>
      <c r="Y91" s="116">
        <f>SUM(Z91:AC91)</f>
        <v>24619</v>
      </c>
      <c r="Z91" s="117">
        <v>24619</v>
      </c>
      <c r="AA91" s="117">
        <v>0</v>
      </c>
      <c r="AB91" s="117">
        <v>0</v>
      </c>
      <c r="AC91" s="117">
        <v>0</v>
      </c>
      <c r="AD91" s="116">
        <f>E91+J91+O91+T91+Y91</f>
        <v>113949</v>
      </c>
      <c r="AE91" s="50"/>
      <c r="AF91" s="50"/>
      <c r="AG91" s="50"/>
      <c r="AH91" s="50"/>
    </row>
    <row r="92" spans="1:198" s="118" customFormat="1" ht="217.5" customHeight="1" x14ac:dyDescent="0.2">
      <c r="A92" s="81" t="s">
        <v>109</v>
      </c>
      <c r="B92" s="113" t="s">
        <v>196</v>
      </c>
      <c r="C92" s="114" t="s">
        <v>20</v>
      </c>
      <c r="D92" s="115" t="s">
        <v>176</v>
      </c>
      <c r="E92" s="116">
        <f>F92+G92+H92+I92</f>
        <v>60211</v>
      </c>
      <c r="F92" s="117">
        <v>0</v>
      </c>
      <c r="G92" s="117">
        <v>60211</v>
      </c>
      <c r="H92" s="117">
        <v>0</v>
      </c>
      <c r="I92" s="117">
        <v>0</v>
      </c>
      <c r="J92" s="116">
        <f>K92+L92+M92+N92</f>
        <v>79247</v>
      </c>
      <c r="K92" s="117">
        <v>0</v>
      </c>
      <c r="L92" s="117">
        <v>79247</v>
      </c>
      <c r="M92" s="117">
        <v>0</v>
      </c>
      <c r="N92" s="117">
        <v>0</v>
      </c>
      <c r="O92" s="116">
        <f>SUM(P92:S92)</f>
        <v>79247</v>
      </c>
      <c r="P92" s="117">
        <v>0</v>
      </c>
      <c r="Q92" s="117">
        <v>79247</v>
      </c>
      <c r="R92" s="117">
        <v>0</v>
      </c>
      <c r="S92" s="117">
        <v>0</v>
      </c>
      <c r="T92" s="116">
        <f>SUM(U92:X92)</f>
        <v>123771</v>
      </c>
      <c r="U92" s="117">
        <v>0</v>
      </c>
      <c r="V92" s="117">
        <v>123771</v>
      </c>
      <c r="W92" s="117">
        <v>0</v>
      </c>
      <c r="X92" s="117">
        <v>0</v>
      </c>
      <c r="Y92" s="116">
        <f>SUM(Z92:AC92)</f>
        <v>128722</v>
      </c>
      <c r="Z92" s="117">
        <v>0</v>
      </c>
      <c r="AA92" s="117">
        <v>128722</v>
      </c>
      <c r="AB92" s="117">
        <v>0</v>
      </c>
      <c r="AC92" s="117">
        <v>0</v>
      </c>
      <c r="AD92" s="116">
        <f>E92+J92+O92+T92+Y92</f>
        <v>471198</v>
      </c>
      <c r="AE92" s="50"/>
      <c r="AF92" s="50"/>
      <c r="AG92" s="50"/>
      <c r="AH92" s="50"/>
    </row>
    <row r="93" spans="1:198" s="118" customFormat="1" ht="167.25" customHeight="1" x14ac:dyDescent="0.2">
      <c r="A93" s="81" t="s">
        <v>110</v>
      </c>
      <c r="B93" s="119" t="s">
        <v>125</v>
      </c>
      <c r="C93" s="282" t="s">
        <v>20</v>
      </c>
      <c r="D93" s="94" t="s">
        <v>423</v>
      </c>
      <c r="E93" s="88">
        <f>F93+G93+H93+I93</f>
        <v>1221847</v>
      </c>
      <c r="F93" s="27">
        <f>46453+425394</f>
        <v>471847</v>
      </c>
      <c r="G93" s="27">
        <f>0+750000</f>
        <v>750000</v>
      </c>
      <c r="H93" s="27">
        <v>0</v>
      </c>
      <c r="I93" s="27">
        <v>0</v>
      </c>
      <c r="J93" s="88">
        <f>K93+L93+M93+N93</f>
        <v>146589</v>
      </c>
      <c r="K93" s="27">
        <f>22124+124465</f>
        <v>146589</v>
      </c>
      <c r="L93" s="27">
        <v>0</v>
      </c>
      <c r="M93" s="27">
        <v>0</v>
      </c>
      <c r="N93" s="27">
        <v>0</v>
      </c>
      <c r="O93" s="88">
        <f>SUM(P93:S93)</f>
        <v>0</v>
      </c>
      <c r="P93" s="27">
        <v>0</v>
      </c>
      <c r="Q93" s="27">
        <v>0</v>
      </c>
      <c r="R93" s="27">
        <v>0</v>
      </c>
      <c r="S93" s="27">
        <v>0</v>
      </c>
      <c r="T93" s="88">
        <f>SUM(U93:X93)</f>
        <v>2727901</v>
      </c>
      <c r="U93" s="27">
        <v>54901</v>
      </c>
      <c r="V93" s="27">
        <v>2673000</v>
      </c>
      <c r="W93" s="27">
        <v>0</v>
      </c>
      <c r="X93" s="27">
        <v>0</v>
      </c>
      <c r="Y93" s="88">
        <f>SUM(Z93:AC93)</f>
        <v>2832017</v>
      </c>
      <c r="Z93" s="27">
        <v>57047</v>
      </c>
      <c r="AA93" s="27">
        <v>2774970</v>
      </c>
      <c r="AB93" s="27">
        <v>0</v>
      </c>
      <c r="AC93" s="27">
        <v>0</v>
      </c>
      <c r="AD93" s="88">
        <f>E93+J93+O93+T93+Y93</f>
        <v>6928354</v>
      </c>
      <c r="AE93" s="50"/>
      <c r="AF93" s="50"/>
      <c r="AG93" s="50"/>
      <c r="AH93" s="50"/>
    </row>
    <row r="94" spans="1:198" s="118" customFormat="1" ht="186.75" customHeight="1" x14ac:dyDescent="0.2">
      <c r="A94" s="81" t="s">
        <v>111</v>
      </c>
      <c r="B94" s="119" t="s">
        <v>489</v>
      </c>
      <c r="C94" s="282" t="s">
        <v>20</v>
      </c>
      <c r="D94" s="94" t="s">
        <v>176</v>
      </c>
      <c r="E94" s="88">
        <f>F94+G94+H94+I94</f>
        <v>5736</v>
      </c>
      <c r="F94" s="27">
        <v>5736</v>
      </c>
      <c r="G94" s="27">
        <v>0</v>
      </c>
      <c r="H94" s="27">
        <v>0</v>
      </c>
      <c r="I94" s="27">
        <v>0</v>
      </c>
      <c r="J94" s="88">
        <f>K94+L94+M94+N94</f>
        <v>5966</v>
      </c>
      <c r="K94" s="27">
        <v>5966</v>
      </c>
      <c r="L94" s="27">
        <v>0</v>
      </c>
      <c r="M94" s="27">
        <v>0</v>
      </c>
      <c r="N94" s="27">
        <v>0</v>
      </c>
      <c r="O94" s="88">
        <f>SUM(P94:S94)</f>
        <v>6205</v>
      </c>
      <c r="P94" s="27">
        <v>6205</v>
      </c>
      <c r="Q94" s="27">
        <v>0</v>
      </c>
      <c r="R94" s="27">
        <v>0</v>
      </c>
      <c r="S94" s="27">
        <v>0</v>
      </c>
      <c r="T94" s="88">
        <f>SUM(U94:X94)</f>
        <v>3154</v>
      </c>
      <c r="U94" s="27">
        <v>3154</v>
      </c>
      <c r="V94" s="27">
        <v>0</v>
      </c>
      <c r="W94" s="27">
        <v>0</v>
      </c>
      <c r="X94" s="27">
        <v>0</v>
      </c>
      <c r="Y94" s="88">
        <f>SUM(Z94:AC94)</f>
        <v>3280</v>
      </c>
      <c r="Z94" s="27">
        <v>3280</v>
      </c>
      <c r="AA94" s="27">
        <v>0</v>
      </c>
      <c r="AB94" s="27">
        <v>0</v>
      </c>
      <c r="AC94" s="27">
        <v>0</v>
      </c>
      <c r="AD94" s="88">
        <f>E94+J94+O94+T94+Y94</f>
        <v>24341</v>
      </c>
      <c r="AE94" s="50"/>
      <c r="AF94" s="50"/>
      <c r="AG94" s="50"/>
      <c r="AH94" s="50"/>
    </row>
    <row r="95" spans="1:198" s="121" customFormat="1" ht="39" customHeight="1" x14ac:dyDescent="0.2">
      <c r="A95" s="267" t="s">
        <v>15</v>
      </c>
      <c r="B95" s="299" t="s">
        <v>197</v>
      </c>
      <c r="C95" s="299"/>
      <c r="D95" s="299"/>
      <c r="E95" s="299"/>
      <c r="F95" s="299"/>
      <c r="G95" s="299"/>
      <c r="H95" s="299"/>
      <c r="I95" s="299"/>
      <c r="J95" s="299"/>
      <c r="K95" s="299"/>
      <c r="L95" s="299"/>
      <c r="M95" s="299"/>
      <c r="N95" s="299"/>
      <c r="O95" s="299"/>
      <c r="P95" s="299"/>
      <c r="Q95" s="299"/>
      <c r="R95" s="299"/>
      <c r="S95" s="299"/>
      <c r="T95" s="299"/>
      <c r="U95" s="299"/>
      <c r="V95" s="299"/>
      <c r="W95" s="299"/>
      <c r="X95" s="299"/>
      <c r="Y95" s="299"/>
      <c r="Z95" s="299"/>
      <c r="AA95" s="299"/>
      <c r="AB95" s="299"/>
      <c r="AC95" s="299"/>
      <c r="AD95" s="300"/>
      <c r="AE95" s="50"/>
      <c r="AF95" s="50"/>
      <c r="AG95" s="50"/>
      <c r="AH95" s="5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20"/>
      <c r="AV95" s="120"/>
      <c r="AW95" s="120"/>
      <c r="AX95" s="120"/>
      <c r="AY95" s="120"/>
      <c r="AZ95" s="120"/>
      <c r="BA95" s="120"/>
      <c r="BB95" s="120"/>
      <c r="BC95" s="120"/>
      <c r="BD95" s="120"/>
      <c r="BE95" s="120"/>
      <c r="BF95" s="120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0"/>
      <c r="BR95" s="120"/>
      <c r="BS95" s="120"/>
      <c r="BT95" s="120"/>
      <c r="BU95" s="120"/>
      <c r="BV95" s="120"/>
      <c r="BW95" s="120"/>
      <c r="BX95" s="120"/>
      <c r="BY95" s="120"/>
      <c r="BZ95" s="120"/>
      <c r="CA95" s="120"/>
      <c r="CB95" s="120"/>
      <c r="CC95" s="120"/>
      <c r="CD95" s="120"/>
      <c r="CE95" s="120"/>
      <c r="CF95" s="120"/>
      <c r="CG95" s="120"/>
      <c r="CH95" s="120"/>
      <c r="CI95" s="120"/>
      <c r="CJ95" s="120"/>
      <c r="CK95" s="120"/>
      <c r="CL95" s="120"/>
      <c r="CM95" s="120"/>
      <c r="CN95" s="120"/>
      <c r="CO95" s="120"/>
      <c r="CP95" s="120"/>
      <c r="CQ95" s="120"/>
      <c r="CR95" s="120"/>
      <c r="CS95" s="120"/>
      <c r="CT95" s="120"/>
      <c r="CU95" s="120"/>
      <c r="CV95" s="120"/>
      <c r="CW95" s="120"/>
      <c r="CX95" s="120"/>
      <c r="CY95" s="120"/>
      <c r="CZ95" s="120"/>
      <c r="DA95" s="120"/>
      <c r="DB95" s="120"/>
      <c r="DC95" s="120"/>
      <c r="DD95" s="120"/>
      <c r="DE95" s="120"/>
      <c r="DF95" s="120"/>
      <c r="DG95" s="120"/>
      <c r="DH95" s="120"/>
      <c r="DI95" s="120"/>
      <c r="DJ95" s="120"/>
      <c r="DK95" s="120"/>
      <c r="DL95" s="120"/>
      <c r="DM95" s="120"/>
      <c r="DN95" s="120"/>
      <c r="DO95" s="120"/>
      <c r="DP95" s="120"/>
      <c r="DQ95" s="120"/>
      <c r="DR95" s="120"/>
      <c r="DS95" s="120"/>
      <c r="DT95" s="120"/>
      <c r="DU95" s="120"/>
      <c r="DV95" s="120"/>
      <c r="DW95" s="120"/>
      <c r="DX95" s="120"/>
      <c r="DY95" s="120"/>
      <c r="DZ95" s="120"/>
      <c r="EA95" s="120"/>
      <c r="EB95" s="120"/>
      <c r="EC95" s="120"/>
      <c r="ED95" s="120"/>
      <c r="EE95" s="120"/>
      <c r="EF95" s="120"/>
      <c r="EG95" s="120"/>
      <c r="EH95" s="120"/>
      <c r="EI95" s="120"/>
      <c r="EJ95" s="120"/>
      <c r="EK95" s="120"/>
      <c r="EL95" s="120"/>
      <c r="EM95" s="120"/>
      <c r="EN95" s="120"/>
      <c r="EO95" s="120"/>
      <c r="EP95" s="120"/>
      <c r="EQ95" s="120"/>
      <c r="ER95" s="120"/>
      <c r="ES95" s="120"/>
      <c r="ET95" s="120"/>
      <c r="EU95" s="120"/>
      <c r="EV95" s="120"/>
      <c r="EW95" s="120"/>
      <c r="EX95" s="120"/>
      <c r="EY95" s="120"/>
      <c r="EZ95" s="120"/>
      <c r="FA95" s="120"/>
      <c r="FB95" s="120"/>
      <c r="FC95" s="120"/>
      <c r="FD95" s="120"/>
      <c r="FE95" s="120"/>
      <c r="FF95" s="120"/>
      <c r="FG95" s="120"/>
      <c r="FH95" s="120"/>
      <c r="FI95" s="120"/>
      <c r="FJ95" s="120"/>
      <c r="FK95" s="120"/>
      <c r="FL95" s="120"/>
      <c r="FM95" s="120"/>
      <c r="FN95" s="120"/>
      <c r="FO95" s="120"/>
      <c r="FP95" s="120"/>
      <c r="FQ95" s="120"/>
      <c r="FR95" s="120"/>
      <c r="FS95" s="120"/>
      <c r="FT95" s="120"/>
      <c r="FU95" s="120"/>
      <c r="FV95" s="120"/>
      <c r="FW95" s="120"/>
      <c r="FX95" s="120"/>
      <c r="FY95" s="120"/>
      <c r="FZ95" s="120"/>
      <c r="GA95" s="120"/>
      <c r="GB95" s="120"/>
      <c r="GC95" s="120"/>
      <c r="GD95" s="120"/>
      <c r="GE95" s="120"/>
      <c r="GF95" s="120"/>
      <c r="GG95" s="120"/>
      <c r="GH95" s="120"/>
      <c r="GI95" s="120"/>
      <c r="GJ95" s="120"/>
      <c r="GK95" s="120"/>
      <c r="GL95" s="120"/>
      <c r="GM95" s="120"/>
      <c r="GN95" s="120"/>
      <c r="GO95" s="120"/>
      <c r="GP95" s="120"/>
    </row>
    <row r="96" spans="1:198" s="118" customFormat="1" ht="90" customHeight="1" x14ac:dyDescent="0.2">
      <c r="A96" s="265" t="s">
        <v>96</v>
      </c>
      <c r="B96" s="122" t="s">
        <v>295</v>
      </c>
      <c r="C96" s="282" t="s">
        <v>20</v>
      </c>
      <c r="D96" s="94" t="s">
        <v>386</v>
      </c>
      <c r="E96" s="88">
        <f>F96+G96+H96+I96</f>
        <v>48682</v>
      </c>
      <c r="F96" s="27">
        <v>48682</v>
      </c>
      <c r="G96" s="27">
        <v>0</v>
      </c>
      <c r="H96" s="27">
        <v>0</v>
      </c>
      <c r="I96" s="27">
        <v>0</v>
      </c>
      <c r="J96" s="88">
        <f>K96+L96+M96+N96</f>
        <v>48682</v>
      </c>
      <c r="K96" s="27">
        <v>48682</v>
      </c>
      <c r="L96" s="27">
        <v>0</v>
      </c>
      <c r="M96" s="27">
        <v>0</v>
      </c>
      <c r="N96" s="27">
        <v>0</v>
      </c>
      <c r="O96" s="88">
        <f t="shared" ref="O96" si="79">SUM(P96:S96)</f>
        <v>16250</v>
      </c>
      <c r="P96" s="27">
        <v>16250</v>
      </c>
      <c r="Q96" s="27">
        <v>0</v>
      </c>
      <c r="R96" s="27">
        <v>0</v>
      </c>
      <c r="S96" s="27">
        <v>0</v>
      </c>
      <c r="T96" s="88">
        <f>SUM(U96:X96)</f>
        <v>0</v>
      </c>
      <c r="U96" s="27">
        <v>0</v>
      </c>
      <c r="V96" s="27">
        <v>0</v>
      </c>
      <c r="W96" s="27">
        <v>0</v>
      </c>
      <c r="X96" s="27">
        <v>0</v>
      </c>
      <c r="Y96" s="88">
        <f>SUM(Z96:AC96)</f>
        <v>0</v>
      </c>
      <c r="Z96" s="27">
        <v>0</v>
      </c>
      <c r="AA96" s="27">
        <v>0</v>
      </c>
      <c r="AB96" s="27">
        <v>0</v>
      </c>
      <c r="AC96" s="27">
        <v>0</v>
      </c>
      <c r="AD96" s="88">
        <f>E96+J96+O96+T96+Y96</f>
        <v>113614</v>
      </c>
    </row>
    <row r="97" spans="1:34" s="58" customFormat="1" ht="42" customHeight="1" x14ac:dyDescent="0.25">
      <c r="A97" s="338" t="s">
        <v>19</v>
      </c>
      <c r="B97" s="339"/>
      <c r="C97" s="340"/>
      <c r="D97" s="123"/>
      <c r="E97" s="32">
        <f>SUM(F97:I97)</f>
        <v>1359001</v>
      </c>
      <c r="F97" s="32">
        <f>SUM(F89:F96)</f>
        <v>548790</v>
      </c>
      <c r="G97" s="32">
        <f>SUM(G89:G96)</f>
        <v>810211</v>
      </c>
      <c r="H97" s="32">
        <f>SUM(H89:H95)</f>
        <v>0</v>
      </c>
      <c r="I97" s="32">
        <f>SUM(I89:I96)</f>
        <v>0</v>
      </c>
      <c r="J97" s="32">
        <f>SUM(K97:N97)</f>
        <v>303035</v>
      </c>
      <c r="K97" s="32">
        <f>SUM(K89:K96)</f>
        <v>223788</v>
      </c>
      <c r="L97" s="32">
        <f>SUM(L89:L96)</f>
        <v>79247</v>
      </c>
      <c r="M97" s="32">
        <f>SUM(M89:M95)</f>
        <v>0</v>
      </c>
      <c r="N97" s="32">
        <f>SUM(N89:N95)</f>
        <v>0</v>
      </c>
      <c r="O97" s="32">
        <f>SUM(P97:S97)</f>
        <v>124073</v>
      </c>
      <c r="P97" s="32">
        <f>SUM(P89:P96)</f>
        <v>44826</v>
      </c>
      <c r="Q97" s="32">
        <f>SUM(Q89:Q96)</f>
        <v>79247</v>
      </c>
      <c r="R97" s="32">
        <f>SUM(R89:R96)</f>
        <v>0</v>
      </c>
      <c r="S97" s="32">
        <f>SUM(S89:S96)</f>
        <v>0</v>
      </c>
      <c r="T97" s="32">
        <f>SUM(U97:X97)</f>
        <v>2878771</v>
      </c>
      <c r="U97" s="32">
        <f>SUM(U89:U96)</f>
        <v>82000</v>
      </c>
      <c r="V97" s="32">
        <f>SUM(V89:V96)</f>
        <v>2796771</v>
      </c>
      <c r="W97" s="32">
        <f>SUM(W89:W96)</f>
        <v>0</v>
      </c>
      <c r="X97" s="32">
        <f>SUM(X89:X96)</f>
        <v>0</v>
      </c>
      <c r="Y97" s="32">
        <f>SUM(Z97:AC97)</f>
        <v>2988922</v>
      </c>
      <c r="Z97" s="32">
        <f>SUM(Z89:Z96)</f>
        <v>85230</v>
      </c>
      <c r="AA97" s="32">
        <f>SUM(AA89:AA96)</f>
        <v>2903692</v>
      </c>
      <c r="AB97" s="32">
        <f>SUM(AB89:AB96)</f>
        <v>0</v>
      </c>
      <c r="AC97" s="32">
        <f>SUM(AC89:AC96)</f>
        <v>0</v>
      </c>
      <c r="AD97" s="32">
        <f>SUM(AD89:AD96)</f>
        <v>7653802</v>
      </c>
      <c r="AE97" s="33">
        <f>F97+K97+P97+U97+Z97</f>
        <v>984634</v>
      </c>
      <c r="AF97" s="33">
        <f>G97+L97+Q97+V97+AA97</f>
        <v>6669168</v>
      </c>
      <c r="AG97" s="33">
        <f t="shared" ref="AG97:AH98" si="80">H97+M97+R97+W97+AB97</f>
        <v>0</v>
      </c>
      <c r="AH97" s="33">
        <f t="shared" si="80"/>
        <v>0</v>
      </c>
    </row>
    <row r="98" spans="1:34" s="58" customFormat="1" ht="51.95" customHeight="1" x14ac:dyDescent="0.25">
      <c r="A98" s="313" t="s">
        <v>560</v>
      </c>
      <c r="B98" s="313"/>
      <c r="C98" s="313"/>
      <c r="D98" s="123"/>
      <c r="E98" s="32">
        <f t="shared" ref="E98:AC98" si="81">E43+E72+E84+E97</f>
        <v>3610355</v>
      </c>
      <c r="F98" s="32">
        <f>F43+F72+F84+F97</f>
        <v>1800144</v>
      </c>
      <c r="G98" s="32">
        <f t="shared" si="81"/>
        <v>1810211</v>
      </c>
      <c r="H98" s="32">
        <f t="shared" si="81"/>
        <v>0</v>
      </c>
      <c r="I98" s="32">
        <f t="shared" si="81"/>
        <v>0</v>
      </c>
      <c r="J98" s="32">
        <f t="shared" si="81"/>
        <v>2428177</v>
      </c>
      <c r="K98" s="32">
        <f t="shared" si="81"/>
        <v>1648930</v>
      </c>
      <c r="L98" s="32">
        <f t="shared" si="81"/>
        <v>779247</v>
      </c>
      <c r="M98" s="32">
        <f t="shared" si="81"/>
        <v>0</v>
      </c>
      <c r="N98" s="32">
        <f t="shared" si="81"/>
        <v>0</v>
      </c>
      <c r="O98" s="32">
        <f t="shared" si="81"/>
        <v>2262452</v>
      </c>
      <c r="P98" s="32">
        <f t="shared" si="81"/>
        <v>1483205</v>
      </c>
      <c r="Q98" s="32">
        <f t="shared" si="81"/>
        <v>779247</v>
      </c>
      <c r="R98" s="32">
        <f t="shared" si="81"/>
        <v>0</v>
      </c>
      <c r="S98" s="32">
        <f t="shared" si="81"/>
        <v>0</v>
      </c>
      <c r="T98" s="32">
        <f t="shared" si="81"/>
        <v>5926533</v>
      </c>
      <c r="U98" s="32">
        <f t="shared" si="81"/>
        <v>1877053</v>
      </c>
      <c r="V98" s="32">
        <f t="shared" si="81"/>
        <v>4049480</v>
      </c>
      <c r="W98" s="32">
        <f t="shared" si="81"/>
        <v>0</v>
      </c>
      <c r="X98" s="32">
        <f t="shared" si="81"/>
        <v>0</v>
      </c>
      <c r="Y98" s="32">
        <f t="shared" si="81"/>
        <v>5964640</v>
      </c>
      <c r="Z98" s="32">
        <f t="shared" si="81"/>
        <v>2056394</v>
      </c>
      <c r="AA98" s="32">
        <f t="shared" si="81"/>
        <v>3908246</v>
      </c>
      <c r="AB98" s="32">
        <f t="shared" si="81"/>
        <v>0</v>
      </c>
      <c r="AC98" s="32">
        <f t="shared" si="81"/>
        <v>0</v>
      </c>
      <c r="AD98" s="32">
        <f>E98+J98+O98+T98+Y98</f>
        <v>20192157</v>
      </c>
      <c r="AE98" s="33">
        <f>F98+K98+P98+U98+Z98</f>
        <v>8865726</v>
      </c>
      <c r="AF98" s="33">
        <f>G98+L98+Q98+V98+AA98</f>
        <v>11326431</v>
      </c>
      <c r="AG98" s="33">
        <f t="shared" si="80"/>
        <v>0</v>
      </c>
      <c r="AH98" s="33">
        <f t="shared" si="80"/>
        <v>0</v>
      </c>
    </row>
    <row r="99" spans="1:34" s="58" customFormat="1" ht="51.95" customHeight="1" x14ac:dyDescent="0.25">
      <c r="A99" s="313" t="s">
        <v>561</v>
      </c>
      <c r="B99" s="313"/>
      <c r="C99" s="313"/>
      <c r="D99" s="123"/>
      <c r="E99" s="32">
        <f>F99+G99+H99+I99</f>
        <v>7235</v>
      </c>
      <c r="F99" s="32">
        <f>F73</f>
        <v>7235</v>
      </c>
      <c r="G99" s="32">
        <f>G73</f>
        <v>0</v>
      </c>
      <c r="H99" s="32">
        <v>0</v>
      </c>
      <c r="I99" s="32">
        <v>0</v>
      </c>
      <c r="J99" s="32">
        <f>K99+L99+M99+N99</f>
        <v>0</v>
      </c>
      <c r="K99" s="32">
        <f>K73</f>
        <v>0</v>
      </c>
      <c r="L99" s="32">
        <f>L73</f>
        <v>0</v>
      </c>
      <c r="M99" s="32">
        <v>0</v>
      </c>
      <c r="N99" s="32">
        <v>0</v>
      </c>
      <c r="O99" s="32">
        <f>P99+Q99+R99+S99</f>
        <v>0</v>
      </c>
      <c r="P99" s="32">
        <f>P73</f>
        <v>0</v>
      </c>
      <c r="Q99" s="32">
        <f>Q73</f>
        <v>0</v>
      </c>
      <c r="R99" s="32">
        <v>0</v>
      </c>
      <c r="S99" s="32">
        <v>0</v>
      </c>
      <c r="T99" s="32">
        <f>U99+V99+W99+X99</f>
        <v>0</v>
      </c>
      <c r="U99" s="32">
        <f>U73</f>
        <v>0</v>
      </c>
      <c r="V99" s="32">
        <f>V73</f>
        <v>0</v>
      </c>
      <c r="W99" s="32">
        <v>0</v>
      </c>
      <c r="X99" s="32">
        <v>0</v>
      </c>
      <c r="Y99" s="32">
        <f>Z99+AA99+AB99+AC99</f>
        <v>0</v>
      </c>
      <c r="Z99" s="32">
        <f>Z73</f>
        <v>0</v>
      </c>
      <c r="AA99" s="32">
        <f>AA73</f>
        <v>0</v>
      </c>
      <c r="AB99" s="32">
        <v>0</v>
      </c>
      <c r="AC99" s="32">
        <v>0</v>
      </c>
      <c r="AD99" s="32">
        <f t="shared" ref="AD99" si="82">E99+J99+O99+T99+Y99</f>
        <v>7235</v>
      </c>
      <c r="AE99" s="107"/>
      <c r="AF99" s="107"/>
      <c r="AG99" s="107"/>
      <c r="AH99" s="107"/>
    </row>
    <row r="100" spans="1:34" ht="51.95" customHeight="1" x14ac:dyDescent="0.2">
      <c r="A100" s="313" t="s">
        <v>562</v>
      </c>
      <c r="B100" s="313"/>
      <c r="C100" s="313"/>
      <c r="D100" s="124"/>
      <c r="E100" s="32">
        <f>F100+G100+H100+I100</f>
        <v>3617590</v>
      </c>
      <c r="F100" s="32">
        <f>SUM(F98:F99)</f>
        <v>1807379</v>
      </c>
      <c r="G100" s="32">
        <f t="shared" ref="G100:I100" si="83">SUM(G98:G99)</f>
        <v>1810211</v>
      </c>
      <c r="H100" s="32">
        <f t="shared" si="83"/>
        <v>0</v>
      </c>
      <c r="I100" s="32">
        <f t="shared" si="83"/>
        <v>0</v>
      </c>
      <c r="J100" s="32">
        <f>K100+L100+M100+N100</f>
        <v>2428177</v>
      </c>
      <c r="K100" s="32">
        <f>SUM(K98:K99)</f>
        <v>1648930</v>
      </c>
      <c r="L100" s="32">
        <f t="shared" ref="L100" si="84">SUM(L98:L99)</f>
        <v>779247</v>
      </c>
      <c r="M100" s="32">
        <f t="shared" ref="M100" si="85">SUM(M98:M99)</f>
        <v>0</v>
      </c>
      <c r="N100" s="32">
        <f t="shared" ref="N100" si="86">SUM(N98:N99)</f>
        <v>0</v>
      </c>
      <c r="O100" s="32">
        <f>P100+Q100+R100+S100</f>
        <v>2262452</v>
      </c>
      <c r="P100" s="32">
        <f>SUM(P98:P99)</f>
        <v>1483205</v>
      </c>
      <c r="Q100" s="32">
        <f t="shared" ref="Q100" si="87">SUM(Q98:Q99)</f>
        <v>779247</v>
      </c>
      <c r="R100" s="32">
        <f t="shared" ref="R100" si="88">SUM(R98:R99)</f>
        <v>0</v>
      </c>
      <c r="S100" s="32">
        <f t="shared" ref="S100" si="89">SUM(S98:S99)</f>
        <v>0</v>
      </c>
      <c r="T100" s="32">
        <f>U100+V100+W100+X100</f>
        <v>5926533</v>
      </c>
      <c r="U100" s="32">
        <f>SUM(U98:U99)</f>
        <v>1877053</v>
      </c>
      <c r="V100" s="32">
        <f t="shared" ref="V100" si="90">SUM(V98:V99)</f>
        <v>4049480</v>
      </c>
      <c r="W100" s="32">
        <f t="shared" ref="W100" si="91">SUM(W98:W99)</f>
        <v>0</v>
      </c>
      <c r="X100" s="32">
        <f t="shared" ref="X100" si="92">SUM(X98:X99)</f>
        <v>0</v>
      </c>
      <c r="Y100" s="32">
        <f>Z100+AA100+AB100+AC100</f>
        <v>5964640</v>
      </c>
      <c r="Z100" s="32">
        <f>SUM(Z98:Z99)</f>
        <v>2056394</v>
      </c>
      <c r="AA100" s="32">
        <f t="shared" ref="AA100" si="93">SUM(AA98:AA99)</f>
        <v>3908246</v>
      </c>
      <c r="AB100" s="32">
        <f t="shared" ref="AB100" si="94">SUM(AB98:AB99)</f>
        <v>0</v>
      </c>
      <c r="AC100" s="32">
        <f t="shared" ref="AC100" si="95">SUM(AC98:AC99)</f>
        <v>0</v>
      </c>
      <c r="AD100" s="32">
        <f t="shared" ref="AD100" si="96">E100+J100+O100+T100+Y100</f>
        <v>20199392</v>
      </c>
      <c r="AE100" s="125"/>
      <c r="AF100" s="125"/>
      <c r="AG100" s="125"/>
      <c r="AH100" s="125"/>
    </row>
    <row r="101" spans="1:34" ht="42" customHeight="1" x14ac:dyDescent="0.3">
      <c r="A101" s="50"/>
      <c r="B101" s="126"/>
      <c r="C101" s="74"/>
      <c r="D101" s="50"/>
      <c r="E101" s="49"/>
      <c r="F101" s="50"/>
      <c r="G101" s="50"/>
      <c r="H101" s="50"/>
      <c r="I101" s="50"/>
      <c r="J101" s="49"/>
      <c r="K101" s="50"/>
      <c r="L101" s="50"/>
      <c r="M101" s="50"/>
      <c r="N101" s="50"/>
      <c r="O101" s="49"/>
      <c r="P101" s="50"/>
      <c r="Q101" s="50"/>
      <c r="R101" s="50"/>
      <c r="S101" s="50"/>
      <c r="T101" s="68"/>
      <c r="U101" s="50"/>
      <c r="V101" s="50"/>
      <c r="W101" s="50"/>
      <c r="X101" s="50"/>
      <c r="Y101" s="68"/>
      <c r="Z101" s="50"/>
      <c r="AA101" s="50"/>
      <c r="AB101" s="50"/>
      <c r="AC101" s="50"/>
      <c r="AD101" s="111"/>
      <c r="AE101" s="127"/>
      <c r="AF101" s="127"/>
      <c r="AG101" s="127"/>
      <c r="AH101" s="127"/>
    </row>
    <row r="102" spans="1:34" ht="42" customHeight="1" x14ac:dyDescent="0.2">
      <c r="F102" s="52"/>
    </row>
    <row r="103" spans="1:34" ht="42" customHeight="1" x14ac:dyDescent="0.2">
      <c r="E103" s="129"/>
    </row>
  </sheetData>
  <mergeCells count="57">
    <mergeCell ref="A100:C100"/>
    <mergeCell ref="B78:AD78"/>
    <mergeCell ref="B75:AD75"/>
    <mergeCell ref="A74:C74"/>
    <mergeCell ref="A73:C73"/>
    <mergeCell ref="A99:C99"/>
    <mergeCell ref="B81:AD81"/>
    <mergeCell ref="A77:AD77"/>
    <mergeCell ref="A84:C84"/>
    <mergeCell ref="A76:AD76"/>
    <mergeCell ref="A98:C98"/>
    <mergeCell ref="A97:C97"/>
    <mergeCell ref="B95:AD95"/>
    <mergeCell ref="A87:AD87"/>
    <mergeCell ref="A86:AD86"/>
    <mergeCell ref="B85:AD85"/>
    <mergeCell ref="B9:AD9"/>
    <mergeCell ref="A43:C43"/>
    <mergeCell ref="B47:AD47"/>
    <mergeCell ref="B44:AD44"/>
    <mergeCell ref="B22:AD22"/>
    <mergeCell ref="B33:AD33"/>
    <mergeCell ref="B35:AD35"/>
    <mergeCell ref="B12:AD12"/>
    <mergeCell ref="A10:AD10"/>
    <mergeCell ref="A11:AD11"/>
    <mergeCell ref="A45:AD45"/>
    <mergeCell ref="A46:AD46"/>
    <mergeCell ref="AA1:AD1"/>
    <mergeCell ref="AA2:AD2"/>
    <mergeCell ref="Y5:AC5"/>
    <mergeCell ref="O5:S5"/>
    <mergeCell ref="A8:AD8"/>
    <mergeCell ref="B4:B6"/>
    <mergeCell ref="C4:C6"/>
    <mergeCell ref="E5:I5"/>
    <mergeCell ref="A4:A6"/>
    <mergeCell ref="J5:N5"/>
    <mergeCell ref="T5:X5"/>
    <mergeCell ref="B3:AD3"/>
    <mergeCell ref="D4:D6"/>
    <mergeCell ref="E4:AC4"/>
    <mergeCell ref="AD4:AD6"/>
    <mergeCell ref="B88:AD88"/>
    <mergeCell ref="B90:AD90"/>
    <mergeCell ref="A49:A50"/>
    <mergeCell ref="B49:B50"/>
    <mergeCell ref="C49:C50"/>
    <mergeCell ref="A51:A52"/>
    <mergeCell ref="B51:B52"/>
    <mergeCell ref="C51:C52"/>
    <mergeCell ref="A72:C72"/>
    <mergeCell ref="B54:AD54"/>
    <mergeCell ref="B61:AD61"/>
    <mergeCell ref="B70:AD70"/>
    <mergeCell ref="A62:A64"/>
    <mergeCell ref="C62:C64"/>
  </mergeCells>
  <phoneticPr fontId="5" type="noConversion"/>
  <printOptions horizontalCentered="1"/>
  <pageMargins left="7.874015748031496E-2" right="7.874015748031496E-2" top="0.62992125984251968" bottom="0.39370078740157483" header="0.19685039370078741" footer="0.15748031496062992"/>
  <pageSetup paperSize="8" scale="39" firstPageNumber="11" fitToHeight="0" orientation="landscape" useFirstPageNumber="1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2"/>
  <sheetViews>
    <sheetView view="pageBreakPreview" zoomScale="90" zoomScaleNormal="100" zoomScaleSheetLayoutView="90" workbookViewId="0">
      <pane ySplit="9" topLeftCell="A105" activePane="bottomLeft" state="frozen"/>
      <selection pane="bottomLeft" activeCell="F107" sqref="F107"/>
    </sheetView>
  </sheetViews>
  <sheetFormatPr defaultColWidth="9.140625" defaultRowHeight="12.75" x14ac:dyDescent="0.2"/>
  <cols>
    <col min="1" max="1" width="6.140625" style="53" customWidth="1"/>
    <col min="2" max="2" width="47.28515625" style="53" customWidth="1"/>
    <col min="3" max="3" width="52.28515625" style="53" customWidth="1"/>
    <col min="4" max="4" width="8.85546875" style="53"/>
    <col min="5" max="5" width="15.42578125" style="53" customWidth="1"/>
    <col min="6" max="6" width="14" style="53" customWidth="1"/>
    <col min="7" max="7" width="13.5703125" style="53" customWidth="1"/>
    <col min="8" max="8" width="12" style="53" customWidth="1"/>
    <col min="9" max="9" width="13.85546875" style="53" customWidth="1"/>
    <col min="10" max="10" width="13.42578125" style="53" customWidth="1"/>
    <col min="11" max="11" width="21.5703125" style="53" customWidth="1"/>
    <col min="12" max="12" width="19.28515625" style="53" customWidth="1"/>
    <col min="13" max="13" width="11.7109375" style="53" customWidth="1"/>
    <col min="14" max="14" width="10.7109375" style="53" bestFit="1" customWidth="1"/>
    <col min="15" max="16" width="9.140625" style="53"/>
    <col min="17" max="17" width="14.140625" style="53" customWidth="1"/>
    <col min="18" max="16384" width="9.140625" style="53"/>
  </cols>
  <sheetData>
    <row r="1" spans="1:11" ht="76.5" customHeight="1" x14ac:dyDescent="0.2">
      <c r="G1" s="317" t="s">
        <v>414</v>
      </c>
      <c r="H1" s="317"/>
      <c r="I1" s="317"/>
      <c r="J1" s="317"/>
    </row>
    <row r="2" spans="1:11" ht="95.25" customHeight="1" x14ac:dyDescent="0.2">
      <c r="G2" s="366" t="s">
        <v>183</v>
      </c>
      <c r="H2" s="366"/>
      <c r="I2" s="366"/>
      <c r="J2" s="366"/>
    </row>
    <row r="3" spans="1:11" ht="12.75" customHeight="1" x14ac:dyDescent="0.2">
      <c r="A3" s="69"/>
      <c r="B3" s="130"/>
      <c r="C3" s="131"/>
      <c r="D3" s="132"/>
      <c r="E3" s="133"/>
      <c r="F3" s="133"/>
      <c r="G3" s="133"/>
      <c r="H3" s="133"/>
      <c r="I3" s="133"/>
      <c r="J3" s="133"/>
    </row>
    <row r="4" spans="1:11" ht="31.5" customHeight="1" x14ac:dyDescent="0.2">
      <c r="A4" s="360" t="s">
        <v>373</v>
      </c>
      <c r="B4" s="361"/>
      <c r="C4" s="361"/>
      <c r="D4" s="361"/>
      <c r="E4" s="361"/>
      <c r="F4" s="360"/>
      <c r="G4" s="360"/>
      <c r="H4" s="360"/>
      <c r="I4" s="360"/>
      <c r="J4" s="360"/>
    </row>
    <row r="5" spans="1:11" ht="18.75" customHeight="1" x14ac:dyDescent="0.2">
      <c r="A5" s="323" t="s">
        <v>32</v>
      </c>
      <c r="B5" s="354" t="s">
        <v>40</v>
      </c>
      <c r="C5" s="356" t="s">
        <v>41</v>
      </c>
      <c r="D5" s="356" t="s">
        <v>42</v>
      </c>
      <c r="E5" s="358" t="s">
        <v>43</v>
      </c>
      <c r="F5" s="356" t="s">
        <v>44</v>
      </c>
      <c r="G5" s="356"/>
      <c r="H5" s="357"/>
      <c r="I5" s="357"/>
      <c r="J5" s="357"/>
    </row>
    <row r="6" spans="1:11" ht="7.5" customHeight="1" x14ac:dyDescent="0.2">
      <c r="A6" s="323"/>
      <c r="B6" s="355"/>
      <c r="C6" s="356"/>
      <c r="D6" s="357"/>
      <c r="E6" s="359"/>
      <c r="F6" s="357"/>
      <c r="G6" s="357"/>
      <c r="H6" s="357"/>
      <c r="I6" s="357"/>
      <c r="J6" s="357"/>
    </row>
    <row r="7" spans="1:11" ht="9" customHeight="1" x14ac:dyDescent="0.2">
      <c r="A7" s="323"/>
      <c r="B7" s="355"/>
      <c r="C7" s="356"/>
      <c r="D7" s="357"/>
      <c r="E7" s="359"/>
      <c r="F7" s="323">
        <v>2026</v>
      </c>
      <c r="G7" s="323">
        <v>2027</v>
      </c>
      <c r="H7" s="323">
        <v>2028</v>
      </c>
      <c r="I7" s="323">
        <v>2029</v>
      </c>
      <c r="J7" s="323">
        <v>2030</v>
      </c>
    </row>
    <row r="8" spans="1:11" ht="12" customHeight="1" x14ac:dyDescent="0.2">
      <c r="A8" s="323"/>
      <c r="B8" s="355"/>
      <c r="C8" s="356"/>
      <c r="D8" s="357"/>
      <c r="E8" s="359"/>
      <c r="F8" s="323"/>
      <c r="G8" s="323"/>
      <c r="H8" s="323"/>
      <c r="I8" s="323"/>
      <c r="J8" s="323"/>
    </row>
    <row r="9" spans="1:11" x14ac:dyDescent="0.2">
      <c r="A9" s="266">
        <v>1</v>
      </c>
      <c r="B9" s="266">
        <v>2</v>
      </c>
      <c r="C9" s="266">
        <v>3</v>
      </c>
      <c r="D9" s="266">
        <v>4</v>
      </c>
      <c r="E9" s="266">
        <v>5</v>
      </c>
      <c r="F9" s="266">
        <v>6</v>
      </c>
      <c r="G9" s="266">
        <v>7</v>
      </c>
      <c r="H9" s="266">
        <v>8</v>
      </c>
      <c r="I9" s="266">
        <v>9</v>
      </c>
      <c r="J9" s="266">
        <v>10</v>
      </c>
    </row>
    <row r="10" spans="1:11" ht="25.5" customHeight="1" x14ac:dyDescent="0.2">
      <c r="A10" s="362" t="s">
        <v>131</v>
      </c>
      <c r="B10" s="362"/>
      <c r="C10" s="362"/>
      <c r="D10" s="362"/>
      <c r="E10" s="362"/>
      <c r="F10" s="362"/>
      <c r="G10" s="362"/>
      <c r="H10" s="362"/>
      <c r="I10" s="362"/>
      <c r="J10" s="362"/>
    </row>
    <row r="11" spans="1:11" ht="27.75" customHeight="1" x14ac:dyDescent="0.2">
      <c r="A11" s="134" t="s">
        <v>97</v>
      </c>
      <c r="B11" s="345" t="s">
        <v>172</v>
      </c>
      <c r="C11" s="341"/>
      <c r="D11" s="341"/>
      <c r="E11" s="341"/>
      <c r="F11" s="341"/>
      <c r="G11" s="341"/>
      <c r="H11" s="341"/>
      <c r="I11" s="341"/>
      <c r="J11" s="342"/>
    </row>
    <row r="12" spans="1:11" ht="17.45" customHeight="1" x14ac:dyDescent="0.2">
      <c r="A12" s="363" t="s">
        <v>173</v>
      </c>
      <c r="B12" s="364"/>
      <c r="C12" s="364"/>
      <c r="D12" s="364"/>
      <c r="E12" s="364"/>
      <c r="F12" s="364"/>
      <c r="G12" s="364"/>
      <c r="H12" s="364"/>
      <c r="I12" s="364"/>
      <c r="J12" s="365"/>
    </row>
    <row r="13" spans="1:11" ht="25.15" customHeight="1" x14ac:dyDescent="0.2">
      <c r="A13" s="362" t="s">
        <v>174</v>
      </c>
      <c r="B13" s="362"/>
      <c r="C13" s="362"/>
      <c r="D13" s="362"/>
      <c r="E13" s="362"/>
      <c r="F13" s="362"/>
      <c r="G13" s="362"/>
      <c r="H13" s="362"/>
      <c r="I13" s="362"/>
      <c r="J13" s="362"/>
    </row>
    <row r="14" spans="1:11" ht="27.75" customHeight="1" x14ac:dyDescent="0.2">
      <c r="A14" s="135" t="s">
        <v>1</v>
      </c>
      <c r="B14" s="345" t="s">
        <v>175</v>
      </c>
      <c r="C14" s="341"/>
      <c r="D14" s="341"/>
      <c r="E14" s="341"/>
      <c r="F14" s="341"/>
      <c r="G14" s="341"/>
      <c r="H14" s="341"/>
      <c r="I14" s="341"/>
      <c r="J14" s="342"/>
    </row>
    <row r="15" spans="1:11" ht="39" customHeight="1" x14ac:dyDescent="0.2">
      <c r="A15" s="273" t="s">
        <v>4</v>
      </c>
      <c r="B15" s="136" t="s">
        <v>89</v>
      </c>
      <c r="C15" s="28" t="s">
        <v>160</v>
      </c>
      <c r="D15" s="137" t="s">
        <v>52</v>
      </c>
      <c r="E15" s="138" t="s">
        <v>46</v>
      </c>
      <c r="F15" s="138">
        <v>100</v>
      </c>
      <c r="G15" s="138">
        <v>100</v>
      </c>
      <c r="H15" s="138">
        <v>100</v>
      </c>
      <c r="I15" s="138">
        <v>100</v>
      </c>
      <c r="J15" s="138">
        <v>100</v>
      </c>
      <c r="K15" s="139"/>
    </row>
    <row r="16" spans="1:11" ht="30" customHeight="1" x14ac:dyDescent="0.2">
      <c r="A16" s="140" t="s">
        <v>10</v>
      </c>
      <c r="B16" s="136" t="s">
        <v>201</v>
      </c>
      <c r="C16" s="28" t="s">
        <v>203</v>
      </c>
      <c r="D16" s="141" t="s">
        <v>45</v>
      </c>
      <c r="E16" s="138">
        <v>2</v>
      </c>
      <c r="F16" s="138">
        <v>2</v>
      </c>
      <c r="G16" s="138">
        <v>5</v>
      </c>
      <c r="H16" s="138">
        <v>2</v>
      </c>
      <c r="I16" s="138" t="s">
        <v>46</v>
      </c>
      <c r="J16" s="138" t="s">
        <v>46</v>
      </c>
      <c r="K16" s="139"/>
    </row>
    <row r="17" spans="1:11" ht="28.5" customHeight="1" x14ac:dyDescent="0.2">
      <c r="A17" s="140" t="s">
        <v>13</v>
      </c>
      <c r="B17" s="136" t="s">
        <v>177</v>
      </c>
      <c r="C17" s="28" t="s">
        <v>47</v>
      </c>
      <c r="D17" s="141" t="s">
        <v>45</v>
      </c>
      <c r="E17" s="142">
        <v>25</v>
      </c>
      <c r="F17" s="142">
        <v>8</v>
      </c>
      <c r="G17" s="142" t="s">
        <v>46</v>
      </c>
      <c r="H17" s="142" t="s">
        <v>46</v>
      </c>
      <c r="I17" s="142">
        <v>8</v>
      </c>
      <c r="J17" s="142">
        <v>8</v>
      </c>
    </row>
    <row r="18" spans="1:11" ht="27.75" customHeight="1" x14ac:dyDescent="0.2">
      <c r="A18" s="273" t="s">
        <v>99</v>
      </c>
      <c r="B18" s="136" t="s">
        <v>124</v>
      </c>
      <c r="C18" s="28" t="s">
        <v>123</v>
      </c>
      <c r="D18" s="143" t="s">
        <v>45</v>
      </c>
      <c r="E18" s="142">
        <v>8</v>
      </c>
      <c r="F18" s="142">
        <v>10</v>
      </c>
      <c r="G18" s="142">
        <v>10</v>
      </c>
      <c r="H18" s="142" t="s">
        <v>46</v>
      </c>
      <c r="I18" s="142">
        <v>10</v>
      </c>
      <c r="J18" s="142">
        <v>10</v>
      </c>
    </row>
    <row r="19" spans="1:11" ht="35.25" customHeight="1" x14ac:dyDescent="0.2">
      <c r="A19" s="307" t="s">
        <v>100</v>
      </c>
      <c r="B19" s="352" t="s">
        <v>307</v>
      </c>
      <c r="C19" s="276" t="s">
        <v>200</v>
      </c>
      <c r="D19" s="272" t="s">
        <v>45</v>
      </c>
      <c r="E19" s="138">
        <v>11</v>
      </c>
      <c r="F19" s="138">
        <f>2-1</f>
        <v>1</v>
      </c>
      <c r="G19" s="138">
        <f>1+1</f>
        <v>2</v>
      </c>
      <c r="H19" s="138">
        <v>1</v>
      </c>
      <c r="I19" s="144" t="s">
        <v>46</v>
      </c>
      <c r="J19" s="144" t="s">
        <v>46</v>
      </c>
    </row>
    <row r="20" spans="1:11" ht="28.5" customHeight="1" x14ac:dyDescent="0.2">
      <c r="A20" s="308"/>
      <c r="B20" s="353"/>
      <c r="C20" s="276" t="s">
        <v>308</v>
      </c>
      <c r="D20" s="272" t="s">
        <v>45</v>
      </c>
      <c r="E20" s="138" t="s">
        <v>46</v>
      </c>
      <c r="F20" s="138">
        <v>1</v>
      </c>
      <c r="G20" s="138" t="s">
        <v>46</v>
      </c>
      <c r="H20" s="138" t="s">
        <v>46</v>
      </c>
      <c r="I20" s="138" t="s">
        <v>46</v>
      </c>
      <c r="J20" s="138" t="s">
        <v>46</v>
      </c>
    </row>
    <row r="21" spans="1:11" ht="30" customHeight="1" x14ac:dyDescent="0.2">
      <c r="A21" s="140" t="s">
        <v>101</v>
      </c>
      <c r="B21" s="136" t="s">
        <v>202</v>
      </c>
      <c r="C21" s="28" t="s">
        <v>258</v>
      </c>
      <c r="D21" s="282" t="s">
        <v>45</v>
      </c>
      <c r="E21" s="142">
        <v>1</v>
      </c>
      <c r="F21" s="142" t="s">
        <v>46</v>
      </c>
      <c r="G21" s="142" t="s">
        <v>46</v>
      </c>
      <c r="H21" s="142">
        <f>2-1</f>
        <v>1</v>
      </c>
      <c r="I21" s="142" t="s">
        <v>46</v>
      </c>
      <c r="J21" s="142" t="s">
        <v>46</v>
      </c>
    </row>
    <row r="22" spans="1:11" ht="29.25" customHeight="1" x14ac:dyDescent="0.2">
      <c r="A22" s="140" t="s">
        <v>102</v>
      </c>
      <c r="B22" s="136" t="s">
        <v>83</v>
      </c>
      <c r="C22" s="28" t="s">
        <v>288</v>
      </c>
      <c r="D22" s="282" t="s">
        <v>45</v>
      </c>
      <c r="E22" s="142">
        <v>3</v>
      </c>
      <c r="F22" s="142">
        <f>1-1</f>
        <v>0</v>
      </c>
      <c r="G22" s="145">
        <v>5</v>
      </c>
      <c r="H22" s="145">
        <v>5</v>
      </c>
      <c r="I22" s="142" t="s">
        <v>46</v>
      </c>
      <c r="J22" s="142" t="s">
        <v>46</v>
      </c>
    </row>
    <row r="23" spans="1:11" ht="32.25" customHeight="1" x14ac:dyDescent="0.2">
      <c r="A23" s="140" t="s">
        <v>384</v>
      </c>
      <c r="B23" s="136" t="s">
        <v>387</v>
      </c>
      <c r="C23" s="28" t="s">
        <v>389</v>
      </c>
      <c r="D23" s="282" t="s">
        <v>45</v>
      </c>
      <c r="E23" s="142">
        <v>1</v>
      </c>
      <c r="F23" s="142">
        <f>6+1-5+2+1</f>
        <v>5</v>
      </c>
      <c r="G23" s="142" t="s">
        <v>46</v>
      </c>
      <c r="H23" s="142" t="s">
        <v>46</v>
      </c>
      <c r="I23" s="142" t="s">
        <v>46</v>
      </c>
      <c r="J23" s="142" t="s">
        <v>46</v>
      </c>
      <c r="K23" s="263" t="s">
        <v>573</v>
      </c>
    </row>
    <row r="24" spans="1:11" ht="32.25" customHeight="1" x14ac:dyDescent="0.2">
      <c r="A24" s="140" t="s">
        <v>434</v>
      </c>
      <c r="B24" s="136" t="s">
        <v>435</v>
      </c>
      <c r="C24" s="28" t="s">
        <v>436</v>
      </c>
      <c r="D24" s="282" t="s">
        <v>45</v>
      </c>
      <c r="E24" s="142" t="s">
        <v>46</v>
      </c>
      <c r="F24" s="142">
        <v>1</v>
      </c>
      <c r="G24" s="142" t="s">
        <v>46</v>
      </c>
      <c r="H24" s="142" t="s">
        <v>46</v>
      </c>
      <c r="I24" s="142" t="s">
        <v>46</v>
      </c>
      <c r="J24" s="142" t="s">
        <v>46</v>
      </c>
    </row>
    <row r="25" spans="1:11" ht="39" customHeight="1" x14ac:dyDescent="0.2">
      <c r="A25" s="135" t="s">
        <v>6</v>
      </c>
      <c r="B25" s="345" t="s">
        <v>178</v>
      </c>
      <c r="C25" s="341"/>
      <c r="D25" s="341"/>
      <c r="E25" s="341"/>
      <c r="F25" s="341"/>
      <c r="G25" s="341"/>
      <c r="H25" s="341"/>
      <c r="I25" s="341"/>
      <c r="J25" s="342"/>
    </row>
    <row r="26" spans="1:11" ht="19.149999999999999" customHeight="1" x14ac:dyDescent="0.2">
      <c r="A26" s="350" t="s">
        <v>7</v>
      </c>
      <c r="B26" s="309" t="s">
        <v>77</v>
      </c>
      <c r="C26" s="28" t="s">
        <v>76</v>
      </c>
      <c r="D26" s="282" t="s">
        <v>48</v>
      </c>
      <c r="E26" s="146">
        <v>0.83599999999999997</v>
      </c>
      <c r="F26" s="147" t="s">
        <v>46</v>
      </c>
      <c r="G26" s="147" t="s">
        <v>46</v>
      </c>
      <c r="H26" s="147">
        <v>7.3999999999999996E-2</v>
      </c>
      <c r="I26" s="147" t="s">
        <v>46</v>
      </c>
      <c r="J26" s="147" t="s">
        <v>46</v>
      </c>
    </row>
    <row r="27" spans="1:11" ht="21" customHeight="1" x14ac:dyDescent="0.2">
      <c r="A27" s="350"/>
      <c r="B27" s="351"/>
      <c r="C27" s="28" t="s">
        <v>49</v>
      </c>
      <c r="D27" s="282" t="s">
        <v>45</v>
      </c>
      <c r="E27" s="140">
        <v>63</v>
      </c>
      <c r="F27" s="142">
        <f>4+8+5</f>
        <v>17</v>
      </c>
      <c r="G27" s="142">
        <v>6</v>
      </c>
      <c r="H27" s="142">
        <v>6</v>
      </c>
      <c r="I27" s="142" t="s">
        <v>46</v>
      </c>
      <c r="J27" s="142" t="s">
        <v>46</v>
      </c>
    </row>
    <row r="28" spans="1:11" ht="22.5" customHeight="1" x14ac:dyDescent="0.2">
      <c r="A28" s="350"/>
      <c r="B28" s="310"/>
      <c r="C28" s="28" t="s">
        <v>80</v>
      </c>
      <c r="D28" s="282" t="s">
        <v>45</v>
      </c>
      <c r="E28" s="140">
        <v>612</v>
      </c>
      <c r="F28" s="142">
        <f>676+116+68</f>
        <v>860</v>
      </c>
      <c r="G28" s="142">
        <v>250</v>
      </c>
      <c r="H28" s="142">
        <v>103</v>
      </c>
      <c r="I28" s="142">
        <v>565</v>
      </c>
      <c r="J28" s="142">
        <v>565</v>
      </c>
    </row>
    <row r="29" spans="1:11" ht="39.75" customHeight="1" x14ac:dyDescent="0.2">
      <c r="A29" s="140" t="s">
        <v>8</v>
      </c>
      <c r="B29" s="28" t="s">
        <v>78</v>
      </c>
      <c r="C29" s="28" t="s">
        <v>79</v>
      </c>
      <c r="D29" s="282" t="s">
        <v>45</v>
      </c>
      <c r="E29" s="142">
        <v>2731</v>
      </c>
      <c r="F29" s="142">
        <v>780</v>
      </c>
      <c r="G29" s="142">
        <v>755</v>
      </c>
      <c r="H29" s="142">
        <v>566</v>
      </c>
      <c r="I29" s="142">
        <v>2000</v>
      </c>
      <c r="J29" s="142">
        <v>2000</v>
      </c>
    </row>
    <row r="30" spans="1:11" ht="28.5" customHeight="1" x14ac:dyDescent="0.2">
      <c r="A30" s="140" t="s">
        <v>12</v>
      </c>
      <c r="B30" s="28" t="s">
        <v>186</v>
      </c>
      <c r="C30" s="28" t="s">
        <v>287</v>
      </c>
      <c r="D30" s="282" t="s">
        <v>45</v>
      </c>
      <c r="E30" s="140" t="s">
        <v>46</v>
      </c>
      <c r="F30" s="142" t="s">
        <v>46</v>
      </c>
      <c r="G30" s="142" t="s">
        <v>46</v>
      </c>
      <c r="H30" s="142" t="s">
        <v>46</v>
      </c>
      <c r="I30" s="142">
        <v>49</v>
      </c>
      <c r="J30" s="142">
        <v>49</v>
      </c>
    </row>
    <row r="31" spans="1:11" ht="36" customHeight="1" x14ac:dyDescent="0.2">
      <c r="A31" s="140" t="s">
        <v>103</v>
      </c>
      <c r="B31" s="28" t="s">
        <v>289</v>
      </c>
      <c r="C31" s="97" t="s">
        <v>258</v>
      </c>
      <c r="D31" s="282" t="s">
        <v>45</v>
      </c>
      <c r="E31" s="140">
        <v>1</v>
      </c>
      <c r="F31" s="142" t="s">
        <v>46</v>
      </c>
      <c r="G31" s="142" t="s">
        <v>46</v>
      </c>
      <c r="H31" s="142" t="s">
        <v>46</v>
      </c>
      <c r="I31" s="142" t="s">
        <v>46</v>
      </c>
      <c r="J31" s="142" t="s">
        <v>46</v>
      </c>
    </row>
    <row r="32" spans="1:11" ht="28.5" customHeight="1" x14ac:dyDescent="0.2">
      <c r="A32" s="140" t="s">
        <v>104</v>
      </c>
      <c r="B32" s="28" t="s">
        <v>290</v>
      </c>
      <c r="C32" s="28" t="s">
        <v>291</v>
      </c>
      <c r="D32" s="282" t="s">
        <v>45</v>
      </c>
      <c r="E32" s="140">
        <v>1</v>
      </c>
      <c r="F32" s="142" t="s">
        <v>46</v>
      </c>
      <c r="G32" s="142" t="s">
        <v>46</v>
      </c>
      <c r="H32" s="142" t="s">
        <v>46</v>
      </c>
      <c r="I32" s="142" t="s">
        <v>46</v>
      </c>
      <c r="J32" s="142" t="s">
        <v>46</v>
      </c>
    </row>
    <row r="33" spans="1:10" ht="28.5" customHeight="1" x14ac:dyDescent="0.2">
      <c r="A33" s="140" t="s">
        <v>282</v>
      </c>
      <c r="B33" s="28" t="s">
        <v>283</v>
      </c>
      <c r="C33" s="28" t="s">
        <v>284</v>
      </c>
      <c r="D33" s="282" t="s">
        <v>45</v>
      </c>
      <c r="E33" s="142" t="s">
        <v>46</v>
      </c>
      <c r="F33" s="142" t="s">
        <v>46</v>
      </c>
      <c r="G33" s="142" t="s">
        <v>46</v>
      </c>
      <c r="H33" s="142" t="s">
        <v>46</v>
      </c>
      <c r="I33" s="142" t="s">
        <v>46</v>
      </c>
      <c r="J33" s="142" t="s">
        <v>46</v>
      </c>
    </row>
    <row r="34" spans="1:10" ht="28.5" customHeight="1" x14ac:dyDescent="0.2">
      <c r="A34" s="307" t="s">
        <v>285</v>
      </c>
      <c r="B34" s="343" t="s">
        <v>35</v>
      </c>
      <c r="C34" s="28" t="s">
        <v>59</v>
      </c>
      <c r="D34" s="282" t="s">
        <v>45</v>
      </c>
      <c r="E34" s="142">
        <v>29</v>
      </c>
      <c r="F34" s="142">
        <v>29</v>
      </c>
      <c r="G34" s="148">
        <v>29</v>
      </c>
      <c r="H34" s="142">
        <v>29</v>
      </c>
      <c r="I34" s="142">
        <v>29</v>
      </c>
      <c r="J34" s="142">
        <v>29</v>
      </c>
    </row>
    <row r="35" spans="1:10" ht="29.25" customHeight="1" x14ac:dyDescent="0.2">
      <c r="A35" s="308"/>
      <c r="B35" s="344"/>
      <c r="C35" s="28" t="s">
        <v>309</v>
      </c>
      <c r="D35" s="149" t="s">
        <v>52</v>
      </c>
      <c r="E35" s="142" t="s">
        <v>46</v>
      </c>
      <c r="F35" s="142">
        <v>100</v>
      </c>
      <c r="G35" s="148">
        <v>100</v>
      </c>
      <c r="H35" s="142">
        <v>100</v>
      </c>
      <c r="I35" s="142">
        <v>100</v>
      </c>
      <c r="J35" s="142">
        <v>100</v>
      </c>
    </row>
    <row r="36" spans="1:10" ht="29.25" customHeight="1" x14ac:dyDescent="0.2">
      <c r="A36" s="274" t="s">
        <v>286</v>
      </c>
      <c r="B36" s="28" t="s">
        <v>311</v>
      </c>
      <c r="C36" s="28" t="s">
        <v>314</v>
      </c>
      <c r="D36" s="282" t="s">
        <v>45</v>
      </c>
      <c r="E36" s="142">
        <v>1</v>
      </c>
      <c r="F36" s="142">
        <v>2</v>
      </c>
      <c r="G36" s="142" t="s">
        <v>46</v>
      </c>
      <c r="H36" s="142" t="s">
        <v>46</v>
      </c>
      <c r="I36" s="142" t="s">
        <v>46</v>
      </c>
      <c r="J36" s="142" t="s">
        <v>46</v>
      </c>
    </row>
    <row r="37" spans="1:10" ht="29.25" customHeight="1" x14ac:dyDescent="0.2">
      <c r="A37" s="140" t="s">
        <v>310</v>
      </c>
      <c r="B37" s="28" t="s">
        <v>312</v>
      </c>
      <c r="C37" s="28" t="s">
        <v>159</v>
      </c>
      <c r="D37" s="282" t="s">
        <v>45</v>
      </c>
      <c r="E37" s="142" t="s">
        <v>46</v>
      </c>
      <c r="F37" s="142">
        <v>1</v>
      </c>
      <c r="G37" s="142" t="s">
        <v>46</v>
      </c>
      <c r="H37" s="142" t="s">
        <v>46</v>
      </c>
      <c r="I37" s="142" t="s">
        <v>46</v>
      </c>
      <c r="J37" s="142" t="s">
        <v>46</v>
      </c>
    </row>
    <row r="38" spans="1:10" ht="29.25" customHeight="1" x14ac:dyDescent="0.2">
      <c r="A38" s="140" t="s">
        <v>385</v>
      </c>
      <c r="B38" s="28" t="s">
        <v>388</v>
      </c>
      <c r="C38" s="28" t="s">
        <v>390</v>
      </c>
      <c r="D38" s="282" t="s">
        <v>45</v>
      </c>
      <c r="E38" s="142">
        <v>1</v>
      </c>
      <c r="F38" s="142">
        <f>2-1</f>
        <v>1</v>
      </c>
      <c r="G38" s="142" t="s">
        <v>46</v>
      </c>
      <c r="H38" s="142" t="s">
        <v>46</v>
      </c>
      <c r="I38" s="142" t="s">
        <v>46</v>
      </c>
      <c r="J38" s="142" t="s">
        <v>46</v>
      </c>
    </row>
    <row r="39" spans="1:10" ht="30.6" customHeight="1" x14ac:dyDescent="0.2">
      <c r="A39" s="135" t="s">
        <v>11</v>
      </c>
      <c r="B39" s="345" t="s">
        <v>179</v>
      </c>
      <c r="C39" s="341"/>
      <c r="D39" s="341"/>
      <c r="E39" s="341"/>
      <c r="F39" s="341"/>
      <c r="G39" s="341"/>
      <c r="H39" s="341"/>
      <c r="I39" s="341"/>
      <c r="J39" s="342"/>
    </row>
    <row r="40" spans="1:10" ht="30.6" customHeight="1" x14ac:dyDescent="0.2">
      <c r="A40" s="307" t="s">
        <v>60</v>
      </c>
      <c r="B40" s="309" t="s">
        <v>320</v>
      </c>
      <c r="C40" s="28" t="s">
        <v>51</v>
      </c>
      <c r="D40" s="149" t="s">
        <v>52</v>
      </c>
      <c r="E40" s="150">
        <v>99</v>
      </c>
      <c r="F40" s="150" t="s">
        <v>182</v>
      </c>
      <c r="G40" s="150" t="s">
        <v>182</v>
      </c>
      <c r="H40" s="150" t="s">
        <v>182</v>
      </c>
      <c r="I40" s="150" t="s">
        <v>182</v>
      </c>
      <c r="J40" s="150" t="s">
        <v>182</v>
      </c>
    </row>
    <row r="41" spans="1:10" ht="29.25" customHeight="1" x14ac:dyDescent="0.2">
      <c r="A41" s="308"/>
      <c r="B41" s="310"/>
      <c r="C41" s="97" t="s">
        <v>319</v>
      </c>
      <c r="D41" s="282" t="s">
        <v>50</v>
      </c>
      <c r="E41" s="140" t="s">
        <v>46</v>
      </c>
      <c r="F41" s="142" t="s">
        <v>46</v>
      </c>
      <c r="G41" s="142" t="s">
        <v>46</v>
      </c>
      <c r="H41" s="142" t="s">
        <v>46</v>
      </c>
      <c r="I41" s="282">
        <v>1</v>
      </c>
      <c r="J41" s="282">
        <v>1</v>
      </c>
    </row>
    <row r="42" spans="1:10" ht="38.25" customHeight="1" x14ac:dyDescent="0.2">
      <c r="A42" s="135" t="s">
        <v>135</v>
      </c>
      <c r="B42" s="345" t="s">
        <v>144</v>
      </c>
      <c r="C42" s="341"/>
      <c r="D42" s="341"/>
      <c r="E42" s="341"/>
      <c r="F42" s="341"/>
      <c r="G42" s="341"/>
      <c r="H42" s="341"/>
      <c r="I42" s="341"/>
      <c r="J42" s="342"/>
    </row>
    <row r="43" spans="1:10" ht="71.25" customHeight="1" x14ac:dyDescent="0.2">
      <c r="A43" s="140" t="s">
        <v>136</v>
      </c>
      <c r="B43" s="28" t="s">
        <v>158</v>
      </c>
      <c r="C43" s="28" t="s">
        <v>145</v>
      </c>
      <c r="D43" s="282" t="s">
        <v>50</v>
      </c>
      <c r="E43" s="142">
        <v>1</v>
      </c>
      <c r="F43" s="142">
        <v>1</v>
      </c>
      <c r="G43" s="142">
        <v>1</v>
      </c>
      <c r="H43" s="142">
        <v>1</v>
      </c>
      <c r="I43" s="282">
        <v>1</v>
      </c>
      <c r="J43" s="282">
        <v>1</v>
      </c>
    </row>
    <row r="44" spans="1:10" ht="50.25" customHeight="1" x14ac:dyDescent="0.2">
      <c r="A44" s="140" t="s">
        <v>137</v>
      </c>
      <c r="B44" s="28" t="s">
        <v>143</v>
      </c>
      <c r="C44" s="28" t="s">
        <v>146</v>
      </c>
      <c r="D44" s="282" t="s">
        <v>50</v>
      </c>
      <c r="E44" s="142">
        <v>1</v>
      </c>
      <c r="F44" s="142">
        <v>1</v>
      </c>
      <c r="G44" s="142">
        <v>1</v>
      </c>
      <c r="H44" s="142">
        <v>1</v>
      </c>
      <c r="I44" s="282">
        <v>1</v>
      </c>
      <c r="J44" s="282">
        <v>1</v>
      </c>
    </row>
    <row r="45" spans="1:10" ht="43.5" customHeight="1" x14ac:dyDescent="0.2">
      <c r="A45" s="140" t="s">
        <v>138</v>
      </c>
      <c r="B45" s="28" t="s">
        <v>184</v>
      </c>
      <c r="C45" s="28" t="s">
        <v>149</v>
      </c>
      <c r="D45" s="81" t="s">
        <v>52</v>
      </c>
      <c r="E45" s="142">
        <v>100</v>
      </c>
      <c r="F45" s="142">
        <v>100</v>
      </c>
      <c r="G45" s="142">
        <v>100</v>
      </c>
      <c r="H45" s="142">
        <v>100</v>
      </c>
      <c r="I45" s="282">
        <v>100</v>
      </c>
      <c r="J45" s="282">
        <v>100</v>
      </c>
    </row>
    <row r="46" spans="1:10" ht="29.25" customHeight="1" x14ac:dyDescent="0.2">
      <c r="A46" s="140" t="s">
        <v>139</v>
      </c>
      <c r="B46" s="28" t="s">
        <v>185</v>
      </c>
      <c r="C46" s="28" t="s">
        <v>147</v>
      </c>
      <c r="D46" s="81" t="s">
        <v>52</v>
      </c>
      <c r="E46" s="142">
        <v>100</v>
      </c>
      <c r="F46" s="142">
        <v>100</v>
      </c>
      <c r="G46" s="142">
        <v>100</v>
      </c>
      <c r="H46" s="142">
        <v>100</v>
      </c>
      <c r="I46" s="282">
        <v>100</v>
      </c>
      <c r="J46" s="282">
        <v>100</v>
      </c>
    </row>
    <row r="47" spans="1:10" ht="35.25" customHeight="1" x14ac:dyDescent="0.2">
      <c r="A47" s="140" t="s">
        <v>140</v>
      </c>
      <c r="B47" s="28" t="s">
        <v>148</v>
      </c>
      <c r="C47" s="28" t="s">
        <v>147</v>
      </c>
      <c r="D47" s="81" t="s">
        <v>52</v>
      </c>
      <c r="E47" s="142">
        <v>100</v>
      </c>
      <c r="F47" s="142">
        <v>100</v>
      </c>
      <c r="G47" s="142">
        <v>100</v>
      </c>
      <c r="H47" s="142">
        <v>100</v>
      </c>
      <c r="I47" s="282">
        <v>100</v>
      </c>
      <c r="J47" s="282">
        <v>100</v>
      </c>
    </row>
    <row r="48" spans="1:10" ht="46.5" customHeight="1" x14ac:dyDescent="0.2">
      <c r="A48" s="140" t="s">
        <v>141</v>
      </c>
      <c r="B48" s="28" t="s">
        <v>152</v>
      </c>
      <c r="C48" s="28" t="s">
        <v>153</v>
      </c>
      <c r="D48" s="81" t="s">
        <v>52</v>
      </c>
      <c r="E48" s="282" t="s">
        <v>156</v>
      </c>
      <c r="F48" s="282" t="s">
        <v>156</v>
      </c>
      <c r="G48" s="282" t="s">
        <v>156</v>
      </c>
      <c r="H48" s="282" t="s">
        <v>156</v>
      </c>
      <c r="I48" s="282" t="s">
        <v>156</v>
      </c>
      <c r="J48" s="282" t="s">
        <v>156</v>
      </c>
    </row>
    <row r="49" spans="1:30" ht="43.5" customHeight="1" x14ac:dyDescent="0.2">
      <c r="A49" s="140" t="s">
        <v>150</v>
      </c>
      <c r="B49" s="28" t="s">
        <v>162</v>
      </c>
      <c r="C49" s="28" t="s">
        <v>151</v>
      </c>
      <c r="D49" s="81" t="s">
        <v>50</v>
      </c>
      <c r="E49" s="282" t="s">
        <v>155</v>
      </c>
      <c r="F49" s="282" t="s">
        <v>155</v>
      </c>
      <c r="G49" s="282" t="s">
        <v>155</v>
      </c>
      <c r="H49" s="282" t="s">
        <v>155</v>
      </c>
      <c r="I49" s="282" t="s">
        <v>155</v>
      </c>
      <c r="J49" s="282" t="s">
        <v>155</v>
      </c>
    </row>
    <row r="50" spans="1:30" ht="45.6" customHeight="1" x14ac:dyDescent="0.2">
      <c r="A50" s="135" t="s">
        <v>98</v>
      </c>
      <c r="B50" s="345" t="s">
        <v>490</v>
      </c>
      <c r="C50" s="341"/>
      <c r="D50" s="341"/>
      <c r="E50" s="341"/>
      <c r="F50" s="341"/>
      <c r="G50" s="341"/>
      <c r="H50" s="341"/>
      <c r="I50" s="341"/>
      <c r="J50" s="342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</row>
    <row r="51" spans="1:30" ht="33.6" customHeight="1" x14ac:dyDescent="0.2">
      <c r="A51" s="348" t="s">
        <v>207</v>
      </c>
      <c r="B51" s="348"/>
      <c r="C51" s="348"/>
      <c r="D51" s="348"/>
      <c r="E51" s="348"/>
      <c r="F51" s="348"/>
      <c r="G51" s="348"/>
      <c r="H51" s="348"/>
      <c r="I51" s="348"/>
      <c r="J51" s="348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</row>
    <row r="52" spans="1:30" ht="44.45" customHeight="1" x14ac:dyDescent="0.2">
      <c r="A52" s="349" t="s">
        <v>491</v>
      </c>
      <c r="B52" s="349"/>
      <c r="C52" s="349"/>
      <c r="D52" s="349"/>
      <c r="E52" s="349"/>
      <c r="F52" s="349"/>
      <c r="G52" s="349"/>
      <c r="H52" s="349"/>
      <c r="I52" s="349"/>
      <c r="J52" s="349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</row>
    <row r="53" spans="1:30" ht="44.45" customHeight="1" x14ac:dyDescent="0.2">
      <c r="A53" s="265" t="s">
        <v>2</v>
      </c>
      <c r="B53" s="345" t="s">
        <v>321</v>
      </c>
      <c r="C53" s="341"/>
      <c r="D53" s="341"/>
      <c r="E53" s="341"/>
      <c r="F53" s="341"/>
      <c r="G53" s="341"/>
      <c r="H53" s="341"/>
      <c r="I53" s="341"/>
      <c r="J53" s="34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2"/>
      <c r="AD53" s="152"/>
    </row>
    <row r="54" spans="1:30" ht="44.45" customHeight="1" x14ac:dyDescent="0.2">
      <c r="A54" s="265" t="s">
        <v>5</v>
      </c>
      <c r="B54" s="97" t="s">
        <v>233</v>
      </c>
      <c r="C54" s="97" t="s">
        <v>259</v>
      </c>
      <c r="D54" s="282" t="s">
        <v>45</v>
      </c>
      <c r="E54" s="153" t="s">
        <v>46</v>
      </c>
      <c r="F54" s="282">
        <f>1+1</f>
        <v>2</v>
      </c>
      <c r="G54" s="154" t="s">
        <v>46</v>
      </c>
      <c r="H54" s="155" t="s">
        <v>46</v>
      </c>
      <c r="I54" s="282">
        <v>4</v>
      </c>
      <c r="J54" s="154" t="s">
        <v>46</v>
      </c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</row>
    <row r="55" spans="1:30" ht="48" customHeight="1" x14ac:dyDescent="0.2">
      <c r="A55" s="34" t="s">
        <v>16</v>
      </c>
      <c r="B55" s="275" t="s">
        <v>232</v>
      </c>
      <c r="C55" s="97" t="s">
        <v>258</v>
      </c>
      <c r="D55" s="282" t="s">
        <v>45</v>
      </c>
      <c r="E55" s="153" t="s">
        <v>46</v>
      </c>
      <c r="F55" s="282" t="s">
        <v>46</v>
      </c>
      <c r="G55" s="154" t="s">
        <v>46</v>
      </c>
      <c r="H55" s="154" t="s">
        <v>46</v>
      </c>
      <c r="I55" s="282">
        <v>1</v>
      </c>
      <c r="J55" s="154" t="s">
        <v>46</v>
      </c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  <c r="AD55" s="152"/>
    </row>
    <row r="56" spans="1:30" ht="44.45" customHeight="1" x14ac:dyDescent="0.2">
      <c r="A56" s="265" t="s">
        <v>292</v>
      </c>
      <c r="B56" s="97" t="s">
        <v>299</v>
      </c>
      <c r="C56" s="97" t="s">
        <v>258</v>
      </c>
      <c r="D56" s="282" t="s">
        <v>45</v>
      </c>
      <c r="E56" s="155">
        <v>1</v>
      </c>
      <c r="F56" s="154" t="s">
        <v>46</v>
      </c>
      <c r="G56" s="155">
        <v>1</v>
      </c>
      <c r="H56" s="155">
        <v>2</v>
      </c>
      <c r="I56" s="282" t="s">
        <v>46</v>
      </c>
      <c r="J56" s="154" t="s">
        <v>46</v>
      </c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</row>
    <row r="57" spans="1:30" ht="44.45" customHeight="1" x14ac:dyDescent="0.2">
      <c r="A57" s="265" t="s">
        <v>393</v>
      </c>
      <c r="B57" s="97" t="s">
        <v>394</v>
      </c>
      <c r="C57" s="97" t="s">
        <v>258</v>
      </c>
      <c r="D57" s="282" t="s">
        <v>45</v>
      </c>
      <c r="E57" s="155"/>
      <c r="F57" s="155">
        <f>2-2+1</f>
        <v>1</v>
      </c>
      <c r="G57" s="155"/>
      <c r="H57" s="155"/>
      <c r="I57" s="282"/>
      <c r="J57" s="154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2"/>
      <c r="AD57" s="152"/>
    </row>
    <row r="58" spans="1:30" ht="44.45" customHeight="1" x14ac:dyDescent="0.2">
      <c r="A58" s="265" t="s">
        <v>208</v>
      </c>
      <c r="B58" s="345" t="s">
        <v>322</v>
      </c>
      <c r="C58" s="341"/>
      <c r="D58" s="341"/>
      <c r="E58" s="341"/>
      <c r="F58" s="341"/>
      <c r="G58" s="341"/>
      <c r="H58" s="341"/>
      <c r="I58" s="341"/>
      <c r="J58" s="34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</row>
    <row r="59" spans="1:30" ht="44.45" customHeight="1" x14ac:dyDescent="0.2">
      <c r="A59" s="346" t="s">
        <v>209</v>
      </c>
      <c r="B59" s="309" t="s">
        <v>217</v>
      </c>
      <c r="C59" s="97" t="s">
        <v>214</v>
      </c>
      <c r="D59" s="282" t="s">
        <v>118</v>
      </c>
      <c r="E59" s="140">
        <v>0.96799999999999997</v>
      </c>
      <c r="F59" s="282">
        <v>1.9349999999999999E-2</v>
      </c>
      <c r="G59" s="154" t="s">
        <v>46</v>
      </c>
      <c r="H59" s="282" t="s">
        <v>46</v>
      </c>
      <c r="I59" s="156">
        <f>0.08973+0.57+0.3041+0.7637</f>
        <v>1.72753</v>
      </c>
      <c r="J59" s="157">
        <v>2.4163000000000001</v>
      </c>
      <c r="K59" s="158">
        <v>0.56999999999999995</v>
      </c>
      <c r="L59" s="156">
        <v>0.30409999999999998</v>
      </c>
      <c r="M59" s="157">
        <v>0.76370000000000005</v>
      </c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</row>
    <row r="60" spans="1:30" ht="44.45" customHeight="1" x14ac:dyDescent="0.2">
      <c r="A60" s="347"/>
      <c r="B60" s="310"/>
      <c r="C60" s="97" t="s">
        <v>264</v>
      </c>
      <c r="D60" s="81" t="s">
        <v>52</v>
      </c>
      <c r="E60" s="159" t="s">
        <v>46</v>
      </c>
      <c r="F60" s="282" t="s">
        <v>46</v>
      </c>
      <c r="G60" s="282" t="s">
        <v>46</v>
      </c>
      <c r="H60" s="282" t="s">
        <v>46</v>
      </c>
      <c r="I60" s="282" t="s">
        <v>46</v>
      </c>
      <c r="J60" s="282">
        <v>100</v>
      </c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</row>
    <row r="61" spans="1:30" ht="44.45" customHeight="1" x14ac:dyDescent="0.2">
      <c r="A61" s="273" t="s">
        <v>216</v>
      </c>
      <c r="B61" s="28" t="s">
        <v>303</v>
      </c>
      <c r="C61" s="97" t="s">
        <v>218</v>
      </c>
      <c r="D61" s="282" t="s">
        <v>45</v>
      </c>
      <c r="E61" s="159" t="s">
        <v>46</v>
      </c>
      <c r="F61" s="282">
        <v>1</v>
      </c>
      <c r="G61" s="154" t="s">
        <v>46</v>
      </c>
      <c r="H61" s="282" t="s">
        <v>46</v>
      </c>
      <c r="I61" s="282">
        <v>5</v>
      </c>
      <c r="J61" s="155">
        <v>1</v>
      </c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</row>
    <row r="62" spans="1:30" ht="35.25" customHeight="1" x14ac:dyDescent="0.2">
      <c r="A62" s="346" t="s">
        <v>315</v>
      </c>
      <c r="B62" s="309" t="s">
        <v>223</v>
      </c>
      <c r="C62" s="28" t="s">
        <v>254</v>
      </c>
      <c r="D62" s="282" t="s">
        <v>55</v>
      </c>
      <c r="E62" s="282" t="s">
        <v>46</v>
      </c>
      <c r="F62" s="282" t="s">
        <v>46</v>
      </c>
      <c r="G62" s="282" t="s">
        <v>46</v>
      </c>
      <c r="H62" s="282" t="s">
        <v>46</v>
      </c>
      <c r="I62" s="160">
        <v>22.279699999999998</v>
      </c>
      <c r="J62" s="282" t="s">
        <v>46</v>
      </c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</row>
    <row r="63" spans="1:30" ht="32.25" customHeight="1" x14ac:dyDescent="0.2">
      <c r="A63" s="347"/>
      <c r="B63" s="310"/>
      <c r="C63" s="28" t="s">
        <v>429</v>
      </c>
      <c r="D63" s="282" t="s">
        <v>45</v>
      </c>
      <c r="E63" s="282" t="s">
        <v>46</v>
      </c>
      <c r="F63" s="282">
        <v>1</v>
      </c>
      <c r="G63" s="282" t="s">
        <v>46</v>
      </c>
      <c r="H63" s="282" t="s">
        <v>46</v>
      </c>
      <c r="I63" s="160" t="s">
        <v>46</v>
      </c>
      <c r="J63" s="282" t="s">
        <v>46</v>
      </c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</row>
    <row r="64" spans="1:30" ht="44.45" customHeight="1" x14ac:dyDescent="0.2">
      <c r="A64" s="278" t="s">
        <v>316</v>
      </c>
      <c r="B64" s="275" t="s">
        <v>221</v>
      </c>
      <c r="C64" s="97" t="s">
        <v>218</v>
      </c>
      <c r="D64" s="282" t="s">
        <v>45</v>
      </c>
      <c r="E64" s="282" t="s">
        <v>46</v>
      </c>
      <c r="F64" s="282"/>
      <c r="G64" s="282"/>
      <c r="H64" s="282" t="s">
        <v>46</v>
      </c>
      <c r="I64" s="282">
        <v>1</v>
      </c>
      <c r="J64" s="28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</row>
    <row r="65" spans="1:30" ht="44.45" customHeight="1" x14ac:dyDescent="0.2">
      <c r="A65" s="346" t="s">
        <v>317</v>
      </c>
      <c r="B65" s="309" t="s">
        <v>256</v>
      </c>
      <c r="C65" s="28" t="s">
        <v>257</v>
      </c>
      <c r="D65" s="282" t="s">
        <v>118</v>
      </c>
      <c r="E65" s="159" t="s">
        <v>46</v>
      </c>
      <c r="F65" s="282" t="s">
        <v>46</v>
      </c>
      <c r="G65" s="282" t="s">
        <v>46</v>
      </c>
      <c r="H65" s="282" t="s">
        <v>46</v>
      </c>
      <c r="I65" s="282" t="s">
        <v>46</v>
      </c>
      <c r="J65" s="282">
        <v>2.9390000000000001</v>
      </c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</row>
    <row r="66" spans="1:30" ht="31.5" customHeight="1" x14ac:dyDescent="0.2">
      <c r="A66" s="347"/>
      <c r="B66" s="310"/>
      <c r="C66" s="28" t="s">
        <v>265</v>
      </c>
      <c r="D66" s="81" t="s">
        <v>52</v>
      </c>
      <c r="E66" s="159" t="s">
        <v>46</v>
      </c>
      <c r="F66" s="282"/>
      <c r="G66" s="282"/>
      <c r="H66" s="282" t="s">
        <v>46</v>
      </c>
      <c r="I66" s="282" t="s">
        <v>46</v>
      </c>
      <c r="J66" s="282">
        <v>100</v>
      </c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</row>
    <row r="67" spans="1:30" ht="47.25" customHeight="1" x14ac:dyDescent="0.2">
      <c r="A67" s="278" t="s">
        <v>318</v>
      </c>
      <c r="B67" s="275" t="s">
        <v>300</v>
      </c>
      <c r="C67" s="28" t="s">
        <v>159</v>
      </c>
      <c r="D67" s="282" t="s">
        <v>45</v>
      </c>
      <c r="E67" s="159" t="s">
        <v>46</v>
      </c>
      <c r="F67" s="282" t="s">
        <v>46</v>
      </c>
      <c r="G67" s="282" t="s">
        <v>46</v>
      </c>
      <c r="H67" s="282" t="s">
        <v>46</v>
      </c>
      <c r="I67" s="282">
        <v>2</v>
      </c>
      <c r="J67" s="282">
        <v>2</v>
      </c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</row>
    <row r="68" spans="1:30" ht="44.45" customHeight="1" x14ac:dyDescent="0.3">
      <c r="A68" s="278" t="s">
        <v>210</v>
      </c>
      <c r="B68" s="345" t="s">
        <v>368</v>
      </c>
      <c r="C68" s="341"/>
      <c r="D68" s="341"/>
      <c r="E68" s="341"/>
      <c r="F68" s="341"/>
      <c r="G68" s="341"/>
      <c r="H68" s="341"/>
      <c r="I68" s="341"/>
      <c r="J68" s="342"/>
      <c r="K68" s="161" t="s">
        <v>466</v>
      </c>
      <c r="L68" s="161" t="s">
        <v>467</v>
      </c>
      <c r="M68" s="161" t="s">
        <v>468</v>
      </c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</row>
    <row r="69" spans="1:30" ht="68.25" customHeight="1" x14ac:dyDescent="0.2">
      <c r="A69" s="307" t="s">
        <v>211</v>
      </c>
      <c r="B69" s="261" t="s">
        <v>569</v>
      </c>
      <c r="C69" s="28"/>
      <c r="D69" s="282"/>
      <c r="E69" s="159"/>
      <c r="F69" s="282"/>
      <c r="G69" s="282"/>
      <c r="H69" s="282"/>
      <c r="I69" s="282"/>
      <c r="J69" s="282"/>
      <c r="K69" s="281"/>
      <c r="L69" s="281"/>
      <c r="M69" s="266"/>
      <c r="N69" s="152" t="s">
        <v>565</v>
      </c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/>
      <c r="AC69" s="152"/>
      <c r="AD69" s="152"/>
    </row>
    <row r="70" spans="1:30" ht="45.75" customHeight="1" x14ac:dyDescent="0.2">
      <c r="A70" s="315"/>
      <c r="B70" s="28" t="s">
        <v>566</v>
      </c>
      <c r="C70" s="28" t="s">
        <v>563</v>
      </c>
      <c r="D70" s="282" t="s">
        <v>118</v>
      </c>
      <c r="E70" s="159">
        <v>155.27000000000001</v>
      </c>
      <c r="F70" s="282">
        <f>11.25+0.12</f>
        <v>11.37</v>
      </c>
      <c r="G70" s="282">
        <f>7.3+6.509</f>
        <v>13.809000000000001</v>
      </c>
      <c r="H70" s="282">
        <v>6.0759999999999996</v>
      </c>
      <c r="I70" s="282" t="s">
        <v>46</v>
      </c>
      <c r="J70" s="282" t="s">
        <v>46</v>
      </c>
      <c r="K70" s="281" t="s">
        <v>576</v>
      </c>
      <c r="L70" s="281" t="s">
        <v>577</v>
      </c>
      <c r="M70" s="266">
        <v>6.0759999999999996</v>
      </c>
      <c r="N70" s="262">
        <f>F70+G70+H70</f>
        <v>31.255000000000003</v>
      </c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  <c r="AA70" s="152"/>
      <c r="AB70" s="152"/>
      <c r="AC70" s="152"/>
      <c r="AD70" s="152"/>
    </row>
    <row r="71" spans="1:30" ht="33" customHeight="1" x14ac:dyDescent="0.2">
      <c r="A71" s="315"/>
      <c r="B71" s="309" t="s">
        <v>567</v>
      </c>
      <c r="C71" s="28" t="s">
        <v>564</v>
      </c>
      <c r="D71" s="282" t="s">
        <v>118</v>
      </c>
      <c r="E71" s="159">
        <v>349.38</v>
      </c>
      <c r="F71" s="282">
        <f>3.457+0.135</f>
        <v>3.5919999999999996</v>
      </c>
      <c r="G71" s="282" t="s">
        <v>46</v>
      </c>
      <c r="H71" s="282" t="s">
        <v>46</v>
      </c>
      <c r="I71" s="282" t="s">
        <v>46</v>
      </c>
      <c r="J71" s="282" t="s">
        <v>46</v>
      </c>
      <c r="K71" s="281" t="s">
        <v>575</v>
      </c>
      <c r="L71" s="266" t="s">
        <v>46</v>
      </c>
      <c r="M71" s="266" t="s">
        <v>46</v>
      </c>
      <c r="N71" s="262">
        <f>F71</f>
        <v>3.5919999999999996</v>
      </c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  <c r="AA71" s="152"/>
      <c r="AB71" s="152"/>
      <c r="AC71" s="152"/>
      <c r="AD71" s="152"/>
    </row>
    <row r="72" spans="1:30" ht="20.100000000000001" customHeight="1" x14ac:dyDescent="0.2">
      <c r="A72" s="315"/>
      <c r="B72" s="351"/>
      <c r="C72" s="28" t="s">
        <v>47</v>
      </c>
      <c r="D72" s="282" t="s">
        <v>45</v>
      </c>
      <c r="E72" s="159"/>
      <c r="F72" s="282">
        <v>19</v>
      </c>
      <c r="G72" s="282"/>
      <c r="H72" s="282"/>
      <c r="I72" s="282"/>
      <c r="J72" s="282"/>
      <c r="K72" s="282">
        <v>19</v>
      </c>
      <c r="L72" s="162"/>
      <c r="M72" s="16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  <c r="AA72" s="152"/>
      <c r="AB72" s="152"/>
      <c r="AC72" s="152"/>
      <c r="AD72" s="152"/>
    </row>
    <row r="73" spans="1:30" ht="20.100000000000001" customHeight="1" x14ac:dyDescent="0.2">
      <c r="A73" s="315"/>
      <c r="B73" s="351"/>
      <c r="C73" s="28" t="s">
        <v>80</v>
      </c>
      <c r="D73" s="282" t="s">
        <v>45</v>
      </c>
      <c r="E73" s="159"/>
      <c r="F73" s="282">
        <f>98+3</f>
        <v>101</v>
      </c>
      <c r="G73" s="282"/>
      <c r="H73" s="282"/>
      <c r="I73" s="282"/>
      <c r="J73" s="282"/>
      <c r="K73" s="266" t="s">
        <v>469</v>
      </c>
      <c r="L73" s="162"/>
      <c r="M73" s="16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152"/>
      <c r="AD73" s="152"/>
    </row>
    <row r="74" spans="1:30" ht="41.25" customHeight="1" x14ac:dyDescent="0.2">
      <c r="A74" s="315"/>
      <c r="B74" s="351"/>
      <c r="C74" s="28" t="s">
        <v>445</v>
      </c>
      <c r="D74" s="282" t="s">
        <v>45</v>
      </c>
      <c r="E74" s="159"/>
      <c r="F74" s="282">
        <v>1</v>
      </c>
      <c r="G74" s="282"/>
      <c r="H74" s="282"/>
      <c r="I74" s="282"/>
      <c r="J74" s="282"/>
      <c r="K74" s="282">
        <v>1</v>
      </c>
      <c r="L74" s="162"/>
      <c r="M74" s="16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  <c r="AA74" s="152"/>
      <c r="AB74" s="152"/>
      <c r="AC74" s="152"/>
      <c r="AD74" s="152"/>
    </row>
    <row r="75" spans="1:30" ht="30" customHeight="1" x14ac:dyDescent="0.2">
      <c r="A75" s="315"/>
      <c r="B75" s="351"/>
      <c r="C75" s="28" t="s">
        <v>446</v>
      </c>
      <c r="D75" s="282" t="s">
        <v>52</v>
      </c>
      <c r="E75" s="159"/>
      <c r="F75" s="282">
        <v>100</v>
      </c>
      <c r="G75" s="282"/>
      <c r="H75" s="282"/>
      <c r="I75" s="282"/>
      <c r="J75" s="282"/>
      <c r="K75" s="282">
        <v>100</v>
      </c>
      <c r="L75" s="162"/>
      <c r="M75" s="16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  <c r="AA75" s="152"/>
      <c r="AB75" s="152"/>
      <c r="AC75" s="152"/>
      <c r="AD75" s="152"/>
    </row>
    <row r="76" spans="1:30" ht="27.75" customHeight="1" x14ac:dyDescent="0.2">
      <c r="A76" s="315"/>
      <c r="B76" s="351"/>
      <c r="C76" s="28" t="s">
        <v>447</v>
      </c>
      <c r="D76" s="282" t="s">
        <v>45</v>
      </c>
      <c r="E76" s="159"/>
      <c r="F76" s="282">
        <v>1</v>
      </c>
      <c r="G76" s="282"/>
      <c r="H76" s="282"/>
      <c r="I76" s="282"/>
      <c r="J76" s="282"/>
      <c r="K76" s="282">
        <v>1</v>
      </c>
      <c r="L76" s="162"/>
      <c r="M76" s="16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  <c r="AA76" s="152"/>
      <c r="AB76" s="152"/>
      <c r="AC76" s="152"/>
      <c r="AD76" s="152"/>
    </row>
    <row r="77" spans="1:30" ht="20.100000000000001" customHeight="1" x14ac:dyDescent="0.2">
      <c r="A77" s="315"/>
      <c r="B77" s="351"/>
      <c r="C77" s="28" t="s">
        <v>448</v>
      </c>
      <c r="D77" s="282" t="s">
        <v>45</v>
      </c>
      <c r="E77" s="159"/>
      <c r="F77" s="282">
        <v>1</v>
      </c>
      <c r="G77" s="282"/>
      <c r="H77" s="282"/>
      <c r="I77" s="282"/>
      <c r="J77" s="282"/>
      <c r="K77" s="282">
        <v>1</v>
      </c>
      <c r="L77" s="162"/>
      <c r="M77" s="16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152"/>
      <c r="AD77" s="152"/>
    </row>
    <row r="78" spans="1:30" ht="20.100000000000001" customHeight="1" x14ac:dyDescent="0.2">
      <c r="A78" s="315"/>
      <c r="B78" s="351"/>
      <c r="C78" s="28" t="s">
        <v>449</v>
      </c>
      <c r="D78" s="282" t="s">
        <v>45</v>
      </c>
      <c r="E78" s="159"/>
      <c r="F78" s="282">
        <v>1</v>
      </c>
      <c r="G78" s="282"/>
      <c r="H78" s="282"/>
      <c r="I78" s="282"/>
      <c r="J78" s="282"/>
      <c r="K78" s="282">
        <v>1</v>
      </c>
      <c r="L78" s="162"/>
      <c r="M78" s="16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  <c r="AA78" s="152"/>
      <c r="AB78" s="152"/>
      <c r="AC78" s="152"/>
      <c r="AD78" s="152"/>
    </row>
    <row r="79" spans="1:30" ht="20.100000000000001" customHeight="1" x14ac:dyDescent="0.2">
      <c r="A79" s="315"/>
      <c r="B79" s="351"/>
      <c r="C79" s="28" t="s">
        <v>450</v>
      </c>
      <c r="D79" s="282" t="s">
        <v>54</v>
      </c>
      <c r="E79" s="159"/>
      <c r="F79" s="163">
        <v>0.2</v>
      </c>
      <c r="G79" s="282"/>
      <c r="H79" s="282"/>
      <c r="I79" s="282"/>
      <c r="J79" s="282"/>
      <c r="K79" s="163">
        <v>0.2</v>
      </c>
      <c r="L79" s="162"/>
      <c r="M79" s="16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  <c r="AA79" s="152"/>
      <c r="AB79" s="152"/>
      <c r="AC79" s="152"/>
      <c r="AD79" s="152"/>
    </row>
    <row r="80" spans="1:30" ht="27" customHeight="1" x14ac:dyDescent="0.2">
      <c r="A80" s="315"/>
      <c r="B80" s="351"/>
      <c r="C80" s="28" t="s">
        <v>451</v>
      </c>
      <c r="D80" s="282" t="s">
        <v>45</v>
      </c>
      <c r="E80" s="159"/>
      <c r="F80" s="282">
        <v>1</v>
      </c>
      <c r="G80" s="282"/>
      <c r="H80" s="282"/>
      <c r="I80" s="282"/>
      <c r="J80" s="282"/>
      <c r="K80" s="282">
        <v>1</v>
      </c>
      <c r="L80" s="162"/>
      <c r="M80" s="16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  <c r="AA80" s="152"/>
      <c r="AB80" s="152"/>
      <c r="AC80" s="152"/>
      <c r="AD80" s="152"/>
    </row>
    <row r="81" spans="1:30" ht="19.5" customHeight="1" x14ac:dyDescent="0.2">
      <c r="A81" s="308"/>
      <c r="B81" s="310"/>
      <c r="C81" s="28" t="s">
        <v>492</v>
      </c>
      <c r="D81" s="282" t="s">
        <v>45</v>
      </c>
      <c r="E81" s="159"/>
      <c r="F81" s="282">
        <v>1</v>
      </c>
      <c r="G81" s="282"/>
      <c r="H81" s="282"/>
      <c r="I81" s="282"/>
      <c r="J81" s="282"/>
      <c r="K81" s="282">
        <v>1</v>
      </c>
      <c r="L81" s="162"/>
      <c r="M81" s="16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2"/>
      <c r="AD81" s="152"/>
    </row>
    <row r="82" spans="1:30" ht="58.5" customHeight="1" x14ac:dyDescent="0.2">
      <c r="A82" s="278" t="s">
        <v>219</v>
      </c>
      <c r="B82" s="28" t="s">
        <v>266</v>
      </c>
      <c r="C82" s="28" t="s">
        <v>267</v>
      </c>
      <c r="D82" s="282" t="s">
        <v>45</v>
      </c>
      <c r="E82" s="140">
        <v>12</v>
      </c>
      <c r="F82" s="282">
        <v>5</v>
      </c>
      <c r="G82" s="282">
        <v>5</v>
      </c>
      <c r="H82" s="282" t="s">
        <v>46</v>
      </c>
      <c r="I82" s="282">
        <v>5</v>
      </c>
      <c r="J82" s="282">
        <v>5</v>
      </c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2"/>
      <c r="AC82" s="152"/>
      <c r="AD82" s="152"/>
    </row>
    <row r="83" spans="1:30" ht="69.75" customHeight="1" x14ac:dyDescent="0.2">
      <c r="A83" s="278" t="s">
        <v>324</v>
      </c>
      <c r="B83" s="28" t="s">
        <v>268</v>
      </c>
      <c r="C83" s="28" t="s">
        <v>267</v>
      </c>
      <c r="D83" s="282" t="s">
        <v>45</v>
      </c>
      <c r="E83" s="140">
        <v>10</v>
      </c>
      <c r="F83" s="282">
        <v>1</v>
      </c>
      <c r="G83" s="282">
        <v>1</v>
      </c>
      <c r="H83" s="282">
        <v>1</v>
      </c>
      <c r="I83" s="282">
        <v>1</v>
      </c>
      <c r="J83" s="282">
        <v>1</v>
      </c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  <c r="AA83" s="152"/>
      <c r="AB83" s="152"/>
      <c r="AC83" s="152"/>
      <c r="AD83" s="152"/>
    </row>
    <row r="84" spans="1:30" ht="44.45" customHeight="1" x14ac:dyDescent="0.2">
      <c r="A84" s="278" t="s">
        <v>325</v>
      </c>
      <c r="B84" s="28" t="s">
        <v>269</v>
      </c>
      <c r="C84" s="28" t="s">
        <v>270</v>
      </c>
      <c r="D84" s="282" t="s">
        <v>45</v>
      </c>
      <c r="E84" s="159" t="s">
        <v>46</v>
      </c>
      <c r="F84" s="282">
        <v>5</v>
      </c>
      <c r="G84" s="282">
        <v>5</v>
      </c>
      <c r="H84" s="282">
        <v>5</v>
      </c>
      <c r="I84" s="282">
        <v>5</v>
      </c>
      <c r="J84" s="282">
        <v>5</v>
      </c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  <c r="AD84" s="152"/>
    </row>
    <row r="85" spans="1:30" ht="30" customHeight="1" x14ac:dyDescent="0.2">
      <c r="A85" s="278" t="s">
        <v>326</v>
      </c>
      <c r="B85" s="164" t="s">
        <v>271</v>
      </c>
      <c r="C85" s="28" t="s">
        <v>272</v>
      </c>
      <c r="D85" s="282" t="s">
        <v>45</v>
      </c>
      <c r="E85" s="140">
        <v>20</v>
      </c>
      <c r="F85" s="140">
        <v>29</v>
      </c>
      <c r="G85" s="140">
        <v>31</v>
      </c>
      <c r="H85" s="140" t="s">
        <v>46</v>
      </c>
      <c r="I85" s="140">
        <v>20</v>
      </c>
      <c r="J85" s="140">
        <v>20</v>
      </c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</row>
    <row r="86" spans="1:30" ht="30.75" customHeight="1" x14ac:dyDescent="0.2">
      <c r="A86" s="278" t="s">
        <v>327</v>
      </c>
      <c r="B86" s="164" t="s">
        <v>274</v>
      </c>
      <c r="C86" s="28" t="s">
        <v>273</v>
      </c>
      <c r="D86" s="282" t="s">
        <v>55</v>
      </c>
      <c r="E86" s="140">
        <v>32.85</v>
      </c>
      <c r="F86" s="282">
        <v>22.2</v>
      </c>
      <c r="G86" s="282" t="s">
        <v>46</v>
      </c>
      <c r="H86" s="282" t="s">
        <v>46</v>
      </c>
      <c r="I86" s="282">
        <v>33.5</v>
      </c>
      <c r="J86" s="282">
        <v>33.5</v>
      </c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  <c r="AA86" s="152"/>
      <c r="AB86" s="152"/>
      <c r="AC86" s="152"/>
      <c r="AD86" s="152"/>
    </row>
    <row r="87" spans="1:30" ht="32.25" customHeight="1" x14ac:dyDescent="0.2">
      <c r="A87" s="266" t="s">
        <v>212</v>
      </c>
      <c r="B87" s="345" t="s">
        <v>377</v>
      </c>
      <c r="C87" s="341"/>
      <c r="D87" s="341"/>
      <c r="E87" s="341"/>
      <c r="F87" s="341"/>
      <c r="G87" s="341"/>
      <c r="H87" s="341"/>
      <c r="I87" s="341"/>
      <c r="J87" s="34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  <c r="AA87" s="152"/>
      <c r="AB87" s="152"/>
      <c r="AC87" s="152"/>
      <c r="AD87" s="152"/>
    </row>
    <row r="88" spans="1:30" ht="34.5" customHeight="1" x14ac:dyDescent="0.2">
      <c r="A88" s="266" t="s">
        <v>213</v>
      </c>
      <c r="B88" s="28" t="s">
        <v>376</v>
      </c>
      <c r="C88" s="97" t="s">
        <v>281</v>
      </c>
      <c r="D88" s="282" t="s">
        <v>55</v>
      </c>
      <c r="E88" s="140">
        <v>8.59</v>
      </c>
      <c r="F88" s="282">
        <v>11.2</v>
      </c>
      <c r="G88" s="282" t="s">
        <v>46</v>
      </c>
      <c r="H88" s="282" t="s">
        <v>46</v>
      </c>
      <c r="I88" s="282">
        <v>10</v>
      </c>
      <c r="J88" s="282">
        <v>10</v>
      </c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  <c r="AA88" s="152"/>
      <c r="AB88" s="152"/>
      <c r="AC88" s="152"/>
      <c r="AD88" s="152"/>
    </row>
    <row r="89" spans="1:30" ht="31.15" customHeight="1" x14ac:dyDescent="0.2">
      <c r="A89" s="135" t="s">
        <v>105</v>
      </c>
      <c r="B89" s="345" t="s">
        <v>369</v>
      </c>
      <c r="C89" s="341"/>
      <c r="D89" s="341"/>
      <c r="E89" s="341"/>
      <c r="F89" s="341"/>
      <c r="G89" s="341"/>
      <c r="H89" s="341"/>
      <c r="I89" s="341"/>
      <c r="J89" s="342"/>
      <c r="K89" s="369"/>
      <c r="L89" s="367"/>
      <c r="M89" s="367"/>
      <c r="N89" s="367"/>
      <c r="O89" s="367"/>
      <c r="P89" s="367"/>
      <c r="Q89" s="367"/>
      <c r="R89" s="367"/>
      <c r="S89" s="367"/>
      <c r="T89" s="367"/>
      <c r="U89" s="367"/>
      <c r="V89" s="367"/>
      <c r="W89" s="367"/>
      <c r="X89" s="367"/>
      <c r="Y89" s="367"/>
      <c r="Z89" s="367"/>
      <c r="AA89" s="367"/>
      <c r="AB89" s="367"/>
      <c r="AC89" s="367"/>
      <c r="AD89" s="367"/>
    </row>
    <row r="90" spans="1:30" ht="33" customHeight="1" x14ac:dyDescent="0.2">
      <c r="A90" s="348" t="s">
        <v>301</v>
      </c>
      <c r="B90" s="348"/>
      <c r="C90" s="348"/>
      <c r="D90" s="348"/>
      <c r="E90" s="348"/>
      <c r="F90" s="348"/>
      <c r="G90" s="348"/>
      <c r="H90" s="348"/>
      <c r="I90" s="348"/>
      <c r="J90" s="348"/>
      <c r="K90" s="368"/>
      <c r="L90" s="368"/>
      <c r="M90" s="368"/>
      <c r="N90" s="368"/>
      <c r="O90" s="368"/>
      <c r="P90" s="368"/>
      <c r="Q90" s="368"/>
      <c r="R90" s="368"/>
      <c r="S90" s="368"/>
      <c r="T90" s="368"/>
      <c r="U90" s="368"/>
      <c r="V90" s="368"/>
      <c r="W90" s="368"/>
      <c r="X90" s="368"/>
      <c r="Y90" s="368"/>
      <c r="Z90" s="368"/>
      <c r="AA90" s="368"/>
      <c r="AB90" s="368"/>
      <c r="AC90" s="368"/>
      <c r="AD90" s="368"/>
    </row>
    <row r="91" spans="1:30" ht="26.25" customHeight="1" x14ac:dyDescent="0.2">
      <c r="A91" s="349" t="s">
        <v>374</v>
      </c>
      <c r="B91" s="349"/>
      <c r="C91" s="349"/>
      <c r="D91" s="349"/>
      <c r="E91" s="349"/>
      <c r="F91" s="349"/>
      <c r="G91" s="349"/>
      <c r="H91" s="349"/>
      <c r="I91" s="349"/>
      <c r="J91" s="349"/>
      <c r="K91" s="367"/>
      <c r="L91" s="367"/>
      <c r="M91" s="367"/>
      <c r="N91" s="367"/>
      <c r="O91" s="367"/>
      <c r="P91" s="367"/>
      <c r="Q91" s="367"/>
      <c r="R91" s="367"/>
      <c r="S91" s="367"/>
      <c r="T91" s="367"/>
      <c r="U91" s="367"/>
      <c r="V91" s="367"/>
      <c r="W91" s="367"/>
      <c r="X91" s="367"/>
      <c r="Y91" s="367"/>
      <c r="Z91" s="367"/>
      <c r="AA91" s="367"/>
      <c r="AB91" s="367"/>
      <c r="AC91" s="367"/>
      <c r="AD91" s="367"/>
    </row>
    <row r="92" spans="1:30" ht="36" customHeight="1" x14ac:dyDescent="0.2">
      <c r="A92" s="135" t="s">
        <v>17</v>
      </c>
      <c r="B92" s="345" t="s">
        <v>371</v>
      </c>
      <c r="C92" s="341"/>
      <c r="D92" s="341"/>
      <c r="E92" s="341"/>
      <c r="F92" s="341"/>
      <c r="G92" s="341"/>
      <c r="H92" s="341"/>
      <c r="I92" s="341"/>
      <c r="J92" s="342"/>
      <c r="K92" s="367"/>
      <c r="L92" s="367"/>
      <c r="M92" s="367"/>
      <c r="N92" s="367"/>
      <c r="O92" s="367"/>
      <c r="P92" s="367"/>
      <c r="Q92" s="367"/>
      <c r="R92" s="367"/>
      <c r="S92" s="367"/>
      <c r="T92" s="367"/>
      <c r="U92" s="367"/>
      <c r="V92" s="367"/>
      <c r="W92" s="367"/>
      <c r="X92" s="367"/>
      <c r="Y92" s="367"/>
      <c r="Z92" s="367"/>
      <c r="AA92" s="367"/>
      <c r="AB92" s="367"/>
      <c r="AC92" s="367"/>
      <c r="AD92" s="367"/>
    </row>
    <row r="93" spans="1:30" ht="75" customHeight="1" x14ac:dyDescent="0.2">
      <c r="A93" s="273" t="s">
        <v>92</v>
      </c>
      <c r="B93" s="275" t="s">
        <v>206</v>
      </c>
      <c r="C93" s="28" t="s">
        <v>57</v>
      </c>
      <c r="D93" s="282" t="s">
        <v>56</v>
      </c>
      <c r="E93" s="165">
        <v>6330.51</v>
      </c>
      <c r="F93" s="166">
        <v>6368.9110000000001</v>
      </c>
      <c r="G93" s="166">
        <v>6368.9110000000001</v>
      </c>
      <c r="H93" s="166">
        <v>6368.9110000000001</v>
      </c>
      <c r="I93" s="166">
        <v>6368.9110000000001</v>
      </c>
      <c r="J93" s="166">
        <v>6368.9110000000001</v>
      </c>
    </row>
    <row r="94" spans="1:30" ht="38.25" customHeight="1" x14ac:dyDescent="0.2">
      <c r="A94" s="266" t="s">
        <v>106</v>
      </c>
      <c r="B94" s="167" t="s">
        <v>58</v>
      </c>
      <c r="C94" s="28" t="s">
        <v>82</v>
      </c>
      <c r="D94" s="282" t="s">
        <v>56</v>
      </c>
      <c r="E94" s="154">
        <v>2.14</v>
      </c>
      <c r="F94" s="163">
        <v>2.1480000000000001</v>
      </c>
      <c r="G94" s="163">
        <v>2.1480000000000001</v>
      </c>
      <c r="H94" s="163">
        <v>2.1480000000000001</v>
      </c>
      <c r="I94" s="163">
        <v>2.1480000000000001</v>
      </c>
      <c r="J94" s="163">
        <v>2.1480000000000001</v>
      </c>
    </row>
    <row r="95" spans="1:30" ht="36.75" customHeight="1" x14ac:dyDescent="0.2">
      <c r="A95" s="135" t="s">
        <v>18</v>
      </c>
      <c r="B95" s="345" t="s">
        <v>372</v>
      </c>
      <c r="C95" s="341"/>
      <c r="D95" s="341"/>
      <c r="E95" s="341"/>
      <c r="F95" s="341"/>
      <c r="G95" s="341"/>
      <c r="H95" s="341"/>
      <c r="I95" s="341"/>
      <c r="J95" s="342"/>
    </row>
    <row r="96" spans="1:30" ht="36" customHeight="1" x14ac:dyDescent="0.2">
      <c r="A96" s="266" t="s">
        <v>93</v>
      </c>
      <c r="B96" s="167" t="s">
        <v>306</v>
      </c>
      <c r="C96" s="168" t="s">
        <v>134</v>
      </c>
      <c r="D96" s="282" t="s">
        <v>45</v>
      </c>
      <c r="E96" s="142">
        <v>1</v>
      </c>
      <c r="F96" s="282">
        <v>1</v>
      </c>
      <c r="G96" s="282" t="s">
        <v>46</v>
      </c>
      <c r="H96" s="282" t="s">
        <v>46</v>
      </c>
      <c r="I96" s="282" t="s">
        <v>46</v>
      </c>
      <c r="J96" s="282" t="s">
        <v>46</v>
      </c>
    </row>
    <row r="97" spans="1:10" ht="53.25" customHeight="1" x14ac:dyDescent="0.2">
      <c r="A97" s="266" t="s">
        <v>343</v>
      </c>
      <c r="B97" s="29" t="s">
        <v>342</v>
      </c>
      <c r="C97" s="97" t="s">
        <v>367</v>
      </c>
      <c r="D97" s="282" t="s">
        <v>45</v>
      </c>
      <c r="E97" s="142">
        <v>1</v>
      </c>
      <c r="F97" s="282">
        <f>1+1</f>
        <v>2</v>
      </c>
      <c r="G97" s="282" t="s">
        <v>46</v>
      </c>
      <c r="H97" s="282"/>
      <c r="I97" s="282" t="s">
        <v>46</v>
      </c>
      <c r="J97" s="282" t="s">
        <v>46</v>
      </c>
    </row>
    <row r="98" spans="1:10" ht="31.15" customHeight="1" x14ac:dyDescent="0.2">
      <c r="A98" s="135" t="s">
        <v>112</v>
      </c>
      <c r="B98" s="345" t="s">
        <v>133</v>
      </c>
      <c r="C98" s="341"/>
      <c r="D98" s="341"/>
      <c r="E98" s="341"/>
      <c r="F98" s="341"/>
      <c r="G98" s="341"/>
      <c r="H98" s="341"/>
      <c r="I98" s="341"/>
      <c r="J98" s="342"/>
    </row>
    <row r="99" spans="1:10" ht="33.75" customHeight="1" x14ac:dyDescent="0.2">
      <c r="A99" s="348" t="s">
        <v>187</v>
      </c>
      <c r="B99" s="348"/>
      <c r="C99" s="348"/>
      <c r="D99" s="348"/>
      <c r="E99" s="348"/>
      <c r="F99" s="348"/>
      <c r="G99" s="348"/>
      <c r="H99" s="348"/>
      <c r="I99" s="348"/>
      <c r="J99" s="348"/>
    </row>
    <row r="100" spans="1:10" ht="36" customHeight="1" x14ac:dyDescent="0.2">
      <c r="A100" s="349" t="s">
        <v>132</v>
      </c>
      <c r="B100" s="349"/>
      <c r="C100" s="349"/>
      <c r="D100" s="349"/>
      <c r="E100" s="349"/>
      <c r="F100" s="349"/>
      <c r="G100" s="349"/>
      <c r="H100" s="349"/>
      <c r="I100" s="349"/>
      <c r="J100" s="349"/>
    </row>
    <row r="101" spans="1:10" ht="18" customHeight="1" x14ac:dyDescent="0.2">
      <c r="A101" s="135" t="s">
        <v>14</v>
      </c>
      <c r="B101" s="345" t="s">
        <v>108</v>
      </c>
      <c r="C101" s="341"/>
      <c r="D101" s="341"/>
      <c r="E101" s="341"/>
      <c r="F101" s="341"/>
      <c r="G101" s="341"/>
      <c r="H101" s="341"/>
      <c r="I101" s="341"/>
      <c r="J101" s="342"/>
    </row>
    <row r="102" spans="1:10" ht="28.15" customHeight="1" x14ac:dyDescent="0.2">
      <c r="A102" s="266" t="s">
        <v>94</v>
      </c>
      <c r="B102" s="167" t="s">
        <v>21</v>
      </c>
      <c r="C102" s="28" t="s">
        <v>53</v>
      </c>
      <c r="D102" s="140" t="s">
        <v>45</v>
      </c>
      <c r="E102" s="142">
        <v>31</v>
      </c>
      <c r="F102" s="142">
        <v>110</v>
      </c>
      <c r="G102" s="142">
        <v>110</v>
      </c>
      <c r="H102" s="142">
        <v>85</v>
      </c>
      <c r="I102" s="142">
        <v>50</v>
      </c>
      <c r="J102" s="142">
        <v>50</v>
      </c>
    </row>
    <row r="103" spans="1:10" ht="34.5" customHeight="1" x14ac:dyDescent="0.2">
      <c r="A103" s="135" t="s">
        <v>3</v>
      </c>
      <c r="B103" s="345" t="s">
        <v>188</v>
      </c>
      <c r="C103" s="341"/>
      <c r="D103" s="341"/>
      <c r="E103" s="341"/>
      <c r="F103" s="341"/>
      <c r="G103" s="341"/>
      <c r="H103" s="341"/>
      <c r="I103" s="341"/>
      <c r="J103" s="342"/>
    </row>
    <row r="104" spans="1:10" ht="69.75" customHeight="1" x14ac:dyDescent="0.2">
      <c r="A104" s="140" t="s">
        <v>95</v>
      </c>
      <c r="B104" s="97" t="s">
        <v>488</v>
      </c>
      <c r="C104" s="28" t="s">
        <v>61</v>
      </c>
      <c r="D104" s="282" t="s">
        <v>62</v>
      </c>
      <c r="E104" s="140">
        <v>781</v>
      </c>
      <c r="F104" s="142">
        <v>976</v>
      </c>
      <c r="G104" s="142">
        <v>976</v>
      </c>
      <c r="H104" s="142">
        <v>976</v>
      </c>
      <c r="I104" s="142">
        <v>976</v>
      </c>
      <c r="J104" s="142">
        <v>976</v>
      </c>
    </row>
    <row r="105" spans="1:10" ht="91.5" customHeight="1" x14ac:dyDescent="0.2">
      <c r="A105" s="169" t="s">
        <v>109</v>
      </c>
      <c r="B105" s="279" t="s">
        <v>297</v>
      </c>
      <c r="C105" s="28" t="s">
        <v>195</v>
      </c>
      <c r="D105" s="282" t="s">
        <v>50</v>
      </c>
      <c r="E105" s="142" t="s">
        <v>46</v>
      </c>
      <c r="F105" s="142">
        <f>27-1</f>
        <v>26</v>
      </c>
      <c r="G105" s="142">
        <f t="shared" ref="G105:J105" si="0">27-1</f>
        <v>26</v>
      </c>
      <c r="H105" s="142">
        <f t="shared" si="0"/>
        <v>26</v>
      </c>
      <c r="I105" s="142">
        <f t="shared" si="0"/>
        <v>26</v>
      </c>
      <c r="J105" s="142">
        <f t="shared" si="0"/>
        <v>26</v>
      </c>
    </row>
    <row r="106" spans="1:10" ht="45" customHeight="1" x14ac:dyDescent="0.2">
      <c r="A106" s="271" t="s">
        <v>110</v>
      </c>
      <c r="B106" s="309" t="s">
        <v>304</v>
      </c>
      <c r="C106" s="28" t="s">
        <v>199</v>
      </c>
      <c r="D106" s="282" t="s">
        <v>52</v>
      </c>
      <c r="E106" s="140">
        <v>92.7</v>
      </c>
      <c r="F106" s="150" t="s">
        <v>190</v>
      </c>
      <c r="G106" s="150" t="s">
        <v>190</v>
      </c>
      <c r="H106" s="150" t="s">
        <v>190</v>
      </c>
      <c r="I106" s="150" t="s">
        <v>190</v>
      </c>
      <c r="J106" s="150" t="s">
        <v>190</v>
      </c>
    </row>
    <row r="107" spans="1:10" ht="45" customHeight="1" x14ac:dyDescent="0.2">
      <c r="A107" s="277"/>
      <c r="B107" s="310"/>
      <c r="C107" s="28" t="s">
        <v>194</v>
      </c>
      <c r="D107" s="282" t="s">
        <v>50</v>
      </c>
      <c r="E107" s="142" t="s">
        <v>46</v>
      </c>
      <c r="F107" s="142">
        <f>56+2+9</f>
        <v>67</v>
      </c>
      <c r="G107" s="142">
        <f t="shared" ref="G107:J107" si="1">56+2+9</f>
        <v>67</v>
      </c>
      <c r="H107" s="142">
        <f t="shared" si="1"/>
        <v>67</v>
      </c>
      <c r="I107" s="142">
        <f t="shared" si="1"/>
        <v>67</v>
      </c>
      <c r="J107" s="142">
        <f t="shared" si="1"/>
        <v>67</v>
      </c>
    </row>
    <row r="108" spans="1:10" ht="32.25" customHeight="1" x14ac:dyDescent="0.2">
      <c r="A108" s="305" t="s">
        <v>111</v>
      </c>
      <c r="B108" s="309" t="s">
        <v>489</v>
      </c>
      <c r="C108" s="28" t="s">
        <v>121</v>
      </c>
      <c r="D108" s="282" t="s">
        <v>120</v>
      </c>
      <c r="E108" s="19">
        <v>2861</v>
      </c>
      <c r="F108" s="142" t="s">
        <v>191</v>
      </c>
      <c r="G108" s="142" t="s">
        <v>191</v>
      </c>
      <c r="H108" s="142" t="s">
        <v>191</v>
      </c>
      <c r="I108" s="142" t="s">
        <v>191</v>
      </c>
      <c r="J108" s="142" t="s">
        <v>191</v>
      </c>
    </row>
    <row r="109" spans="1:10" ht="32.25" customHeight="1" x14ac:dyDescent="0.2">
      <c r="A109" s="306"/>
      <c r="B109" s="310"/>
      <c r="C109" s="28" t="s">
        <v>119</v>
      </c>
      <c r="D109" s="282" t="s">
        <v>118</v>
      </c>
      <c r="E109" s="19">
        <v>57988</v>
      </c>
      <c r="F109" s="142">
        <v>60000</v>
      </c>
      <c r="G109" s="142">
        <v>60000</v>
      </c>
      <c r="H109" s="142">
        <v>60000</v>
      </c>
      <c r="I109" s="142">
        <f t="shared" ref="I109:J109" si="2">175181.82-63149.65-57028.17</f>
        <v>55004.000000000015</v>
      </c>
      <c r="J109" s="142">
        <f t="shared" si="2"/>
        <v>55004.000000000015</v>
      </c>
    </row>
    <row r="110" spans="1:10" ht="17.25" customHeight="1" x14ac:dyDescent="0.2">
      <c r="A110" s="135" t="s">
        <v>15</v>
      </c>
      <c r="B110" s="341" t="s">
        <v>189</v>
      </c>
      <c r="C110" s="341"/>
      <c r="D110" s="341"/>
      <c r="E110" s="341"/>
      <c r="F110" s="341"/>
      <c r="G110" s="341"/>
      <c r="H110" s="341"/>
      <c r="I110" s="341"/>
      <c r="J110" s="342"/>
    </row>
    <row r="111" spans="1:10" ht="42.75" customHeight="1" x14ac:dyDescent="0.2">
      <c r="A111" s="282" t="s">
        <v>96</v>
      </c>
      <c r="B111" s="122" t="s">
        <v>296</v>
      </c>
      <c r="C111" s="28" t="s">
        <v>193</v>
      </c>
      <c r="D111" s="282" t="s">
        <v>52</v>
      </c>
      <c r="E111" s="142" t="s">
        <v>46</v>
      </c>
      <c r="F111" s="142">
        <v>100</v>
      </c>
      <c r="G111" s="142">
        <v>100</v>
      </c>
      <c r="H111" s="142">
        <v>100</v>
      </c>
      <c r="I111" s="142" t="s">
        <v>46</v>
      </c>
      <c r="J111" s="142" t="s">
        <v>46</v>
      </c>
    </row>
    <row r="112" spans="1:10" x14ac:dyDescent="0.2">
      <c r="C112" s="170"/>
      <c r="D112" s="170"/>
      <c r="E112" s="170"/>
    </row>
  </sheetData>
  <mergeCells count="67">
    <mergeCell ref="A62:A63"/>
    <mergeCell ref="B62:B63"/>
    <mergeCell ref="A69:A81"/>
    <mergeCell ref="U91:AD91"/>
    <mergeCell ref="U89:AD89"/>
    <mergeCell ref="K90:T90"/>
    <mergeCell ref="U90:AD90"/>
    <mergeCell ref="B89:J89"/>
    <mergeCell ref="K89:T89"/>
    <mergeCell ref="A91:J91"/>
    <mergeCell ref="K91:T91"/>
    <mergeCell ref="A90:J90"/>
    <mergeCell ref="B71:B81"/>
    <mergeCell ref="K92:T92"/>
    <mergeCell ref="B103:J103"/>
    <mergeCell ref="U92:AD92"/>
    <mergeCell ref="A100:J100"/>
    <mergeCell ref="A99:J99"/>
    <mergeCell ref="B92:J92"/>
    <mergeCell ref="B98:J98"/>
    <mergeCell ref="B101:J101"/>
    <mergeCell ref="B95:J95"/>
    <mergeCell ref="A10:J10"/>
    <mergeCell ref="A12:J12"/>
    <mergeCell ref="A13:J13"/>
    <mergeCell ref="F7:F8"/>
    <mergeCell ref="G2:J2"/>
    <mergeCell ref="B11:J11"/>
    <mergeCell ref="G1:J1"/>
    <mergeCell ref="A5:A8"/>
    <mergeCell ref="B5:B8"/>
    <mergeCell ref="C5:C8"/>
    <mergeCell ref="D5:D8"/>
    <mergeCell ref="E5:E8"/>
    <mergeCell ref="G7:G8"/>
    <mergeCell ref="H7:H8"/>
    <mergeCell ref="I7:I8"/>
    <mergeCell ref="J7:J8"/>
    <mergeCell ref="A4:J4"/>
    <mergeCell ref="F5:J6"/>
    <mergeCell ref="B14:J14"/>
    <mergeCell ref="B25:J25"/>
    <mergeCell ref="A51:J51"/>
    <mergeCell ref="A52:J52"/>
    <mergeCell ref="B39:J39"/>
    <mergeCell ref="B50:J50"/>
    <mergeCell ref="B42:J42"/>
    <mergeCell ref="A26:A28"/>
    <mergeCell ref="B26:B28"/>
    <mergeCell ref="A19:A20"/>
    <mergeCell ref="B19:B20"/>
    <mergeCell ref="B110:J110"/>
    <mergeCell ref="B108:B109"/>
    <mergeCell ref="A108:A109"/>
    <mergeCell ref="B106:B107"/>
    <mergeCell ref="B34:B35"/>
    <mergeCell ref="A34:A35"/>
    <mergeCell ref="A40:A41"/>
    <mergeCell ref="B40:B41"/>
    <mergeCell ref="B53:J53"/>
    <mergeCell ref="B58:J58"/>
    <mergeCell ref="A59:A60"/>
    <mergeCell ref="B59:B60"/>
    <mergeCell ref="A65:A66"/>
    <mergeCell ref="B65:B66"/>
    <mergeCell ref="B68:J68"/>
    <mergeCell ref="B87:J87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74" firstPageNumber="19" fitToHeight="0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D136"/>
  <sheetViews>
    <sheetView tabSelected="1" showRuler="0" view="pageBreakPreview" zoomScale="80" zoomScaleNormal="79" zoomScaleSheetLayoutView="80" zoomScalePageLayoutView="70" workbookViewId="0">
      <pane ySplit="7" topLeftCell="A88" activePane="bottomLeft" state="frozen"/>
      <selection pane="bottomLeft" activeCell="F91" sqref="F91"/>
    </sheetView>
  </sheetViews>
  <sheetFormatPr defaultColWidth="8.7109375" defaultRowHeight="12.75" outlineLevelRow="1" x14ac:dyDescent="0.2"/>
  <cols>
    <col min="1" max="1" width="11" style="252" customWidth="1"/>
    <col min="2" max="2" width="26.28515625" style="53" customWidth="1"/>
    <col min="3" max="3" width="11.85546875" style="53" customWidth="1"/>
    <col min="4" max="4" width="10.28515625" style="253" customWidth="1"/>
    <col min="5" max="5" width="13.5703125" style="254" customWidth="1"/>
    <col min="6" max="6" width="13.7109375" style="254" customWidth="1"/>
    <col min="7" max="7" width="11.140625" style="254" customWidth="1"/>
    <col min="8" max="8" width="13.28515625" style="254" customWidth="1"/>
    <col min="9" max="9" width="14.28515625" style="51" customWidth="1"/>
    <col min="10" max="10" width="10.85546875" style="61" customWidth="1"/>
    <col min="11" max="11" width="11.85546875" style="61" customWidth="1"/>
    <col min="12" max="12" width="14.140625" style="257" customWidth="1"/>
    <col min="13" max="13" width="10.85546875" style="61" customWidth="1"/>
    <col min="14" max="14" width="11.28515625" style="61" customWidth="1"/>
    <col min="15" max="15" width="13.42578125" style="257" customWidth="1"/>
    <col min="16" max="16" width="11.140625" style="61" customWidth="1"/>
    <col min="17" max="17" width="13.85546875" style="61" customWidth="1"/>
    <col min="18" max="18" width="15.28515625" style="257" customWidth="1"/>
    <col min="19" max="19" width="10.85546875" style="61" customWidth="1"/>
    <col min="20" max="20" width="13.7109375" style="61" customWidth="1"/>
    <col min="21" max="21" width="14.28515625" style="53" bestFit="1" customWidth="1"/>
    <col min="22" max="22" width="14.7109375" style="53" customWidth="1"/>
    <col min="23" max="23" width="10.85546875" style="53" bestFit="1" customWidth="1"/>
    <col min="24" max="16384" width="8.7109375" style="53"/>
  </cols>
  <sheetData>
    <row r="1" spans="1:30" ht="84.75" customHeight="1" x14ac:dyDescent="0.2">
      <c r="A1" s="151"/>
      <c r="B1" s="152"/>
      <c r="C1" s="152"/>
      <c r="D1" s="171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317" t="s">
        <v>415</v>
      </c>
      <c r="S1" s="317"/>
      <c r="T1" s="317"/>
      <c r="U1" s="63"/>
    </row>
    <row r="2" spans="1:30" ht="105" customHeight="1" x14ac:dyDescent="0.2">
      <c r="A2" s="151"/>
      <c r="B2" s="152"/>
      <c r="C2" s="152"/>
      <c r="D2" s="171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366" t="s">
        <v>426</v>
      </c>
      <c r="S2" s="366"/>
      <c r="T2" s="366"/>
    </row>
    <row r="3" spans="1:30" ht="74.25" customHeight="1" x14ac:dyDescent="0.3">
      <c r="A3" s="373" t="s">
        <v>329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</row>
    <row r="4" spans="1:30" s="172" customFormat="1" ht="15.6" customHeight="1" x14ac:dyDescent="0.2">
      <c r="A4" s="375" t="s">
        <v>130</v>
      </c>
      <c r="B4" s="376" t="s">
        <v>0</v>
      </c>
      <c r="C4" s="377" t="s">
        <v>225</v>
      </c>
      <c r="D4" s="377" t="s">
        <v>224</v>
      </c>
      <c r="E4" s="377" t="s">
        <v>302</v>
      </c>
      <c r="F4" s="363" t="s">
        <v>9</v>
      </c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</row>
    <row r="5" spans="1:30" s="69" customFormat="1" ht="27.4" customHeight="1" x14ac:dyDescent="0.2">
      <c r="A5" s="375"/>
      <c r="B5" s="376"/>
      <c r="C5" s="377"/>
      <c r="D5" s="377"/>
      <c r="E5" s="377"/>
      <c r="F5" s="378" t="s">
        <v>226</v>
      </c>
      <c r="G5" s="378"/>
      <c r="H5" s="378"/>
      <c r="I5" s="378" t="s">
        <v>227</v>
      </c>
      <c r="J5" s="378"/>
      <c r="K5" s="378"/>
      <c r="L5" s="378" t="s">
        <v>228</v>
      </c>
      <c r="M5" s="378"/>
      <c r="N5" s="378"/>
      <c r="O5" s="378" t="s">
        <v>229</v>
      </c>
      <c r="P5" s="378"/>
      <c r="Q5" s="378"/>
      <c r="R5" s="378" t="s">
        <v>230</v>
      </c>
      <c r="S5" s="378"/>
      <c r="T5" s="378"/>
    </row>
    <row r="6" spans="1:30" s="69" customFormat="1" ht="64.150000000000006" customHeight="1" x14ac:dyDescent="0.2">
      <c r="A6" s="375"/>
      <c r="B6" s="376"/>
      <c r="C6" s="377"/>
      <c r="D6" s="377"/>
      <c r="E6" s="377"/>
      <c r="F6" s="173" t="s">
        <v>231</v>
      </c>
      <c r="G6" s="284" t="s">
        <v>38</v>
      </c>
      <c r="H6" s="284" t="s">
        <v>39</v>
      </c>
      <c r="I6" s="173" t="s">
        <v>231</v>
      </c>
      <c r="J6" s="284" t="s">
        <v>38</v>
      </c>
      <c r="K6" s="284" t="s">
        <v>39</v>
      </c>
      <c r="L6" s="173" t="s">
        <v>231</v>
      </c>
      <c r="M6" s="284" t="s">
        <v>38</v>
      </c>
      <c r="N6" s="284" t="s">
        <v>39</v>
      </c>
      <c r="O6" s="173" t="s">
        <v>231</v>
      </c>
      <c r="P6" s="284" t="s">
        <v>38</v>
      </c>
      <c r="Q6" s="284" t="s">
        <v>39</v>
      </c>
      <c r="R6" s="173" t="s">
        <v>231</v>
      </c>
      <c r="S6" s="284" t="s">
        <v>38</v>
      </c>
      <c r="T6" s="284" t="s">
        <v>39</v>
      </c>
    </row>
    <row r="7" spans="1:30" ht="22.35" customHeight="1" x14ac:dyDescent="0.2">
      <c r="A7" s="283">
        <v>1</v>
      </c>
      <c r="B7" s="174">
        <v>2</v>
      </c>
      <c r="C7" s="174">
        <v>3</v>
      </c>
      <c r="D7" s="283">
        <v>4</v>
      </c>
      <c r="E7" s="283">
        <v>5</v>
      </c>
      <c r="F7" s="283">
        <v>6</v>
      </c>
      <c r="G7" s="283">
        <v>7</v>
      </c>
      <c r="H7" s="283">
        <v>8</v>
      </c>
      <c r="I7" s="283">
        <v>9</v>
      </c>
      <c r="J7" s="175">
        <v>10</v>
      </c>
      <c r="K7" s="175">
        <v>11</v>
      </c>
      <c r="L7" s="175">
        <v>12</v>
      </c>
      <c r="M7" s="175">
        <v>13</v>
      </c>
      <c r="N7" s="175">
        <v>14</v>
      </c>
      <c r="O7" s="175">
        <v>15</v>
      </c>
      <c r="P7" s="175">
        <v>16</v>
      </c>
      <c r="Q7" s="175">
        <v>17</v>
      </c>
      <c r="R7" s="175">
        <v>18</v>
      </c>
      <c r="S7" s="175">
        <v>19</v>
      </c>
      <c r="T7" s="175">
        <v>20</v>
      </c>
    </row>
    <row r="8" spans="1:30" ht="56.25" customHeight="1" x14ac:dyDescent="0.2">
      <c r="A8" s="104" t="s">
        <v>2</v>
      </c>
      <c r="B8" s="298" t="s">
        <v>330</v>
      </c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  <c r="AA8" s="299"/>
      <c r="AB8" s="299"/>
      <c r="AC8" s="299"/>
      <c r="AD8" s="300"/>
    </row>
    <row r="9" spans="1:30" s="51" customFormat="1" ht="126.75" customHeight="1" x14ac:dyDescent="0.2">
      <c r="A9" s="176" t="s">
        <v>5</v>
      </c>
      <c r="B9" s="177" t="s">
        <v>233</v>
      </c>
      <c r="C9" s="178"/>
      <c r="D9" s="179"/>
      <c r="E9" s="180">
        <f t="shared" ref="E9:E26" si="0">F9+I9+L9+O9+R9</f>
        <v>38060</v>
      </c>
      <c r="F9" s="180">
        <f t="shared" ref="F9:F22" si="1">G9+H9</f>
        <v>663</v>
      </c>
      <c r="G9" s="180">
        <f>SUM(G10:G14)</f>
        <v>663</v>
      </c>
      <c r="H9" s="180">
        <f>SUM(H10:H14)</f>
        <v>0</v>
      </c>
      <c r="I9" s="180">
        <f>J9+K9</f>
        <v>0</v>
      </c>
      <c r="J9" s="180">
        <f>SUM(J10:J13)</f>
        <v>0</v>
      </c>
      <c r="K9" s="180">
        <f>SUM(K10:K13)</f>
        <v>0</v>
      </c>
      <c r="L9" s="180">
        <f>M9+N9</f>
        <v>0</v>
      </c>
      <c r="M9" s="180">
        <f>SUM(M10:M13)</f>
        <v>0</v>
      </c>
      <c r="N9" s="180">
        <f>SUM(N10:N13)</f>
        <v>0</v>
      </c>
      <c r="O9" s="180">
        <f>P9+Q9</f>
        <v>37397</v>
      </c>
      <c r="P9" s="180">
        <f>SUM(P10:P13)</f>
        <v>37397</v>
      </c>
      <c r="Q9" s="180">
        <f>SUM(Q10:Q13)</f>
        <v>0</v>
      </c>
      <c r="R9" s="180">
        <f>S9+T9</f>
        <v>0</v>
      </c>
      <c r="S9" s="180">
        <f>SUM(S10:S13)</f>
        <v>0</v>
      </c>
      <c r="T9" s="180">
        <f>SUM(T10:T13)</f>
        <v>0</v>
      </c>
    </row>
    <row r="10" spans="1:30" s="51" customFormat="1" ht="142.5" customHeight="1" outlineLevel="1" x14ac:dyDescent="0.2">
      <c r="A10" s="181" t="s">
        <v>331</v>
      </c>
      <c r="B10" s="182" t="s">
        <v>234</v>
      </c>
      <c r="C10" s="183"/>
      <c r="D10" s="158"/>
      <c r="E10" s="24">
        <f t="shared" si="0"/>
        <v>8077</v>
      </c>
      <c r="F10" s="24">
        <f t="shared" si="1"/>
        <v>0</v>
      </c>
      <c r="G10" s="24"/>
      <c r="H10" s="24">
        <v>0</v>
      </c>
      <c r="I10" s="24">
        <f>SUM(J10:K10)</f>
        <v>0</v>
      </c>
      <c r="J10" s="184">
        <v>0</v>
      </c>
      <c r="K10" s="184">
        <f>7196-7196</f>
        <v>0</v>
      </c>
      <c r="L10" s="24">
        <f>+M10+N10</f>
        <v>0</v>
      </c>
      <c r="M10" s="184">
        <v>0</v>
      </c>
      <c r="N10" s="184">
        <f>6622-6622</f>
        <v>0</v>
      </c>
      <c r="O10" s="24">
        <f>P10+Q10</f>
        <v>8077</v>
      </c>
      <c r="P10" s="184">
        <v>8077</v>
      </c>
      <c r="Q10" s="184">
        <f>13606-13606</f>
        <v>0</v>
      </c>
      <c r="R10" s="24">
        <f>S10+T10</f>
        <v>0</v>
      </c>
      <c r="S10" s="184">
        <v>0</v>
      </c>
      <c r="T10" s="184">
        <v>0</v>
      </c>
      <c r="U10" s="24">
        <f>7180*1.04*1.04*1.04</f>
        <v>8076.5235200000006</v>
      </c>
    </row>
    <row r="11" spans="1:30" s="51" customFormat="1" ht="117" customHeight="1" outlineLevel="1" x14ac:dyDescent="0.2">
      <c r="A11" s="181" t="s">
        <v>332</v>
      </c>
      <c r="B11" s="182" t="s">
        <v>237</v>
      </c>
      <c r="C11" s="185"/>
      <c r="D11" s="42"/>
      <c r="E11" s="24">
        <f t="shared" si="0"/>
        <v>8750</v>
      </c>
      <c r="F11" s="24">
        <f t="shared" si="1"/>
        <v>0</v>
      </c>
      <c r="G11" s="24"/>
      <c r="H11" s="24">
        <v>0</v>
      </c>
      <c r="I11" s="24">
        <f>SUM(J11:K11)</f>
        <v>0</v>
      </c>
      <c r="J11" s="24">
        <v>0</v>
      </c>
      <c r="K11" s="24">
        <v>0</v>
      </c>
      <c r="L11" s="24">
        <f t="shared" ref="L11" si="2">M11+N11</f>
        <v>0</v>
      </c>
      <c r="M11" s="24">
        <v>0</v>
      </c>
      <c r="N11" s="24">
        <v>0</v>
      </c>
      <c r="O11" s="24">
        <f t="shared" ref="O11" si="3">P11+Q11</f>
        <v>8750</v>
      </c>
      <c r="P11" s="24">
        <v>8750</v>
      </c>
      <c r="Q11" s="24">
        <v>0</v>
      </c>
      <c r="R11" s="24">
        <f t="shared" ref="R11" si="4">S11+T11</f>
        <v>0</v>
      </c>
      <c r="S11" s="24">
        <v>0</v>
      </c>
      <c r="T11" s="24">
        <v>0</v>
      </c>
      <c r="U11" s="186">
        <f>7779*1.04*1.04*1.04</f>
        <v>8750.3170559999999</v>
      </c>
    </row>
    <row r="12" spans="1:30" s="51" customFormat="1" ht="111" customHeight="1" outlineLevel="1" x14ac:dyDescent="0.2">
      <c r="A12" s="181" t="s">
        <v>333</v>
      </c>
      <c r="B12" s="182" t="s">
        <v>235</v>
      </c>
      <c r="C12" s="183"/>
      <c r="D12" s="158"/>
      <c r="E12" s="24">
        <f t="shared" si="0"/>
        <v>14191</v>
      </c>
      <c r="F12" s="24">
        <f t="shared" si="1"/>
        <v>0</v>
      </c>
      <c r="G12" s="24">
        <v>0</v>
      </c>
      <c r="H12" s="24">
        <v>0</v>
      </c>
      <c r="I12" s="24">
        <f>SUM(J12:K12)</f>
        <v>0</v>
      </c>
      <c r="J12" s="184">
        <v>0</v>
      </c>
      <c r="K12" s="184">
        <v>0</v>
      </c>
      <c r="L12" s="24">
        <f>M12+N12</f>
        <v>0</v>
      </c>
      <c r="M12" s="184"/>
      <c r="N12" s="184">
        <v>0</v>
      </c>
      <c r="O12" s="24">
        <f>P12+Q12</f>
        <v>14191</v>
      </c>
      <c r="P12" s="184">
        <v>14191</v>
      </c>
      <c r="Q12" s="184">
        <f>1954-71-52-1831</f>
        <v>0</v>
      </c>
      <c r="R12" s="24">
        <f>S12+T12</f>
        <v>0</v>
      </c>
      <c r="S12" s="184">
        <v>0</v>
      </c>
      <c r="T12" s="184">
        <v>0</v>
      </c>
      <c r="U12" s="184">
        <f>13645*1.04</f>
        <v>14190.800000000001</v>
      </c>
    </row>
    <row r="13" spans="1:30" s="51" customFormat="1" ht="129" customHeight="1" outlineLevel="1" x14ac:dyDescent="0.2">
      <c r="A13" s="181" t="s">
        <v>334</v>
      </c>
      <c r="B13" s="182" t="s">
        <v>236</v>
      </c>
      <c r="C13" s="183"/>
      <c r="D13" s="158"/>
      <c r="E13" s="24">
        <f t="shared" si="0"/>
        <v>6379</v>
      </c>
      <c r="F13" s="24">
        <f t="shared" si="1"/>
        <v>0</v>
      </c>
      <c r="G13" s="24">
        <v>0</v>
      </c>
      <c r="H13" s="24">
        <v>0</v>
      </c>
      <c r="I13" s="24">
        <f>SUM(J13:K13)</f>
        <v>0</v>
      </c>
      <c r="J13" s="184">
        <v>0</v>
      </c>
      <c r="K13" s="184">
        <v>0</v>
      </c>
      <c r="L13" s="24">
        <f>M13+N13</f>
        <v>0</v>
      </c>
      <c r="M13" s="184"/>
      <c r="N13" s="184">
        <v>0</v>
      </c>
      <c r="O13" s="24">
        <f>P13+Q13</f>
        <v>6379</v>
      </c>
      <c r="P13" s="184">
        <v>6379</v>
      </c>
      <c r="Q13" s="184">
        <v>0</v>
      </c>
      <c r="R13" s="24">
        <f>S13+T13</f>
        <v>0</v>
      </c>
      <c r="S13" s="184">
        <v>0</v>
      </c>
      <c r="T13" s="184">
        <v>0</v>
      </c>
      <c r="U13" s="51">
        <f>5671*1.04*1.04*1.04</f>
        <v>6379.103744</v>
      </c>
    </row>
    <row r="14" spans="1:30" s="51" customFormat="1" ht="92.25" customHeight="1" outlineLevel="1" x14ac:dyDescent="0.2">
      <c r="A14" s="181" t="s">
        <v>432</v>
      </c>
      <c r="B14" s="182" t="s">
        <v>433</v>
      </c>
      <c r="C14" s="183"/>
      <c r="D14" s="158"/>
      <c r="E14" s="24">
        <f t="shared" si="0"/>
        <v>663</v>
      </c>
      <c r="F14" s="24">
        <f t="shared" si="1"/>
        <v>663</v>
      </c>
      <c r="G14" s="24">
        <v>663</v>
      </c>
      <c r="H14" s="24">
        <v>0</v>
      </c>
      <c r="I14" s="24">
        <f>SUM(J14:K14)</f>
        <v>0</v>
      </c>
      <c r="J14" s="184">
        <v>0</v>
      </c>
      <c r="K14" s="184">
        <v>0</v>
      </c>
      <c r="L14" s="24">
        <f>M14+N14</f>
        <v>0</v>
      </c>
      <c r="M14" s="184"/>
      <c r="N14" s="184">
        <v>0</v>
      </c>
      <c r="O14" s="24">
        <f>P14+Q14</f>
        <v>0</v>
      </c>
      <c r="P14" s="184">
        <v>0</v>
      </c>
      <c r="Q14" s="184">
        <v>0</v>
      </c>
      <c r="R14" s="24">
        <f>S14+T14</f>
        <v>0</v>
      </c>
      <c r="S14" s="184">
        <v>0</v>
      </c>
      <c r="T14" s="184">
        <v>0</v>
      </c>
    </row>
    <row r="15" spans="1:30" s="51" customFormat="1" ht="105" customHeight="1" x14ac:dyDescent="0.2">
      <c r="A15" s="187" t="s">
        <v>16</v>
      </c>
      <c r="B15" s="178" t="s">
        <v>238</v>
      </c>
      <c r="C15" s="178"/>
      <c r="D15" s="179"/>
      <c r="E15" s="180">
        <f t="shared" si="0"/>
        <v>3831</v>
      </c>
      <c r="F15" s="180">
        <f t="shared" si="1"/>
        <v>0</v>
      </c>
      <c r="G15" s="180">
        <f>G16</f>
        <v>0</v>
      </c>
      <c r="H15" s="180">
        <f>H16</f>
        <v>0</v>
      </c>
      <c r="I15" s="180">
        <f>J15+K15</f>
        <v>0</v>
      </c>
      <c r="J15" s="180">
        <f>J16</f>
        <v>0</v>
      </c>
      <c r="K15" s="180">
        <f>K16</f>
        <v>0</v>
      </c>
      <c r="L15" s="180">
        <f>M15+N15</f>
        <v>0</v>
      </c>
      <c r="M15" s="180">
        <f>M16</f>
        <v>0</v>
      </c>
      <c r="N15" s="180">
        <f>N16</f>
        <v>0</v>
      </c>
      <c r="O15" s="180">
        <f>P15+Q15</f>
        <v>3831</v>
      </c>
      <c r="P15" s="180">
        <f>P16</f>
        <v>3831</v>
      </c>
      <c r="Q15" s="180">
        <f>Q16</f>
        <v>0</v>
      </c>
      <c r="R15" s="180">
        <f>S15+T15</f>
        <v>0</v>
      </c>
      <c r="S15" s="180">
        <f>S16</f>
        <v>0</v>
      </c>
      <c r="T15" s="180">
        <f>T16</f>
        <v>0</v>
      </c>
    </row>
    <row r="16" spans="1:30" s="51" customFormat="1" ht="86.25" customHeight="1" x14ac:dyDescent="0.2">
      <c r="A16" s="181" t="s">
        <v>335</v>
      </c>
      <c r="B16" s="97" t="s">
        <v>239</v>
      </c>
      <c r="C16" s="41"/>
      <c r="D16" s="42"/>
      <c r="E16" s="24">
        <f t="shared" si="0"/>
        <v>3831</v>
      </c>
      <c r="F16" s="24">
        <f t="shared" si="1"/>
        <v>0</v>
      </c>
      <c r="G16" s="24">
        <v>0</v>
      </c>
      <c r="H16" s="24">
        <v>0</v>
      </c>
      <c r="I16" s="24">
        <f>SUM(J16:K16)</f>
        <v>0</v>
      </c>
      <c r="J16" s="24">
        <v>0</v>
      </c>
      <c r="K16" s="24">
        <v>0</v>
      </c>
      <c r="L16" s="24">
        <f t="shared" ref="L16" si="5">M16+N16</f>
        <v>0</v>
      </c>
      <c r="M16" s="24">
        <v>0</v>
      </c>
      <c r="N16" s="24">
        <v>0</v>
      </c>
      <c r="O16" s="24">
        <f t="shared" ref="O16:O17" si="6">P16+Q16</f>
        <v>3831</v>
      </c>
      <c r="P16" s="24">
        <v>3831</v>
      </c>
      <c r="Q16" s="24">
        <v>0</v>
      </c>
      <c r="R16" s="24">
        <f t="shared" ref="R16:R17" si="7">S16+T16</f>
        <v>0</v>
      </c>
      <c r="S16" s="24">
        <v>0</v>
      </c>
      <c r="T16" s="24">
        <v>0</v>
      </c>
      <c r="U16" s="24">
        <f>3406*1.04*1.04*1.04</f>
        <v>3831.2867840000004</v>
      </c>
    </row>
    <row r="17" spans="1:23" s="51" customFormat="1" ht="172.5" customHeight="1" x14ac:dyDescent="0.2">
      <c r="A17" s="181" t="s">
        <v>552</v>
      </c>
      <c r="B17" s="28" t="s">
        <v>551</v>
      </c>
      <c r="C17" s="41"/>
      <c r="D17" s="42"/>
      <c r="E17" s="24">
        <f t="shared" si="0"/>
        <v>335</v>
      </c>
      <c r="F17" s="24">
        <f t="shared" si="1"/>
        <v>335</v>
      </c>
      <c r="G17" s="24">
        <v>335</v>
      </c>
      <c r="H17" s="24">
        <v>0</v>
      </c>
      <c r="I17" s="24">
        <f>SUM(J17:K17)</f>
        <v>0</v>
      </c>
      <c r="J17" s="24">
        <v>0</v>
      </c>
      <c r="K17" s="24">
        <v>0</v>
      </c>
      <c r="L17" s="24">
        <f t="shared" ref="L17" si="8">M17+N17</f>
        <v>0</v>
      </c>
      <c r="M17" s="24">
        <v>0</v>
      </c>
      <c r="N17" s="24">
        <v>0</v>
      </c>
      <c r="O17" s="24">
        <f t="shared" si="6"/>
        <v>0</v>
      </c>
      <c r="P17" s="24">
        <v>0</v>
      </c>
      <c r="Q17" s="24">
        <v>0</v>
      </c>
      <c r="R17" s="24">
        <f t="shared" si="7"/>
        <v>0</v>
      </c>
      <c r="S17" s="24">
        <v>0</v>
      </c>
      <c r="T17" s="24">
        <v>0</v>
      </c>
      <c r="U17" s="188"/>
    </row>
    <row r="18" spans="1:23" s="51" customFormat="1" ht="86.25" customHeight="1" x14ac:dyDescent="0.2">
      <c r="A18" s="187" t="s">
        <v>292</v>
      </c>
      <c r="B18" s="189" t="s">
        <v>299</v>
      </c>
      <c r="C18" s="41"/>
      <c r="D18" s="42"/>
      <c r="E18" s="180">
        <f t="shared" si="0"/>
        <v>49536</v>
      </c>
      <c r="F18" s="180">
        <f t="shared" si="1"/>
        <v>0</v>
      </c>
      <c r="G18" s="180">
        <f>G19+G20+G21</f>
        <v>0</v>
      </c>
      <c r="H18" s="180">
        <f>H19+H20+H21+H22</f>
        <v>0</v>
      </c>
      <c r="I18" s="180">
        <f>J18+K18</f>
        <v>15687</v>
      </c>
      <c r="J18" s="180">
        <f>J19+J20+J21</f>
        <v>15687</v>
      </c>
      <c r="K18" s="180">
        <f>K19</f>
        <v>0</v>
      </c>
      <c r="L18" s="180">
        <f>M18+N18</f>
        <v>33849</v>
      </c>
      <c r="M18" s="180">
        <f>M19+M20+M21</f>
        <v>33849</v>
      </c>
      <c r="N18" s="180">
        <f>N19</f>
        <v>0</v>
      </c>
      <c r="O18" s="180">
        <f>P18+Q18</f>
        <v>0</v>
      </c>
      <c r="P18" s="180">
        <f>P19</f>
        <v>0</v>
      </c>
      <c r="Q18" s="180">
        <f>Q19</f>
        <v>0</v>
      </c>
      <c r="R18" s="180">
        <f>S18+T18</f>
        <v>0</v>
      </c>
      <c r="S18" s="180">
        <f>S19</f>
        <v>0</v>
      </c>
      <c r="T18" s="180">
        <f>T19</f>
        <v>0</v>
      </c>
    </row>
    <row r="19" spans="1:23" s="51" customFormat="1" ht="86.25" customHeight="1" x14ac:dyDescent="0.2">
      <c r="A19" s="181" t="s">
        <v>336</v>
      </c>
      <c r="B19" s="97" t="s">
        <v>293</v>
      </c>
      <c r="C19" s="41"/>
      <c r="D19" s="42"/>
      <c r="E19" s="24">
        <f t="shared" si="0"/>
        <v>27774</v>
      </c>
      <c r="F19" s="24">
        <f t="shared" si="1"/>
        <v>0</v>
      </c>
      <c r="G19" s="24">
        <v>0</v>
      </c>
      <c r="H19" s="24">
        <v>0</v>
      </c>
      <c r="I19" s="24">
        <f>SUM(J19:K19)</f>
        <v>0</v>
      </c>
      <c r="J19" s="24">
        <v>0</v>
      </c>
      <c r="K19" s="24">
        <v>0</v>
      </c>
      <c r="L19" s="24">
        <f t="shared" ref="L19:L20" si="9">M19+N19</f>
        <v>27774</v>
      </c>
      <c r="M19" s="24">
        <v>27774</v>
      </c>
      <c r="N19" s="24">
        <v>0</v>
      </c>
      <c r="O19" s="24">
        <f t="shared" ref="O19" si="10">P19+Q19</f>
        <v>0</v>
      </c>
      <c r="P19" s="24">
        <v>0</v>
      </c>
      <c r="Q19" s="24">
        <v>0</v>
      </c>
      <c r="R19" s="24">
        <f t="shared" ref="R19" si="11">S19+T19</f>
        <v>0</v>
      </c>
      <c r="S19" s="24">
        <v>0</v>
      </c>
      <c r="T19" s="24">
        <v>0</v>
      </c>
    </row>
    <row r="20" spans="1:23" s="51" customFormat="1" ht="86.25" customHeight="1" x14ac:dyDescent="0.2">
      <c r="A20" s="181" t="s">
        <v>391</v>
      </c>
      <c r="B20" s="97" t="s">
        <v>293</v>
      </c>
      <c r="C20" s="41"/>
      <c r="D20" s="42"/>
      <c r="E20" s="24">
        <f t="shared" si="0"/>
        <v>6075</v>
      </c>
      <c r="F20" s="24">
        <f t="shared" si="1"/>
        <v>0</v>
      </c>
      <c r="G20" s="24"/>
      <c r="H20" s="24"/>
      <c r="I20" s="24"/>
      <c r="J20" s="24"/>
      <c r="K20" s="24"/>
      <c r="L20" s="24">
        <f t="shared" si="9"/>
        <v>6075</v>
      </c>
      <c r="M20" s="24">
        <v>6075</v>
      </c>
      <c r="N20" s="24"/>
      <c r="O20" s="24"/>
      <c r="P20" s="24"/>
      <c r="Q20" s="24"/>
      <c r="R20" s="24"/>
      <c r="S20" s="24"/>
      <c r="T20" s="24"/>
    </row>
    <row r="21" spans="1:23" s="51" customFormat="1" ht="80.25" customHeight="1" x14ac:dyDescent="0.2">
      <c r="A21" s="181" t="s">
        <v>392</v>
      </c>
      <c r="B21" s="97" t="s">
        <v>293</v>
      </c>
      <c r="C21" s="41"/>
      <c r="D21" s="42"/>
      <c r="E21" s="24">
        <f t="shared" si="0"/>
        <v>15687</v>
      </c>
      <c r="F21" s="24">
        <f t="shared" si="1"/>
        <v>0</v>
      </c>
      <c r="G21" s="24"/>
      <c r="H21" s="24"/>
      <c r="I21" s="24">
        <f>J21</f>
        <v>15687</v>
      </c>
      <c r="J21" s="24">
        <v>15687</v>
      </c>
      <c r="K21" s="24"/>
      <c r="L21" s="24"/>
      <c r="M21" s="24"/>
      <c r="N21" s="24"/>
      <c r="O21" s="24"/>
      <c r="P21" s="24"/>
      <c r="Q21" s="24"/>
      <c r="R21" s="24"/>
      <c r="S21" s="24"/>
      <c r="T21" s="24"/>
    </row>
    <row r="22" spans="1:23" s="51" customFormat="1" ht="154.5" customHeight="1" x14ac:dyDescent="0.2">
      <c r="A22" s="181" t="s">
        <v>522</v>
      </c>
      <c r="B22" s="190" t="s">
        <v>521</v>
      </c>
      <c r="C22" s="41"/>
      <c r="D22" s="42"/>
      <c r="E22" s="30">
        <f t="shared" si="0"/>
        <v>6900</v>
      </c>
      <c r="F22" s="30">
        <f t="shared" si="1"/>
        <v>6900</v>
      </c>
      <c r="G22" s="24">
        <v>6900</v>
      </c>
      <c r="H22" s="24">
        <v>0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</row>
    <row r="23" spans="1:23" s="51" customFormat="1" ht="84" customHeight="1" x14ac:dyDescent="0.2">
      <c r="A23" s="187" t="s">
        <v>393</v>
      </c>
      <c r="B23" s="189" t="s">
        <v>408</v>
      </c>
      <c r="C23" s="41"/>
      <c r="D23" s="42"/>
      <c r="E23" s="30">
        <f t="shared" si="0"/>
        <v>4700</v>
      </c>
      <c r="F23" s="30">
        <f>F24+F25+F26</f>
        <v>4700</v>
      </c>
      <c r="G23" s="30">
        <f>G24+G25+G26</f>
        <v>4700</v>
      </c>
      <c r="H23" s="30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</row>
    <row r="24" spans="1:23" s="51" customFormat="1" ht="84" customHeight="1" x14ac:dyDescent="0.2">
      <c r="A24" s="181" t="s">
        <v>395</v>
      </c>
      <c r="B24" s="97" t="s">
        <v>396</v>
      </c>
      <c r="C24" s="41"/>
      <c r="D24" s="42"/>
      <c r="E24" s="24">
        <f t="shared" si="0"/>
        <v>0</v>
      </c>
      <c r="F24" s="24">
        <f>G24</f>
        <v>0</v>
      </c>
      <c r="G24" s="24">
        <f>5866-5866</f>
        <v>0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3" s="51" customFormat="1" ht="80.25" customHeight="1" x14ac:dyDescent="0.2">
      <c r="A25" s="181" t="s">
        <v>397</v>
      </c>
      <c r="B25" s="97" t="s">
        <v>409</v>
      </c>
      <c r="C25" s="41"/>
      <c r="D25" s="42"/>
      <c r="E25" s="24">
        <f t="shared" si="0"/>
        <v>0</v>
      </c>
      <c r="F25" s="24">
        <f>G25</f>
        <v>0</v>
      </c>
      <c r="G25" s="24">
        <f>5794-5794</f>
        <v>0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</row>
    <row r="26" spans="1:23" s="51" customFormat="1" ht="113.25" customHeight="1" x14ac:dyDescent="0.2">
      <c r="A26" s="181" t="s">
        <v>430</v>
      </c>
      <c r="B26" s="97" t="s">
        <v>431</v>
      </c>
      <c r="C26" s="41"/>
      <c r="D26" s="42"/>
      <c r="E26" s="24">
        <f t="shared" si="0"/>
        <v>4700</v>
      </c>
      <c r="F26" s="24">
        <f>G26</f>
        <v>4700</v>
      </c>
      <c r="G26" s="24">
        <f>0+4700</f>
        <v>4700</v>
      </c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</row>
    <row r="27" spans="1:23" ht="53.25" customHeight="1" x14ac:dyDescent="0.2">
      <c r="A27" s="104" t="s">
        <v>208</v>
      </c>
      <c r="B27" s="298" t="s">
        <v>322</v>
      </c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</row>
    <row r="28" spans="1:23" ht="78" customHeight="1" x14ac:dyDescent="0.2">
      <c r="A28" s="191" t="s">
        <v>209</v>
      </c>
      <c r="B28" s="177" t="s">
        <v>240</v>
      </c>
      <c r="C28" s="192"/>
      <c r="D28" s="193">
        <f>+SUM(D29:D34)</f>
        <v>4.1631800000000005</v>
      </c>
      <c r="E28" s="180">
        <f>SUM(E29:E34)</f>
        <v>1055420</v>
      </c>
      <c r="F28" s="180">
        <f>G28+H28</f>
        <v>3211</v>
      </c>
      <c r="G28" s="180">
        <f>SUM(G29:G34)</f>
        <v>3211</v>
      </c>
      <c r="H28" s="180">
        <f>SUM(H29:H34)</f>
        <v>0</v>
      </c>
      <c r="I28" s="180">
        <f>J28+K28</f>
        <v>0</v>
      </c>
      <c r="J28" s="180">
        <f>SUM(J29:J34)</f>
        <v>0</v>
      </c>
      <c r="K28" s="180">
        <f>SUM(K29:K34)</f>
        <v>0</v>
      </c>
      <c r="L28" s="180">
        <f t="shared" ref="L28:L33" si="12">M28+N28</f>
        <v>0</v>
      </c>
      <c r="M28" s="180">
        <f>SUM(M29:M34)</f>
        <v>0</v>
      </c>
      <c r="N28" s="180">
        <f>SUM(N29:N34)</f>
        <v>0</v>
      </c>
      <c r="O28" s="180">
        <f>P28+Q28</f>
        <v>536947</v>
      </c>
      <c r="P28" s="180">
        <f>SUM(P29:P34)</f>
        <v>30950</v>
      </c>
      <c r="Q28" s="180">
        <f>SUM(Q29:Q34)</f>
        <v>505997</v>
      </c>
      <c r="R28" s="180">
        <f>S28+T28</f>
        <v>515262</v>
      </c>
      <c r="S28" s="180">
        <f>SUM(S29:S34)</f>
        <v>37099</v>
      </c>
      <c r="T28" s="180">
        <f>SUM(T29:T34)</f>
        <v>478163</v>
      </c>
    </row>
    <row r="29" spans="1:23" ht="110.25" customHeight="1" x14ac:dyDescent="0.2">
      <c r="A29" s="194" t="s">
        <v>337</v>
      </c>
      <c r="B29" s="195" t="s">
        <v>241</v>
      </c>
      <c r="C29" s="196"/>
      <c r="D29" s="158">
        <v>0.56999999999999995</v>
      </c>
      <c r="E29" s="24">
        <f t="shared" ref="E29:E34" si="13">F29+I29+L29+O29+R29</f>
        <v>161468</v>
      </c>
      <c r="F29" s="24">
        <v>0</v>
      </c>
      <c r="G29" s="24">
        <v>0</v>
      </c>
      <c r="H29" s="24">
        <v>0</v>
      </c>
      <c r="I29" s="24">
        <f>SUM(J29:K29)</f>
        <v>0</v>
      </c>
      <c r="J29" s="24">
        <v>0</v>
      </c>
      <c r="K29" s="24">
        <v>0</v>
      </c>
      <c r="L29" s="24">
        <f t="shared" si="12"/>
        <v>0</v>
      </c>
      <c r="M29" s="24"/>
      <c r="N29" s="24"/>
      <c r="O29" s="24">
        <f t="shared" ref="O29:O33" si="14">P29+Q29</f>
        <v>161468</v>
      </c>
      <c r="P29" s="24">
        <v>1615</v>
      </c>
      <c r="Q29" s="24">
        <v>159853</v>
      </c>
      <c r="R29" s="24">
        <f t="shared" ref="R29:R33" si="15">S29+T29</f>
        <v>0</v>
      </c>
      <c r="S29" s="24">
        <v>0</v>
      </c>
      <c r="T29" s="24">
        <v>0</v>
      </c>
      <c r="U29" s="24">
        <f>(11179+144078)*1.04</f>
        <v>161467.28</v>
      </c>
      <c r="V29" s="24">
        <f>U29*99/100</f>
        <v>159852.6072</v>
      </c>
      <c r="W29" s="197">
        <f>U29-V29</f>
        <v>1614.6728000000003</v>
      </c>
    </row>
    <row r="30" spans="1:23" s="51" customFormat="1" ht="96.75" customHeight="1" outlineLevel="1" x14ac:dyDescent="0.2">
      <c r="A30" s="194" t="s">
        <v>338</v>
      </c>
      <c r="B30" s="195" t="s">
        <v>242</v>
      </c>
      <c r="C30" s="198"/>
      <c r="D30" s="156">
        <v>8.9730000000000004E-2</v>
      </c>
      <c r="E30" s="24">
        <f t="shared" si="13"/>
        <v>12010</v>
      </c>
      <c r="F30" s="24">
        <v>0</v>
      </c>
      <c r="G30" s="24">
        <v>0</v>
      </c>
      <c r="H30" s="24">
        <v>0</v>
      </c>
      <c r="I30" s="24">
        <f>SUM(J30:K30)</f>
        <v>0</v>
      </c>
      <c r="J30" s="24">
        <v>0</v>
      </c>
      <c r="K30" s="24">
        <v>0</v>
      </c>
      <c r="L30" s="24">
        <f t="shared" si="12"/>
        <v>0</v>
      </c>
      <c r="M30" s="24"/>
      <c r="N30" s="24"/>
      <c r="O30" s="24">
        <f t="shared" si="14"/>
        <v>12010</v>
      </c>
      <c r="P30" s="24">
        <v>12010</v>
      </c>
      <c r="Q30" s="24">
        <v>0</v>
      </c>
      <c r="R30" s="24">
        <f t="shared" si="15"/>
        <v>0</v>
      </c>
      <c r="S30" s="24">
        <v>0</v>
      </c>
      <c r="T30" s="24">
        <v>0</v>
      </c>
      <c r="U30" s="51">
        <f>10676*1.04*1.04*1.04</f>
        <v>12009.048064000002</v>
      </c>
    </row>
    <row r="31" spans="1:23" ht="96.75" customHeight="1" outlineLevel="1" x14ac:dyDescent="0.2">
      <c r="A31" s="194" t="s">
        <v>339</v>
      </c>
      <c r="B31" s="199" t="s">
        <v>243</v>
      </c>
      <c r="C31" s="196"/>
      <c r="D31" s="156">
        <v>0.30409999999999998</v>
      </c>
      <c r="E31" s="24">
        <f t="shared" si="13"/>
        <v>32207</v>
      </c>
      <c r="F31" s="24">
        <v>0</v>
      </c>
      <c r="G31" s="24">
        <v>0</v>
      </c>
      <c r="H31" s="24">
        <v>0</v>
      </c>
      <c r="I31" s="24">
        <f>SUM(J31:K31)</f>
        <v>0</v>
      </c>
      <c r="J31" s="24">
        <v>0</v>
      </c>
      <c r="K31" s="24">
        <v>0</v>
      </c>
      <c r="L31" s="24">
        <f t="shared" si="12"/>
        <v>0</v>
      </c>
      <c r="M31" s="24"/>
      <c r="N31" s="24"/>
      <c r="O31" s="24">
        <f t="shared" si="14"/>
        <v>32207</v>
      </c>
      <c r="P31" s="24">
        <v>322</v>
      </c>
      <c r="Q31" s="24">
        <v>31885</v>
      </c>
      <c r="R31" s="24">
        <f t="shared" si="15"/>
        <v>0</v>
      </c>
      <c r="S31" s="24">
        <v>0</v>
      </c>
      <c r="T31" s="24">
        <v>0</v>
      </c>
      <c r="U31" s="24">
        <f>(2230+28738)*1.04</f>
        <v>32206.720000000001</v>
      </c>
      <c r="V31" s="24">
        <f>U31*99/100</f>
        <v>31884.652800000003</v>
      </c>
      <c r="W31" s="197">
        <f>U31-V31</f>
        <v>322.06719999999768</v>
      </c>
    </row>
    <row r="32" spans="1:23" s="51" customFormat="1" ht="71.25" customHeight="1" outlineLevel="1" x14ac:dyDescent="0.2">
      <c r="A32" s="194" t="s">
        <v>340</v>
      </c>
      <c r="B32" s="195" t="s">
        <v>244</v>
      </c>
      <c r="C32" s="198"/>
      <c r="D32" s="157">
        <v>0.76370000000000005</v>
      </c>
      <c r="E32" s="24">
        <f t="shared" si="13"/>
        <v>110435</v>
      </c>
      <c r="F32" s="24">
        <v>0</v>
      </c>
      <c r="G32" s="24">
        <v>0</v>
      </c>
      <c r="H32" s="24">
        <v>0</v>
      </c>
      <c r="I32" s="24">
        <f>SUM(J32:K32)</f>
        <v>0</v>
      </c>
      <c r="J32" s="24">
        <v>0</v>
      </c>
      <c r="K32" s="24">
        <v>0</v>
      </c>
      <c r="L32" s="24">
        <f t="shared" si="12"/>
        <v>0</v>
      </c>
      <c r="M32" s="24"/>
      <c r="N32" s="24"/>
      <c r="O32" s="24">
        <f t="shared" si="14"/>
        <v>110435</v>
      </c>
      <c r="P32" s="24">
        <v>1104</v>
      </c>
      <c r="Q32" s="24">
        <v>109331</v>
      </c>
      <c r="R32" s="24">
        <f t="shared" si="15"/>
        <v>0</v>
      </c>
      <c r="S32" s="24">
        <v>0</v>
      </c>
      <c r="T32" s="24">
        <v>0</v>
      </c>
      <c r="U32" s="24">
        <f>(7646+98542)*1.04</f>
        <v>110435.52</v>
      </c>
      <c r="V32" s="24">
        <f>U32*99/100</f>
        <v>109331.1648</v>
      </c>
      <c r="W32" s="197">
        <f>U32-V32</f>
        <v>1104.3552000000054</v>
      </c>
    </row>
    <row r="33" spans="1:26" s="51" customFormat="1" ht="84.75" customHeight="1" outlineLevel="1" x14ac:dyDescent="0.2">
      <c r="A33" s="194" t="s">
        <v>341</v>
      </c>
      <c r="B33" s="195" t="s">
        <v>245</v>
      </c>
      <c r="C33" s="198"/>
      <c r="D33" s="157">
        <v>2.4163000000000001</v>
      </c>
      <c r="E33" s="24">
        <f t="shared" si="13"/>
        <v>736089</v>
      </c>
      <c r="F33" s="24">
        <v>0</v>
      </c>
      <c r="G33" s="24">
        <v>0</v>
      </c>
      <c r="H33" s="24">
        <v>0</v>
      </c>
      <c r="I33" s="24">
        <f>SUM(J33:K33)</f>
        <v>0</v>
      </c>
      <c r="J33" s="24">
        <v>0</v>
      </c>
      <c r="K33" s="24">
        <v>0</v>
      </c>
      <c r="L33" s="24">
        <f t="shared" si="12"/>
        <v>0</v>
      </c>
      <c r="M33" s="24">
        <v>0</v>
      </c>
      <c r="N33" s="24">
        <v>0</v>
      </c>
      <c r="O33" s="24">
        <f t="shared" si="14"/>
        <v>220827</v>
      </c>
      <c r="P33" s="24">
        <v>15899</v>
      </c>
      <c r="Q33" s="24">
        <v>204928</v>
      </c>
      <c r="R33" s="24">
        <f t="shared" si="15"/>
        <v>515262</v>
      </c>
      <c r="S33" s="24">
        <v>37099</v>
      </c>
      <c r="T33" s="24">
        <v>478163</v>
      </c>
    </row>
    <row r="34" spans="1:26" s="51" customFormat="1" ht="87" customHeight="1" outlineLevel="1" x14ac:dyDescent="0.2">
      <c r="A34" s="194" t="s">
        <v>410</v>
      </c>
      <c r="B34" s="195" t="s">
        <v>411</v>
      </c>
      <c r="C34" s="198"/>
      <c r="D34" s="156">
        <v>1.9349999999999999E-2</v>
      </c>
      <c r="E34" s="24">
        <f t="shared" si="13"/>
        <v>3211</v>
      </c>
      <c r="F34" s="24">
        <f>G34</f>
        <v>3211</v>
      </c>
      <c r="G34" s="24">
        <v>3211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6" ht="108" customHeight="1" outlineLevel="1" x14ac:dyDescent="0.2">
      <c r="A35" s="191" t="s">
        <v>216</v>
      </c>
      <c r="B35" s="177" t="s">
        <v>303</v>
      </c>
      <c r="C35" s="200"/>
      <c r="D35" s="201"/>
      <c r="E35" s="180">
        <f t="shared" ref="E35:E41" si="16">F35+I35+L35+O35+R35</f>
        <v>21031</v>
      </c>
      <c r="F35" s="180">
        <f>G35+H35</f>
        <v>68</v>
      </c>
      <c r="G35" s="180">
        <f>SUM(G36:G41)</f>
        <v>68</v>
      </c>
      <c r="H35" s="180">
        <f>SUM(H36:H41)</f>
        <v>0</v>
      </c>
      <c r="I35" s="180">
        <f>J35+K35</f>
        <v>0</v>
      </c>
      <c r="J35" s="180">
        <f>SUM(J36:J41)</f>
        <v>0</v>
      </c>
      <c r="K35" s="180">
        <f>SUM(K36:K41)</f>
        <v>0</v>
      </c>
      <c r="L35" s="180">
        <f>M35+N35</f>
        <v>0</v>
      </c>
      <c r="M35" s="180">
        <f>SUM(M36:M41)</f>
        <v>0</v>
      </c>
      <c r="N35" s="180">
        <f>SUM(N36:N41)</f>
        <v>0</v>
      </c>
      <c r="O35" s="180">
        <f>P35+Q35</f>
        <v>11018</v>
      </c>
      <c r="P35" s="180">
        <f>SUM(P36:P41)</f>
        <v>11018</v>
      </c>
      <c r="Q35" s="180">
        <f>SUM(Q36:Q41)</f>
        <v>0</v>
      </c>
      <c r="R35" s="180">
        <f>S35+T35</f>
        <v>9945</v>
      </c>
      <c r="S35" s="180">
        <f>SUM(S36:S41)</f>
        <v>9945</v>
      </c>
      <c r="T35" s="180">
        <f>SUM(T36:T41)</f>
        <v>0</v>
      </c>
    </row>
    <row r="36" spans="1:26" s="51" customFormat="1" ht="139.5" customHeight="1" outlineLevel="1" x14ac:dyDescent="0.2">
      <c r="A36" s="194" t="s">
        <v>379</v>
      </c>
      <c r="B36" s="28" t="s">
        <v>246</v>
      </c>
      <c r="C36" s="198"/>
      <c r="D36" s="202"/>
      <c r="E36" s="24">
        <f t="shared" si="16"/>
        <v>3456</v>
      </c>
      <c r="F36" s="24">
        <f>G36+H36</f>
        <v>0</v>
      </c>
      <c r="G36" s="24">
        <v>0</v>
      </c>
      <c r="H36" s="24">
        <v>0</v>
      </c>
      <c r="I36" s="24">
        <f>J36+K36</f>
        <v>0</v>
      </c>
      <c r="J36" s="24">
        <v>0</v>
      </c>
      <c r="K36" s="24">
        <v>0</v>
      </c>
      <c r="L36" s="24">
        <f>M36+N36</f>
        <v>0</v>
      </c>
      <c r="M36" s="24"/>
      <c r="N36" s="24">
        <v>0</v>
      </c>
      <c r="O36" s="24">
        <f t="shared" ref="O36:O40" si="17">P36+Q36</f>
        <v>3456</v>
      </c>
      <c r="P36" s="24">
        <v>3456</v>
      </c>
      <c r="Q36" s="24">
        <v>0</v>
      </c>
      <c r="R36" s="24">
        <f t="shared" ref="R36:R40" si="18">S36+T36</f>
        <v>0</v>
      </c>
      <c r="S36" s="24">
        <v>0</v>
      </c>
      <c r="T36" s="24">
        <v>0</v>
      </c>
      <c r="U36" s="24">
        <f>3323*1.04</f>
        <v>3455.92</v>
      </c>
    </row>
    <row r="37" spans="1:26" s="51" customFormat="1" ht="132" customHeight="1" outlineLevel="1" x14ac:dyDescent="0.2">
      <c r="A37" s="194" t="s">
        <v>380</v>
      </c>
      <c r="B37" s="195" t="s">
        <v>247</v>
      </c>
      <c r="C37" s="198"/>
      <c r="D37" s="202"/>
      <c r="E37" s="24">
        <f t="shared" si="16"/>
        <v>246</v>
      </c>
      <c r="F37" s="24">
        <f t="shared" ref="F37:F41" si="19">G37+H37</f>
        <v>0</v>
      </c>
      <c r="G37" s="24">
        <v>0</v>
      </c>
      <c r="H37" s="24">
        <v>0</v>
      </c>
      <c r="I37" s="24">
        <f t="shared" ref="I37:I41" si="20">J37+K37</f>
        <v>0</v>
      </c>
      <c r="J37" s="24">
        <v>0</v>
      </c>
      <c r="K37" s="24">
        <v>0</v>
      </c>
      <c r="L37" s="24">
        <f t="shared" ref="L37:L40" si="21">M37+N37</f>
        <v>0</v>
      </c>
      <c r="M37" s="24"/>
      <c r="N37" s="24">
        <v>0</v>
      </c>
      <c r="O37" s="24">
        <f t="shared" si="17"/>
        <v>246</v>
      </c>
      <c r="P37" s="24">
        <v>246</v>
      </c>
      <c r="Q37" s="24">
        <v>0</v>
      </c>
      <c r="R37" s="24">
        <f t="shared" si="18"/>
        <v>0</v>
      </c>
      <c r="S37" s="24">
        <v>0</v>
      </c>
      <c r="T37" s="24">
        <v>0</v>
      </c>
      <c r="U37" s="24"/>
    </row>
    <row r="38" spans="1:26" s="51" customFormat="1" ht="120.75" customHeight="1" outlineLevel="1" x14ac:dyDescent="0.2">
      <c r="A38" s="194" t="s">
        <v>381</v>
      </c>
      <c r="B38" s="199" t="s">
        <v>248</v>
      </c>
      <c r="C38" s="198"/>
      <c r="D38" s="202"/>
      <c r="E38" s="24">
        <f t="shared" si="16"/>
        <v>690</v>
      </c>
      <c r="F38" s="24">
        <f t="shared" si="19"/>
        <v>0</v>
      </c>
      <c r="G38" s="24">
        <v>0</v>
      </c>
      <c r="H38" s="24">
        <v>0</v>
      </c>
      <c r="I38" s="24">
        <f t="shared" si="20"/>
        <v>0</v>
      </c>
      <c r="J38" s="24">
        <v>0</v>
      </c>
      <c r="K38" s="24">
        <v>0</v>
      </c>
      <c r="L38" s="24">
        <f t="shared" si="21"/>
        <v>0</v>
      </c>
      <c r="M38" s="24"/>
      <c r="N38" s="24">
        <v>0</v>
      </c>
      <c r="O38" s="24">
        <f t="shared" si="17"/>
        <v>690</v>
      </c>
      <c r="P38" s="24">
        <v>690</v>
      </c>
      <c r="Q38" s="24">
        <v>0</v>
      </c>
      <c r="R38" s="24">
        <f t="shared" si="18"/>
        <v>0</v>
      </c>
      <c r="S38" s="24">
        <v>0</v>
      </c>
      <c r="T38" s="24">
        <v>0</v>
      </c>
      <c r="U38" s="24">
        <f>663*1.04</f>
        <v>689.52</v>
      </c>
    </row>
    <row r="39" spans="1:26" s="51" customFormat="1" ht="101.25" customHeight="1" outlineLevel="1" x14ac:dyDescent="0.2">
      <c r="A39" s="194" t="s">
        <v>382</v>
      </c>
      <c r="B39" s="195" t="s">
        <v>249</v>
      </c>
      <c r="C39" s="198"/>
      <c r="D39" s="202"/>
      <c r="E39" s="24">
        <f t="shared" si="16"/>
        <v>2364</v>
      </c>
      <c r="F39" s="24">
        <f t="shared" si="19"/>
        <v>0</v>
      </c>
      <c r="G39" s="24">
        <v>0</v>
      </c>
      <c r="H39" s="24">
        <v>0</v>
      </c>
      <c r="I39" s="24">
        <f t="shared" si="20"/>
        <v>0</v>
      </c>
      <c r="J39" s="24">
        <v>0</v>
      </c>
      <c r="K39" s="24">
        <v>0</v>
      </c>
      <c r="L39" s="24">
        <f t="shared" si="21"/>
        <v>0</v>
      </c>
      <c r="M39" s="24"/>
      <c r="N39" s="24">
        <v>0</v>
      </c>
      <c r="O39" s="24">
        <f t="shared" si="17"/>
        <v>2364</v>
      </c>
      <c r="P39" s="24">
        <v>2364</v>
      </c>
      <c r="Q39" s="24">
        <v>0</v>
      </c>
      <c r="R39" s="24">
        <f t="shared" si="18"/>
        <v>0</v>
      </c>
      <c r="S39" s="24">
        <v>0</v>
      </c>
      <c r="T39" s="24">
        <v>0</v>
      </c>
      <c r="U39" s="24">
        <f>2273*1.04</f>
        <v>2363.92</v>
      </c>
    </row>
    <row r="40" spans="1:26" s="51" customFormat="1" ht="109.5" customHeight="1" outlineLevel="1" x14ac:dyDescent="0.2">
      <c r="A40" s="194" t="s">
        <v>383</v>
      </c>
      <c r="B40" s="195" t="s">
        <v>250</v>
      </c>
      <c r="C40" s="196"/>
      <c r="D40" s="203"/>
      <c r="E40" s="24">
        <f t="shared" ref="E40" si="22">F40+I40+L40+O40+R40</f>
        <v>14207</v>
      </c>
      <c r="F40" s="24">
        <f t="shared" ref="F40" si="23">G40+H40</f>
        <v>0</v>
      </c>
      <c r="G40" s="24">
        <v>0</v>
      </c>
      <c r="H40" s="24">
        <v>0</v>
      </c>
      <c r="I40" s="24">
        <f t="shared" ref="I40" si="24">J40+K40</f>
        <v>0</v>
      </c>
      <c r="J40" s="24">
        <v>0</v>
      </c>
      <c r="K40" s="24">
        <v>0</v>
      </c>
      <c r="L40" s="24">
        <f t="shared" si="21"/>
        <v>0</v>
      </c>
      <c r="M40" s="24">
        <v>0</v>
      </c>
      <c r="N40" s="24">
        <v>0</v>
      </c>
      <c r="O40" s="24">
        <f t="shared" si="17"/>
        <v>4262</v>
      </c>
      <c r="P40" s="24">
        <v>4262</v>
      </c>
      <c r="Q40" s="24">
        <v>0</v>
      </c>
      <c r="R40" s="24">
        <f t="shared" si="18"/>
        <v>9945</v>
      </c>
      <c r="S40" s="24">
        <v>9945</v>
      </c>
      <c r="T40" s="24">
        <v>0</v>
      </c>
      <c r="U40" s="53"/>
    </row>
    <row r="41" spans="1:26" ht="113.25" customHeight="1" outlineLevel="1" x14ac:dyDescent="0.2">
      <c r="A41" s="194" t="s">
        <v>398</v>
      </c>
      <c r="B41" s="195" t="s">
        <v>250</v>
      </c>
      <c r="C41" s="196"/>
      <c r="D41" s="203"/>
      <c r="E41" s="24">
        <f t="shared" si="16"/>
        <v>68</v>
      </c>
      <c r="F41" s="24">
        <f t="shared" si="19"/>
        <v>68</v>
      </c>
      <c r="G41" s="24">
        <v>68</v>
      </c>
      <c r="H41" s="24">
        <v>0</v>
      </c>
      <c r="I41" s="24">
        <f t="shared" si="20"/>
        <v>0</v>
      </c>
      <c r="J41" s="24">
        <v>0</v>
      </c>
      <c r="K41" s="24">
        <v>0</v>
      </c>
      <c r="L41" s="24">
        <f t="shared" ref="L41" si="25">M41+N41</f>
        <v>0</v>
      </c>
      <c r="M41" s="24">
        <v>0</v>
      </c>
      <c r="N41" s="24">
        <v>0</v>
      </c>
      <c r="O41" s="24">
        <f t="shared" ref="O41" si="26">P41+Q41</f>
        <v>0</v>
      </c>
      <c r="P41" s="24">
        <v>0</v>
      </c>
      <c r="Q41" s="24">
        <v>0</v>
      </c>
      <c r="R41" s="24">
        <f t="shared" ref="R41" si="27">S41+T41</f>
        <v>0</v>
      </c>
      <c r="S41" s="24">
        <v>0</v>
      </c>
      <c r="T41" s="24">
        <v>0</v>
      </c>
    </row>
    <row r="42" spans="1:26" ht="88.5" customHeight="1" outlineLevel="1" x14ac:dyDescent="0.2">
      <c r="A42" s="204" t="s">
        <v>315</v>
      </c>
      <c r="B42" s="192" t="s">
        <v>251</v>
      </c>
      <c r="C42" s="205">
        <f>C43</f>
        <v>22.279699999999998</v>
      </c>
      <c r="D42" s="203"/>
      <c r="E42" s="180">
        <f>F42+I42+L42+O42+R42</f>
        <v>188561</v>
      </c>
      <c r="F42" s="180">
        <f t="shared" ref="F42:F46" si="28">G42+H42</f>
        <v>0</v>
      </c>
      <c r="G42" s="180">
        <f>G43</f>
        <v>0</v>
      </c>
      <c r="H42" s="180">
        <f>H43</f>
        <v>0</v>
      </c>
      <c r="I42" s="180">
        <f>J42+K42</f>
        <v>0</v>
      </c>
      <c r="J42" s="180">
        <f>J43</f>
        <v>0</v>
      </c>
      <c r="K42" s="180">
        <f>K43</f>
        <v>0</v>
      </c>
      <c r="L42" s="180">
        <f>M42+N42</f>
        <v>0</v>
      </c>
      <c r="M42" s="180">
        <f>M43</f>
        <v>0</v>
      </c>
      <c r="N42" s="180">
        <f>N43</f>
        <v>0</v>
      </c>
      <c r="O42" s="180">
        <f>P42+Q42</f>
        <v>188561</v>
      </c>
      <c r="P42" s="180">
        <f>P43</f>
        <v>1886</v>
      </c>
      <c r="Q42" s="180">
        <f>Q43</f>
        <v>186675</v>
      </c>
      <c r="R42" s="180">
        <f>S42+T42</f>
        <v>0</v>
      </c>
      <c r="S42" s="180">
        <f>S43</f>
        <v>0</v>
      </c>
      <c r="T42" s="180">
        <f>T43</f>
        <v>0</v>
      </c>
    </row>
    <row r="43" spans="1:26" ht="78.75" customHeight="1" outlineLevel="1" x14ac:dyDescent="0.2">
      <c r="A43" s="194" t="s">
        <v>399</v>
      </c>
      <c r="B43" s="28" t="s">
        <v>252</v>
      </c>
      <c r="C43" s="160">
        <v>22.279699999999998</v>
      </c>
      <c r="D43" s="202"/>
      <c r="E43" s="24">
        <f>F43+I43+L43+O43+R43</f>
        <v>188561</v>
      </c>
      <c r="F43" s="24">
        <f t="shared" si="28"/>
        <v>0</v>
      </c>
      <c r="G43" s="24">
        <v>0</v>
      </c>
      <c r="H43" s="24">
        <v>0</v>
      </c>
      <c r="I43" s="24">
        <f>SUM(J43:K43)</f>
        <v>0</v>
      </c>
      <c r="J43" s="24">
        <v>0</v>
      </c>
      <c r="K43" s="24">
        <v>0</v>
      </c>
      <c r="L43" s="24">
        <f t="shared" ref="L43" si="29">M43+N43</f>
        <v>0</v>
      </c>
      <c r="M43" s="24"/>
      <c r="N43" s="24"/>
      <c r="O43" s="24">
        <f t="shared" ref="O43" si="30">P43+Q43</f>
        <v>188561</v>
      </c>
      <c r="P43" s="24">
        <v>1886</v>
      </c>
      <c r="Q43" s="24">
        <v>186675</v>
      </c>
      <c r="R43" s="24">
        <f t="shared" ref="R43" si="31">S43+T43</f>
        <v>0</v>
      </c>
      <c r="S43" s="24">
        <v>0</v>
      </c>
      <c r="T43" s="24">
        <v>0</v>
      </c>
      <c r="U43" s="53">
        <f>181308*1.04</f>
        <v>188560.32</v>
      </c>
      <c r="V43" s="53">
        <f>U43*99/100</f>
        <v>186674.71679999999</v>
      </c>
      <c r="W43" s="53">
        <f>U43-V43</f>
        <v>1885.6032000000123</v>
      </c>
    </row>
    <row r="44" spans="1:26" ht="101.25" customHeight="1" outlineLevel="1" x14ac:dyDescent="0.2">
      <c r="A44" s="204" t="s">
        <v>316</v>
      </c>
      <c r="B44" s="177" t="s">
        <v>221</v>
      </c>
      <c r="C44" s="160"/>
      <c r="D44" s="202"/>
      <c r="E44" s="180">
        <f>F44+I44+L44+O44+R44</f>
        <v>4035</v>
      </c>
      <c r="F44" s="180">
        <f t="shared" si="28"/>
        <v>0</v>
      </c>
      <c r="G44" s="180">
        <f>G45</f>
        <v>0</v>
      </c>
      <c r="H44" s="180">
        <f>H45</f>
        <v>0</v>
      </c>
      <c r="I44" s="180">
        <f>J44+K44</f>
        <v>0</v>
      </c>
      <c r="J44" s="180">
        <f>J45</f>
        <v>0</v>
      </c>
      <c r="K44" s="180">
        <f>K45</f>
        <v>0</v>
      </c>
      <c r="L44" s="180">
        <f>M44+N44</f>
        <v>0</v>
      </c>
      <c r="M44" s="180">
        <f>M45</f>
        <v>0</v>
      </c>
      <c r="N44" s="180">
        <f>N45</f>
        <v>0</v>
      </c>
      <c r="O44" s="180">
        <f>P44+Q44</f>
        <v>4035</v>
      </c>
      <c r="P44" s="180">
        <f>P45</f>
        <v>4035</v>
      </c>
      <c r="Q44" s="180">
        <f>Q45</f>
        <v>0</v>
      </c>
      <c r="R44" s="180">
        <f>S44+T44</f>
        <v>0</v>
      </c>
      <c r="S44" s="180">
        <f>S45</f>
        <v>0</v>
      </c>
      <c r="T44" s="180">
        <f>T45</f>
        <v>0</v>
      </c>
    </row>
    <row r="45" spans="1:26" ht="102" customHeight="1" outlineLevel="1" x14ac:dyDescent="0.2">
      <c r="A45" s="194" t="s">
        <v>412</v>
      </c>
      <c r="B45" s="28" t="s">
        <v>255</v>
      </c>
      <c r="C45" s="160"/>
      <c r="D45" s="202"/>
      <c r="E45" s="24">
        <f>F45+I45+L45+O45+R45</f>
        <v>4035</v>
      </c>
      <c r="F45" s="24">
        <f t="shared" si="28"/>
        <v>0</v>
      </c>
      <c r="G45" s="24">
        <v>0</v>
      </c>
      <c r="H45" s="24">
        <v>0</v>
      </c>
      <c r="I45" s="24">
        <f>SUM(J45:K45)</f>
        <v>0</v>
      </c>
      <c r="J45" s="24">
        <v>0</v>
      </c>
      <c r="K45" s="24">
        <v>0</v>
      </c>
      <c r="L45" s="24">
        <f t="shared" ref="L45" si="32">M45+N45</f>
        <v>0</v>
      </c>
      <c r="M45" s="24"/>
      <c r="N45" s="24">
        <v>0</v>
      </c>
      <c r="O45" s="24">
        <f t="shared" ref="O45" si="33">P45+Q45</f>
        <v>4035</v>
      </c>
      <c r="P45" s="24">
        <v>4035</v>
      </c>
      <c r="Q45" s="24">
        <v>0</v>
      </c>
      <c r="R45" s="24">
        <f t="shared" ref="R45" si="34">S45+T45</f>
        <v>0</v>
      </c>
      <c r="S45" s="24">
        <v>0</v>
      </c>
      <c r="T45" s="24">
        <v>0</v>
      </c>
    </row>
    <row r="46" spans="1:26" s="51" customFormat="1" ht="75.75" customHeight="1" outlineLevel="1" x14ac:dyDescent="0.2">
      <c r="A46" s="206" t="s">
        <v>317</v>
      </c>
      <c r="B46" s="177" t="s">
        <v>260</v>
      </c>
      <c r="C46" s="207"/>
      <c r="D46" s="208">
        <f>D47+D48</f>
        <v>2.9390000000000001</v>
      </c>
      <c r="E46" s="180">
        <f t="shared" ref="E46:E51" si="35">F46+I46+L46+R46+O46</f>
        <v>1097402</v>
      </c>
      <c r="F46" s="180">
        <f t="shared" si="28"/>
        <v>0</v>
      </c>
      <c r="G46" s="180">
        <f>SUM(G47:G48)</f>
        <v>0</v>
      </c>
      <c r="H46" s="180">
        <f>SUM(H47:H48)</f>
        <v>0</v>
      </c>
      <c r="I46" s="180">
        <f t="shared" ref="I46:I51" si="36">J46+K46</f>
        <v>0</v>
      </c>
      <c r="J46" s="180">
        <f>SUM(J47:J48)</f>
        <v>0</v>
      </c>
      <c r="K46" s="180">
        <f>SUM(K47:K48)</f>
        <v>0</v>
      </c>
      <c r="L46" s="180">
        <f>M46+N46</f>
        <v>0</v>
      </c>
      <c r="M46" s="180">
        <f>SUM(M47:M48)</f>
        <v>0</v>
      </c>
      <c r="N46" s="180">
        <f>SUM(N47:N48)</f>
        <v>0</v>
      </c>
      <c r="O46" s="180">
        <f t="shared" ref="O46:O51" si="37">P46+Q46</f>
        <v>565694</v>
      </c>
      <c r="P46" s="180">
        <f>SUM(P47:P48)</f>
        <v>5657</v>
      </c>
      <c r="Q46" s="180">
        <f>SUM(Q47:Q48)</f>
        <v>560037</v>
      </c>
      <c r="R46" s="180">
        <f>S46+T46</f>
        <v>531708</v>
      </c>
      <c r="S46" s="180">
        <f>SUM(S47:S48)</f>
        <v>5317</v>
      </c>
      <c r="T46" s="180">
        <f>SUM(T47:T48)</f>
        <v>526391</v>
      </c>
    </row>
    <row r="47" spans="1:26" s="51" customFormat="1" ht="70.5" customHeight="1" outlineLevel="1" x14ac:dyDescent="0.2">
      <c r="A47" s="268" t="s">
        <v>400</v>
      </c>
      <c r="B47" s="195" t="s">
        <v>261</v>
      </c>
      <c r="C47" s="207"/>
      <c r="D47" s="158">
        <v>2.2000000000000002</v>
      </c>
      <c r="E47" s="24">
        <f t="shared" si="35"/>
        <v>989426</v>
      </c>
      <c r="F47" s="184">
        <f>+G47+H47</f>
        <v>0</v>
      </c>
      <c r="G47" s="24">
        <v>0</v>
      </c>
      <c r="H47" s="24">
        <v>0</v>
      </c>
      <c r="I47" s="24">
        <f t="shared" si="36"/>
        <v>0</v>
      </c>
      <c r="J47" s="24">
        <v>0</v>
      </c>
      <c r="K47" s="24">
        <v>0</v>
      </c>
      <c r="L47" s="184">
        <f>N47+M47</f>
        <v>0</v>
      </c>
      <c r="M47" s="24"/>
      <c r="N47" s="24"/>
      <c r="O47" s="184">
        <f t="shared" si="37"/>
        <v>533301</v>
      </c>
      <c r="P47" s="24">
        <v>5333</v>
      </c>
      <c r="Q47" s="24">
        <v>527968</v>
      </c>
      <c r="R47" s="24">
        <f>T47+S47</f>
        <v>456125</v>
      </c>
      <c r="S47" s="24">
        <v>4561</v>
      </c>
      <c r="T47" s="24">
        <v>451564</v>
      </c>
      <c r="U47" s="51">
        <f>512789*1.04</f>
        <v>533300.56000000006</v>
      </c>
      <c r="V47" s="51">
        <f>U47*99/100</f>
        <v>527967.55440000002</v>
      </c>
      <c r="W47" s="51">
        <f>U47-V47</f>
        <v>5333.0056000000332</v>
      </c>
      <c r="X47" s="51">
        <f>438582*1.04</f>
        <v>456125.28</v>
      </c>
      <c r="Y47" s="51">
        <f>X47*99/100</f>
        <v>451564.02720000007</v>
      </c>
      <c r="Z47" s="51">
        <f>X47-Y47</f>
        <v>4561.2527999999584</v>
      </c>
    </row>
    <row r="48" spans="1:26" s="51" customFormat="1" ht="43.5" customHeight="1" outlineLevel="1" x14ac:dyDescent="0.2">
      <c r="A48" s="268" t="s">
        <v>401</v>
      </c>
      <c r="B48" s="182" t="s">
        <v>262</v>
      </c>
      <c r="C48" s="207"/>
      <c r="D48" s="209">
        <v>0.73899999999999999</v>
      </c>
      <c r="E48" s="24">
        <f t="shared" si="35"/>
        <v>107976</v>
      </c>
      <c r="F48" s="184">
        <f>G48+H48</f>
        <v>0</v>
      </c>
      <c r="G48" s="24">
        <v>0</v>
      </c>
      <c r="H48" s="24">
        <v>0</v>
      </c>
      <c r="I48" s="24">
        <f t="shared" si="36"/>
        <v>0</v>
      </c>
      <c r="J48" s="24">
        <v>0</v>
      </c>
      <c r="K48" s="24">
        <v>0</v>
      </c>
      <c r="L48" s="24">
        <f>M48+N48</f>
        <v>0</v>
      </c>
      <c r="M48" s="24"/>
      <c r="N48" s="24"/>
      <c r="O48" s="24">
        <f t="shared" si="37"/>
        <v>32393</v>
      </c>
      <c r="P48" s="24">
        <v>324</v>
      </c>
      <c r="Q48" s="24">
        <v>32069</v>
      </c>
      <c r="R48" s="24">
        <f>S48+T48</f>
        <v>75583</v>
      </c>
      <c r="S48" s="24">
        <v>756</v>
      </c>
      <c r="T48" s="24">
        <v>74827</v>
      </c>
      <c r="U48" s="51">
        <f>31147*1.04</f>
        <v>32392.880000000001</v>
      </c>
      <c r="V48" s="51">
        <f>U48*99/100</f>
        <v>32068.9512</v>
      </c>
      <c r="W48" s="51">
        <f>U48-V48</f>
        <v>323.9288000000015</v>
      </c>
      <c r="X48" s="51">
        <f>72676*1.04</f>
        <v>75583.040000000008</v>
      </c>
      <c r="Y48" s="51">
        <f>X48*99/100</f>
        <v>74827.209600000002</v>
      </c>
      <c r="Z48" s="51">
        <f>X48-Y48</f>
        <v>755.83040000000619</v>
      </c>
    </row>
    <row r="49" spans="1:25" s="51" customFormat="1" ht="105.75" customHeight="1" outlineLevel="1" x14ac:dyDescent="0.2">
      <c r="A49" s="206" t="s">
        <v>318</v>
      </c>
      <c r="B49" s="210" t="s">
        <v>300</v>
      </c>
      <c r="C49" s="207"/>
      <c r="D49" s="202"/>
      <c r="E49" s="180">
        <f t="shared" si="35"/>
        <v>21182</v>
      </c>
      <c r="F49" s="180">
        <f>G49+H49</f>
        <v>0</v>
      </c>
      <c r="G49" s="180">
        <f>SUM(G50:G51)</f>
        <v>0</v>
      </c>
      <c r="H49" s="180">
        <f>SUM(H50:H51)</f>
        <v>0</v>
      </c>
      <c r="I49" s="180">
        <f t="shared" si="36"/>
        <v>0</v>
      </c>
      <c r="J49" s="180">
        <f>SUM(J50:J51)</f>
        <v>0</v>
      </c>
      <c r="K49" s="180">
        <f>SUM(K50:K51)</f>
        <v>0</v>
      </c>
      <c r="L49" s="180">
        <f>M49+N49</f>
        <v>0</v>
      </c>
      <c r="M49" s="180">
        <f>SUM(M50:M51)</f>
        <v>0</v>
      </c>
      <c r="N49" s="180">
        <f>SUM(N50:N51)</f>
        <v>0</v>
      </c>
      <c r="O49" s="180">
        <f t="shared" si="37"/>
        <v>10919</v>
      </c>
      <c r="P49" s="180">
        <f>SUM(P50:P51)</f>
        <v>10919</v>
      </c>
      <c r="Q49" s="180">
        <f>SUM(Q50:Q51)</f>
        <v>0</v>
      </c>
      <c r="R49" s="180">
        <f>S49+T49</f>
        <v>10263</v>
      </c>
      <c r="S49" s="180">
        <f>SUM(S50:S51)</f>
        <v>10263</v>
      </c>
      <c r="T49" s="180">
        <f>SUM(T50:T51)</f>
        <v>0</v>
      </c>
    </row>
    <row r="50" spans="1:25" ht="102.75" customHeight="1" outlineLevel="1" x14ac:dyDescent="0.2">
      <c r="A50" s="268" t="s">
        <v>402</v>
      </c>
      <c r="B50" s="275" t="s">
        <v>263</v>
      </c>
      <c r="C50" s="211"/>
      <c r="D50" s="203"/>
      <c r="E50" s="24">
        <f t="shared" si="35"/>
        <v>19097</v>
      </c>
      <c r="F50" s="184">
        <f>+G50+H50</f>
        <v>0</v>
      </c>
      <c r="G50" s="24">
        <v>0</v>
      </c>
      <c r="H50" s="24">
        <v>0</v>
      </c>
      <c r="I50" s="24">
        <f t="shared" si="36"/>
        <v>0</v>
      </c>
      <c r="J50" s="24">
        <v>0</v>
      </c>
      <c r="K50" s="24">
        <v>0</v>
      </c>
      <c r="L50" s="184">
        <f>N50+M50</f>
        <v>0</v>
      </c>
      <c r="M50" s="24">
        <v>0</v>
      </c>
      <c r="N50" s="24">
        <v>0</v>
      </c>
      <c r="O50" s="184">
        <f t="shared" si="37"/>
        <v>10293</v>
      </c>
      <c r="P50" s="24">
        <v>10293</v>
      </c>
      <c r="Q50" s="24">
        <v>0</v>
      </c>
      <c r="R50" s="24">
        <f>T50+S50</f>
        <v>8804</v>
      </c>
      <c r="S50" s="24">
        <v>8804</v>
      </c>
      <c r="T50" s="24">
        <v>0</v>
      </c>
      <c r="U50" s="184"/>
      <c r="V50" s="24">
        <f>9897*1.04</f>
        <v>10292.880000000001</v>
      </c>
      <c r="W50" s="24"/>
      <c r="X50" s="184"/>
      <c r="Y50" s="24">
        <f>8465*1.04</f>
        <v>8803.6</v>
      </c>
    </row>
    <row r="51" spans="1:25" ht="75.75" customHeight="1" outlineLevel="1" x14ac:dyDescent="0.2">
      <c r="A51" s="268" t="s">
        <v>403</v>
      </c>
      <c r="B51" s="195" t="s">
        <v>428</v>
      </c>
      <c r="C51" s="211"/>
      <c r="D51" s="203"/>
      <c r="E51" s="24">
        <f t="shared" si="35"/>
        <v>2085</v>
      </c>
      <c r="F51" s="184">
        <f>G51+H51</f>
        <v>0</v>
      </c>
      <c r="G51" s="24">
        <v>0</v>
      </c>
      <c r="H51" s="24">
        <v>0</v>
      </c>
      <c r="I51" s="24">
        <f t="shared" si="36"/>
        <v>0</v>
      </c>
      <c r="J51" s="24">
        <v>0</v>
      </c>
      <c r="K51" s="24">
        <v>0</v>
      </c>
      <c r="L51" s="24">
        <f>M51+N51</f>
        <v>0</v>
      </c>
      <c r="M51" s="24">
        <v>0</v>
      </c>
      <c r="N51" s="24">
        <v>0</v>
      </c>
      <c r="O51" s="24">
        <f t="shared" si="37"/>
        <v>626</v>
      </c>
      <c r="P51" s="24">
        <v>626</v>
      </c>
      <c r="Q51" s="24">
        <v>0</v>
      </c>
      <c r="R51" s="24">
        <f>S51+T51</f>
        <v>1459</v>
      </c>
      <c r="S51" s="24">
        <v>1459</v>
      </c>
      <c r="T51" s="24">
        <v>0</v>
      </c>
      <c r="U51" s="24"/>
      <c r="V51" s="24">
        <f>602*1.04</f>
        <v>626.08000000000004</v>
      </c>
      <c r="W51" s="24"/>
      <c r="X51" s="24"/>
      <c r="Y51" s="24">
        <f>1403*1.04</f>
        <v>1459.1200000000001</v>
      </c>
    </row>
    <row r="52" spans="1:25" ht="51" customHeight="1" outlineLevel="1" x14ac:dyDescent="0.2">
      <c r="A52" s="212" t="s">
        <v>210</v>
      </c>
      <c r="B52" s="298" t="s">
        <v>323</v>
      </c>
      <c r="C52" s="299"/>
      <c r="D52" s="299"/>
      <c r="E52" s="299"/>
      <c r="F52" s="299"/>
      <c r="G52" s="299"/>
      <c r="H52" s="299"/>
      <c r="I52" s="299"/>
      <c r="J52" s="299"/>
      <c r="K52" s="299"/>
      <c r="L52" s="299"/>
      <c r="M52" s="299"/>
      <c r="N52" s="299"/>
      <c r="O52" s="299"/>
      <c r="P52" s="299"/>
      <c r="Q52" s="299"/>
      <c r="R52" s="299"/>
      <c r="S52" s="299"/>
      <c r="T52" s="300"/>
    </row>
    <row r="53" spans="1:25" s="217" customFormat="1" ht="129.75" customHeight="1" outlineLevel="1" x14ac:dyDescent="0.2">
      <c r="A53" s="213" t="s">
        <v>211</v>
      </c>
      <c r="B53" s="210" t="s">
        <v>550</v>
      </c>
      <c r="C53" s="214"/>
      <c r="D53" s="215">
        <f>D123</f>
        <v>42.147000000000013</v>
      </c>
      <c r="E53" s="213">
        <f>F53+I53+L53+O53+R53</f>
        <v>2518724</v>
      </c>
      <c r="F53" s="216">
        <f>G53+H53</f>
        <v>1057342</v>
      </c>
      <c r="G53" s="216">
        <f>G123</f>
        <v>57342</v>
      </c>
      <c r="H53" s="216">
        <f>H123</f>
        <v>1000000</v>
      </c>
      <c r="I53" s="216">
        <f>J53+K53</f>
        <v>754311</v>
      </c>
      <c r="J53" s="216">
        <f>J123</f>
        <v>54311</v>
      </c>
      <c r="K53" s="216">
        <f>K123</f>
        <v>700000</v>
      </c>
      <c r="L53" s="216">
        <f>M53+N53</f>
        <v>707071</v>
      </c>
      <c r="M53" s="216">
        <f>M123</f>
        <v>7071</v>
      </c>
      <c r="N53" s="216">
        <f>N123</f>
        <v>700000</v>
      </c>
      <c r="O53" s="216">
        <f>P53+Q53</f>
        <v>0</v>
      </c>
      <c r="P53" s="216">
        <f>P123</f>
        <v>0</v>
      </c>
      <c r="Q53" s="216">
        <f>Q123</f>
        <v>0</v>
      </c>
      <c r="R53" s="216">
        <f>S53+T53</f>
        <v>0</v>
      </c>
      <c r="S53" s="216">
        <f>S123</f>
        <v>0</v>
      </c>
      <c r="T53" s="216">
        <f>T123</f>
        <v>0</v>
      </c>
    </row>
    <row r="54" spans="1:25" s="217" customFormat="1" ht="37.5" customHeight="1" outlineLevel="1" x14ac:dyDescent="0.2">
      <c r="A54" s="370" t="s">
        <v>275</v>
      </c>
      <c r="B54" s="370"/>
      <c r="C54" s="370"/>
      <c r="D54" s="370"/>
      <c r="E54" s="370"/>
      <c r="F54" s="370"/>
      <c r="G54" s="370"/>
      <c r="H54" s="370"/>
      <c r="I54" s="370"/>
      <c r="J54" s="370"/>
      <c r="K54" s="370"/>
      <c r="L54" s="370"/>
      <c r="M54" s="370"/>
      <c r="N54" s="370"/>
      <c r="O54" s="370"/>
      <c r="P54" s="370"/>
      <c r="Q54" s="370"/>
      <c r="R54" s="370"/>
      <c r="S54" s="370"/>
      <c r="T54" s="370"/>
    </row>
    <row r="55" spans="1:25" s="217" customFormat="1" ht="39.75" customHeight="1" outlineLevel="1" x14ac:dyDescent="0.2">
      <c r="A55" s="35" t="s">
        <v>344</v>
      </c>
      <c r="B55" s="168" t="s">
        <v>359</v>
      </c>
      <c r="C55" s="218"/>
      <c r="D55" s="219">
        <f>0.524</f>
        <v>0.52400000000000002</v>
      </c>
      <c r="E55" s="21">
        <f t="shared" ref="E55:E91" si="38">F55+I55+L55+O55+R55</f>
        <v>36224</v>
      </c>
      <c r="F55" s="22">
        <f t="shared" ref="F55:F66" si="39">G55+H55</f>
        <v>36224</v>
      </c>
      <c r="G55" s="24">
        <v>2608</v>
      </c>
      <c r="H55" s="24">
        <v>33616</v>
      </c>
      <c r="I55" s="22">
        <f t="shared" ref="I55:I59" si="40">J55+K55</f>
        <v>0</v>
      </c>
      <c r="J55" s="22">
        <v>0</v>
      </c>
      <c r="K55" s="24"/>
      <c r="L55" s="22">
        <f t="shared" ref="L55:L59" si="41">M55+N55</f>
        <v>0</v>
      </c>
      <c r="M55" s="24"/>
      <c r="N55" s="24"/>
      <c r="O55" s="22">
        <f t="shared" ref="O55:O59" si="42">P55+Q55</f>
        <v>0</v>
      </c>
      <c r="P55" s="22">
        <v>0</v>
      </c>
      <c r="Q55" s="22">
        <v>0</v>
      </c>
      <c r="R55" s="22">
        <f t="shared" ref="R55:R59" si="43">S55+T55</f>
        <v>0</v>
      </c>
      <c r="S55" s="22">
        <v>0</v>
      </c>
      <c r="T55" s="22">
        <v>0</v>
      </c>
    </row>
    <row r="56" spans="1:25" s="217" customFormat="1" ht="45" customHeight="1" outlineLevel="1" x14ac:dyDescent="0.2">
      <c r="A56" s="35" t="s">
        <v>345</v>
      </c>
      <c r="B56" s="220" t="s">
        <v>360</v>
      </c>
      <c r="C56" s="218"/>
      <c r="D56" s="221">
        <v>1.3560000000000001</v>
      </c>
      <c r="E56" s="21">
        <f t="shared" si="38"/>
        <v>69068</v>
      </c>
      <c r="F56" s="22">
        <f t="shared" si="39"/>
        <v>69068</v>
      </c>
      <c r="G56" s="24">
        <v>4973</v>
      </c>
      <c r="H56" s="24">
        <v>64095</v>
      </c>
      <c r="I56" s="22">
        <f t="shared" si="40"/>
        <v>0</v>
      </c>
      <c r="J56" s="22">
        <v>0</v>
      </c>
      <c r="K56" s="24"/>
      <c r="L56" s="22">
        <f t="shared" si="41"/>
        <v>0</v>
      </c>
      <c r="M56" s="24"/>
      <c r="N56" s="24"/>
      <c r="O56" s="22">
        <f t="shared" si="42"/>
        <v>0</v>
      </c>
      <c r="P56" s="22">
        <v>0</v>
      </c>
      <c r="Q56" s="22">
        <v>0</v>
      </c>
      <c r="R56" s="22">
        <f t="shared" si="43"/>
        <v>0</v>
      </c>
      <c r="S56" s="22">
        <v>0</v>
      </c>
      <c r="T56" s="22">
        <v>0</v>
      </c>
    </row>
    <row r="57" spans="1:25" s="217" customFormat="1" ht="46.5" customHeight="1" outlineLevel="1" x14ac:dyDescent="0.2">
      <c r="A57" s="35" t="s">
        <v>346</v>
      </c>
      <c r="B57" s="220" t="s">
        <v>361</v>
      </c>
      <c r="C57" s="218"/>
      <c r="D57" s="221">
        <v>0.94099999999999995</v>
      </c>
      <c r="E57" s="21">
        <f t="shared" si="38"/>
        <v>78669</v>
      </c>
      <c r="F57" s="22">
        <f t="shared" si="39"/>
        <v>78669</v>
      </c>
      <c r="G57" s="24">
        <v>5664</v>
      </c>
      <c r="H57" s="24">
        <v>73005</v>
      </c>
      <c r="I57" s="22">
        <f t="shared" si="40"/>
        <v>0</v>
      </c>
      <c r="J57" s="22">
        <v>0</v>
      </c>
      <c r="K57" s="24"/>
      <c r="L57" s="22">
        <f t="shared" si="41"/>
        <v>0</v>
      </c>
      <c r="M57" s="24"/>
      <c r="N57" s="24"/>
      <c r="O57" s="22">
        <f t="shared" si="42"/>
        <v>0</v>
      </c>
      <c r="P57" s="22">
        <v>0</v>
      </c>
      <c r="Q57" s="22">
        <v>0</v>
      </c>
      <c r="R57" s="22">
        <f t="shared" si="43"/>
        <v>0</v>
      </c>
      <c r="S57" s="22">
        <v>0</v>
      </c>
      <c r="T57" s="22">
        <v>0</v>
      </c>
    </row>
    <row r="58" spans="1:25" s="217" customFormat="1" ht="75.75" customHeight="1" outlineLevel="1" x14ac:dyDescent="0.2">
      <c r="A58" s="35" t="s">
        <v>347</v>
      </c>
      <c r="B58" s="220" t="s">
        <v>404</v>
      </c>
      <c r="C58" s="218"/>
      <c r="D58" s="221">
        <v>0.53500000000000003</v>
      </c>
      <c r="E58" s="21">
        <f t="shared" si="38"/>
        <v>31367</v>
      </c>
      <c r="F58" s="22">
        <f t="shared" si="39"/>
        <v>31367</v>
      </c>
      <c r="G58" s="24">
        <v>2258</v>
      </c>
      <c r="H58" s="24">
        <v>29109</v>
      </c>
      <c r="I58" s="22">
        <f t="shared" si="40"/>
        <v>0</v>
      </c>
      <c r="J58" s="22">
        <v>0</v>
      </c>
      <c r="K58" s="24"/>
      <c r="L58" s="22">
        <f t="shared" si="41"/>
        <v>0</v>
      </c>
      <c r="M58" s="24"/>
      <c r="N58" s="24"/>
      <c r="O58" s="22">
        <f t="shared" si="42"/>
        <v>0</v>
      </c>
      <c r="P58" s="22">
        <v>0</v>
      </c>
      <c r="Q58" s="22">
        <v>0</v>
      </c>
      <c r="R58" s="22">
        <f t="shared" si="43"/>
        <v>0</v>
      </c>
      <c r="S58" s="22">
        <v>0</v>
      </c>
      <c r="T58" s="22">
        <v>0</v>
      </c>
    </row>
    <row r="59" spans="1:25" s="217" customFormat="1" ht="45" customHeight="1" outlineLevel="1" x14ac:dyDescent="0.2">
      <c r="A59" s="35" t="s">
        <v>348</v>
      </c>
      <c r="B59" s="220" t="s">
        <v>487</v>
      </c>
      <c r="C59" s="218"/>
      <c r="D59" s="221">
        <v>1.679</v>
      </c>
      <c r="E59" s="21">
        <f t="shared" si="38"/>
        <v>248745</v>
      </c>
      <c r="F59" s="22">
        <f t="shared" si="39"/>
        <v>248745</v>
      </c>
      <c r="G59" s="24">
        <v>17910</v>
      </c>
      <c r="H59" s="24">
        <v>230835</v>
      </c>
      <c r="I59" s="22">
        <f t="shared" si="40"/>
        <v>0</v>
      </c>
      <c r="J59" s="22">
        <v>0</v>
      </c>
      <c r="K59" s="24"/>
      <c r="L59" s="22">
        <f t="shared" si="41"/>
        <v>0</v>
      </c>
      <c r="M59" s="24"/>
      <c r="N59" s="24"/>
      <c r="O59" s="22">
        <f t="shared" si="42"/>
        <v>0</v>
      </c>
      <c r="P59" s="22">
        <v>0</v>
      </c>
      <c r="Q59" s="22">
        <v>0</v>
      </c>
      <c r="R59" s="22">
        <f t="shared" si="43"/>
        <v>0</v>
      </c>
      <c r="S59" s="22">
        <v>0</v>
      </c>
      <c r="T59" s="22">
        <v>0</v>
      </c>
    </row>
    <row r="60" spans="1:25" s="217" customFormat="1" ht="28.5" customHeight="1" outlineLevel="1" x14ac:dyDescent="0.2">
      <c r="A60" s="35" t="s">
        <v>349</v>
      </c>
      <c r="B60" s="220" t="s">
        <v>362</v>
      </c>
      <c r="C60" s="214"/>
      <c r="D60" s="221">
        <v>0.86</v>
      </c>
      <c r="E60" s="21">
        <f t="shared" si="38"/>
        <v>50802</v>
      </c>
      <c r="F60" s="22">
        <f t="shared" si="39"/>
        <v>50802</v>
      </c>
      <c r="G60" s="24">
        <v>3658</v>
      </c>
      <c r="H60" s="24">
        <v>47144</v>
      </c>
      <c r="I60" s="22">
        <f>J60+K60</f>
        <v>0</v>
      </c>
      <c r="J60" s="22">
        <v>0</v>
      </c>
      <c r="K60" s="24"/>
      <c r="L60" s="22">
        <f>M60+N60</f>
        <v>0</v>
      </c>
      <c r="M60" s="24"/>
      <c r="N60" s="24"/>
      <c r="O60" s="22">
        <f>P60+Q60</f>
        <v>0</v>
      </c>
      <c r="P60" s="22">
        <v>0</v>
      </c>
      <c r="Q60" s="22">
        <v>0</v>
      </c>
      <c r="R60" s="22">
        <f>S60+T60</f>
        <v>0</v>
      </c>
      <c r="S60" s="22">
        <v>0</v>
      </c>
      <c r="T60" s="22">
        <v>0</v>
      </c>
    </row>
    <row r="61" spans="1:25" s="217" customFormat="1" ht="36.75" customHeight="1" outlineLevel="1" x14ac:dyDescent="0.2">
      <c r="A61" s="35" t="s">
        <v>350</v>
      </c>
      <c r="B61" s="220" t="s">
        <v>363</v>
      </c>
      <c r="C61" s="20"/>
      <c r="D61" s="221">
        <v>1.5269999999999999</v>
      </c>
      <c r="E61" s="21">
        <f t="shared" si="38"/>
        <v>67334</v>
      </c>
      <c r="F61" s="22">
        <f t="shared" si="39"/>
        <v>67334</v>
      </c>
      <c r="G61" s="24">
        <v>4848</v>
      </c>
      <c r="H61" s="24">
        <v>62486</v>
      </c>
      <c r="I61" s="22">
        <f t="shared" ref="I61:I66" si="44">J61+K61</f>
        <v>0</v>
      </c>
      <c r="J61" s="22">
        <v>0</v>
      </c>
      <c r="K61" s="24"/>
      <c r="L61" s="22">
        <f t="shared" ref="L61:L66" si="45">M61+N61</f>
        <v>0</v>
      </c>
      <c r="M61" s="24"/>
      <c r="N61" s="24"/>
      <c r="O61" s="22">
        <f t="shared" ref="O61:O66" si="46">P61+Q61</f>
        <v>0</v>
      </c>
      <c r="P61" s="22">
        <v>0</v>
      </c>
      <c r="Q61" s="22">
        <v>0</v>
      </c>
      <c r="R61" s="22">
        <f t="shared" ref="R61:R66" si="47">S61+T61</f>
        <v>0</v>
      </c>
      <c r="S61" s="22">
        <v>0</v>
      </c>
      <c r="T61" s="22">
        <v>0</v>
      </c>
    </row>
    <row r="62" spans="1:25" s="217" customFormat="1" ht="35.25" customHeight="1" outlineLevel="1" x14ac:dyDescent="0.2">
      <c r="A62" s="35" t="s">
        <v>351</v>
      </c>
      <c r="B62" s="220" t="s">
        <v>364</v>
      </c>
      <c r="C62" s="214"/>
      <c r="D62" s="221">
        <v>0.47199999999999998</v>
      </c>
      <c r="E62" s="21">
        <f t="shared" si="38"/>
        <v>17649</v>
      </c>
      <c r="F62" s="22">
        <f t="shared" si="39"/>
        <v>17649</v>
      </c>
      <c r="G62" s="24">
        <v>1271</v>
      </c>
      <c r="H62" s="24">
        <v>16378</v>
      </c>
      <c r="I62" s="22">
        <f t="shared" si="44"/>
        <v>0</v>
      </c>
      <c r="J62" s="22">
        <v>0</v>
      </c>
      <c r="K62" s="24"/>
      <c r="L62" s="22">
        <f t="shared" si="45"/>
        <v>0</v>
      </c>
      <c r="M62" s="24"/>
      <c r="N62" s="24"/>
      <c r="O62" s="22">
        <f t="shared" si="46"/>
        <v>0</v>
      </c>
      <c r="P62" s="22">
        <v>0</v>
      </c>
      <c r="Q62" s="22">
        <v>0</v>
      </c>
      <c r="R62" s="22">
        <f t="shared" si="47"/>
        <v>0</v>
      </c>
      <c r="S62" s="22">
        <v>0</v>
      </c>
      <c r="T62" s="22">
        <v>0</v>
      </c>
    </row>
    <row r="63" spans="1:25" s="217" customFormat="1" ht="46.5" customHeight="1" outlineLevel="1" x14ac:dyDescent="0.2">
      <c r="A63" s="35" t="s">
        <v>352</v>
      </c>
      <c r="B63" s="220" t="s">
        <v>365</v>
      </c>
      <c r="C63" s="214"/>
      <c r="D63" s="221">
        <v>0.24199999999999999</v>
      </c>
      <c r="E63" s="21">
        <f t="shared" si="38"/>
        <v>9897</v>
      </c>
      <c r="F63" s="22">
        <f t="shared" si="39"/>
        <v>9897</v>
      </c>
      <c r="G63" s="24">
        <v>713</v>
      </c>
      <c r="H63" s="24">
        <v>9184</v>
      </c>
      <c r="I63" s="22">
        <f t="shared" si="44"/>
        <v>0</v>
      </c>
      <c r="J63" s="22">
        <v>0</v>
      </c>
      <c r="K63" s="24"/>
      <c r="L63" s="22">
        <f t="shared" si="45"/>
        <v>0</v>
      </c>
      <c r="M63" s="24"/>
      <c r="N63" s="24"/>
      <c r="O63" s="22">
        <f t="shared" si="46"/>
        <v>0</v>
      </c>
      <c r="P63" s="22">
        <v>0</v>
      </c>
      <c r="Q63" s="22">
        <v>0</v>
      </c>
      <c r="R63" s="22">
        <f t="shared" si="47"/>
        <v>0</v>
      </c>
      <c r="S63" s="22">
        <v>0</v>
      </c>
      <c r="T63" s="22">
        <v>0</v>
      </c>
    </row>
    <row r="64" spans="1:25" s="217" customFormat="1" ht="46.5" customHeight="1" outlineLevel="1" x14ac:dyDescent="0.2">
      <c r="A64" s="35" t="s">
        <v>353</v>
      </c>
      <c r="B64" s="168" t="s">
        <v>366</v>
      </c>
      <c r="C64" s="20"/>
      <c r="D64" s="219">
        <v>0.307</v>
      </c>
      <c r="E64" s="21">
        <f t="shared" si="38"/>
        <v>20924</v>
      </c>
      <c r="F64" s="22">
        <f t="shared" si="39"/>
        <v>20924</v>
      </c>
      <c r="G64" s="25">
        <v>1507</v>
      </c>
      <c r="H64" s="24">
        <v>19417</v>
      </c>
      <c r="I64" s="22">
        <f t="shared" si="44"/>
        <v>0</v>
      </c>
      <c r="J64" s="22">
        <v>0</v>
      </c>
      <c r="K64" s="24"/>
      <c r="L64" s="22">
        <f t="shared" si="45"/>
        <v>0</v>
      </c>
      <c r="M64" s="25"/>
      <c r="N64" s="24"/>
      <c r="O64" s="22">
        <f t="shared" si="46"/>
        <v>0</v>
      </c>
      <c r="P64" s="22">
        <v>0</v>
      </c>
      <c r="Q64" s="22">
        <v>0</v>
      </c>
      <c r="R64" s="22">
        <f t="shared" si="47"/>
        <v>0</v>
      </c>
      <c r="S64" s="22">
        <v>0</v>
      </c>
      <c r="T64" s="22">
        <v>0</v>
      </c>
    </row>
    <row r="65" spans="1:23" s="217" customFormat="1" ht="47.25" customHeight="1" outlineLevel="1" x14ac:dyDescent="0.2">
      <c r="A65" s="35" t="s">
        <v>354</v>
      </c>
      <c r="B65" s="168" t="s">
        <v>405</v>
      </c>
      <c r="C65" s="20"/>
      <c r="D65" s="221">
        <f>0.769+0.221</f>
        <v>0.99</v>
      </c>
      <c r="E65" s="21">
        <f t="shared" si="38"/>
        <v>59418</v>
      </c>
      <c r="F65" s="22">
        <f t="shared" si="39"/>
        <v>59418</v>
      </c>
      <c r="G65" s="25">
        <v>4278</v>
      </c>
      <c r="H65" s="22">
        <v>55140</v>
      </c>
      <c r="I65" s="22">
        <f t="shared" si="44"/>
        <v>0</v>
      </c>
      <c r="J65" s="22">
        <v>0</v>
      </c>
      <c r="K65" s="22"/>
      <c r="L65" s="22">
        <f t="shared" si="45"/>
        <v>0</v>
      </c>
      <c r="M65" s="25"/>
      <c r="N65" s="22"/>
      <c r="O65" s="22">
        <f t="shared" si="46"/>
        <v>0</v>
      </c>
      <c r="P65" s="22">
        <v>0</v>
      </c>
      <c r="Q65" s="22">
        <v>0</v>
      </c>
      <c r="R65" s="22">
        <f t="shared" si="47"/>
        <v>0</v>
      </c>
      <c r="S65" s="22">
        <v>0</v>
      </c>
      <c r="T65" s="22">
        <v>0</v>
      </c>
    </row>
    <row r="66" spans="1:23" s="217" customFormat="1" ht="48" customHeight="1" outlineLevel="1" x14ac:dyDescent="0.2">
      <c r="A66" s="35" t="s">
        <v>355</v>
      </c>
      <c r="B66" s="168" t="s">
        <v>406</v>
      </c>
      <c r="C66" s="20"/>
      <c r="D66" s="221">
        <v>1.8169999999999999</v>
      </c>
      <c r="E66" s="21">
        <f t="shared" si="38"/>
        <v>60444</v>
      </c>
      <c r="F66" s="22">
        <f t="shared" si="39"/>
        <v>60444</v>
      </c>
      <c r="G66" s="25">
        <v>4352</v>
      </c>
      <c r="H66" s="22">
        <v>56092</v>
      </c>
      <c r="I66" s="22">
        <f t="shared" si="44"/>
        <v>0</v>
      </c>
      <c r="J66" s="22">
        <v>0</v>
      </c>
      <c r="K66" s="22"/>
      <c r="L66" s="22">
        <f t="shared" si="45"/>
        <v>0</v>
      </c>
      <c r="M66" s="25"/>
      <c r="N66" s="22"/>
      <c r="O66" s="22">
        <f t="shared" si="46"/>
        <v>0</v>
      </c>
      <c r="P66" s="22">
        <v>0</v>
      </c>
      <c r="Q66" s="22">
        <v>0</v>
      </c>
      <c r="R66" s="22">
        <f t="shared" si="47"/>
        <v>0</v>
      </c>
      <c r="S66" s="22">
        <v>0</v>
      </c>
      <c r="T66" s="22">
        <v>0</v>
      </c>
    </row>
    <row r="67" spans="1:23" s="217" customFormat="1" ht="36" customHeight="1" outlineLevel="1" x14ac:dyDescent="0.2">
      <c r="A67" s="35" t="s">
        <v>356</v>
      </c>
      <c r="B67" s="222" t="s">
        <v>276</v>
      </c>
      <c r="C67" s="214"/>
      <c r="D67" s="154">
        <v>2.39</v>
      </c>
      <c r="E67" s="21">
        <f t="shared" si="38"/>
        <v>21112</v>
      </c>
      <c r="F67" s="22">
        <f>G67+H67</f>
        <v>0</v>
      </c>
      <c r="G67" s="22">
        <v>0</v>
      </c>
      <c r="H67" s="22">
        <v>0</v>
      </c>
      <c r="I67" s="22">
        <f t="shared" ref="I67:I84" si="48">J67+K67</f>
        <v>21112</v>
      </c>
      <c r="J67" s="22">
        <v>21112</v>
      </c>
      <c r="K67" s="22">
        <v>0</v>
      </c>
      <c r="L67" s="22">
        <f t="shared" ref="L67:L69" si="49">M67+N67</f>
        <v>0</v>
      </c>
      <c r="M67" s="22">
        <v>0</v>
      </c>
      <c r="N67" s="22">
        <v>0</v>
      </c>
      <c r="O67" s="22">
        <f t="shared" ref="O67:O69" si="50">P67+Q67</f>
        <v>0</v>
      </c>
      <c r="P67" s="22">
        <v>0</v>
      </c>
      <c r="Q67" s="22">
        <v>0</v>
      </c>
      <c r="R67" s="22">
        <f t="shared" ref="R67:R69" si="51">S67+T67</f>
        <v>0</v>
      </c>
      <c r="S67" s="22">
        <v>0</v>
      </c>
      <c r="T67" s="22">
        <v>0</v>
      </c>
    </row>
    <row r="68" spans="1:23" s="217" customFormat="1" ht="36" customHeight="1" outlineLevel="1" x14ac:dyDescent="0.2">
      <c r="A68" s="35" t="s">
        <v>357</v>
      </c>
      <c r="B68" s="222" t="s">
        <v>277</v>
      </c>
      <c r="C68" s="214"/>
      <c r="D68" s="154">
        <v>1.41</v>
      </c>
      <c r="E68" s="21">
        <f t="shared" si="38"/>
        <v>3574</v>
      </c>
      <c r="F68" s="22">
        <f t="shared" ref="F68:F72" si="52">G68+H68</f>
        <v>0</v>
      </c>
      <c r="G68" s="22">
        <v>0</v>
      </c>
      <c r="H68" s="22">
        <v>0</v>
      </c>
      <c r="I68" s="22">
        <f t="shared" si="48"/>
        <v>3574</v>
      </c>
      <c r="J68" s="22">
        <v>3574</v>
      </c>
      <c r="K68" s="22">
        <v>0</v>
      </c>
      <c r="L68" s="22">
        <f t="shared" si="49"/>
        <v>0</v>
      </c>
      <c r="M68" s="22">
        <v>0</v>
      </c>
      <c r="N68" s="22">
        <v>0</v>
      </c>
      <c r="O68" s="22">
        <f t="shared" si="50"/>
        <v>0</v>
      </c>
      <c r="P68" s="22">
        <v>0</v>
      </c>
      <c r="Q68" s="22">
        <v>0</v>
      </c>
      <c r="R68" s="22">
        <f t="shared" si="51"/>
        <v>0</v>
      </c>
      <c r="S68" s="22">
        <v>0</v>
      </c>
      <c r="T68" s="22">
        <v>0</v>
      </c>
    </row>
    <row r="69" spans="1:23" s="217" customFormat="1" ht="36" customHeight="1" outlineLevel="1" x14ac:dyDescent="0.2">
      <c r="A69" s="35" t="s">
        <v>358</v>
      </c>
      <c r="B69" s="222" t="s">
        <v>278</v>
      </c>
      <c r="C69" s="214"/>
      <c r="D69" s="154">
        <v>0.92</v>
      </c>
      <c r="E69" s="21">
        <f t="shared" si="38"/>
        <v>12810</v>
      </c>
      <c r="F69" s="22">
        <f t="shared" si="52"/>
        <v>0</v>
      </c>
      <c r="G69" s="22">
        <v>0</v>
      </c>
      <c r="H69" s="22">
        <v>0</v>
      </c>
      <c r="I69" s="22">
        <f t="shared" si="48"/>
        <v>12810</v>
      </c>
      <c r="J69" s="22">
        <v>12810</v>
      </c>
      <c r="K69" s="22">
        <v>0</v>
      </c>
      <c r="L69" s="22">
        <f t="shared" si="49"/>
        <v>0</v>
      </c>
      <c r="M69" s="22">
        <v>0</v>
      </c>
      <c r="N69" s="22">
        <v>0</v>
      </c>
      <c r="O69" s="22">
        <f t="shared" si="50"/>
        <v>0</v>
      </c>
      <c r="P69" s="22">
        <v>0</v>
      </c>
      <c r="Q69" s="22">
        <v>0</v>
      </c>
      <c r="R69" s="22">
        <f t="shared" si="51"/>
        <v>0</v>
      </c>
      <c r="S69" s="22">
        <v>0</v>
      </c>
      <c r="T69" s="22">
        <v>0</v>
      </c>
    </row>
    <row r="70" spans="1:23" s="217" customFormat="1" ht="36" customHeight="1" outlineLevel="1" x14ac:dyDescent="0.2">
      <c r="A70" s="35" t="s">
        <v>407</v>
      </c>
      <c r="B70" s="222" t="s">
        <v>279</v>
      </c>
      <c r="C70" s="214"/>
      <c r="D70" s="154">
        <v>0.65</v>
      </c>
      <c r="E70" s="21">
        <f t="shared" si="38"/>
        <v>5836</v>
      </c>
      <c r="F70" s="22">
        <f t="shared" si="52"/>
        <v>0</v>
      </c>
      <c r="G70" s="22">
        <v>0</v>
      </c>
      <c r="H70" s="22">
        <v>0</v>
      </c>
      <c r="I70" s="223">
        <f t="shared" si="48"/>
        <v>5836</v>
      </c>
      <c r="J70" s="22">
        <v>5836</v>
      </c>
      <c r="K70" s="22">
        <v>0</v>
      </c>
      <c r="L70" s="223">
        <f>M70+N70</f>
        <v>0</v>
      </c>
      <c r="M70" s="22">
        <v>0</v>
      </c>
      <c r="N70" s="22">
        <v>0</v>
      </c>
      <c r="O70" s="223">
        <f>P70+Q70</f>
        <v>0</v>
      </c>
      <c r="P70" s="223">
        <f>SUM(P67:P69)</f>
        <v>0</v>
      </c>
      <c r="Q70" s="223">
        <f>SUM(Q67:Q69)</f>
        <v>0</v>
      </c>
      <c r="R70" s="223">
        <f>S70+T70</f>
        <v>0</v>
      </c>
      <c r="S70" s="223">
        <f>SUM(S67:S69)</f>
        <v>0</v>
      </c>
      <c r="T70" s="223">
        <f>SUM(T67:T69)</f>
        <v>0</v>
      </c>
    </row>
    <row r="71" spans="1:23" s="217" customFormat="1" ht="36" customHeight="1" outlineLevel="1" x14ac:dyDescent="0.2">
      <c r="A71" s="35" t="s">
        <v>444</v>
      </c>
      <c r="B71" s="222" t="s">
        <v>280</v>
      </c>
      <c r="C71" s="20"/>
      <c r="D71" s="154">
        <v>1.93</v>
      </c>
      <c r="E71" s="21">
        <f t="shared" si="38"/>
        <v>10979</v>
      </c>
      <c r="F71" s="22">
        <f t="shared" si="52"/>
        <v>0</v>
      </c>
      <c r="G71" s="22">
        <v>0</v>
      </c>
      <c r="H71" s="23">
        <v>0</v>
      </c>
      <c r="I71" s="23">
        <f t="shared" si="48"/>
        <v>10979</v>
      </c>
      <c r="J71" s="22">
        <v>10979</v>
      </c>
      <c r="K71" s="22">
        <v>0</v>
      </c>
      <c r="L71" s="23">
        <f>M71+N71</f>
        <v>0</v>
      </c>
      <c r="M71" s="23">
        <v>0</v>
      </c>
      <c r="N71" s="22">
        <v>0</v>
      </c>
      <c r="O71" s="23">
        <f>P71+Q71</f>
        <v>0</v>
      </c>
      <c r="P71" s="23">
        <v>0</v>
      </c>
      <c r="Q71" s="23">
        <v>0</v>
      </c>
      <c r="R71" s="23">
        <f>S71+T71</f>
        <v>0</v>
      </c>
      <c r="S71" s="23">
        <v>0</v>
      </c>
      <c r="T71" s="23">
        <v>0</v>
      </c>
    </row>
    <row r="72" spans="1:23" s="217" customFormat="1" ht="36" customHeight="1" outlineLevel="1" x14ac:dyDescent="0.2">
      <c r="A72" s="35" t="s">
        <v>437</v>
      </c>
      <c r="B72" s="285" t="s">
        <v>441</v>
      </c>
      <c r="C72" s="20"/>
      <c r="D72" s="163">
        <f>0.12</f>
        <v>0.12</v>
      </c>
      <c r="E72" s="21">
        <f t="shared" ref="E72" si="53">F72+I72+L72+O72+R72</f>
        <v>3534</v>
      </c>
      <c r="F72" s="22">
        <f t="shared" si="52"/>
        <v>3534</v>
      </c>
      <c r="G72" s="25">
        <v>35</v>
      </c>
      <c r="H72" s="22">
        <v>3499</v>
      </c>
      <c r="I72" s="22"/>
      <c r="J72" s="22"/>
      <c r="K72" s="22"/>
      <c r="L72" s="22"/>
      <c r="M72" s="25"/>
      <c r="N72" s="22"/>
      <c r="O72" s="22"/>
      <c r="P72" s="22"/>
      <c r="Q72" s="22"/>
      <c r="R72" s="22"/>
      <c r="S72" s="22"/>
      <c r="T72" s="22"/>
    </row>
    <row r="73" spans="1:23" s="227" customFormat="1" ht="42.75" customHeight="1" x14ac:dyDescent="0.2">
      <c r="A73" s="35" t="s">
        <v>438</v>
      </c>
      <c r="B73" s="224" t="s">
        <v>452</v>
      </c>
      <c r="C73" s="20"/>
      <c r="D73" s="221">
        <v>1.1299999999999999</v>
      </c>
      <c r="E73" s="21">
        <f t="shared" si="38"/>
        <v>30205</v>
      </c>
      <c r="F73" s="22"/>
      <c r="G73" s="22"/>
      <c r="H73" s="23"/>
      <c r="I73" s="23">
        <f t="shared" si="48"/>
        <v>30205</v>
      </c>
      <c r="J73" s="22"/>
      <c r="K73" s="22">
        <v>30205</v>
      </c>
      <c r="L73" s="23"/>
      <c r="M73" s="23"/>
      <c r="N73" s="23"/>
      <c r="O73" s="23"/>
      <c r="P73" s="23"/>
      <c r="Q73" s="23"/>
      <c r="R73" s="23"/>
      <c r="S73" s="23"/>
      <c r="T73" s="23"/>
      <c r="U73" s="225"/>
      <c r="V73" s="226">
        <v>305</v>
      </c>
    </row>
    <row r="74" spans="1:23" s="227" customFormat="1" ht="27" customHeight="1" x14ac:dyDescent="0.2">
      <c r="A74" s="35" t="s">
        <v>439</v>
      </c>
      <c r="B74" s="224" t="s">
        <v>453</v>
      </c>
      <c r="C74" s="20"/>
      <c r="D74" s="221">
        <v>0.79900000000000004</v>
      </c>
      <c r="E74" s="21">
        <f t="shared" si="38"/>
        <v>21357</v>
      </c>
      <c r="F74" s="22"/>
      <c r="G74" s="22"/>
      <c r="H74" s="23"/>
      <c r="I74" s="23">
        <f t="shared" si="48"/>
        <v>21357</v>
      </c>
      <c r="J74" s="22"/>
      <c r="K74" s="22">
        <v>21357</v>
      </c>
      <c r="L74" s="23"/>
      <c r="M74" s="23"/>
      <c r="N74" s="23"/>
      <c r="O74" s="23"/>
      <c r="P74" s="23"/>
      <c r="Q74" s="23"/>
      <c r="R74" s="23"/>
      <c r="S74" s="23"/>
      <c r="T74" s="23"/>
      <c r="U74" s="225"/>
      <c r="V74" s="228">
        <v>216</v>
      </c>
    </row>
    <row r="75" spans="1:23" s="227" customFormat="1" ht="27" customHeight="1" x14ac:dyDescent="0.2">
      <c r="A75" s="35" t="s">
        <v>470</v>
      </c>
      <c r="B75" s="224" t="s">
        <v>454</v>
      </c>
      <c r="C75" s="20"/>
      <c r="D75" s="221">
        <v>0.73099999999999998</v>
      </c>
      <c r="E75" s="21">
        <f t="shared" si="38"/>
        <v>19540</v>
      </c>
      <c r="F75" s="22"/>
      <c r="G75" s="22"/>
      <c r="H75" s="23"/>
      <c r="I75" s="23">
        <f t="shared" si="48"/>
        <v>19540</v>
      </c>
      <c r="J75" s="22"/>
      <c r="K75" s="22">
        <v>19540</v>
      </c>
      <c r="L75" s="23"/>
      <c r="M75" s="23"/>
      <c r="N75" s="23"/>
      <c r="O75" s="23"/>
      <c r="P75" s="23"/>
      <c r="Q75" s="23"/>
      <c r="R75" s="23"/>
      <c r="S75" s="23"/>
      <c r="T75" s="23"/>
      <c r="U75" s="225"/>
      <c r="V75" s="229">
        <v>197</v>
      </c>
    </row>
    <row r="76" spans="1:23" s="227" customFormat="1" ht="27" customHeight="1" x14ac:dyDescent="0.2">
      <c r="A76" s="35" t="s">
        <v>471</v>
      </c>
      <c r="B76" s="224" t="s">
        <v>455</v>
      </c>
      <c r="C76" s="20"/>
      <c r="D76" s="221">
        <v>0.85099999999999998</v>
      </c>
      <c r="E76" s="21">
        <f t="shared" si="38"/>
        <v>22747</v>
      </c>
      <c r="F76" s="22"/>
      <c r="G76" s="22"/>
      <c r="H76" s="23"/>
      <c r="I76" s="23">
        <f t="shared" si="48"/>
        <v>22747</v>
      </c>
      <c r="J76" s="22"/>
      <c r="K76" s="22">
        <v>22747</v>
      </c>
      <c r="L76" s="23"/>
      <c r="M76" s="23"/>
      <c r="N76" s="23"/>
      <c r="O76" s="23"/>
      <c r="P76" s="23"/>
      <c r="Q76" s="23"/>
      <c r="R76" s="23"/>
      <c r="S76" s="23"/>
      <c r="T76" s="23"/>
      <c r="U76" s="225"/>
      <c r="V76" s="230"/>
      <c r="W76" s="231"/>
    </row>
    <row r="77" spans="1:23" s="227" customFormat="1" ht="27" customHeight="1" x14ac:dyDescent="0.2">
      <c r="A77" s="35" t="s">
        <v>472</v>
      </c>
      <c r="B77" s="224" t="s">
        <v>456</v>
      </c>
      <c r="C77" s="20"/>
      <c r="D77" s="221">
        <v>1.1000000000000001</v>
      </c>
      <c r="E77" s="21">
        <f t="shared" si="38"/>
        <v>32670</v>
      </c>
      <c r="F77" s="22"/>
      <c r="G77" s="22"/>
      <c r="H77" s="23"/>
      <c r="I77" s="23">
        <f t="shared" si="48"/>
        <v>32670</v>
      </c>
      <c r="J77" s="22"/>
      <c r="K77" s="22">
        <v>32670</v>
      </c>
      <c r="L77" s="23"/>
      <c r="M77" s="23"/>
      <c r="N77" s="23"/>
      <c r="O77" s="23"/>
      <c r="P77" s="23"/>
      <c r="Q77" s="23"/>
      <c r="R77" s="23"/>
      <c r="S77" s="23"/>
      <c r="T77" s="23"/>
      <c r="U77" s="225"/>
      <c r="V77" s="230"/>
      <c r="W77" s="231"/>
    </row>
    <row r="78" spans="1:23" s="227" customFormat="1" ht="27" customHeight="1" x14ac:dyDescent="0.2">
      <c r="A78" s="35" t="s">
        <v>473</v>
      </c>
      <c r="B78" s="224" t="s">
        <v>457</v>
      </c>
      <c r="C78" s="20"/>
      <c r="D78" s="221">
        <v>2.2669999999999999</v>
      </c>
      <c r="E78" s="21">
        <f t="shared" si="38"/>
        <v>67330</v>
      </c>
      <c r="F78" s="22"/>
      <c r="G78" s="22"/>
      <c r="H78" s="23"/>
      <c r="I78" s="23">
        <f t="shared" si="48"/>
        <v>67330</v>
      </c>
      <c r="J78" s="22"/>
      <c r="K78" s="22">
        <v>67330</v>
      </c>
      <c r="L78" s="23"/>
      <c r="M78" s="23"/>
      <c r="N78" s="23"/>
      <c r="O78" s="23"/>
      <c r="P78" s="23"/>
      <c r="Q78" s="23"/>
      <c r="R78" s="23"/>
      <c r="S78" s="23"/>
      <c r="T78" s="23"/>
      <c r="U78" s="225"/>
      <c r="V78" s="230"/>
      <c r="W78" s="231"/>
    </row>
    <row r="79" spans="1:23" s="227" customFormat="1" ht="27" customHeight="1" x14ac:dyDescent="0.2">
      <c r="A79" s="35" t="s">
        <v>474</v>
      </c>
      <c r="B79" s="224" t="s">
        <v>458</v>
      </c>
      <c r="C79" s="20"/>
      <c r="D79" s="221">
        <v>0.68100000000000005</v>
      </c>
      <c r="E79" s="21">
        <f t="shared" si="38"/>
        <v>20226</v>
      </c>
      <c r="F79" s="22"/>
      <c r="G79" s="22"/>
      <c r="H79" s="23"/>
      <c r="I79" s="23">
        <f t="shared" si="48"/>
        <v>20226</v>
      </c>
      <c r="J79" s="22"/>
      <c r="K79" s="22">
        <v>20226</v>
      </c>
      <c r="L79" s="23"/>
      <c r="M79" s="23"/>
      <c r="N79" s="23"/>
      <c r="O79" s="23"/>
      <c r="P79" s="23"/>
      <c r="Q79" s="23"/>
      <c r="R79" s="23"/>
      <c r="S79" s="23"/>
      <c r="T79" s="23"/>
      <c r="U79" s="225"/>
      <c r="V79" s="230"/>
      <c r="W79" s="231"/>
    </row>
    <row r="80" spans="1:23" s="227" customFormat="1" ht="27" customHeight="1" x14ac:dyDescent="0.2">
      <c r="A80" s="35" t="s">
        <v>475</v>
      </c>
      <c r="B80" s="224" t="s">
        <v>459</v>
      </c>
      <c r="C80" s="20"/>
      <c r="D80" s="221">
        <v>1.0389999999999999</v>
      </c>
      <c r="E80" s="21">
        <f t="shared" si="38"/>
        <v>27772</v>
      </c>
      <c r="F80" s="22"/>
      <c r="G80" s="22"/>
      <c r="H80" s="23"/>
      <c r="I80" s="23">
        <f t="shared" si="48"/>
        <v>27772</v>
      </c>
      <c r="J80" s="22"/>
      <c r="K80" s="22">
        <v>27772</v>
      </c>
      <c r="L80" s="23"/>
      <c r="M80" s="23"/>
      <c r="N80" s="23"/>
      <c r="O80" s="23"/>
      <c r="P80" s="23"/>
      <c r="Q80" s="23"/>
      <c r="R80" s="23"/>
      <c r="S80" s="23"/>
      <c r="T80" s="23"/>
      <c r="U80" s="225"/>
      <c r="V80" s="230"/>
      <c r="W80" s="231"/>
    </row>
    <row r="81" spans="1:23" s="227" customFormat="1" ht="27" customHeight="1" x14ac:dyDescent="0.2">
      <c r="A81" s="35" t="s">
        <v>476</v>
      </c>
      <c r="B81" s="224" t="s">
        <v>455</v>
      </c>
      <c r="C81" s="20"/>
      <c r="D81" s="221">
        <v>0.85099999999999998</v>
      </c>
      <c r="E81" s="21">
        <f t="shared" si="38"/>
        <v>22747</v>
      </c>
      <c r="F81" s="22"/>
      <c r="G81" s="22"/>
      <c r="H81" s="23"/>
      <c r="I81" s="23">
        <f t="shared" si="48"/>
        <v>22747</v>
      </c>
      <c r="J81" s="22"/>
      <c r="K81" s="22">
        <v>22747</v>
      </c>
      <c r="L81" s="23"/>
      <c r="M81" s="23"/>
      <c r="N81" s="23"/>
      <c r="O81" s="23"/>
      <c r="P81" s="23"/>
      <c r="Q81" s="23"/>
      <c r="R81" s="23"/>
      <c r="S81" s="23"/>
      <c r="T81" s="23"/>
      <c r="U81" s="225"/>
      <c r="V81" s="230"/>
      <c r="W81" s="231"/>
    </row>
    <row r="82" spans="1:23" s="227" customFormat="1" ht="27" customHeight="1" x14ac:dyDescent="0.2">
      <c r="A82" s="35" t="s">
        <v>477</v>
      </c>
      <c r="B82" s="224" t="s">
        <v>453</v>
      </c>
      <c r="C82" s="20"/>
      <c r="D82" s="221">
        <v>1</v>
      </c>
      <c r="E82" s="21">
        <f t="shared" si="38"/>
        <v>26730</v>
      </c>
      <c r="F82" s="22"/>
      <c r="G82" s="22"/>
      <c r="H82" s="23"/>
      <c r="I82" s="23">
        <f t="shared" si="48"/>
        <v>26730</v>
      </c>
      <c r="J82" s="22"/>
      <c r="K82" s="22">
        <v>26730</v>
      </c>
      <c r="L82" s="23"/>
      <c r="M82" s="23"/>
      <c r="N82" s="23"/>
      <c r="O82" s="23"/>
      <c r="P82" s="23"/>
      <c r="Q82" s="23"/>
      <c r="R82" s="23"/>
      <c r="S82" s="23"/>
      <c r="T82" s="23"/>
      <c r="U82" s="225"/>
      <c r="V82" s="230"/>
      <c r="W82" s="231"/>
    </row>
    <row r="83" spans="1:23" s="227" customFormat="1" ht="45.75" customHeight="1" x14ac:dyDescent="0.2">
      <c r="A83" s="35" t="s">
        <v>478</v>
      </c>
      <c r="B83" s="224" t="s">
        <v>460</v>
      </c>
      <c r="C83" s="20"/>
      <c r="D83" s="221">
        <v>2.25</v>
      </c>
      <c r="E83" s="21">
        <f t="shared" si="38"/>
        <v>227357</v>
      </c>
      <c r="F83" s="22"/>
      <c r="G83" s="22"/>
      <c r="H83" s="23"/>
      <c r="I83" s="23">
        <f t="shared" si="48"/>
        <v>227357</v>
      </c>
      <c r="J83" s="22"/>
      <c r="K83" s="22">
        <v>227357</v>
      </c>
      <c r="L83" s="23"/>
      <c r="M83" s="23"/>
      <c r="N83" s="23"/>
      <c r="O83" s="23"/>
      <c r="P83" s="23"/>
      <c r="Q83" s="23"/>
      <c r="R83" s="23"/>
      <c r="S83" s="23"/>
      <c r="T83" s="23"/>
      <c r="U83" s="225"/>
      <c r="V83" s="230"/>
      <c r="W83" s="231"/>
    </row>
    <row r="84" spans="1:23" s="227" customFormat="1" ht="48.75" customHeight="1" x14ac:dyDescent="0.2">
      <c r="A84" s="35" t="s">
        <v>479</v>
      </c>
      <c r="B84" s="224" t="s">
        <v>461</v>
      </c>
      <c r="C84" s="20"/>
      <c r="D84" s="221">
        <v>1.1100000000000001</v>
      </c>
      <c r="E84" s="21">
        <f t="shared" si="38"/>
        <v>181319</v>
      </c>
      <c r="F84" s="22"/>
      <c r="G84" s="22"/>
      <c r="H84" s="23"/>
      <c r="I84" s="23">
        <f t="shared" si="48"/>
        <v>181319</v>
      </c>
      <c r="J84" s="22"/>
      <c r="K84" s="22">
        <v>181319</v>
      </c>
      <c r="L84" s="23"/>
      <c r="M84" s="23"/>
      <c r="N84" s="23"/>
      <c r="O84" s="23"/>
      <c r="P84" s="23"/>
      <c r="Q84" s="23"/>
      <c r="R84" s="23"/>
      <c r="S84" s="23"/>
      <c r="T84" s="23"/>
      <c r="U84" s="225"/>
      <c r="V84" s="230"/>
      <c r="W84" s="231"/>
    </row>
    <row r="85" spans="1:23" s="227" customFormat="1" ht="29.25" customHeight="1" x14ac:dyDescent="0.2">
      <c r="A85" s="35" t="s">
        <v>480</v>
      </c>
      <c r="B85" s="232" t="s">
        <v>462</v>
      </c>
      <c r="C85" s="20"/>
      <c r="D85" s="221">
        <v>1.3260000000000001</v>
      </c>
      <c r="E85" s="21">
        <f t="shared" si="38"/>
        <v>35802</v>
      </c>
      <c r="F85" s="22"/>
      <c r="G85" s="22"/>
      <c r="H85" s="23"/>
      <c r="I85" s="23"/>
      <c r="J85" s="22"/>
      <c r="K85" s="22"/>
      <c r="L85" s="23">
        <f>M85+N85</f>
        <v>35802</v>
      </c>
      <c r="M85" s="23">
        <v>358</v>
      </c>
      <c r="N85" s="23">
        <v>35444</v>
      </c>
      <c r="O85" s="23"/>
      <c r="P85" s="23"/>
      <c r="Q85" s="23"/>
      <c r="R85" s="23"/>
      <c r="S85" s="23"/>
      <c r="T85" s="23"/>
      <c r="U85" s="225"/>
      <c r="V85" s="230"/>
    </row>
    <row r="86" spans="1:23" s="227" customFormat="1" ht="35.25" customHeight="1" x14ac:dyDescent="0.2">
      <c r="A86" s="35" t="s">
        <v>481</v>
      </c>
      <c r="B86" s="232" t="s">
        <v>463</v>
      </c>
      <c r="C86" s="20"/>
      <c r="D86" s="221">
        <v>0.52</v>
      </c>
      <c r="E86" s="21">
        <f t="shared" si="38"/>
        <v>34320</v>
      </c>
      <c r="F86" s="22"/>
      <c r="G86" s="22"/>
      <c r="H86" s="23"/>
      <c r="I86" s="23"/>
      <c r="J86" s="22"/>
      <c r="K86" s="22"/>
      <c r="L86" s="23">
        <f t="shared" ref="L86:L89" si="54">M86+N86</f>
        <v>34320</v>
      </c>
      <c r="M86" s="23">
        <v>343</v>
      </c>
      <c r="N86" s="23">
        <v>33977</v>
      </c>
      <c r="O86" s="23"/>
      <c r="P86" s="23"/>
      <c r="Q86" s="23"/>
      <c r="R86" s="23"/>
      <c r="S86" s="23"/>
      <c r="T86" s="23"/>
      <c r="U86" s="225"/>
      <c r="V86" s="230"/>
    </row>
    <row r="87" spans="1:23" s="227" customFormat="1" ht="38.25" customHeight="1" x14ac:dyDescent="0.2">
      <c r="A87" s="35" t="s">
        <v>482</v>
      </c>
      <c r="B87" s="232" t="s">
        <v>464</v>
      </c>
      <c r="C87" s="20"/>
      <c r="D87" s="221">
        <v>0.9</v>
      </c>
      <c r="E87" s="21">
        <f t="shared" si="38"/>
        <v>89100</v>
      </c>
      <c r="F87" s="22"/>
      <c r="G87" s="22"/>
      <c r="H87" s="23"/>
      <c r="I87" s="23"/>
      <c r="J87" s="22"/>
      <c r="K87" s="22"/>
      <c r="L87" s="23">
        <f t="shared" si="54"/>
        <v>89100</v>
      </c>
      <c r="M87" s="23">
        <v>891</v>
      </c>
      <c r="N87" s="23">
        <v>88209</v>
      </c>
      <c r="O87" s="23"/>
      <c r="P87" s="23"/>
      <c r="Q87" s="23"/>
      <c r="R87" s="23"/>
      <c r="S87" s="23"/>
      <c r="T87" s="23"/>
      <c r="U87" s="225"/>
      <c r="V87" s="230"/>
    </row>
    <row r="88" spans="1:23" s="227" customFormat="1" ht="48.75" customHeight="1" x14ac:dyDescent="0.2">
      <c r="A88" s="35" t="s">
        <v>483</v>
      </c>
      <c r="B88" s="232" t="s">
        <v>465</v>
      </c>
      <c r="C88" s="20"/>
      <c r="D88" s="221">
        <v>2.38</v>
      </c>
      <c r="E88" s="21">
        <f t="shared" si="38"/>
        <v>347610</v>
      </c>
      <c r="F88" s="22"/>
      <c r="G88" s="22"/>
      <c r="H88" s="23"/>
      <c r="I88" s="23"/>
      <c r="J88" s="22"/>
      <c r="K88" s="22"/>
      <c r="L88" s="23">
        <f t="shared" si="54"/>
        <v>347610</v>
      </c>
      <c r="M88" s="23">
        <v>3476</v>
      </c>
      <c r="N88" s="23">
        <v>344134</v>
      </c>
      <c r="O88" s="23"/>
      <c r="P88" s="23"/>
      <c r="Q88" s="23"/>
      <c r="R88" s="23"/>
      <c r="S88" s="23"/>
      <c r="T88" s="23"/>
      <c r="U88" s="225"/>
      <c r="V88" s="230"/>
    </row>
    <row r="89" spans="1:23" s="227" customFormat="1" ht="48.75" customHeight="1" x14ac:dyDescent="0.2">
      <c r="A89" s="35" t="s">
        <v>484</v>
      </c>
      <c r="B89" s="232" t="s">
        <v>493</v>
      </c>
      <c r="C89" s="20"/>
      <c r="D89" s="221">
        <v>0.95</v>
      </c>
      <c r="E89" s="21">
        <f t="shared" si="38"/>
        <v>200239</v>
      </c>
      <c r="F89" s="22"/>
      <c r="G89" s="22"/>
      <c r="H89" s="23"/>
      <c r="I89" s="23"/>
      <c r="J89" s="22"/>
      <c r="K89" s="22"/>
      <c r="L89" s="23">
        <f t="shared" si="54"/>
        <v>200239</v>
      </c>
      <c r="M89" s="23">
        <v>2003</v>
      </c>
      <c r="N89" s="23">
        <v>198236</v>
      </c>
      <c r="O89" s="23"/>
      <c r="P89" s="23"/>
      <c r="Q89" s="23"/>
      <c r="R89" s="23"/>
      <c r="S89" s="23"/>
      <c r="T89" s="23"/>
      <c r="U89" s="225"/>
      <c r="V89" s="230"/>
    </row>
    <row r="90" spans="1:23" s="227" customFormat="1" ht="48.75" customHeight="1" x14ac:dyDescent="0.2">
      <c r="A90" s="35"/>
      <c r="B90" s="232" t="s">
        <v>578</v>
      </c>
      <c r="C90" s="20"/>
      <c r="D90" s="221"/>
      <c r="E90" s="21"/>
      <c r="F90" s="22">
        <f t="shared" ref="F90" si="55">G90+H90</f>
        <v>236</v>
      </c>
      <c r="G90" s="22">
        <v>236</v>
      </c>
      <c r="H90" s="23"/>
      <c r="I90" s="23"/>
      <c r="J90" s="22"/>
      <c r="K90" s="22"/>
      <c r="L90" s="23"/>
      <c r="M90" s="23"/>
      <c r="N90" s="23"/>
      <c r="O90" s="23"/>
      <c r="P90" s="23"/>
      <c r="Q90" s="23"/>
      <c r="R90" s="23"/>
      <c r="S90" s="23"/>
      <c r="T90" s="23"/>
      <c r="U90" s="225"/>
      <c r="V90" s="230"/>
    </row>
    <row r="91" spans="1:23" s="217" customFormat="1" ht="84" customHeight="1" outlineLevel="1" x14ac:dyDescent="0.2">
      <c r="A91" s="233"/>
      <c r="B91" s="286" t="s">
        <v>427</v>
      </c>
      <c r="C91" s="264"/>
      <c r="D91" s="258">
        <f>SUM(D55:D89)</f>
        <v>38.555000000000014</v>
      </c>
      <c r="E91" s="259">
        <f t="shared" si="38"/>
        <v>2215693</v>
      </c>
      <c r="F91" s="234">
        <f>G91+H91</f>
        <v>754311</v>
      </c>
      <c r="G91" s="39">
        <f>SUM(G55:G90)</f>
        <v>54311</v>
      </c>
      <c r="H91" s="39">
        <f>SUM(H55:H90)</f>
        <v>700000</v>
      </c>
      <c r="I91" s="234">
        <f>J91+K91</f>
        <v>754311</v>
      </c>
      <c r="J91" s="39">
        <f>SUM(J55:J89)</f>
        <v>54311</v>
      </c>
      <c r="K91" s="39">
        <f>SUM(K55:K89)</f>
        <v>700000</v>
      </c>
      <c r="L91" s="234">
        <f>M91+N91</f>
        <v>707071</v>
      </c>
      <c r="M91" s="39">
        <f>SUM(M55:M89)</f>
        <v>7071</v>
      </c>
      <c r="N91" s="39">
        <f>SUM(N55:N89)</f>
        <v>700000</v>
      </c>
      <c r="O91" s="234">
        <f>P91+Q91</f>
        <v>0</v>
      </c>
      <c r="P91" s="39">
        <f>SUM(P55:P89)</f>
        <v>0</v>
      </c>
      <c r="Q91" s="39">
        <f>SUM(Q55:Q89)</f>
        <v>0</v>
      </c>
      <c r="R91" s="234">
        <f>S91+T91</f>
        <v>0</v>
      </c>
      <c r="S91" s="39">
        <f>SUM(S55:S89)</f>
        <v>0</v>
      </c>
      <c r="T91" s="39">
        <f>SUM(T55:T89)</f>
        <v>0</v>
      </c>
    </row>
    <row r="92" spans="1:23" s="217" customFormat="1" ht="32.25" customHeight="1" outlineLevel="1" x14ac:dyDescent="0.2">
      <c r="A92" s="370" t="s">
        <v>574</v>
      </c>
      <c r="B92" s="370"/>
      <c r="C92" s="370"/>
      <c r="D92" s="370"/>
      <c r="E92" s="370"/>
      <c r="F92" s="370"/>
      <c r="G92" s="370"/>
      <c r="H92" s="370"/>
      <c r="I92" s="370"/>
      <c r="J92" s="370"/>
      <c r="K92" s="370"/>
      <c r="L92" s="370"/>
      <c r="M92" s="370"/>
      <c r="N92" s="370"/>
      <c r="O92" s="370"/>
      <c r="P92" s="370"/>
      <c r="Q92" s="370"/>
      <c r="R92" s="370"/>
      <c r="S92" s="370"/>
      <c r="T92" s="370"/>
    </row>
    <row r="93" spans="1:23" s="227" customFormat="1" ht="27" customHeight="1" x14ac:dyDescent="0.2">
      <c r="A93" s="35" t="s">
        <v>485</v>
      </c>
      <c r="B93" s="220" t="s">
        <v>440</v>
      </c>
      <c r="C93" s="20"/>
      <c r="D93" s="163">
        <v>1.883</v>
      </c>
      <c r="E93" s="21">
        <f t="shared" ref="E93:E123" si="56">F93+I93+L93+O93+R93</f>
        <v>170867</v>
      </c>
      <c r="F93" s="22">
        <f t="shared" ref="F93:F121" si="57">G93+H93</f>
        <v>170867</v>
      </c>
      <c r="G93" s="22">
        <v>1709</v>
      </c>
      <c r="H93" s="223">
        <v>169158</v>
      </c>
      <c r="I93" s="23">
        <f t="shared" ref="I93:I124" si="58">J93+K93</f>
        <v>0</v>
      </c>
      <c r="J93" s="22">
        <v>0</v>
      </c>
      <c r="K93" s="22">
        <v>0</v>
      </c>
      <c r="L93" s="23">
        <f t="shared" ref="L93:L95" si="59">M93+N93</f>
        <v>0</v>
      </c>
      <c r="M93" s="23">
        <v>0</v>
      </c>
      <c r="N93" s="23">
        <v>0</v>
      </c>
      <c r="O93" s="23">
        <f t="shared" ref="O93:O95" si="60">P93+Q93</f>
        <v>0</v>
      </c>
      <c r="P93" s="23">
        <v>0</v>
      </c>
      <c r="Q93" s="23">
        <v>0</v>
      </c>
      <c r="R93" s="23">
        <f t="shared" ref="R93:R95" si="61">S93+T93</f>
        <v>0</v>
      </c>
      <c r="S93" s="23">
        <v>0</v>
      </c>
      <c r="T93" s="23">
        <v>0</v>
      </c>
      <c r="U93" s="225"/>
      <c r="V93" s="235"/>
    </row>
    <row r="94" spans="1:23" s="227" customFormat="1" ht="27" customHeight="1" x14ac:dyDescent="0.2">
      <c r="A94" s="35" t="s">
        <v>486</v>
      </c>
      <c r="B94" s="285" t="s">
        <v>441</v>
      </c>
      <c r="C94" s="20"/>
      <c r="D94" s="163">
        <f>0.87</f>
        <v>0.87</v>
      </c>
      <c r="E94" s="21">
        <f t="shared" si="56"/>
        <v>26506</v>
      </c>
      <c r="F94" s="22">
        <f t="shared" si="57"/>
        <v>26506</v>
      </c>
      <c r="G94" s="22">
        <f>265</f>
        <v>265</v>
      </c>
      <c r="H94" s="223">
        <f>26241</f>
        <v>26241</v>
      </c>
      <c r="I94" s="23">
        <f t="shared" si="58"/>
        <v>0</v>
      </c>
      <c r="J94" s="22">
        <v>0</v>
      </c>
      <c r="K94" s="23">
        <v>0</v>
      </c>
      <c r="L94" s="23">
        <f t="shared" si="59"/>
        <v>0</v>
      </c>
      <c r="M94" s="22">
        <v>0</v>
      </c>
      <c r="N94" s="23">
        <v>0</v>
      </c>
      <c r="O94" s="23">
        <f t="shared" si="60"/>
        <v>0</v>
      </c>
      <c r="P94" s="23">
        <v>0</v>
      </c>
      <c r="Q94" s="23">
        <v>0</v>
      </c>
      <c r="R94" s="23">
        <f t="shared" si="61"/>
        <v>0</v>
      </c>
      <c r="S94" s="23">
        <v>0</v>
      </c>
      <c r="T94" s="23">
        <v>0</v>
      </c>
      <c r="U94" s="225"/>
      <c r="V94" s="235"/>
    </row>
    <row r="95" spans="1:23" s="227" customFormat="1" ht="57" customHeight="1" x14ac:dyDescent="0.2">
      <c r="A95" s="35" t="s">
        <v>523</v>
      </c>
      <c r="B95" s="220" t="s">
        <v>442</v>
      </c>
      <c r="C95" s="20"/>
      <c r="D95" s="163">
        <v>0.70399999999999996</v>
      </c>
      <c r="E95" s="21">
        <f t="shared" si="56"/>
        <v>27188</v>
      </c>
      <c r="F95" s="22">
        <f t="shared" si="57"/>
        <v>27188</v>
      </c>
      <c r="G95" s="22">
        <v>272</v>
      </c>
      <c r="H95" s="223">
        <v>26916</v>
      </c>
      <c r="I95" s="23">
        <f t="shared" si="58"/>
        <v>0</v>
      </c>
      <c r="J95" s="22">
        <v>0</v>
      </c>
      <c r="K95" s="22">
        <v>0</v>
      </c>
      <c r="L95" s="23">
        <f t="shared" si="59"/>
        <v>0</v>
      </c>
      <c r="M95" s="23">
        <v>0</v>
      </c>
      <c r="N95" s="23">
        <v>0</v>
      </c>
      <c r="O95" s="23">
        <f t="shared" si="60"/>
        <v>0</v>
      </c>
      <c r="P95" s="23">
        <v>0</v>
      </c>
      <c r="Q95" s="23">
        <v>0</v>
      </c>
      <c r="R95" s="23">
        <f t="shared" si="61"/>
        <v>0</v>
      </c>
      <c r="S95" s="23">
        <v>0</v>
      </c>
      <c r="T95" s="23">
        <v>0</v>
      </c>
      <c r="U95" s="225"/>
      <c r="V95" s="235"/>
    </row>
    <row r="96" spans="1:23" s="227" customFormat="1" ht="97.5" customHeight="1" x14ac:dyDescent="0.2">
      <c r="A96" s="35" t="s">
        <v>524</v>
      </c>
      <c r="B96" s="220" t="s">
        <v>495</v>
      </c>
      <c r="C96" s="20"/>
      <c r="D96" s="163"/>
      <c r="E96" s="21">
        <f t="shared" si="56"/>
        <v>58288</v>
      </c>
      <c r="F96" s="22">
        <f t="shared" si="57"/>
        <v>58288</v>
      </c>
      <c r="G96" s="22">
        <v>583</v>
      </c>
      <c r="H96" s="223">
        <v>57705</v>
      </c>
      <c r="I96" s="23"/>
      <c r="J96" s="22"/>
      <c r="K96" s="22"/>
      <c r="L96" s="23"/>
      <c r="M96" s="23"/>
      <c r="N96" s="23"/>
      <c r="O96" s="23"/>
      <c r="P96" s="23"/>
      <c r="Q96" s="23"/>
      <c r="R96" s="23"/>
      <c r="S96" s="23"/>
      <c r="T96" s="23"/>
      <c r="U96" s="225"/>
      <c r="V96" s="235"/>
    </row>
    <row r="97" spans="1:22" s="227" customFormat="1" ht="60" customHeight="1" x14ac:dyDescent="0.2">
      <c r="A97" s="35" t="s">
        <v>525</v>
      </c>
      <c r="B97" s="220" t="s">
        <v>496</v>
      </c>
      <c r="C97" s="20"/>
      <c r="D97" s="163"/>
      <c r="E97" s="21">
        <f t="shared" si="56"/>
        <v>138</v>
      </c>
      <c r="F97" s="22">
        <f t="shared" si="57"/>
        <v>138</v>
      </c>
      <c r="G97" s="22">
        <v>1</v>
      </c>
      <c r="H97" s="223">
        <v>137</v>
      </c>
      <c r="I97" s="23"/>
      <c r="J97" s="22"/>
      <c r="K97" s="22"/>
      <c r="L97" s="23"/>
      <c r="M97" s="23"/>
      <c r="N97" s="23"/>
      <c r="O97" s="23"/>
      <c r="P97" s="23"/>
      <c r="Q97" s="23"/>
      <c r="R97" s="23"/>
      <c r="S97" s="23"/>
      <c r="T97" s="23"/>
      <c r="U97" s="225"/>
      <c r="V97" s="235"/>
    </row>
    <row r="98" spans="1:22" s="227" customFormat="1" ht="57" customHeight="1" x14ac:dyDescent="0.2">
      <c r="A98" s="35" t="s">
        <v>526</v>
      </c>
      <c r="B98" s="220" t="s">
        <v>497</v>
      </c>
      <c r="C98" s="20"/>
      <c r="D98" s="163"/>
      <c r="E98" s="21">
        <f t="shared" si="56"/>
        <v>193</v>
      </c>
      <c r="F98" s="22">
        <f t="shared" si="57"/>
        <v>193</v>
      </c>
      <c r="G98" s="22">
        <v>2</v>
      </c>
      <c r="H98" s="223">
        <v>191</v>
      </c>
      <c r="I98" s="23"/>
      <c r="J98" s="22"/>
      <c r="K98" s="22"/>
      <c r="L98" s="23"/>
      <c r="M98" s="23"/>
      <c r="N98" s="23"/>
      <c r="O98" s="23"/>
      <c r="P98" s="23"/>
      <c r="Q98" s="23"/>
      <c r="R98" s="23"/>
      <c r="S98" s="23"/>
      <c r="T98" s="23"/>
      <c r="U98" s="225"/>
      <c r="V98" s="235"/>
    </row>
    <row r="99" spans="1:22" s="227" customFormat="1" ht="57" customHeight="1" x14ac:dyDescent="0.2">
      <c r="A99" s="35" t="s">
        <v>527</v>
      </c>
      <c r="B99" s="220" t="s">
        <v>498</v>
      </c>
      <c r="C99" s="20"/>
      <c r="D99" s="163"/>
      <c r="E99" s="21">
        <f t="shared" si="56"/>
        <v>252</v>
      </c>
      <c r="F99" s="22">
        <f t="shared" si="57"/>
        <v>252</v>
      </c>
      <c r="G99" s="22">
        <v>3</v>
      </c>
      <c r="H99" s="223">
        <v>249</v>
      </c>
      <c r="I99" s="23"/>
      <c r="J99" s="22"/>
      <c r="K99" s="22"/>
      <c r="L99" s="23"/>
      <c r="M99" s="23"/>
      <c r="N99" s="23"/>
      <c r="O99" s="23"/>
      <c r="P99" s="23"/>
      <c r="Q99" s="23"/>
      <c r="R99" s="23"/>
      <c r="S99" s="23"/>
      <c r="T99" s="23"/>
      <c r="U99" s="225"/>
      <c r="V99" s="235"/>
    </row>
    <row r="100" spans="1:22" s="227" customFormat="1" ht="57" customHeight="1" x14ac:dyDescent="0.2">
      <c r="A100" s="35" t="s">
        <v>528</v>
      </c>
      <c r="B100" s="220" t="s">
        <v>499</v>
      </c>
      <c r="C100" s="20"/>
      <c r="D100" s="163"/>
      <c r="E100" s="21">
        <f t="shared" si="56"/>
        <v>479</v>
      </c>
      <c r="F100" s="22">
        <f t="shared" si="57"/>
        <v>479</v>
      </c>
      <c r="G100" s="22">
        <v>5</v>
      </c>
      <c r="H100" s="223">
        <v>474</v>
      </c>
      <c r="I100" s="23"/>
      <c r="J100" s="22"/>
      <c r="K100" s="22"/>
      <c r="L100" s="23"/>
      <c r="M100" s="23"/>
      <c r="N100" s="23"/>
      <c r="O100" s="23"/>
      <c r="P100" s="23"/>
      <c r="Q100" s="23"/>
      <c r="R100" s="23"/>
      <c r="S100" s="23"/>
      <c r="T100" s="23"/>
      <c r="U100" s="225"/>
      <c r="V100" s="235"/>
    </row>
    <row r="101" spans="1:22" s="227" customFormat="1" ht="101.25" customHeight="1" x14ac:dyDescent="0.2">
      <c r="A101" s="35" t="s">
        <v>529</v>
      </c>
      <c r="B101" s="220" t="s">
        <v>500</v>
      </c>
      <c r="C101" s="20"/>
      <c r="D101" s="163"/>
      <c r="E101" s="21">
        <f t="shared" si="56"/>
        <v>216</v>
      </c>
      <c r="F101" s="22">
        <f t="shared" si="57"/>
        <v>216</v>
      </c>
      <c r="G101" s="22">
        <v>2</v>
      </c>
      <c r="H101" s="223">
        <v>214</v>
      </c>
      <c r="I101" s="23"/>
      <c r="J101" s="22"/>
      <c r="K101" s="22"/>
      <c r="L101" s="23"/>
      <c r="M101" s="23"/>
      <c r="N101" s="23"/>
      <c r="O101" s="23"/>
      <c r="P101" s="23"/>
      <c r="Q101" s="23"/>
      <c r="R101" s="23"/>
      <c r="S101" s="23"/>
      <c r="T101" s="23"/>
      <c r="U101" s="225"/>
      <c r="V101" s="235"/>
    </row>
    <row r="102" spans="1:22" s="227" customFormat="1" ht="57" customHeight="1" x14ac:dyDescent="0.2">
      <c r="A102" s="35" t="s">
        <v>530</v>
      </c>
      <c r="B102" s="220" t="s">
        <v>501</v>
      </c>
      <c r="C102" s="20"/>
      <c r="D102" s="163"/>
      <c r="E102" s="21">
        <f t="shared" si="56"/>
        <v>656</v>
      </c>
      <c r="F102" s="22">
        <f t="shared" si="57"/>
        <v>656</v>
      </c>
      <c r="G102" s="22">
        <v>7</v>
      </c>
      <c r="H102" s="223">
        <v>649</v>
      </c>
      <c r="I102" s="23"/>
      <c r="J102" s="22"/>
      <c r="K102" s="22"/>
      <c r="L102" s="23"/>
      <c r="M102" s="23"/>
      <c r="N102" s="23"/>
      <c r="O102" s="23"/>
      <c r="P102" s="23"/>
      <c r="Q102" s="23"/>
      <c r="R102" s="23"/>
      <c r="S102" s="23"/>
      <c r="T102" s="23"/>
      <c r="U102" s="225"/>
      <c r="V102" s="235"/>
    </row>
    <row r="103" spans="1:22" s="227" customFormat="1" ht="99.75" customHeight="1" x14ac:dyDescent="0.2">
      <c r="A103" s="35" t="s">
        <v>531</v>
      </c>
      <c r="B103" s="220" t="s">
        <v>502</v>
      </c>
      <c r="C103" s="20"/>
      <c r="D103" s="163"/>
      <c r="E103" s="21">
        <f t="shared" si="56"/>
        <v>126</v>
      </c>
      <c r="F103" s="22">
        <f t="shared" si="57"/>
        <v>126</v>
      </c>
      <c r="G103" s="22">
        <v>1</v>
      </c>
      <c r="H103" s="223">
        <v>125</v>
      </c>
      <c r="I103" s="23"/>
      <c r="J103" s="22"/>
      <c r="K103" s="22"/>
      <c r="L103" s="23"/>
      <c r="M103" s="23"/>
      <c r="N103" s="23"/>
      <c r="O103" s="23"/>
      <c r="P103" s="23"/>
      <c r="Q103" s="23"/>
      <c r="R103" s="23"/>
      <c r="S103" s="23"/>
      <c r="T103" s="23"/>
      <c r="U103" s="225"/>
      <c r="V103" s="235"/>
    </row>
    <row r="104" spans="1:22" s="227" customFormat="1" ht="69" customHeight="1" x14ac:dyDescent="0.2">
      <c r="A104" s="35" t="s">
        <v>532</v>
      </c>
      <c r="B104" s="220" t="s">
        <v>503</v>
      </c>
      <c r="C104" s="20"/>
      <c r="D104" s="163"/>
      <c r="E104" s="21">
        <f t="shared" si="56"/>
        <v>221</v>
      </c>
      <c r="F104" s="22">
        <f t="shared" si="57"/>
        <v>221</v>
      </c>
      <c r="G104" s="22">
        <v>2</v>
      </c>
      <c r="H104" s="223">
        <v>219</v>
      </c>
      <c r="I104" s="23"/>
      <c r="J104" s="22"/>
      <c r="K104" s="22"/>
      <c r="L104" s="23"/>
      <c r="M104" s="23"/>
      <c r="N104" s="23"/>
      <c r="O104" s="23"/>
      <c r="P104" s="23"/>
      <c r="Q104" s="23"/>
      <c r="R104" s="23"/>
      <c r="S104" s="23"/>
      <c r="T104" s="23"/>
      <c r="U104" s="225"/>
      <c r="V104" s="235"/>
    </row>
    <row r="105" spans="1:22" s="227" customFormat="1" ht="57" customHeight="1" x14ac:dyDescent="0.2">
      <c r="A105" s="35" t="s">
        <v>533</v>
      </c>
      <c r="B105" s="220" t="s">
        <v>504</v>
      </c>
      <c r="C105" s="20"/>
      <c r="D105" s="163"/>
      <c r="E105" s="21">
        <f t="shared" si="56"/>
        <v>324</v>
      </c>
      <c r="F105" s="22">
        <f t="shared" si="57"/>
        <v>324</v>
      </c>
      <c r="G105" s="22">
        <v>3</v>
      </c>
      <c r="H105" s="223">
        <v>321</v>
      </c>
      <c r="I105" s="23"/>
      <c r="J105" s="22"/>
      <c r="K105" s="22"/>
      <c r="L105" s="23"/>
      <c r="M105" s="23"/>
      <c r="N105" s="23"/>
      <c r="O105" s="23"/>
      <c r="P105" s="23"/>
      <c r="Q105" s="23"/>
      <c r="R105" s="23"/>
      <c r="S105" s="23"/>
      <c r="T105" s="23"/>
      <c r="U105" s="225"/>
      <c r="V105" s="235"/>
    </row>
    <row r="106" spans="1:22" s="227" customFormat="1" ht="57" customHeight="1" x14ac:dyDescent="0.2">
      <c r="A106" s="35" t="s">
        <v>534</v>
      </c>
      <c r="B106" s="220" t="s">
        <v>505</v>
      </c>
      <c r="C106" s="20"/>
      <c r="D106" s="163"/>
      <c r="E106" s="21">
        <f t="shared" si="56"/>
        <v>380</v>
      </c>
      <c r="F106" s="22">
        <f t="shared" si="57"/>
        <v>380</v>
      </c>
      <c r="G106" s="22">
        <v>4</v>
      </c>
      <c r="H106" s="223">
        <v>376</v>
      </c>
      <c r="I106" s="23"/>
      <c r="J106" s="22"/>
      <c r="K106" s="22"/>
      <c r="L106" s="23"/>
      <c r="M106" s="23"/>
      <c r="N106" s="23"/>
      <c r="O106" s="23"/>
      <c r="P106" s="23"/>
      <c r="Q106" s="23"/>
      <c r="R106" s="23"/>
      <c r="S106" s="23"/>
      <c r="T106" s="23"/>
      <c r="U106" s="225"/>
      <c r="V106" s="235"/>
    </row>
    <row r="107" spans="1:22" s="227" customFormat="1" ht="68.25" customHeight="1" x14ac:dyDescent="0.2">
      <c r="A107" s="35" t="s">
        <v>535</v>
      </c>
      <c r="B107" s="220" t="s">
        <v>506</v>
      </c>
      <c r="C107" s="20"/>
      <c r="D107" s="163"/>
      <c r="E107" s="21">
        <f t="shared" si="56"/>
        <v>642</v>
      </c>
      <c r="F107" s="22">
        <f t="shared" si="57"/>
        <v>642</v>
      </c>
      <c r="G107" s="22">
        <v>6</v>
      </c>
      <c r="H107" s="223">
        <v>636</v>
      </c>
      <c r="I107" s="23"/>
      <c r="J107" s="22"/>
      <c r="K107" s="22"/>
      <c r="L107" s="23"/>
      <c r="M107" s="23"/>
      <c r="N107" s="23"/>
      <c r="O107" s="23"/>
      <c r="P107" s="23"/>
      <c r="Q107" s="23"/>
      <c r="R107" s="23"/>
      <c r="S107" s="23"/>
      <c r="T107" s="23"/>
      <c r="U107" s="225"/>
      <c r="V107" s="235"/>
    </row>
    <row r="108" spans="1:22" s="227" customFormat="1" ht="88.5" customHeight="1" x14ac:dyDescent="0.2">
      <c r="A108" s="35" t="s">
        <v>536</v>
      </c>
      <c r="B108" s="220" t="s">
        <v>507</v>
      </c>
      <c r="C108" s="20"/>
      <c r="D108" s="163"/>
      <c r="E108" s="21">
        <f t="shared" si="56"/>
        <v>121</v>
      </c>
      <c r="F108" s="22">
        <f t="shared" si="57"/>
        <v>121</v>
      </c>
      <c r="G108" s="22">
        <v>1</v>
      </c>
      <c r="H108" s="223">
        <v>120</v>
      </c>
      <c r="I108" s="23"/>
      <c r="J108" s="22"/>
      <c r="K108" s="22"/>
      <c r="L108" s="23"/>
      <c r="M108" s="23"/>
      <c r="N108" s="23"/>
      <c r="O108" s="23"/>
      <c r="P108" s="23"/>
      <c r="Q108" s="23"/>
      <c r="R108" s="23"/>
      <c r="S108" s="23"/>
      <c r="T108" s="23"/>
      <c r="U108" s="225"/>
      <c r="V108" s="235"/>
    </row>
    <row r="109" spans="1:22" s="227" customFormat="1" ht="87" customHeight="1" x14ac:dyDescent="0.2">
      <c r="A109" s="35" t="s">
        <v>537</v>
      </c>
      <c r="B109" s="220" t="s">
        <v>508</v>
      </c>
      <c r="C109" s="20"/>
      <c r="D109" s="163"/>
      <c r="E109" s="21">
        <f t="shared" si="56"/>
        <v>718</v>
      </c>
      <c r="F109" s="22">
        <f t="shared" si="57"/>
        <v>718</v>
      </c>
      <c r="G109" s="22">
        <v>7</v>
      </c>
      <c r="H109" s="223">
        <v>711</v>
      </c>
      <c r="I109" s="23"/>
      <c r="J109" s="22"/>
      <c r="K109" s="22"/>
      <c r="L109" s="23"/>
      <c r="M109" s="23"/>
      <c r="N109" s="23"/>
      <c r="O109" s="23"/>
      <c r="P109" s="23"/>
      <c r="Q109" s="23"/>
      <c r="R109" s="23"/>
      <c r="S109" s="23"/>
      <c r="T109" s="23"/>
      <c r="U109" s="225"/>
      <c r="V109" s="235"/>
    </row>
    <row r="110" spans="1:22" s="227" customFormat="1" ht="72" customHeight="1" x14ac:dyDescent="0.2">
      <c r="A110" s="35" t="s">
        <v>538</v>
      </c>
      <c r="B110" s="220" t="s">
        <v>509</v>
      </c>
      <c r="C110" s="20"/>
      <c r="D110" s="163"/>
      <c r="E110" s="21">
        <f t="shared" si="56"/>
        <v>170</v>
      </c>
      <c r="F110" s="22">
        <f t="shared" si="57"/>
        <v>170</v>
      </c>
      <c r="G110" s="22">
        <v>2</v>
      </c>
      <c r="H110" s="223">
        <v>168</v>
      </c>
      <c r="I110" s="23"/>
      <c r="J110" s="22"/>
      <c r="K110" s="22"/>
      <c r="L110" s="23"/>
      <c r="M110" s="23"/>
      <c r="N110" s="23"/>
      <c r="O110" s="23"/>
      <c r="P110" s="23"/>
      <c r="Q110" s="23"/>
      <c r="R110" s="23"/>
      <c r="S110" s="23"/>
      <c r="T110" s="23"/>
      <c r="U110" s="225"/>
      <c r="V110" s="235"/>
    </row>
    <row r="111" spans="1:22" s="227" customFormat="1" ht="87.75" customHeight="1" x14ac:dyDescent="0.2">
      <c r="A111" s="35" t="s">
        <v>539</v>
      </c>
      <c r="B111" s="220" t="s">
        <v>510</v>
      </c>
      <c r="C111" s="20"/>
      <c r="D111" s="163">
        <v>0.13500000000000001</v>
      </c>
      <c r="E111" s="21">
        <f t="shared" si="56"/>
        <v>1224</v>
      </c>
      <c r="F111" s="22">
        <f t="shared" si="57"/>
        <v>1224</v>
      </c>
      <c r="G111" s="22">
        <v>12</v>
      </c>
      <c r="H111" s="223">
        <v>1212</v>
      </c>
      <c r="I111" s="23"/>
      <c r="J111" s="22"/>
      <c r="K111" s="22"/>
      <c r="L111" s="23"/>
      <c r="M111" s="23"/>
      <c r="N111" s="23"/>
      <c r="O111" s="23"/>
      <c r="P111" s="23"/>
      <c r="Q111" s="23"/>
      <c r="R111" s="23"/>
      <c r="S111" s="23"/>
      <c r="T111" s="23"/>
      <c r="U111" s="225"/>
      <c r="V111" s="235"/>
    </row>
    <row r="112" spans="1:22" s="227" customFormat="1" ht="57" customHeight="1" x14ac:dyDescent="0.2">
      <c r="A112" s="35" t="s">
        <v>540</v>
      </c>
      <c r="B112" s="220" t="s">
        <v>511</v>
      </c>
      <c r="C112" s="20"/>
      <c r="D112" s="163"/>
      <c r="E112" s="21">
        <f t="shared" si="56"/>
        <v>1072</v>
      </c>
      <c r="F112" s="22">
        <f t="shared" si="57"/>
        <v>1072</v>
      </c>
      <c r="G112" s="22">
        <v>11</v>
      </c>
      <c r="H112" s="223">
        <v>1061</v>
      </c>
      <c r="I112" s="23"/>
      <c r="J112" s="22"/>
      <c r="K112" s="22"/>
      <c r="L112" s="23"/>
      <c r="M112" s="23"/>
      <c r="N112" s="23"/>
      <c r="O112" s="23"/>
      <c r="P112" s="23"/>
      <c r="Q112" s="23"/>
      <c r="R112" s="23"/>
      <c r="S112" s="23"/>
      <c r="T112" s="23"/>
      <c r="U112" s="225"/>
      <c r="V112" s="235"/>
    </row>
    <row r="113" spans="1:22" s="227" customFormat="1" ht="57" customHeight="1" x14ac:dyDescent="0.2">
      <c r="A113" s="35" t="s">
        <v>541</v>
      </c>
      <c r="B113" s="220" t="s">
        <v>512</v>
      </c>
      <c r="C113" s="20"/>
      <c r="D113" s="163"/>
      <c r="E113" s="21">
        <f t="shared" si="56"/>
        <v>418</v>
      </c>
      <c r="F113" s="22">
        <f t="shared" si="57"/>
        <v>418</v>
      </c>
      <c r="G113" s="22">
        <v>4</v>
      </c>
      <c r="H113" s="223">
        <v>414</v>
      </c>
      <c r="I113" s="23"/>
      <c r="J113" s="22"/>
      <c r="K113" s="22"/>
      <c r="L113" s="23"/>
      <c r="M113" s="23"/>
      <c r="N113" s="23"/>
      <c r="O113" s="23"/>
      <c r="P113" s="23"/>
      <c r="Q113" s="23"/>
      <c r="R113" s="23"/>
      <c r="S113" s="23"/>
      <c r="T113" s="23"/>
      <c r="U113" s="225"/>
      <c r="V113" s="235"/>
    </row>
    <row r="114" spans="1:22" s="227" customFormat="1" ht="57" customHeight="1" x14ac:dyDescent="0.2">
      <c r="A114" s="35" t="s">
        <v>542</v>
      </c>
      <c r="B114" s="220" t="s">
        <v>513</v>
      </c>
      <c r="C114" s="20"/>
      <c r="D114" s="163"/>
      <c r="E114" s="21">
        <f t="shared" si="56"/>
        <v>851</v>
      </c>
      <c r="F114" s="22">
        <f t="shared" si="57"/>
        <v>851</v>
      </c>
      <c r="G114" s="22">
        <v>9</v>
      </c>
      <c r="H114" s="223">
        <v>842</v>
      </c>
      <c r="I114" s="23"/>
      <c r="J114" s="22"/>
      <c r="K114" s="22"/>
      <c r="L114" s="23"/>
      <c r="M114" s="23"/>
      <c r="N114" s="23"/>
      <c r="O114" s="23"/>
      <c r="P114" s="23"/>
      <c r="Q114" s="23"/>
      <c r="R114" s="23"/>
      <c r="S114" s="23"/>
      <c r="T114" s="23"/>
      <c r="U114" s="225"/>
      <c r="V114" s="235"/>
    </row>
    <row r="115" spans="1:22" s="227" customFormat="1" ht="90" customHeight="1" x14ac:dyDescent="0.2">
      <c r="A115" s="35" t="s">
        <v>543</v>
      </c>
      <c r="B115" s="220" t="s">
        <v>514</v>
      </c>
      <c r="C115" s="20"/>
      <c r="D115" s="163"/>
      <c r="E115" s="21">
        <f t="shared" si="56"/>
        <v>5606</v>
      </c>
      <c r="F115" s="22">
        <f t="shared" si="57"/>
        <v>5606</v>
      </c>
      <c r="G115" s="22">
        <v>56</v>
      </c>
      <c r="H115" s="223">
        <v>5550</v>
      </c>
      <c r="I115" s="23"/>
      <c r="J115" s="22"/>
      <c r="K115" s="22"/>
      <c r="L115" s="23"/>
      <c r="M115" s="23"/>
      <c r="N115" s="23"/>
      <c r="O115" s="23"/>
      <c r="P115" s="23"/>
      <c r="Q115" s="23"/>
      <c r="R115" s="23"/>
      <c r="S115" s="23"/>
      <c r="T115" s="23"/>
      <c r="U115" s="225"/>
      <c r="V115" s="235"/>
    </row>
    <row r="116" spans="1:22" s="227" customFormat="1" ht="72" customHeight="1" x14ac:dyDescent="0.2">
      <c r="A116" s="35" t="s">
        <v>544</v>
      </c>
      <c r="B116" s="220" t="s">
        <v>515</v>
      </c>
      <c r="C116" s="20"/>
      <c r="D116" s="163"/>
      <c r="E116" s="21">
        <f t="shared" si="56"/>
        <v>322</v>
      </c>
      <c r="F116" s="22">
        <f t="shared" si="57"/>
        <v>322</v>
      </c>
      <c r="G116" s="22">
        <v>3</v>
      </c>
      <c r="H116" s="223">
        <v>319</v>
      </c>
      <c r="I116" s="23"/>
      <c r="J116" s="22"/>
      <c r="K116" s="22"/>
      <c r="L116" s="23"/>
      <c r="M116" s="23"/>
      <c r="N116" s="23"/>
      <c r="O116" s="23"/>
      <c r="P116" s="23"/>
      <c r="Q116" s="23"/>
      <c r="R116" s="23"/>
      <c r="S116" s="23"/>
      <c r="T116" s="23"/>
      <c r="U116" s="225"/>
      <c r="V116" s="235"/>
    </row>
    <row r="117" spans="1:22" s="227" customFormat="1" ht="103.5" customHeight="1" x14ac:dyDescent="0.2">
      <c r="A117" s="35" t="s">
        <v>545</v>
      </c>
      <c r="B117" s="220" t="s">
        <v>519</v>
      </c>
      <c r="C117" s="20"/>
      <c r="D117" s="163"/>
      <c r="E117" s="21">
        <f t="shared" si="56"/>
        <v>656</v>
      </c>
      <c r="F117" s="22">
        <f t="shared" si="57"/>
        <v>656</v>
      </c>
      <c r="G117" s="22">
        <v>6</v>
      </c>
      <c r="H117" s="223">
        <v>650</v>
      </c>
      <c r="I117" s="23"/>
      <c r="J117" s="22"/>
      <c r="K117" s="22"/>
      <c r="L117" s="23"/>
      <c r="M117" s="23"/>
      <c r="N117" s="23"/>
      <c r="O117" s="23"/>
      <c r="P117" s="23"/>
      <c r="Q117" s="23"/>
      <c r="R117" s="23"/>
      <c r="S117" s="23"/>
      <c r="T117" s="23"/>
      <c r="U117" s="225"/>
      <c r="V117" s="235"/>
    </row>
    <row r="118" spans="1:22" s="227" customFormat="1" ht="99.75" customHeight="1" x14ac:dyDescent="0.2">
      <c r="A118" s="35" t="s">
        <v>546</v>
      </c>
      <c r="B118" s="220" t="s">
        <v>520</v>
      </c>
      <c r="C118" s="20"/>
      <c r="D118" s="163"/>
      <c r="E118" s="21">
        <f t="shared" si="56"/>
        <v>657</v>
      </c>
      <c r="F118" s="22">
        <f t="shared" si="57"/>
        <v>657</v>
      </c>
      <c r="G118" s="22">
        <v>7</v>
      </c>
      <c r="H118" s="223">
        <v>650</v>
      </c>
      <c r="I118" s="23"/>
      <c r="J118" s="22"/>
      <c r="K118" s="22"/>
      <c r="L118" s="23"/>
      <c r="M118" s="23"/>
      <c r="N118" s="23"/>
      <c r="O118" s="23"/>
      <c r="P118" s="23"/>
      <c r="Q118" s="23"/>
      <c r="R118" s="23"/>
      <c r="S118" s="23"/>
      <c r="T118" s="23"/>
      <c r="U118" s="225"/>
      <c r="V118" s="235"/>
    </row>
    <row r="119" spans="1:22" s="227" customFormat="1" ht="57" customHeight="1" x14ac:dyDescent="0.2">
      <c r="A119" s="35" t="s">
        <v>547</v>
      </c>
      <c r="B119" s="220" t="s">
        <v>516</v>
      </c>
      <c r="C119" s="20"/>
      <c r="D119" s="163"/>
      <c r="E119" s="21">
        <f t="shared" si="56"/>
        <v>1205</v>
      </c>
      <c r="F119" s="22">
        <f t="shared" si="57"/>
        <v>1205</v>
      </c>
      <c r="G119" s="22">
        <v>12</v>
      </c>
      <c r="H119" s="223">
        <v>1193</v>
      </c>
      <c r="I119" s="23"/>
      <c r="J119" s="22"/>
      <c r="K119" s="22"/>
      <c r="L119" s="23"/>
      <c r="M119" s="23"/>
      <c r="N119" s="23"/>
      <c r="O119" s="23"/>
      <c r="P119" s="23"/>
      <c r="Q119" s="23"/>
      <c r="R119" s="23"/>
      <c r="S119" s="23"/>
      <c r="T119" s="23"/>
      <c r="U119" s="225"/>
      <c r="V119" s="235"/>
    </row>
    <row r="120" spans="1:22" s="227" customFormat="1" ht="75.75" customHeight="1" x14ac:dyDescent="0.2">
      <c r="A120" s="35" t="s">
        <v>548</v>
      </c>
      <c r="B120" s="236" t="s">
        <v>517</v>
      </c>
      <c r="C120" s="20"/>
      <c r="D120" s="163"/>
      <c r="E120" s="21">
        <f t="shared" si="56"/>
        <v>2174</v>
      </c>
      <c r="F120" s="22">
        <f t="shared" si="57"/>
        <v>2174</v>
      </c>
      <c r="G120" s="22">
        <v>22</v>
      </c>
      <c r="H120" s="223">
        <v>2152</v>
      </c>
      <c r="I120" s="23"/>
      <c r="J120" s="22"/>
      <c r="K120" s="22"/>
      <c r="L120" s="23"/>
      <c r="M120" s="23"/>
      <c r="N120" s="23"/>
      <c r="O120" s="23"/>
      <c r="P120" s="23"/>
      <c r="Q120" s="23"/>
      <c r="R120" s="23"/>
      <c r="S120" s="23"/>
      <c r="T120" s="23"/>
      <c r="U120" s="225"/>
      <c r="V120" s="235"/>
    </row>
    <row r="121" spans="1:22" s="227" customFormat="1" ht="63" customHeight="1" x14ac:dyDescent="0.2">
      <c r="A121" s="35" t="s">
        <v>553</v>
      </c>
      <c r="B121" s="237" t="s">
        <v>518</v>
      </c>
      <c r="C121" s="20"/>
      <c r="D121" s="163"/>
      <c r="E121" s="21">
        <f t="shared" si="56"/>
        <v>1361</v>
      </c>
      <c r="F121" s="22">
        <f t="shared" si="57"/>
        <v>1361</v>
      </c>
      <c r="G121" s="22">
        <v>14</v>
      </c>
      <c r="H121" s="223">
        <v>1347</v>
      </c>
      <c r="I121" s="23"/>
      <c r="J121" s="22"/>
      <c r="K121" s="22"/>
      <c r="L121" s="23"/>
      <c r="M121" s="23"/>
      <c r="N121" s="23"/>
      <c r="O121" s="23"/>
      <c r="P121" s="23"/>
      <c r="Q121" s="23"/>
      <c r="R121" s="23"/>
      <c r="S121" s="23"/>
      <c r="T121" s="23"/>
      <c r="U121" s="225"/>
      <c r="V121" s="235"/>
    </row>
    <row r="122" spans="1:22" s="227" customFormat="1" ht="39.75" customHeight="1" x14ac:dyDescent="0.2">
      <c r="A122" s="40"/>
      <c r="B122" s="286" t="s">
        <v>572</v>
      </c>
      <c r="C122" s="37"/>
      <c r="D122" s="260">
        <f>SUM(D93:D121)</f>
        <v>3.5919999999999996</v>
      </c>
      <c r="E122" s="259">
        <f t="shared" si="56"/>
        <v>303031</v>
      </c>
      <c r="F122" s="238">
        <f t="shared" ref="F122" si="62">G122+H122</f>
        <v>303031</v>
      </c>
      <c r="G122" s="38">
        <f>SUM(G93:G121)</f>
        <v>3031</v>
      </c>
      <c r="H122" s="38">
        <f>SUM(H93:H121)</f>
        <v>300000</v>
      </c>
      <c r="I122" s="238">
        <f t="shared" si="58"/>
        <v>0</v>
      </c>
      <c r="J122" s="38">
        <f>SUM(J93:J121)</f>
        <v>0</v>
      </c>
      <c r="K122" s="38">
        <f>SUM(K93:K121)</f>
        <v>0</v>
      </c>
      <c r="L122" s="238">
        <f t="shared" ref="L122" si="63">M122+N122</f>
        <v>0</v>
      </c>
      <c r="M122" s="38">
        <f>SUM(M93:M121)</f>
        <v>0</v>
      </c>
      <c r="N122" s="38">
        <f>SUM(N93:N121)</f>
        <v>0</v>
      </c>
      <c r="O122" s="238">
        <f t="shared" ref="O122" si="64">P122+Q122</f>
        <v>0</v>
      </c>
      <c r="P122" s="38">
        <f>SUM(P93:P121)</f>
        <v>0</v>
      </c>
      <c r="Q122" s="38">
        <f>SUM(Q93:Q121)</f>
        <v>0</v>
      </c>
      <c r="R122" s="238">
        <f t="shared" ref="R122" si="65">S122+T122</f>
        <v>0</v>
      </c>
      <c r="S122" s="38">
        <f>SUM(S93:S121)</f>
        <v>0</v>
      </c>
      <c r="T122" s="38">
        <f>SUM(T93:T121)</f>
        <v>0</v>
      </c>
      <c r="U122" s="225"/>
      <c r="V122" s="230"/>
    </row>
    <row r="123" spans="1:22" s="227" customFormat="1" ht="45" customHeight="1" x14ac:dyDescent="0.2">
      <c r="A123" s="239"/>
      <c r="B123" s="286" t="s">
        <v>571</v>
      </c>
      <c r="C123" s="36"/>
      <c r="D123" s="258">
        <f>D91+D122</f>
        <v>42.147000000000013</v>
      </c>
      <c r="E123" s="259">
        <f t="shared" si="56"/>
        <v>2518724</v>
      </c>
      <c r="F123" s="234">
        <f>G123+H123</f>
        <v>1057342</v>
      </c>
      <c r="G123" s="39">
        <f>G91+G122</f>
        <v>57342</v>
      </c>
      <c r="H123" s="39">
        <f>H91+H122</f>
        <v>1000000</v>
      </c>
      <c r="I123" s="234">
        <f>J123+K123</f>
        <v>754311</v>
      </c>
      <c r="J123" s="39">
        <f>J91+J122</f>
        <v>54311</v>
      </c>
      <c r="K123" s="39">
        <f>K91+K122</f>
        <v>700000</v>
      </c>
      <c r="L123" s="234">
        <f>M123+N123</f>
        <v>707071</v>
      </c>
      <c r="M123" s="39">
        <f>M91+M122</f>
        <v>7071</v>
      </c>
      <c r="N123" s="39">
        <f>N91+N122</f>
        <v>700000</v>
      </c>
      <c r="O123" s="234">
        <f>P123+Q123</f>
        <v>0</v>
      </c>
      <c r="P123" s="39">
        <f>P91+P122</f>
        <v>0</v>
      </c>
      <c r="Q123" s="39">
        <f>Q91+Q122</f>
        <v>0</v>
      </c>
      <c r="R123" s="234">
        <f>S123+T123</f>
        <v>0</v>
      </c>
      <c r="S123" s="39">
        <f>S91+S122</f>
        <v>0</v>
      </c>
      <c r="T123" s="39">
        <f>T91+T122</f>
        <v>0</v>
      </c>
      <c r="U123" s="225"/>
      <c r="V123" s="240"/>
    </row>
    <row r="124" spans="1:22" s="227" customFormat="1" ht="171.75" customHeight="1" x14ac:dyDescent="0.2">
      <c r="A124" s="213" t="s">
        <v>219</v>
      </c>
      <c r="B124" s="177" t="s">
        <v>266</v>
      </c>
      <c r="C124" s="36"/>
      <c r="D124" s="241"/>
      <c r="E124" s="242">
        <f>F124+I124+L124+O124+R124</f>
        <v>8855</v>
      </c>
      <c r="F124" s="242">
        <f>G124+H124</f>
        <v>2062</v>
      </c>
      <c r="G124" s="242">
        <v>2062</v>
      </c>
      <c r="H124" s="242">
        <v>0</v>
      </c>
      <c r="I124" s="242">
        <f t="shared" si="58"/>
        <v>2062</v>
      </c>
      <c r="J124" s="242">
        <v>2062</v>
      </c>
      <c r="K124" s="242">
        <v>0</v>
      </c>
      <c r="L124" s="242">
        <f>M124+N124</f>
        <v>0</v>
      </c>
      <c r="M124" s="242">
        <v>0</v>
      </c>
      <c r="N124" s="242">
        <v>0</v>
      </c>
      <c r="O124" s="242">
        <f>P124+Q124</f>
        <v>2319</v>
      </c>
      <c r="P124" s="242">
        <v>2319</v>
      </c>
      <c r="Q124" s="242">
        <v>0</v>
      </c>
      <c r="R124" s="242">
        <f>S124+T124</f>
        <v>2412</v>
      </c>
      <c r="S124" s="242">
        <v>2412</v>
      </c>
      <c r="T124" s="242">
        <v>0</v>
      </c>
      <c r="U124" s="225"/>
    </row>
    <row r="125" spans="1:22" s="227" customFormat="1" ht="210.75" customHeight="1" x14ac:dyDescent="0.2">
      <c r="A125" s="213" t="s">
        <v>324</v>
      </c>
      <c r="B125" s="177" t="s">
        <v>268</v>
      </c>
      <c r="C125" s="36"/>
      <c r="D125" s="241"/>
      <c r="E125" s="242">
        <f t="shared" ref="E125:E128" si="66">F125+I125+L125+O125+R125</f>
        <v>1104</v>
      </c>
      <c r="F125" s="242">
        <f t="shared" ref="F125:F128" si="67">G125+H125</f>
        <v>212</v>
      </c>
      <c r="G125" s="242">
        <v>212</v>
      </c>
      <c r="H125" s="242">
        <v>0</v>
      </c>
      <c r="I125" s="242">
        <f t="shared" ref="I125:I128" si="68">J125+K125</f>
        <v>221</v>
      </c>
      <c r="J125" s="242">
        <v>221</v>
      </c>
      <c r="K125" s="242">
        <v>0</v>
      </c>
      <c r="L125" s="242">
        <f t="shared" ref="L125:L128" si="69">M125+N125</f>
        <v>230</v>
      </c>
      <c r="M125" s="242">
        <v>230</v>
      </c>
      <c r="N125" s="242">
        <v>0</v>
      </c>
      <c r="O125" s="242">
        <f t="shared" ref="O125:O128" si="70">P125+Q125</f>
        <v>216</v>
      </c>
      <c r="P125" s="242">
        <v>216</v>
      </c>
      <c r="Q125" s="242">
        <v>0</v>
      </c>
      <c r="R125" s="242">
        <f t="shared" ref="R125:R128" si="71">S125+T125</f>
        <v>225</v>
      </c>
      <c r="S125" s="242">
        <v>225</v>
      </c>
      <c r="T125" s="242">
        <v>0</v>
      </c>
      <c r="U125" s="225"/>
    </row>
    <row r="126" spans="1:22" s="227" customFormat="1" ht="103.5" customHeight="1" x14ac:dyDescent="0.2">
      <c r="A126" s="213" t="s">
        <v>325</v>
      </c>
      <c r="B126" s="177" t="s">
        <v>269</v>
      </c>
      <c r="C126" s="36"/>
      <c r="D126" s="241"/>
      <c r="E126" s="242">
        <f t="shared" si="66"/>
        <v>2604</v>
      </c>
      <c r="F126" s="242">
        <f t="shared" si="67"/>
        <v>500</v>
      </c>
      <c r="G126" s="242">
        <v>500</v>
      </c>
      <c r="H126" s="242">
        <v>0</v>
      </c>
      <c r="I126" s="242">
        <f t="shared" si="68"/>
        <v>500</v>
      </c>
      <c r="J126" s="242">
        <v>500</v>
      </c>
      <c r="K126" s="242">
        <v>0</v>
      </c>
      <c r="L126" s="242">
        <f t="shared" si="69"/>
        <v>500</v>
      </c>
      <c r="M126" s="242">
        <v>500</v>
      </c>
      <c r="N126" s="242">
        <v>0</v>
      </c>
      <c r="O126" s="242">
        <f t="shared" si="70"/>
        <v>541</v>
      </c>
      <c r="P126" s="242">
        <v>541</v>
      </c>
      <c r="Q126" s="242">
        <v>0</v>
      </c>
      <c r="R126" s="242">
        <f t="shared" si="71"/>
        <v>563</v>
      </c>
      <c r="S126" s="242">
        <v>563</v>
      </c>
      <c r="T126" s="242">
        <v>0</v>
      </c>
      <c r="U126" s="225"/>
    </row>
    <row r="127" spans="1:22" s="227" customFormat="1" ht="68.25" customHeight="1" x14ac:dyDescent="0.2">
      <c r="A127" s="213" t="s">
        <v>326</v>
      </c>
      <c r="B127" s="243" t="s">
        <v>271</v>
      </c>
      <c r="C127" s="36"/>
      <c r="D127" s="241"/>
      <c r="E127" s="242">
        <f t="shared" si="66"/>
        <v>13703</v>
      </c>
      <c r="F127" s="242">
        <f t="shared" si="67"/>
        <v>1260</v>
      </c>
      <c r="G127" s="242">
        <v>1260</v>
      </c>
      <c r="H127" s="242">
        <v>0</v>
      </c>
      <c r="I127" s="242">
        <f t="shared" si="68"/>
        <v>5450</v>
      </c>
      <c r="J127" s="242">
        <v>5450</v>
      </c>
      <c r="K127" s="242">
        <v>0</v>
      </c>
      <c r="L127" s="242">
        <f t="shared" si="69"/>
        <v>0</v>
      </c>
      <c r="M127" s="242"/>
      <c r="N127" s="242">
        <v>0</v>
      </c>
      <c r="O127" s="242">
        <f t="shared" si="70"/>
        <v>3428</v>
      </c>
      <c r="P127" s="242">
        <v>3428</v>
      </c>
      <c r="Q127" s="242">
        <v>0</v>
      </c>
      <c r="R127" s="242">
        <f t="shared" si="71"/>
        <v>3565</v>
      </c>
      <c r="S127" s="242">
        <v>3565</v>
      </c>
      <c r="T127" s="242">
        <v>0</v>
      </c>
      <c r="U127" s="225"/>
    </row>
    <row r="128" spans="1:22" s="227" customFormat="1" ht="78" customHeight="1" x14ac:dyDescent="0.2">
      <c r="A128" s="213" t="s">
        <v>327</v>
      </c>
      <c r="B128" s="243" t="s">
        <v>305</v>
      </c>
      <c r="C128" s="36"/>
      <c r="D128" s="241"/>
      <c r="E128" s="242">
        <f t="shared" si="66"/>
        <v>373000</v>
      </c>
      <c r="F128" s="242">
        <f t="shared" si="67"/>
        <v>110000</v>
      </c>
      <c r="G128" s="242">
        <v>110000</v>
      </c>
      <c r="H128" s="242">
        <v>0</v>
      </c>
      <c r="I128" s="242">
        <f t="shared" si="68"/>
        <v>0</v>
      </c>
      <c r="J128" s="242">
        <v>0</v>
      </c>
      <c r="K128" s="242">
        <v>0</v>
      </c>
      <c r="L128" s="242">
        <f t="shared" si="69"/>
        <v>0</v>
      </c>
      <c r="M128" s="242"/>
      <c r="N128" s="242">
        <v>0</v>
      </c>
      <c r="O128" s="242">
        <f t="shared" si="70"/>
        <v>129000</v>
      </c>
      <c r="P128" s="242">
        <v>129000</v>
      </c>
      <c r="Q128" s="242">
        <v>0</v>
      </c>
      <c r="R128" s="242">
        <f t="shared" si="71"/>
        <v>134000</v>
      </c>
      <c r="S128" s="242">
        <v>134000</v>
      </c>
      <c r="T128" s="242">
        <v>0</v>
      </c>
      <c r="U128" s="225"/>
    </row>
    <row r="129" spans="1:22" s="245" customFormat="1" ht="42.75" customHeight="1" x14ac:dyDescent="0.2">
      <c r="A129" s="244" t="s">
        <v>212</v>
      </c>
      <c r="B129" s="298" t="s">
        <v>377</v>
      </c>
      <c r="C129" s="299"/>
      <c r="D129" s="299"/>
      <c r="E129" s="299"/>
      <c r="F129" s="299"/>
      <c r="G129" s="299"/>
      <c r="H129" s="299"/>
      <c r="I129" s="299"/>
      <c r="J129" s="299"/>
      <c r="K129" s="299"/>
      <c r="L129" s="299"/>
      <c r="M129" s="299"/>
      <c r="N129" s="299"/>
      <c r="O129" s="299"/>
      <c r="P129" s="299"/>
      <c r="Q129" s="299"/>
      <c r="R129" s="299"/>
      <c r="S129" s="299"/>
      <c r="T129" s="300"/>
    </row>
    <row r="130" spans="1:22" s="227" customFormat="1" ht="92.25" customHeight="1" outlineLevel="1" x14ac:dyDescent="0.2">
      <c r="A130" s="246" t="s">
        <v>213</v>
      </c>
      <c r="B130" s="210" t="s">
        <v>376</v>
      </c>
      <c r="C130" s="247"/>
      <c r="D130" s="248"/>
      <c r="E130" s="242">
        <f>F130+I130+L130+O130+R130</f>
        <v>13181</v>
      </c>
      <c r="F130" s="242">
        <f t="shared" ref="F130:F131" si="72">G130+H130</f>
        <v>4778</v>
      </c>
      <c r="G130" s="242">
        <v>4778</v>
      </c>
      <c r="H130" s="242">
        <v>0</v>
      </c>
      <c r="I130" s="242">
        <f t="shared" ref="I130:I131" si="73">J130+K130</f>
        <v>0</v>
      </c>
      <c r="J130" s="242">
        <v>0</v>
      </c>
      <c r="K130" s="242">
        <v>0</v>
      </c>
      <c r="L130" s="242">
        <f t="shared" ref="L130:L131" si="74">M130+N130</f>
        <v>0</v>
      </c>
      <c r="M130" s="242"/>
      <c r="N130" s="242">
        <v>0</v>
      </c>
      <c r="O130" s="242">
        <f t="shared" ref="O130:O131" si="75">P130+Q130</f>
        <v>4119</v>
      </c>
      <c r="P130" s="242">
        <v>4119</v>
      </c>
      <c r="Q130" s="242">
        <v>0</v>
      </c>
      <c r="R130" s="242">
        <f t="shared" ref="R130:R131" si="76">S130+T130</f>
        <v>4284</v>
      </c>
      <c r="S130" s="242">
        <v>4284</v>
      </c>
      <c r="T130" s="242">
        <v>0</v>
      </c>
      <c r="V130" s="225"/>
    </row>
    <row r="131" spans="1:22" ht="48" customHeight="1" x14ac:dyDescent="0.2">
      <c r="A131" s="327" t="s">
        <v>554</v>
      </c>
      <c r="B131" s="327"/>
      <c r="C131" s="327"/>
      <c r="D131" s="327"/>
      <c r="E131" s="43">
        <f>F131+I131+L131+O131+R131</f>
        <v>5414929</v>
      </c>
      <c r="F131" s="43">
        <f t="shared" si="72"/>
        <v>1184796</v>
      </c>
      <c r="G131" s="44">
        <f>G9+G15+G18+G23+G28+G35+G42+G44+G46+G49+G53+G124+G125+G126+G127+G128+G130</f>
        <v>184796</v>
      </c>
      <c r="H131" s="44">
        <f>H9+H15+H18+H23+H28+H35+H42+H44+H46+H49+H53+H124+H125+H126+H127+H128+H130</f>
        <v>1000000</v>
      </c>
      <c r="I131" s="43">
        <f t="shared" si="73"/>
        <v>778231</v>
      </c>
      <c r="J131" s="44">
        <f>J9+J15+J18+J23+J28+J35+J42+J44+J46+J49+J53+J124+J125+J126+J127+J128+J130</f>
        <v>78231</v>
      </c>
      <c r="K131" s="44">
        <f>K9+K15+K18+K23+K28+K35+K42+K44+K46+K49+K53+K124+K125+K126+K127+K128+K130</f>
        <v>700000</v>
      </c>
      <c r="L131" s="43">
        <f t="shared" si="74"/>
        <v>741650</v>
      </c>
      <c r="M131" s="44">
        <f>M9+M15+M18+M23+M28+M35+M42+M44+M46+M49+M53+M124+M125+M126+M127+M128+M130</f>
        <v>41650</v>
      </c>
      <c r="N131" s="44">
        <f>N9+N15+N18+N23+N28+N35+N42+N44+N46+N49+N53+N124+N125+N126+N127+N128+N130</f>
        <v>700000</v>
      </c>
      <c r="O131" s="43">
        <f t="shared" si="75"/>
        <v>1498025</v>
      </c>
      <c r="P131" s="44">
        <f>P9+P15+P18+P23+P28+P35+P42+P44+P46+P49+P53+P124+P125+P126+P127+P128+P130</f>
        <v>245316</v>
      </c>
      <c r="Q131" s="44">
        <f>Q9+Q15+Q18+Q23+Q28+Q35+Q42+Q44+Q46+Q49+Q53+Q124+Q125+Q126+Q127+Q128+Q130</f>
        <v>1252709</v>
      </c>
      <c r="R131" s="43">
        <f t="shared" si="76"/>
        <v>1212227</v>
      </c>
      <c r="S131" s="44">
        <f>S9+S15+S18+S23+S28+S35+S42+S44+S46+S49+S53+S124+S125+S126+S127+S128+S130</f>
        <v>207673</v>
      </c>
      <c r="T131" s="44">
        <f>T9+T15+T18+T23+T28+T35+T42+T44+T46+T49+T53+T124+T125+T126+T127+T128+T130</f>
        <v>1004554</v>
      </c>
    </row>
    <row r="132" spans="1:22" ht="29.25" customHeight="1" x14ac:dyDescent="0.2">
      <c r="A132" s="372" t="s">
        <v>555</v>
      </c>
      <c r="B132" s="372"/>
      <c r="C132" s="372"/>
      <c r="D132" s="372"/>
      <c r="E132" s="45">
        <f>F132+I132+L132+O132+R132</f>
        <v>7235</v>
      </c>
      <c r="F132" s="45">
        <f t="shared" ref="F132" si="77">G132+H132</f>
        <v>7235</v>
      </c>
      <c r="G132" s="46">
        <f>G17+G22</f>
        <v>7235</v>
      </c>
      <c r="H132" s="46">
        <f>H17+H22</f>
        <v>0</v>
      </c>
      <c r="I132" s="45">
        <f t="shared" ref="I132" si="78">J132+K132</f>
        <v>0</v>
      </c>
      <c r="J132" s="46">
        <f>J17+J22</f>
        <v>0</v>
      </c>
      <c r="K132" s="46">
        <f>K17+K22</f>
        <v>0</v>
      </c>
      <c r="L132" s="45">
        <f t="shared" ref="L132" si="79">M132+N132</f>
        <v>0</v>
      </c>
      <c r="M132" s="46">
        <f>M17+M22</f>
        <v>0</v>
      </c>
      <c r="N132" s="46">
        <f>N17+N22</f>
        <v>0</v>
      </c>
      <c r="O132" s="45">
        <f t="shared" ref="O132" si="80">P132+Q132</f>
        <v>0</v>
      </c>
      <c r="P132" s="46">
        <f>P17+P22</f>
        <v>0</v>
      </c>
      <c r="Q132" s="46">
        <f>Q17+Q22</f>
        <v>0</v>
      </c>
      <c r="R132" s="45">
        <f t="shared" ref="R132" si="81">S132+T132</f>
        <v>0</v>
      </c>
      <c r="S132" s="46">
        <f>S17+S22</f>
        <v>0</v>
      </c>
      <c r="T132" s="46">
        <f>T17+T22</f>
        <v>0</v>
      </c>
    </row>
    <row r="133" spans="1:22" ht="48" customHeight="1" x14ac:dyDescent="0.2">
      <c r="A133" s="327" t="s">
        <v>556</v>
      </c>
      <c r="B133" s="327"/>
      <c r="C133" s="327"/>
      <c r="D133" s="327"/>
      <c r="E133" s="43">
        <f>F133+I133+L133+O133+R133</f>
        <v>5422164</v>
      </c>
      <c r="F133" s="43">
        <f t="shared" ref="F133" si="82">G133+H133</f>
        <v>1192031</v>
      </c>
      <c r="G133" s="44">
        <f>SUM(G131:G132)</f>
        <v>192031</v>
      </c>
      <c r="H133" s="44">
        <f>SUM(H131:H132)</f>
        <v>1000000</v>
      </c>
      <c r="I133" s="43">
        <f t="shared" ref="I133" si="83">J133+K133</f>
        <v>778231</v>
      </c>
      <c r="J133" s="44">
        <f>SUM(J131:J132)</f>
        <v>78231</v>
      </c>
      <c r="K133" s="44">
        <f>SUM(K131:K132)</f>
        <v>700000</v>
      </c>
      <c r="L133" s="43">
        <f t="shared" ref="L133" si="84">M133+N133</f>
        <v>741650</v>
      </c>
      <c r="M133" s="44">
        <f>SUM(M131:M132)</f>
        <v>41650</v>
      </c>
      <c r="N133" s="44">
        <f>SUM(N131:N132)</f>
        <v>700000</v>
      </c>
      <c r="O133" s="43">
        <f t="shared" ref="O133" si="85">P133+Q133</f>
        <v>1498025</v>
      </c>
      <c r="P133" s="44">
        <f>SUM(P131:P132)</f>
        <v>245316</v>
      </c>
      <c r="Q133" s="44">
        <f>SUM(Q131:Q132)</f>
        <v>1252709</v>
      </c>
      <c r="R133" s="43">
        <f t="shared" ref="R133" si="86">S133+T133</f>
        <v>1212227</v>
      </c>
      <c r="S133" s="44">
        <f>SUM(S131:S132)</f>
        <v>207673</v>
      </c>
      <c r="T133" s="44">
        <f>SUM(T131:T132)</f>
        <v>1004554</v>
      </c>
    </row>
    <row r="134" spans="1:22" ht="24.75" customHeight="1" x14ac:dyDescent="0.2">
      <c r="A134" s="249"/>
      <c r="B134" s="250"/>
      <c r="C134" s="250"/>
      <c r="D134" s="249"/>
      <c r="E134" s="251"/>
      <c r="F134" s="251"/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</row>
    <row r="135" spans="1:22" ht="18.75" customHeight="1" x14ac:dyDescent="0.2">
      <c r="D135" s="371"/>
      <c r="E135" s="371"/>
      <c r="F135" s="371"/>
      <c r="G135" s="371"/>
      <c r="H135" s="371"/>
      <c r="I135" s="371"/>
      <c r="J135" s="371"/>
      <c r="K135" s="371"/>
      <c r="L135" s="371"/>
      <c r="M135" s="371"/>
      <c r="N135" s="371"/>
      <c r="O135" s="371"/>
      <c r="P135" s="371"/>
      <c r="Q135" s="371"/>
      <c r="R135" s="371"/>
      <c r="S135" s="371"/>
      <c r="T135" s="371"/>
      <c r="U135" s="371"/>
    </row>
    <row r="136" spans="1:22" x14ac:dyDescent="0.2">
      <c r="J136" s="255"/>
      <c r="K136" s="255"/>
      <c r="L136" s="256"/>
    </row>
  </sheetData>
  <mergeCells count="24">
    <mergeCell ref="B27:T27"/>
    <mergeCell ref="R1:T1"/>
    <mergeCell ref="R2:T2"/>
    <mergeCell ref="A3:T3"/>
    <mergeCell ref="A4:A6"/>
    <mergeCell ref="B4:B6"/>
    <mergeCell ref="C4:C6"/>
    <mergeCell ref="D4:D6"/>
    <mergeCell ref="E4:E6"/>
    <mergeCell ref="F4:T4"/>
    <mergeCell ref="F5:H5"/>
    <mergeCell ref="I5:K5"/>
    <mergeCell ref="L5:N5"/>
    <mergeCell ref="O5:Q5"/>
    <mergeCell ref="R5:T5"/>
    <mergeCell ref="B8:AD8"/>
    <mergeCell ref="B52:T52"/>
    <mergeCell ref="A54:T54"/>
    <mergeCell ref="B129:T129"/>
    <mergeCell ref="A131:D131"/>
    <mergeCell ref="D135:U135"/>
    <mergeCell ref="A133:D133"/>
    <mergeCell ref="A132:D132"/>
    <mergeCell ref="A92:T92"/>
  </mergeCells>
  <printOptions horizontalCentered="1"/>
  <pageMargins left="0.19685039370078741" right="0.19685039370078741" top="0.59055118110236227" bottom="0.39370078740157483" header="0.19685039370078741" footer="0.19685039370078741"/>
  <pageSetup paperSize="9" scale="56" firstPageNumber="34" fitToHeight="0" orientation="landscape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конеч.рез.</vt:lpstr>
      <vt:lpstr>1. Финансирование</vt:lpstr>
      <vt:lpstr>2. Показатели</vt:lpstr>
      <vt:lpstr>5. Перечень МРАД</vt:lpstr>
      <vt:lpstr>'1. Финансирование'!Заголовки_для_печати</vt:lpstr>
      <vt:lpstr>'2. Показатели'!Заголовки_для_печати</vt:lpstr>
      <vt:lpstr>'5. Перечень МРАД'!Заголовки_для_печати</vt:lpstr>
      <vt:lpstr>конеч.рез.!Заголовки_для_печати</vt:lpstr>
      <vt:lpstr>'1. Финансирование'!Область_печати</vt:lpstr>
      <vt:lpstr>'2. Показатели'!Область_печати</vt:lpstr>
      <vt:lpstr>'5. Перечень МРАД'!Область_печати</vt:lpstr>
      <vt:lpstr>конеч.рез.!Область_печати</vt:lpstr>
    </vt:vector>
  </TitlesOfParts>
  <Company>job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Тимофеев Георгий Аркадьевич</cp:lastModifiedBy>
  <cp:lastPrinted>2026-04-21T10:30:19Z</cp:lastPrinted>
  <dcterms:created xsi:type="dcterms:W3CDTF">2014-07-04T09:02:24Z</dcterms:created>
  <dcterms:modified xsi:type="dcterms:W3CDTF">2026-04-24T05:19:31Z</dcterms:modified>
</cp:coreProperties>
</file>