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875" tabRatio="599" firstSheet="1" activeTab="2"/>
  </bookViews>
  <sheets>
    <sheet name="конеч.рез." sheetId="9" state="hidden" r:id="rId1"/>
    <sheet name="1. Финансирование" sheetId="4" r:id="rId2"/>
    <sheet name="2. Показатели" sheetId="8" r:id="rId3"/>
    <sheet name="5. Перечень МРАД" sheetId="10" r:id="rId4"/>
  </sheets>
  <externalReferences>
    <externalReference r:id="rId5"/>
  </externalReferences>
  <definedNames>
    <definedName name="_xlnm._FilterDatabase" localSheetId="1" hidden="1">'1. Финансирование'!#REF!</definedName>
    <definedName name="_xlnm._FilterDatabase" localSheetId="3" hidden="1">'5. Перечень МРАД'!$A$4:$V$6</definedName>
    <definedName name="Aс1" localSheetId="3">'[1]1. Финансирование'!#REF!</definedName>
    <definedName name="Aс1">'1. Финансирование'!#REF!</definedName>
    <definedName name="_xlnm.Print_Titles" localSheetId="1">'1. Финансирование'!$4:$7</definedName>
    <definedName name="_xlnm.Print_Titles" localSheetId="2">'2. Показатели'!$5:$9</definedName>
    <definedName name="_xlnm.Print_Titles" localSheetId="3">'5. Перечень МРАД'!$4:$7</definedName>
    <definedName name="_xlnm.Print_Titles" localSheetId="0">конеч.рез.!$3:$5</definedName>
    <definedName name="_xlnm.Print_Area" localSheetId="1">'1. Финансирование'!$A$1:$AD$95</definedName>
    <definedName name="_xlnm.Print_Area" localSheetId="2">'2. Показатели'!$A$1:$J$102</definedName>
    <definedName name="_xlnm.Print_Area" localSheetId="3">'5. Перечень МРАД'!$A$1:$T$83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P61" i="4" l="1"/>
  <c r="U61" i="4"/>
  <c r="F61" i="4"/>
  <c r="Z61" i="4"/>
  <c r="K61" i="4"/>
  <c r="F60" i="4"/>
  <c r="K60" i="4"/>
  <c r="AA50" i="4"/>
  <c r="Z50" i="4"/>
  <c r="V50" i="4"/>
  <c r="U50" i="4"/>
  <c r="Q50" i="4"/>
  <c r="P50" i="4"/>
  <c r="L50" i="4"/>
  <c r="K50" i="4"/>
  <c r="Y50" i="4"/>
  <c r="T50" i="4"/>
  <c r="O50" i="4"/>
  <c r="J50" i="4"/>
  <c r="G50" i="4"/>
  <c r="E50" i="4" s="1"/>
  <c r="F50" i="4"/>
  <c r="AD50" i="4" l="1"/>
  <c r="G76" i="10"/>
  <c r="R76" i="10"/>
  <c r="O76" i="10"/>
  <c r="I76" i="10"/>
  <c r="F76" i="10"/>
  <c r="T76" i="10"/>
  <c r="S76" i="10"/>
  <c r="Q76" i="10"/>
  <c r="P76" i="10"/>
  <c r="N76" i="10"/>
  <c r="M76" i="10"/>
  <c r="L76" i="10" s="1"/>
  <c r="E76" i="10" s="1"/>
  <c r="K76" i="10"/>
  <c r="J76" i="10"/>
  <c r="H76" i="10"/>
  <c r="J49" i="10"/>
  <c r="G49" i="10"/>
  <c r="G31" i="10"/>
  <c r="P31" i="10"/>
  <c r="E30" i="10"/>
  <c r="E22" i="10"/>
  <c r="E21" i="10"/>
  <c r="E20" i="10"/>
  <c r="E19" i="10"/>
  <c r="E18" i="10"/>
  <c r="L75" i="10" l="1"/>
  <c r="I75" i="10"/>
  <c r="F75" i="10"/>
  <c r="L73" i="10"/>
  <c r="I73" i="10"/>
  <c r="F73" i="10"/>
  <c r="L72" i="10"/>
  <c r="I72" i="10"/>
  <c r="F72" i="10"/>
  <c r="L71" i="10"/>
  <c r="I71" i="10"/>
  <c r="F71" i="10"/>
  <c r="L70" i="10"/>
  <c r="I70" i="10"/>
  <c r="F70" i="10"/>
  <c r="R69" i="10"/>
  <c r="O69" i="10"/>
  <c r="L69" i="10"/>
  <c r="I69" i="10"/>
  <c r="F69" i="10"/>
  <c r="E69" i="10" s="1"/>
  <c r="T68" i="10"/>
  <c r="S68" i="10"/>
  <c r="R68" i="10" s="1"/>
  <c r="Q68" i="10"/>
  <c r="P68" i="10"/>
  <c r="O68" i="10" s="1"/>
  <c r="N68" i="10"/>
  <c r="L68" i="10" s="1"/>
  <c r="M68" i="10"/>
  <c r="K68" i="10"/>
  <c r="J68" i="10"/>
  <c r="H68" i="10"/>
  <c r="F68" i="10" s="1"/>
  <c r="G68" i="10"/>
  <c r="D68" i="10"/>
  <c r="F67" i="10"/>
  <c r="F65" i="10"/>
  <c r="F64" i="10"/>
  <c r="F63" i="10"/>
  <c r="F62" i="10"/>
  <c r="F61" i="10"/>
  <c r="D61" i="10"/>
  <c r="F60" i="10"/>
  <c r="E60" i="10" s="1"/>
  <c r="F59" i="10"/>
  <c r="E59" i="10" s="1"/>
  <c r="F58" i="10"/>
  <c r="E58" i="10" s="1"/>
  <c r="F57" i="10"/>
  <c r="E57" i="10" s="1"/>
  <c r="F56" i="10"/>
  <c r="E56" i="10" s="1"/>
  <c r="F55" i="10"/>
  <c r="E55" i="10" s="1"/>
  <c r="F54" i="10"/>
  <c r="E54" i="10" s="1"/>
  <c r="F53" i="10"/>
  <c r="E53" i="10" s="1"/>
  <c r="F52" i="10"/>
  <c r="E52" i="10" s="1"/>
  <c r="F51" i="10"/>
  <c r="E51" i="10" s="1"/>
  <c r="Y47" i="10"/>
  <c r="V47" i="10"/>
  <c r="R47" i="10"/>
  <c r="O47" i="10"/>
  <c r="L47" i="10"/>
  <c r="Y46" i="10"/>
  <c r="V46" i="10"/>
  <c r="R46" i="10"/>
  <c r="O46" i="10"/>
  <c r="L46" i="10"/>
  <c r="X44" i="10"/>
  <c r="Y44" i="10" s="1"/>
  <c r="V44" i="10"/>
  <c r="U44" i="10"/>
  <c r="W44" i="10" s="1"/>
  <c r="R44" i="10"/>
  <c r="O44" i="10"/>
  <c r="L44" i="10"/>
  <c r="Y43" i="10"/>
  <c r="X43" i="10"/>
  <c r="Z43" i="10" s="1"/>
  <c r="U43" i="10"/>
  <c r="V43" i="10" s="1"/>
  <c r="R43" i="10"/>
  <c r="O43" i="10"/>
  <c r="L43" i="10"/>
  <c r="O41" i="10"/>
  <c r="L41" i="10"/>
  <c r="U39" i="10"/>
  <c r="R39" i="10"/>
  <c r="O39" i="10"/>
  <c r="L39" i="10"/>
  <c r="T38" i="10"/>
  <c r="S38" i="10"/>
  <c r="R38" i="10" s="1"/>
  <c r="Q38" i="10"/>
  <c r="P38" i="10"/>
  <c r="O38" i="10"/>
  <c r="N38" i="10"/>
  <c r="M38" i="10"/>
  <c r="L38" i="10" s="1"/>
  <c r="R36" i="10"/>
  <c r="O36" i="10"/>
  <c r="L36" i="10"/>
  <c r="U35" i="10"/>
  <c r="R35" i="10"/>
  <c r="O35" i="10"/>
  <c r="L35" i="10"/>
  <c r="U34" i="10"/>
  <c r="R34" i="10"/>
  <c r="O34" i="10"/>
  <c r="L34" i="10"/>
  <c r="R33" i="10"/>
  <c r="O33" i="10"/>
  <c r="L33" i="10"/>
  <c r="U32" i="10"/>
  <c r="R32" i="10"/>
  <c r="O32" i="10"/>
  <c r="L32" i="10"/>
  <c r="I36" i="10"/>
  <c r="F36" i="10"/>
  <c r="E36" i="10" s="1"/>
  <c r="U13" i="10"/>
  <c r="R13" i="10"/>
  <c r="O13" i="10"/>
  <c r="L13" i="10"/>
  <c r="I13" i="10"/>
  <c r="U12" i="10"/>
  <c r="R12" i="10"/>
  <c r="Q12" i="10"/>
  <c r="O12" i="10" s="1"/>
  <c r="L12" i="10"/>
  <c r="I12" i="10"/>
  <c r="F12" i="10"/>
  <c r="U11" i="10"/>
  <c r="R11" i="10"/>
  <c r="O11" i="10"/>
  <c r="L11" i="10"/>
  <c r="I11" i="10"/>
  <c r="F11" i="10"/>
  <c r="U10" i="10"/>
  <c r="R10" i="10"/>
  <c r="Q10" i="10"/>
  <c r="O10" i="10"/>
  <c r="N10" i="10"/>
  <c r="L10" i="10"/>
  <c r="K10" i="10"/>
  <c r="I10" i="10"/>
  <c r="F10" i="10"/>
  <c r="F22" i="10"/>
  <c r="F21" i="10"/>
  <c r="G20" i="10"/>
  <c r="F20" i="10"/>
  <c r="I19" i="10"/>
  <c r="L18" i="10"/>
  <c r="R17" i="10"/>
  <c r="O17" i="10"/>
  <c r="L17" i="10"/>
  <c r="I17" i="10"/>
  <c r="F17" i="10"/>
  <c r="E17" i="10"/>
  <c r="T16" i="10"/>
  <c r="S16" i="10"/>
  <c r="R16" i="10" s="1"/>
  <c r="Q16" i="10"/>
  <c r="P16" i="10"/>
  <c r="O16" i="10"/>
  <c r="N16" i="10"/>
  <c r="M16" i="10"/>
  <c r="L16" i="10" s="1"/>
  <c r="K16" i="10"/>
  <c r="J16" i="10"/>
  <c r="I16" i="10"/>
  <c r="H16" i="10"/>
  <c r="G16" i="10"/>
  <c r="F16" i="10" s="1"/>
  <c r="U15" i="10"/>
  <c r="R15" i="10"/>
  <c r="O15" i="10"/>
  <c r="L15" i="10"/>
  <c r="I15" i="10"/>
  <c r="F15" i="10"/>
  <c r="E15" i="10" s="1"/>
  <c r="F30" i="10"/>
  <c r="R29" i="10"/>
  <c r="O29" i="10"/>
  <c r="L29" i="10"/>
  <c r="I29" i="10"/>
  <c r="E29" i="10"/>
  <c r="V28" i="10"/>
  <c r="U28" i="10"/>
  <c r="W28" i="10" s="1"/>
  <c r="R28" i="10"/>
  <c r="O28" i="10"/>
  <c r="L28" i="10"/>
  <c r="I28" i="10"/>
  <c r="E28" i="10"/>
  <c r="V27" i="10"/>
  <c r="U27" i="10"/>
  <c r="W27" i="10" s="1"/>
  <c r="R27" i="10"/>
  <c r="O27" i="10"/>
  <c r="L27" i="10"/>
  <c r="I27" i="10"/>
  <c r="E27" i="10"/>
  <c r="U26" i="10"/>
  <c r="R26" i="10"/>
  <c r="O26" i="10"/>
  <c r="L26" i="10"/>
  <c r="I26" i="10"/>
  <c r="E26" i="10"/>
  <c r="V25" i="10"/>
  <c r="U25" i="10"/>
  <c r="W25" i="10" s="1"/>
  <c r="R25" i="10"/>
  <c r="O25" i="10"/>
  <c r="L25" i="10"/>
  <c r="E25" i="10" s="1"/>
  <c r="I25" i="10"/>
  <c r="I58" i="8"/>
  <c r="I68" i="10" l="1"/>
  <c r="W43" i="10"/>
  <c r="Z44" i="10"/>
  <c r="W39" i="10"/>
  <c r="V39" i="10"/>
  <c r="E16" i="10"/>
  <c r="D24" i="10"/>
  <c r="Y30" i="4" l="1"/>
  <c r="T30" i="4"/>
  <c r="O30" i="4"/>
  <c r="J30" i="4"/>
  <c r="E30" i="4"/>
  <c r="Y20" i="4"/>
  <c r="T20" i="4"/>
  <c r="O20" i="4"/>
  <c r="J20" i="4"/>
  <c r="E20" i="4"/>
  <c r="Y19" i="4"/>
  <c r="T19" i="4"/>
  <c r="O19" i="4"/>
  <c r="J19" i="4"/>
  <c r="E19" i="4"/>
  <c r="AD30" i="4" l="1"/>
  <c r="AD20" i="4"/>
  <c r="AD19" i="4"/>
  <c r="J93" i="8"/>
  <c r="I93" i="8"/>
  <c r="H93" i="8"/>
  <c r="G93" i="8"/>
  <c r="F93" i="8"/>
  <c r="F91" i="4" l="1"/>
  <c r="R65" i="10" l="1"/>
  <c r="O65" i="10"/>
  <c r="L65" i="10"/>
  <c r="I65" i="10"/>
  <c r="E65" i="10" s="1"/>
  <c r="R64" i="10"/>
  <c r="O64" i="10"/>
  <c r="L64" i="10"/>
  <c r="I64" i="10"/>
  <c r="E64" i="10" s="1"/>
  <c r="R63" i="10"/>
  <c r="O63" i="10"/>
  <c r="L63" i="10"/>
  <c r="I63" i="10"/>
  <c r="E63" i="10" s="1"/>
  <c r="R62" i="10"/>
  <c r="O62" i="10"/>
  <c r="L62" i="10"/>
  <c r="I62" i="10"/>
  <c r="E62" i="10" s="1"/>
  <c r="R61" i="10"/>
  <c r="O61" i="10"/>
  <c r="L61" i="10"/>
  <c r="I61" i="10"/>
  <c r="E61" i="10" s="1"/>
  <c r="R60" i="10"/>
  <c r="O60" i="10"/>
  <c r="L60" i="10"/>
  <c r="I60" i="10"/>
  <c r="R59" i="10"/>
  <c r="O59" i="10"/>
  <c r="L59" i="10"/>
  <c r="I59" i="10"/>
  <c r="R58" i="10"/>
  <c r="O58" i="10"/>
  <c r="L58" i="10"/>
  <c r="I58" i="10"/>
  <c r="R57" i="10"/>
  <c r="O57" i="10"/>
  <c r="L57" i="10"/>
  <c r="I57" i="10"/>
  <c r="R56" i="10"/>
  <c r="O56" i="10"/>
  <c r="L56" i="10"/>
  <c r="I56" i="10"/>
  <c r="R55" i="10"/>
  <c r="O55" i="10"/>
  <c r="L55" i="10"/>
  <c r="I55" i="10"/>
  <c r="R54" i="10"/>
  <c r="O54" i="10"/>
  <c r="L54" i="10"/>
  <c r="I54" i="10"/>
  <c r="R53" i="10"/>
  <c r="O53" i="10"/>
  <c r="L53" i="10"/>
  <c r="I53" i="10"/>
  <c r="R52" i="10"/>
  <c r="O52" i="10"/>
  <c r="L52" i="10"/>
  <c r="I52" i="10"/>
  <c r="R51" i="10"/>
  <c r="O51" i="10"/>
  <c r="L51" i="10"/>
  <c r="I51" i="10"/>
  <c r="Z78" i="4" l="1"/>
  <c r="U78" i="4"/>
  <c r="P78" i="4"/>
  <c r="K78" i="4"/>
  <c r="F78" i="4"/>
  <c r="Y77" i="4"/>
  <c r="T77" i="4"/>
  <c r="O77" i="4"/>
  <c r="J77" i="4"/>
  <c r="E77" i="4"/>
  <c r="Y76" i="4"/>
  <c r="T76" i="4"/>
  <c r="O76" i="4"/>
  <c r="J76" i="4"/>
  <c r="E76" i="4"/>
  <c r="Y74" i="4"/>
  <c r="T74" i="4"/>
  <c r="O74" i="4"/>
  <c r="J74" i="4"/>
  <c r="E74" i="4"/>
  <c r="AD74" i="4" s="1"/>
  <c r="Y73" i="4"/>
  <c r="Y78" i="4" s="1"/>
  <c r="T73" i="4"/>
  <c r="T78" i="4" s="1"/>
  <c r="O73" i="4"/>
  <c r="J73" i="4"/>
  <c r="J78" i="4" s="1"/>
  <c r="E73" i="4"/>
  <c r="AD73" i="4" l="1"/>
  <c r="E78" i="4"/>
  <c r="O78" i="4"/>
  <c r="AD77" i="4"/>
  <c r="AD76" i="4"/>
  <c r="AD78" i="4" s="1"/>
  <c r="Z67" i="4"/>
  <c r="AA67" i="4"/>
  <c r="U67" i="4"/>
  <c r="V67" i="4"/>
  <c r="T67" i="4" s="1"/>
  <c r="P67" i="4"/>
  <c r="Q67" i="4"/>
  <c r="O67" i="4" s="1"/>
  <c r="K67" i="4"/>
  <c r="L67" i="4"/>
  <c r="J67" i="4" s="1"/>
  <c r="F67" i="4"/>
  <c r="G67" i="4"/>
  <c r="E67" i="4" s="1"/>
  <c r="F63" i="4"/>
  <c r="G63" i="4"/>
  <c r="E63" i="4" s="1"/>
  <c r="K63" i="4"/>
  <c r="L63" i="4"/>
  <c r="J63" i="4" s="1"/>
  <c r="P63" i="4"/>
  <c r="Q63" i="4"/>
  <c r="U63" i="4"/>
  <c r="V63" i="4"/>
  <c r="T63" i="4" s="1"/>
  <c r="Z63" i="4"/>
  <c r="AA63" i="4"/>
  <c r="F64" i="4"/>
  <c r="G64" i="4"/>
  <c r="E64" i="4" s="1"/>
  <c r="K64" i="4"/>
  <c r="L64" i="4"/>
  <c r="J64" i="4" s="1"/>
  <c r="P64" i="4"/>
  <c r="Q64" i="4"/>
  <c r="U64" i="4"/>
  <c r="V64" i="4"/>
  <c r="T64" i="4" s="1"/>
  <c r="Z64" i="4"/>
  <c r="AA64" i="4"/>
  <c r="F65" i="4"/>
  <c r="G65" i="4"/>
  <c r="E65" i="4" s="1"/>
  <c r="K65" i="4"/>
  <c r="L65" i="4"/>
  <c r="J65" i="4" s="1"/>
  <c r="P65" i="4"/>
  <c r="Q65" i="4"/>
  <c r="U65" i="4"/>
  <c r="V65" i="4"/>
  <c r="T65" i="4" s="1"/>
  <c r="Z65" i="4"/>
  <c r="AA65" i="4"/>
  <c r="F62" i="4"/>
  <c r="G62" i="4"/>
  <c r="K62" i="4"/>
  <c r="L62" i="4"/>
  <c r="P62" i="4"/>
  <c r="Q62" i="4"/>
  <c r="U62" i="4"/>
  <c r="V62" i="4"/>
  <c r="T62" i="4" s="1"/>
  <c r="Z62" i="4"/>
  <c r="AA62" i="4"/>
  <c r="Q61" i="4"/>
  <c r="G61" i="4"/>
  <c r="L61" i="4"/>
  <c r="V61" i="4"/>
  <c r="AA61" i="4"/>
  <c r="Z57" i="4"/>
  <c r="K57" i="4"/>
  <c r="L57" i="4"/>
  <c r="G57" i="4"/>
  <c r="F57" i="4"/>
  <c r="U56" i="4"/>
  <c r="P56" i="4"/>
  <c r="K56" i="4"/>
  <c r="L56" i="4"/>
  <c r="F56" i="4"/>
  <c r="G56" i="4"/>
  <c r="Z55" i="4"/>
  <c r="AA55" i="4"/>
  <c r="V55" i="4"/>
  <c r="P55" i="4"/>
  <c r="K55" i="4"/>
  <c r="L55" i="4"/>
  <c r="F55" i="4"/>
  <c r="G55" i="4"/>
  <c r="Z54" i="4"/>
  <c r="Y54" i="4" s="1"/>
  <c r="AA54" i="4"/>
  <c r="U54" i="4"/>
  <c r="V54" i="4"/>
  <c r="P54" i="4"/>
  <c r="Q54" i="4"/>
  <c r="K54" i="4"/>
  <c r="L54" i="4"/>
  <c r="F54" i="4"/>
  <c r="G54" i="4"/>
  <c r="Z49" i="4"/>
  <c r="AA49" i="4"/>
  <c r="U49" i="4"/>
  <c r="V49" i="4"/>
  <c r="Q49" i="4"/>
  <c r="L49" i="4"/>
  <c r="F49" i="4"/>
  <c r="G49" i="4"/>
  <c r="L48" i="4"/>
  <c r="R75" i="10"/>
  <c r="O75" i="10"/>
  <c r="E75" i="10"/>
  <c r="R73" i="10"/>
  <c r="O73" i="10"/>
  <c r="E73" i="10"/>
  <c r="R72" i="10"/>
  <c r="O72" i="10"/>
  <c r="E72" i="10"/>
  <c r="R71" i="10"/>
  <c r="O71" i="10"/>
  <c r="E71" i="10"/>
  <c r="R70" i="10"/>
  <c r="O70" i="10"/>
  <c r="E70" i="10"/>
  <c r="R67" i="10"/>
  <c r="O67" i="10"/>
  <c r="L67" i="10"/>
  <c r="I67" i="10"/>
  <c r="T66" i="10"/>
  <c r="T49" i="10" s="1"/>
  <c r="AA59" i="4" s="1"/>
  <c r="S66" i="10"/>
  <c r="Z60" i="4" s="1"/>
  <c r="R66" i="10"/>
  <c r="Q66" i="10"/>
  <c r="V60" i="4" s="1"/>
  <c r="P66" i="10"/>
  <c r="O66" i="10" s="1"/>
  <c r="N66" i="10"/>
  <c r="N49" i="10" s="1"/>
  <c r="Q59" i="4" s="1"/>
  <c r="M66" i="10"/>
  <c r="P60" i="4" s="1"/>
  <c r="L60" i="4"/>
  <c r="H66" i="10"/>
  <c r="D49" i="10"/>
  <c r="S49" i="10"/>
  <c r="R49" i="10" s="1"/>
  <c r="Q49" i="10"/>
  <c r="V59" i="4" s="1"/>
  <c r="M49" i="10"/>
  <c r="L49" i="10" s="1"/>
  <c r="K49" i="10"/>
  <c r="L59" i="4" s="1"/>
  <c r="I47" i="10"/>
  <c r="F47" i="10"/>
  <c r="E47" i="10" s="1"/>
  <c r="I46" i="10"/>
  <c r="F46" i="10"/>
  <c r="E46" i="10" s="1"/>
  <c r="T45" i="10"/>
  <c r="AA57" i="4" s="1"/>
  <c r="S45" i="10"/>
  <c r="R45" i="10"/>
  <c r="Q45" i="10"/>
  <c r="V57" i="4" s="1"/>
  <c r="P45" i="10"/>
  <c r="O45" i="10" s="1"/>
  <c r="N45" i="10"/>
  <c r="Q57" i="4" s="1"/>
  <c r="M45" i="10"/>
  <c r="P57" i="4" s="1"/>
  <c r="K45" i="10"/>
  <c r="J45" i="10"/>
  <c r="I45" i="10" s="1"/>
  <c r="H45" i="10"/>
  <c r="G45" i="10"/>
  <c r="F45" i="10"/>
  <c r="I44" i="10"/>
  <c r="F44" i="10"/>
  <c r="E44" i="10" s="1"/>
  <c r="I43" i="10"/>
  <c r="F43" i="10"/>
  <c r="E43" i="10" s="1"/>
  <c r="T42" i="10"/>
  <c r="AA56" i="4" s="1"/>
  <c r="S42" i="10"/>
  <c r="R42" i="10" s="1"/>
  <c r="Q42" i="10"/>
  <c r="V56" i="4" s="1"/>
  <c r="P42" i="10"/>
  <c r="N42" i="10"/>
  <c r="Q56" i="4" s="1"/>
  <c r="M42" i="10"/>
  <c r="L42" i="10"/>
  <c r="K42" i="10"/>
  <c r="J42" i="10"/>
  <c r="I42" i="10" s="1"/>
  <c r="H42" i="10"/>
  <c r="G42" i="10"/>
  <c r="F42" i="10"/>
  <c r="D42" i="10"/>
  <c r="R41" i="10"/>
  <c r="I41" i="10"/>
  <c r="F41" i="10"/>
  <c r="E41" i="10"/>
  <c r="T40" i="10"/>
  <c r="S40" i="10"/>
  <c r="R40" i="10" s="1"/>
  <c r="Q40" i="10"/>
  <c r="P40" i="10"/>
  <c r="U55" i="4" s="1"/>
  <c r="N40" i="10"/>
  <c r="Q55" i="4" s="1"/>
  <c r="M40" i="10"/>
  <c r="K40" i="10"/>
  <c r="J40" i="10"/>
  <c r="I40" i="10"/>
  <c r="H40" i="10"/>
  <c r="G40" i="10"/>
  <c r="F40" i="10" s="1"/>
  <c r="I39" i="10"/>
  <c r="F39" i="10"/>
  <c r="E39" i="10"/>
  <c r="K38" i="10"/>
  <c r="J38" i="10"/>
  <c r="I38" i="10"/>
  <c r="H38" i="10"/>
  <c r="G38" i="10"/>
  <c r="F38" i="10" s="1"/>
  <c r="C38" i="10"/>
  <c r="R37" i="10"/>
  <c r="O37" i="10"/>
  <c r="L37" i="10"/>
  <c r="I37" i="10"/>
  <c r="F37" i="10"/>
  <c r="I35" i="10"/>
  <c r="F35" i="10"/>
  <c r="E35" i="10" s="1"/>
  <c r="I34" i="10"/>
  <c r="F34" i="10"/>
  <c r="E34" i="10" s="1"/>
  <c r="I33" i="10"/>
  <c r="F33" i="10"/>
  <c r="E33" i="10" s="1"/>
  <c r="I32" i="10"/>
  <c r="F32" i="10"/>
  <c r="E32" i="10" s="1"/>
  <c r="T31" i="10"/>
  <c r="AA53" i="4" s="1"/>
  <c r="S31" i="10"/>
  <c r="Z53" i="4" s="1"/>
  <c r="Q31" i="10"/>
  <c r="V53" i="4" s="1"/>
  <c r="U53" i="4"/>
  <c r="N31" i="10"/>
  <c r="Q53" i="4" s="1"/>
  <c r="M31" i="10"/>
  <c r="P53" i="4" s="1"/>
  <c r="K31" i="10"/>
  <c r="L53" i="4" s="1"/>
  <c r="J31" i="10"/>
  <c r="I31" i="10" s="1"/>
  <c r="H31" i="10"/>
  <c r="G53" i="4" s="1"/>
  <c r="F53" i="4"/>
  <c r="T24" i="10"/>
  <c r="AA52" i="4" s="1"/>
  <c r="S24" i="10"/>
  <c r="R24" i="10" s="1"/>
  <c r="Q24" i="10"/>
  <c r="V52" i="4" s="1"/>
  <c r="P24" i="10"/>
  <c r="U52" i="4" s="1"/>
  <c r="N24" i="10"/>
  <c r="Q52" i="4" s="1"/>
  <c r="M24" i="10"/>
  <c r="K24" i="10"/>
  <c r="L52" i="4" s="1"/>
  <c r="J24" i="10"/>
  <c r="I24" i="10" s="1"/>
  <c r="H24" i="10"/>
  <c r="G52" i="4" s="1"/>
  <c r="G24" i="10"/>
  <c r="F52" i="4" s="1"/>
  <c r="P49" i="4"/>
  <c r="T14" i="10"/>
  <c r="AA48" i="4" s="1"/>
  <c r="S14" i="10"/>
  <c r="R14" i="10" s="1"/>
  <c r="Q14" i="10"/>
  <c r="V48" i="4" s="1"/>
  <c r="P14" i="10"/>
  <c r="N14" i="10"/>
  <c r="Q48" i="4" s="1"/>
  <c r="M14" i="10"/>
  <c r="P48" i="4" s="1"/>
  <c r="L14" i="10"/>
  <c r="K14" i="10"/>
  <c r="J14" i="10"/>
  <c r="I14" i="10" s="1"/>
  <c r="H14" i="10"/>
  <c r="G48" i="4" s="1"/>
  <c r="G14" i="10"/>
  <c r="F48" i="4" s="1"/>
  <c r="E13" i="10"/>
  <c r="E11" i="10"/>
  <c r="T9" i="10"/>
  <c r="AA47" i="4" s="1"/>
  <c r="S9" i="10"/>
  <c r="Z47" i="4" s="1"/>
  <c r="P9" i="10"/>
  <c r="U47" i="4" s="1"/>
  <c r="N9" i="10"/>
  <c r="M9" i="10"/>
  <c r="J9" i="10"/>
  <c r="K47" i="4" s="1"/>
  <c r="H9" i="10"/>
  <c r="G47" i="4" s="1"/>
  <c r="G9" i="10"/>
  <c r="Y67" i="4"/>
  <c r="E67" i="10" l="1"/>
  <c r="E68" i="10" s="1"/>
  <c r="T55" i="4"/>
  <c r="Y61" i="4"/>
  <c r="E61" i="4"/>
  <c r="H49" i="10"/>
  <c r="G59" i="4" s="1"/>
  <c r="F66" i="10"/>
  <c r="L45" i="10"/>
  <c r="U57" i="4"/>
  <c r="Z56" i="4"/>
  <c r="Y56" i="4" s="1"/>
  <c r="O42" i="10"/>
  <c r="T56" i="4"/>
  <c r="L40" i="10"/>
  <c r="O40" i="10"/>
  <c r="E37" i="10"/>
  <c r="L31" i="10"/>
  <c r="F31" i="10"/>
  <c r="O31" i="10"/>
  <c r="R31" i="10"/>
  <c r="K53" i="4"/>
  <c r="T53" i="4"/>
  <c r="Q47" i="4"/>
  <c r="Z48" i="4"/>
  <c r="O14" i="10"/>
  <c r="K48" i="4"/>
  <c r="E52" i="4"/>
  <c r="K52" i="4"/>
  <c r="F24" i="10"/>
  <c r="Z52" i="4"/>
  <c r="Y52" i="4" s="1"/>
  <c r="O24" i="10"/>
  <c r="T52" i="4"/>
  <c r="L24" i="10"/>
  <c r="P52" i="4"/>
  <c r="K49" i="4"/>
  <c r="U48" i="4"/>
  <c r="F14" i="10"/>
  <c r="E14" i="10" s="1"/>
  <c r="P47" i="4"/>
  <c r="E10" i="10"/>
  <c r="F47" i="4"/>
  <c r="J60" i="4"/>
  <c r="J52" i="4"/>
  <c r="J53" i="4"/>
  <c r="E54" i="4"/>
  <c r="J55" i="4"/>
  <c r="J57" i="4"/>
  <c r="AA60" i="4"/>
  <c r="Y60" i="4" s="1"/>
  <c r="Q60" i="4"/>
  <c r="O60" i="4" s="1"/>
  <c r="I66" i="10"/>
  <c r="E66" i="10" s="1"/>
  <c r="L66" i="10"/>
  <c r="F59" i="4"/>
  <c r="P59" i="4"/>
  <c r="O59" i="4" s="1"/>
  <c r="Z59" i="4"/>
  <c r="Y59" i="4" s="1"/>
  <c r="G60" i="4"/>
  <c r="E60" i="4" s="1"/>
  <c r="U60" i="4"/>
  <c r="T60" i="4" s="1"/>
  <c r="J56" i="4"/>
  <c r="O57" i="4"/>
  <c r="Y57" i="4"/>
  <c r="O62" i="4"/>
  <c r="J62" i="4"/>
  <c r="O47" i="4"/>
  <c r="Y47" i="4"/>
  <c r="O55" i="4"/>
  <c r="T61" i="4"/>
  <c r="J61" i="4"/>
  <c r="Y62" i="4"/>
  <c r="E62" i="4"/>
  <c r="Y65" i="4"/>
  <c r="O65" i="4"/>
  <c r="Y64" i="4"/>
  <c r="O64" i="4"/>
  <c r="Y63" i="4"/>
  <c r="O63" i="4"/>
  <c r="AD67" i="4"/>
  <c r="O61" i="4"/>
  <c r="T57" i="4"/>
  <c r="O56" i="4"/>
  <c r="T54" i="4"/>
  <c r="O54" i="4"/>
  <c r="Y53" i="4"/>
  <c r="J54" i="4"/>
  <c r="E53" i="4"/>
  <c r="E42" i="10"/>
  <c r="E12" i="10"/>
  <c r="E38" i="10"/>
  <c r="E40" i="10"/>
  <c r="E45" i="10"/>
  <c r="L9" i="10"/>
  <c r="R9" i="10"/>
  <c r="K9" i="10"/>
  <c r="Q9" i="10"/>
  <c r="P49" i="10"/>
  <c r="F9" i="10"/>
  <c r="E55" i="4"/>
  <c r="Y55" i="4"/>
  <c r="E56" i="4"/>
  <c r="E57" i="4"/>
  <c r="O52" i="4"/>
  <c r="O53" i="4"/>
  <c r="F49" i="10" l="1"/>
  <c r="E59" i="4"/>
  <c r="E31" i="10"/>
  <c r="V47" i="4"/>
  <c r="T47" i="4" s="1"/>
  <c r="L47" i="4"/>
  <c r="J47" i="4" s="1"/>
  <c r="E24" i="10"/>
  <c r="AD64" i="4"/>
  <c r="AD65" i="4"/>
  <c r="AD61" i="4"/>
  <c r="AD52" i="4"/>
  <c r="AD63" i="4"/>
  <c r="AD62" i="4"/>
  <c r="I49" i="10"/>
  <c r="K59" i="4"/>
  <c r="J59" i="4" s="1"/>
  <c r="O49" i="10"/>
  <c r="U59" i="4"/>
  <c r="T59" i="4" s="1"/>
  <c r="AD60" i="4"/>
  <c r="AD57" i="4"/>
  <c r="AD54" i="4"/>
  <c r="AD53" i="4"/>
  <c r="O9" i="10"/>
  <c r="I9" i="10"/>
  <c r="AD56" i="4"/>
  <c r="AD55" i="4"/>
  <c r="E9" i="10" l="1"/>
  <c r="AD59" i="4"/>
  <c r="E49" i="10"/>
  <c r="Z33" i="4"/>
  <c r="Y33" i="4" s="1"/>
  <c r="U33" i="4"/>
  <c r="T33" i="4" s="1"/>
  <c r="O33" i="4"/>
  <c r="J33" i="4"/>
  <c r="E33" i="4"/>
  <c r="Y31" i="4"/>
  <c r="T31" i="4"/>
  <c r="O31" i="4"/>
  <c r="J31" i="4"/>
  <c r="E31" i="4"/>
  <c r="Y29" i="4"/>
  <c r="T29" i="4"/>
  <c r="O29" i="4"/>
  <c r="J29" i="4"/>
  <c r="E29" i="4"/>
  <c r="Y28" i="4"/>
  <c r="T28" i="4"/>
  <c r="O28" i="4"/>
  <c r="J28" i="4"/>
  <c r="E28" i="4"/>
  <c r="Y27" i="4"/>
  <c r="T27" i="4"/>
  <c r="O27" i="4"/>
  <c r="J27" i="4"/>
  <c r="E27" i="4"/>
  <c r="Y26" i="4"/>
  <c r="T26" i="4"/>
  <c r="O26" i="4"/>
  <c r="J26" i="4"/>
  <c r="E26" i="4"/>
  <c r="Y25" i="4"/>
  <c r="T25" i="4"/>
  <c r="O25" i="4"/>
  <c r="J25" i="4"/>
  <c r="E25" i="4"/>
  <c r="Y24" i="4"/>
  <c r="T24" i="4"/>
  <c r="O24" i="4"/>
  <c r="J24" i="4"/>
  <c r="E24" i="4"/>
  <c r="Y23" i="4"/>
  <c r="T23" i="4"/>
  <c r="O23" i="4"/>
  <c r="J23" i="4"/>
  <c r="E23" i="4"/>
  <c r="Y22" i="4"/>
  <c r="T22" i="4"/>
  <c r="O22" i="4"/>
  <c r="J22" i="4"/>
  <c r="E22" i="4"/>
  <c r="Y18" i="4"/>
  <c r="T18" i="4"/>
  <c r="O18" i="4"/>
  <c r="J18" i="4"/>
  <c r="E18" i="4"/>
  <c r="Y17" i="4"/>
  <c r="T17" i="4"/>
  <c r="O17" i="4"/>
  <c r="J17" i="4"/>
  <c r="E17" i="4"/>
  <c r="Y16" i="4"/>
  <c r="T16" i="4"/>
  <c r="O16" i="4"/>
  <c r="J16" i="4"/>
  <c r="E16" i="4"/>
  <c r="Y15" i="4"/>
  <c r="T15" i="4"/>
  <c r="O15" i="4"/>
  <c r="J15" i="4"/>
  <c r="E15" i="4"/>
  <c r="Y14" i="4"/>
  <c r="T14" i="4"/>
  <c r="O14" i="4"/>
  <c r="J14" i="4"/>
  <c r="E14" i="4"/>
  <c r="Y13" i="4"/>
  <c r="T13" i="4"/>
  <c r="O13" i="4"/>
  <c r="J13" i="4"/>
  <c r="E13" i="4"/>
  <c r="AD29" i="4" l="1"/>
  <c r="AD33" i="4"/>
  <c r="AD13" i="4"/>
  <c r="AD15" i="4"/>
  <c r="AD17" i="4"/>
  <c r="AD18" i="4"/>
  <c r="AD22" i="4"/>
  <c r="AD24" i="4"/>
  <c r="AD25" i="4"/>
  <c r="AD27" i="4"/>
  <c r="AD14" i="4"/>
  <c r="AD16" i="4"/>
  <c r="AD23" i="4"/>
  <c r="AD26" i="4"/>
  <c r="AD28" i="4"/>
  <c r="AD31" i="4"/>
  <c r="Y49" i="4" l="1"/>
  <c r="T49" i="4"/>
  <c r="O49" i="4"/>
  <c r="J49" i="4"/>
  <c r="E49" i="4"/>
  <c r="AD49" i="4" l="1"/>
  <c r="AC68" i="4" l="1"/>
  <c r="AB68" i="4"/>
  <c r="X68" i="4"/>
  <c r="W68" i="4"/>
  <c r="S68" i="4"/>
  <c r="R68" i="4"/>
  <c r="N68" i="4"/>
  <c r="M68" i="4"/>
  <c r="H68" i="4"/>
  <c r="I68" i="4"/>
  <c r="AH68" i="4" l="1"/>
  <c r="AG68" i="4"/>
  <c r="O48" i="4"/>
  <c r="P68" i="4"/>
  <c r="Z68" i="4"/>
  <c r="E47" i="4"/>
  <c r="AD47" i="4" s="1"/>
  <c r="E48" i="4"/>
  <c r="J48" i="4"/>
  <c r="T48" i="4"/>
  <c r="F68" i="4"/>
  <c r="Q68" i="4"/>
  <c r="V68" i="4"/>
  <c r="AA68" i="4"/>
  <c r="G68" i="4"/>
  <c r="Y48" i="4"/>
  <c r="U68" i="4"/>
  <c r="K68" i="4" l="1"/>
  <c r="AE68" i="4" s="1"/>
  <c r="L68" i="4"/>
  <c r="AF68" i="4" s="1"/>
  <c r="E90" i="4" l="1"/>
  <c r="J90" i="4"/>
  <c r="O90" i="4"/>
  <c r="T90" i="4"/>
  <c r="Y90" i="4"/>
  <c r="G91" i="4"/>
  <c r="H91" i="4"/>
  <c r="I91" i="4"/>
  <c r="K91" i="4"/>
  <c r="L91" i="4"/>
  <c r="M91" i="4"/>
  <c r="N91" i="4"/>
  <c r="P91" i="4"/>
  <c r="Q91" i="4"/>
  <c r="R91" i="4"/>
  <c r="U91" i="4"/>
  <c r="V91" i="4"/>
  <c r="W91" i="4"/>
  <c r="Z91" i="4"/>
  <c r="AA91" i="4"/>
  <c r="AB91" i="4"/>
  <c r="AE91" i="4" l="1"/>
  <c r="AG91" i="4"/>
  <c r="AF91" i="4"/>
  <c r="E91" i="4"/>
  <c r="AD90" i="4"/>
  <c r="J91" i="4"/>
  <c r="F42" i="4" l="1"/>
  <c r="F92" i="4" s="1"/>
  <c r="P42" i="4"/>
  <c r="Y88" i="4" l="1"/>
  <c r="T88" i="4"/>
  <c r="O88" i="4"/>
  <c r="J88" i="4"/>
  <c r="E88" i="4"/>
  <c r="E86" i="4"/>
  <c r="J86" i="4"/>
  <c r="O86" i="4"/>
  <c r="T86" i="4"/>
  <c r="Y86" i="4"/>
  <c r="AD88" i="4" l="1"/>
  <c r="AD86" i="4"/>
  <c r="J95" i="8" l="1"/>
  <c r="I95" i="8"/>
  <c r="Q42" i="4" l="1"/>
  <c r="R42" i="4"/>
  <c r="S42" i="4"/>
  <c r="N42" i="4"/>
  <c r="G42" i="4"/>
  <c r="H42" i="4"/>
  <c r="I42" i="4"/>
  <c r="L42" i="4"/>
  <c r="M42" i="4"/>
  <c r="E42" i="4" l="1"/>
  <c r="O42" i="4"/>
  <c r="I13" i="9" l="1"/>
  <c r="I9" i="9"/>
  <c r="H9" i="9" l="1"/>
  <c r="H10" i="9" l="1"/>
  <c r="G17" i="9" l="1"/>
  <c r="G15" i="9"/>
  <c r="H13" i="9" l="1"/>
  <c r="U42" i="4" l="1"/>
  <c r="U92" i="4" s="1"/>
  <c r="T42" i="4" l="1"/>
  <c r="X83" i="4" l="1"/>
  <c r="X91" i="4" s="1"/>
  <c r="T91" i="4" s="1"/>
  <c r="AC83" i="4"/>
  <c r="AC91" i="4" s="1"/>
  <c r="Y91" i="4" s="1"/>
  <c r="G22" i="9" l="1"/>
  <c r="G13" i="9"/>
  <c r="G10" i="9"/>
  <c r="G9" i="9"/>
  <c r="H18" i="9" l="1"/>
  <c r="G18" i="9"/>
  <c r="H17" i="9"/>
  <c r="H16" i="9"/>
  <c r="G16" i="9"/>
  <c r="H15" i="9"/>
  <c r="S83" i="4" l="1"/>
  <c r="S91" i="4" s="1"/>
  <c r="O91" i="4" l="1"/>
  <c r="AH91" i="4"/>
  <c r="P92" i="4" l="1"/>
  <c r="AC78" i="4" l="1"/>
  <c r="AC92" i="4" s="1"/>
  <c r="AB78" i="4"/>
  <c r="AB92" i="4" s="1"/>
  <c r="AA78" i="4"/>
  <c r="AA92" i="4" s="1"/>
  <c r="X78" i="4"/>
  <c r="X92" i="4" s="1"/>
  <c r="W78" i="4"/>
  <c r="W92" i="4" s="1"/>
  <c r="V78" i="4"/>
  <c r="V92" i="4" s="1"/>
  <c r="S78" i="4"/>
  <c r="S92" i="4" s="1"/>
  <c r="R78" i="4"/>
  <c r="R92" i="4" s="1"/>
  <c r="Q78" i="4"/>
  <c r="Q92" i="4" s="1"/>
  <c r="N78" i="4"/>
  <c r="N92" i="4" s="1"/>
  <c r="M78" i="4"/>
  <c r="M92" i="4" s="1"/>
  <c r="L78" i="4"/>
  <c r="L92" i="4" s="1"/>
  <c r="I78" i="4"/>
  <c r="H78" i="4"/>
  <c r="G78" i="4"/>
  <c r="AH78" i="4" l="1"/>
  <c r="AG78" i="4"/>
  <c r="AF78" i="4"/>
  <c r="G92" i="4"/>
  <c r="F22" i="9" l="1"/>
  <c r="G11" i="9"/>
  <c r="Z42" i="4" l="1"/>
  <c r="Y42" i="4" l="1"/>
  <c r="Z92" i="4"/>
  <c r="T87" i="4" l="1"/>
  <c r="O87" i="4"/>
  <c r="Y85" i="4"/>
  <c r="T85" i="4"/>
  <c r="O85" i="4"/>
  <c r="Y83" i="4"/>
  <c r="T83" i="4"/>
  <c r="O83" i="4"/>
  <c r="F12" i="9" l="1"/>
  <c r="K42" i="4" l="1"/>
  <c r="K92" i="4" s="1"/>
  <c r="J42" i="4" l="1"/>
  <c r="AE42" i="4"/>
  <c r="AD42" i="4" l="1"/>
  <c r="J85" i="4" l="1"/>
  <c r="E85" i="4"/>
  <c r="AD85" i="4" l="1"/>
  <c r="AE78" i="4" l="1"/>
  <c r="I92" i="4" l="1"/>
  <c r="AH92" i="4" s="1"/>
  <c r="Y87" i="4" l="1"/>
  <c r="J83" i="4" l="1"/>
  <c r="E83" i="4"/>
  <c r="AF42" i="4" l="1"/>
  <c r="AH42" i="4"/>
  <c r="AG42" i="4"/>
  <c r="AD83" i="4"/>
  <c r="E87" i="4"/>
  <c r="J87" i="4"/>
  <c r="J68" i="4"/>
  <c r="J92" i="4" l="1"/>
  <c r="E68" i="4"/>
  <c r="E92" i="4" s="1"/>
  <c r="O68" i="4"/>
  <c r="O92" i="4" s="1"/>
  <c r="Y68" i="4"/>
  <c r="Y92" i="4" s="1"/>
  <c r="T68" i="4"/>
  <c r="T92" i="4" s="1"/>
  <c r="AD87" i="4"/>
  <c r="AD91" i="4" s="1"/>
  <c r="AD92" i="4" l="1"/>
  <c r="AE92" i="4"/>
  <c r="H92" i="4" l="1"/>
  <c r="AG92" i="4" s="1"/>
  <c r="AF92" i="4"/>
  <c r="AD48" i="4" l="1"/>
  <c r="AD68" i="4" l="1"/>
</calcChain>
</file>

<file path=xl/sharedStrings.xml><?xml version="1.0" encoding="utf-8"?>
<sst xmlns="http://schemas.openxmlformats.org/spreadsheetml/2006/main" count="1152" uniqueCount="446">
  <si>
    <t>Наименование мероприятий по объектам</t>
  </si>
  <si>
    <t>1.1.</t>
  </si>
  <si>
    <t>2.1.</t>
  </si>
  <si>
    <t>4.2.</t>
  </si>
  <si>
    <t>1.1.1.</t>
  </si>
  <si>
    <t>2.1.1.</t>
  </si>
  <si>
    <t>1.2.</t>
  </si>
  <si>
    <t>1.2.1.</t>
  </si>
  <si>
    <t>1.2.2.</t>
  </si>
  <si>
    <t>Стоимость работ по годам, тыс.руб.</t>
  </si>
  <si>
    <t>1.1.2.</t>
  </si>
  <si>
    <t>1.3.</t>
  </si>
  <si>
    <t>1.2.3.</t>
  </si>
  <si>
    <t>1.1.3.</t>
  </si>
  <si>
    <t>4.1.</t>
  </si>
  <si>
    <t>4.3.</t>
  </si>
  <si>
    <t>2.1.2.</t>
  </si>
  <si>
    <t>3.1.</t>
  </si>
  <si>
    <t>3.2.</t>
  </si>
  <si>
    <t>ИТОГО ПО ПОДПРОГРАММЕ "РГПТ"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</si>
  <si>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</si>
  <si>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</si>
  <si>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</si>
  <si>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Департамент дорожного хозяйства и транспорта            администрации городского округа Тольятти</t>
  </si>
  <si>
    <t>Департамент дорожного хозяйства и транспорта администрации городского округа Тольятти</t>
  </si>
  <si>
    <t xml:space="preserve">Департамент дорожного хозяйства и транспорта  администрации городского округа Тольятти                           </t>
  </si>
  <si>
    <t>федеральный   бюджет</t>
  </si>
  <si>
    <t>Всего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</si>
  <si>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</si>
  <si>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</si>
  <si>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</si>
  <si>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</si>
  <si>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</si>
  <si>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</si>
  <si>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</si>
  <si>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>Нанесение горизонтальной дорожной разметки</t>
  </si>
  <si>
    <t>ИТОГО ПО ПОДПРОГРАММЕ "СУДС"</t>
  </si>
  <si>
    <t>Сроки реали-зации</t>
  </si>
  <si>
    <t>местный бюджет</t>
  </si>
  <si>
    <t>областной бюджет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</si>
  <si>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</si>
  <si>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</si>
  <si>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</si>
  <si>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</si>
  <si>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</si>
  <si>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</si>
  <si>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</si>
  <si>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Количество устроенных искусственных дорожных неровностей</t>
  </si>
  <si>
    <t>тыс.м.п.</t>
  </si>
  <si>
    <t>Количество обустроенных светофорных объектов</t>
  </si>
  <si>
    <t>ед.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</si>
  <si>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</si>
  <si>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</si>
  <si>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</si>
  <si>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км</t>
  </si>
  <si>
    <t>тыс. м2</t>
  </si>
  <si>
    <t>тыс.м2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</si>
  <si>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</si>
  <si>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</si>
  <si>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</si>
  <si>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>1.3.1.</t>
  </si>
  <si>
    <t>Количество перевезенных пассажиров льготной категории граждан</t>
  </si>
  <si>
    <t>тыс.пас.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</si>
  <si>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</si>
  <si>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</si>
  <si>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</si>
  <si>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</si>
  <si>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</si>
  <si>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</si>
  <si>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</si>
  <si>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</si>
  <si>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</si>
  <si>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</si>
  <si>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 xml:space="preserve">Доля протяженности дорожной сети городского округа Тольятти, находящейся в нормативном состоянии 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</si>
  <si>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</si>
  <si>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</si>
  <si>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Протяженность установленных пешеходных ограждений</t>
  </si>
  <si>
    <t>Устройство технических средств организации дорожного движения</t>
  </si>
  <si>
    <t>Приобретение дорожных знаков (заготовок дорожных знаков)</t>
  </si>
  <si>
    <t>Количество приобретенных дорожных знаков (заготовок дорожных знаков)</t>
  </si>
  <si>
    <t>Количество установленных дорожных знаков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</si>
  <si>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</si>
  <si>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</si>
  <si>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Проектно-изыскательские работы по устройству линий наружного электроосвещения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</si>
  <si>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</si>
  <si>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Доля отечественного оборудования (товаров, работ, услуг) в общем объеме закупок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</si>
  <si>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</si>
  <si>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</si>
  <si>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</si>
  <si>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</si>
  <si>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работ по обеспечению безопасности участников дорожного движения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</si>
  <si>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</si>
  <si>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</si>
  <si>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3.1.1.</t>
  </si>
  <si>
    <t>3.2.1.</t>
  </si>
  <si>
    <t>4.1.1.</t>
  </si>
  <si>
    <t>4.2.1.</t>
  </si>
  <si>
    <t>4.3.1.</t>
  </si>
  <si>
    <t>1.</t>
  </si>
  <si>
    <t>2.</t>
  </si>
  <si>
    <t>1.1.4.</t>
  </si>
  <si>
    <t>1.1.5.</t>
  </si>
  <si>
    <t>1.1.6.</t>
  </si>
  <si>
    <t>1.1.7.</t>
  </si>
  <si>
    <t>1.2.4.</t>
  </si>
  <si>
    <t>1.2.5.</t>
  </si>
  <si>
    <t>3.</t>
  </si>
  <si>
    <t>3.1.2.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</si>
  <si>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</si>
  <si>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</si>
  <si>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4.2.2.</t>
  </si>
  <si>
    <t>4.2.3.</t>
  </si>
  <si>
    <t>4.2.4.</t>
  </si>
  <si>
    <t>4.</t>
  </si>
  <si>
    <t>на 2021 г.</t>
  </si>
  <si>
    <t>на 2022 г.</t>
  </si>
  <si>
    <t>на 2023 г.</t>
  </si>
  <si>
    <t>на 2024 г.</t>
  </si>
  <si>
    <t>на 2025 г.</t>
  </si>
  <si>
    <t>км.</t>
  </si>
  <si>
    <t>Пробег специализированных автомобилей, осуществляющих перевозку маломобильных граждан</t>
  </si>
  <si>
    <t>пас.</t>
  </si>
  <si>
    <t>Количество перевезенных маломобильных граждан специализированными автомобилями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</si>
  <si>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</si>
  <si>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Количество объектов, на которых установлены указатели</t>
  </si>
  <si>
    <t>Устройство тактильной плитки</t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</si>
  <si>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</si>
  <si>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</si>
  <si>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</si>
  <si>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</si>
  <si>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</si>
  <si>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№   п/п</t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</si>
  <si>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</si>
  <si>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</si>
  <si>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</si>
  <si>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Количество диагностируемых надземных пешеходных переходов (мостов, путепроводов)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</si>
  <si>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</si>
  <si>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</si>
  <si>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</si>
  <si>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</si>
  <si>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</si>
  <si>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</si>
  <si>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</si>
  <si>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</si>
  <si>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</si>
  <si>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Задача 4 подпрограммы: формирование законопослушного поведения участников дорожного движения</t>
  </si>
  <si>
    <t>Количество проведенных акций</t>
  </si>
  <si>
    <t>Количество проведенных мероприятий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</si>
  <si>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</si>
  <si>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</si>
  <si>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</si>
  <si>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</si>
  <si>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</si>
  <si>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</si>
  <si>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</si>
  <si>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</si>
  <si>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</si>
  <si>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</si>
  <si>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млн. пассажиро-километров</t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</si>
  <si>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</si>
  <si>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 xml:space="preserve">Количество разработанной документации </t>
  </si>
  <si>
    <t>Доля выполненных работ по обеспечению безопасности участников дорожного движения</t>
  </si>
  <si>
    <t>Обеспеченность парка транспортом с низким (пониженным) уровнем пола МП "ТПАТП № 3" / АО ТПАТП № 3 (с 19.11.2024)</t>
  </si>
  <si>
    <t>Размещение на официальном сайте органов местного самоуправления информации о безопасном поведении на дороге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</si>
  <si>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2026 - 2030 годы"
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</si>
  <si>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2026-2030 годы" </t>
  </si>
  <si>
    <t>№ п/п</t>
  </si>
  <si>
    <t>внебюджетные средства</t>
  </si>
  <si>
    <t xml:space="preserve"> План на 2026 год</t>
  </si>
  <si>
    <t xml:space="preserve"> План на 2027 год</t>
  </si>
  <si>
    <t xml:space="preserve"> План на 2028 год</t>
  </si>
  <si>
    <t xml:space="preserve"> План на 2029 год</t>
  </si>
  <si>
    <t xml:space="preserve"> План на 2030 год</t>
  </si>
  <si>
    <t>Задача 1 муниципальной программы: повышение безопасности дорожного движения, сохранение жизни, здоровья и имущества населения</t>
  </si>
  <si>
    <t xml:space="preserve">Подпрограмма "Безопасность дорожного движения на 2026 - 2030 годы"                      </t>
  </si>
  <si>
    <t>Цель подпрограммы: повышение безопасности дорожного движения, сохранение жизни, здоровья и имущества населения</t>
  </si>
  <si>
    <t>Задача 1 подпрограммы: проведение организационных и инженерных мероприятий, направленных на ликвидацию и предупреждение причин возникновения дорожно-транспортных происшествий</t>
  </si>
  <si>
    <t>2026-2030</t>
  </si>
  <si>
    <t>Устройство искусственных дорожных неровностей</t>
  </si>
  <si>
    <t>Задача 2 подпрограммы: оптимизация режимов движения на участках улично-дорожной сети с использованием современных схем организации дорожного движения, технических средств организации дорожного движения и автоматизированных систем управления дорожным движением</t>
  </si>
  <si>
    <t>Задача 3 подпрограммы : обеспечение деятельности муниципального казенного учреждения «Центр организации дорожного движения городского округа Тольятти»</t>
  </si>
  <si>
    <t xml:space="preserve">МП "ТТУ",                        АО ТПАТП №3          (Департамент дорожного хозяйства и транспорта  администрации городского округа Тольятти)                                                    </t>
  </si>
  <si>
    <t xml:space="preserve">ИТОГО ПО ПОДПРОГРАММЕ "БДД"                                                                                                                      </t>
  </si>
  <si>
    <t>99,5 и более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</si>
  <si>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2026 - 2030 годы"
</t>
  </si>
  <si>
    <t>Организация и проведение тестирования учащихся 3, 7, 10 классов на знание правил дорожного движения</t>
  </si>
  <si>
    <t>Проведение акции "Безопасность на дорогах начинается с семьи"</t>
  </si>
  <si>
    <t>Замена павильонов остановок общественного транспорта</t>
  </si>
  <si>
    <t>Подпрограмма «Развитие городского пассажирского транспорта на 2026 - 2030 годы»</t>
  </si>
  <si>
    <t>Задача 2 подпрограммы: обеспечение организации регулярных перевозок пассажиров по регулируемым тарифам</t>
  </si>
  <si>
    <t>Задача 3 подпрограммы: оптимизация структуры парков транспортных средств и обновление их подвижного состава</t>
  </si>
  <si>
    <t>90 и более</t>
  </si>
  <si>
    <t>1 000 и более</t>
  </si>
  <si>
    <t>Подпрограмма "Развитие городского пассажирского транспорта на 2026 - 2030 годы"</t>
  </si>
  <si>
    <t xml:space="preserve">Уровень исполнения обязательств по лизингу </t>
  </si>
  <si>
    <t xml:space="preserve">Количество действующих маршрутов на выполнение регулярных перевозок пассажиров и багажа по регулируемым тарифам  по муниципальным маршрутам  </t>
  </si>
  <si>
    <t xml:space="preserve">Количество действующих маршрутов на выполнение регулярных перевозок пассажиров и багажа по регулируемым тарифам по межмуниципальным маршрутам  на садово-дачные массивы    </t>
  </si>
  <si>
    <r>
      <t xml:space="preserve">Выполнение работ по осуществлению регулярных перевозок пассажиров и багажа по регулируемым тарифам по межмуниципальным маршрутам  на садово-дачные массивы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</si>
  <si>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</t>
  </si>
  <si>
    <t>Задача 3 подпрограммы: Оптимизация структуры парков транспортных средств и обновление их подвижного состава</t>
  </si>
  <si>
    <t xml:space="preserve">Изготовление и установка табличек на остановочных пунктах                                             </t>
  </si>
  <si>
    <t xml:space="preserve">Регулярность выполнения перевозок по муниципальным маршрутам  </t>
  </si>
  <si>
    <t xml:space="preserve">Количество построенных пешеходных дорожек, тротуаров
</t>
  </si>
  <si>
    <t xml:space="preserve">Устройство линий наружного электроосвещения </t>
  </si>
  <si>
    <t>Проектно-изыскательские работы по устройству пешеходных дорожек</t>
  </si>
  <si>
    <t>2026-2027</t>
  </si>
  <si>
    <t xml:space="preserve">Количество устроенных линий наружного электроосвещения 
</t>
  </si>
  <si>
    <t xml:space="preserve">Подпрограмма "Содержание улично-дорожной сети на 2026-2030 годы"                      </t>
  </si>
  <si>
    <r>
      <t>Содержание автомобильных дорог, в том числе: посадочных площадок остановок общественного транспорта, тротуаров, разделительных полос, элементов системы водоотвода, путепроводов, удерживающих барьерных ограждений</t>
    </r>
    <r>
      <rPr>
        <sz val="14"/>
        <rFont val="Times New Roman"/>
        <family val="1"/>
        <charset val="204"/>
      </rPr>
      <t xml:space="preserve"> </t>
    </r>
  </si>
  <si>
    <t xml:space="preserve">Содержание автомобильных дорог, в том числе: посадочных площадок остановок общественного транспорта, тротуаров, разделительных полос, элементов системы водоотвода, путепроводов, удерживающих барьерных ограждений </t>
  </si>
  <si>
    <t xml:space="preserve">ИТОГО ПО МУНИЦИПАЛЬНОЙ ПРОГРАММЕ                                                  </t>
  </si>
  <si>
    <t xml:space="preserve">ИТОГО ПО ПОДПРОГРАММЕ "МРАД"                                                  </t>
  </si>
  <si>
    <t>Подпрограмма "Модернизация и развитие автомобильных дорог общего пользования местного значения на 2026 - 2030 годы"</t>
  </si>
  <si>
    <t>2.2.</t>
  </si>
  <si>
    <t>2.2.1.</t>
  </si>
  <si>
    <t>2.3.</t>
  </si>
  <si>
    <t>2.3.1.</t>
  </si>
  <si>
    <t>2.4.</t>
  </si>
  <si>
    <t>2.4.1.</t>
  </si>
  <si>
    <t xml:space="preserve">Протяженность построенных автомобильных дорог общего пользования местного значения </t>
  </si>
  <si>
    <r>
      <t xml:space="preserve">Строительство автомобильных дорог общего пользования местного значения </t>
    </r>
    <r>
      <rPr>
        <i/>
        <sz val="12"/>
        <rFont val="Times New Roman"/>
        <family val="1"/>
        <charset val="204"/>
      </rPr>
      <t>(ГП "Развитие транспортной системы Самарской области")</t>
    </r>
  </si>
  <si>
    <t>2.2.2.</t>
  </si>
  <si>
    <r>
      <t xml:space="preserve">Строительство автомобильных дорог общего пользования местного значения </t>
    </r>
    <r>
      <rPr>
        <i/>
        <sz val="10"/>
        <rFont val="Times New Roman"/>
        <family val="1"/>
        <charset val="204"/>
      </rPr>
      <t>(ГП "Развитие транспортной системы Самарской области")</t>
    </r>
  </si>
  <si>
    <t xml:space="preserve">Количество разработанной документации
</t>
  </si>
  <si>
    <t>2.3.2.</t>
  </si>
  <si>
    <t xml:space="preserve">Строительный контроль и авторский надзор  по строительству автомобильных дорог общего пользования местного значения
</t>
  </si>
  <si>
    <t xml:space="preserve">Строительный контроль и авторский надзор  по реконструкции автомобильных дорог общего пользования местного значения
</t>
  </si>
  <si>
    <r>
      <t>Реконструкция автомобильных дорог общего пользования местного значения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</t>
    </r>
    <r>
      <rPr>
        <sz val="12"/>
        <rFont val="Times New Roman"/>
        <family val="1"/>
        <charset val="204"/>
      </rPr>
      <t xml:space="preserve">
</t>
    </r>
  </si>
  <si>
    <r>
      <t xml:space="preserve">Реконструкция автомобильных дорог общего пользования местного значения </t>
    </r>
    <r>
      <rPr>
        <i/>
        <sz val="10"/>
        <rFont val="Times New Roman"/>
        <family val="1"/>
        <charset val="204"/>
      </rPr>
      <t xml:space="preserve">(ГП "Развитие транспортной системы Самарской области")
</t>
    </r>
  </si>
  <si>
    <t xml:space="preserve">L объекта, км </t>
  </si>
  <si>
    <t>S объекта, (тыс.м2)</t>
  </si>
  <si>
    <t>2026 год</t>
  </si>
  <si>
    <t>2027 год</t>
  </si>
  <si>
    <t>2028 год</t>
  </si>
  <si>
    <t>2029 год</t>
  </si>
  <si>
    <t>2030 год</t>
  </si>
  <si>
    <t>всего</t>
  </si>
  <si>
    <t xml:space="preserve">Выполнение проектно-изыскательских работ по реконструкции автомобильных дорог общего пользования местного значения
</t>
  </si>
  <si>
    <t xml:space="preserve">Корректировка проектно-сметной документации по строительству автомобильных дорог общего пользования местного значения
</t>
  </si>
  <si>
    <t>Корректировка проектно-сметной документации по объекту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</t>
  </si>
  <si>
    <t>Корректировка проектно-сметной документации по объекту "Строительство магистральной улицы общегородского значения регулируемого движения в продолжение ул. Фермерской до Южного шоссе"</t>
  </si>
  <si>
    <t>Корректировка проектно-сметной документации по объекту "Строительство улицы Ивана Красюка в жилой застройке микрорайона Жигулевское море от ул. Казачьей до пересечения ул. Молодецкая и проезда Оренбургский"</t>
  </si>
  <si>
    <t>Корректировка проектно-сметной документации по объекту "Строительство улицы Казачья в жилой застройке микрорайона Жигулевское море от ул. Ивана Красюка до ул. Бориса Коваленко"</t>
  </si>
  <si>
    <t>Выполнение проектно-изыскательских работ по реконструкции автомобильных дорог общего пользования местного значения</t>
  </si>
  <si>
    <t>Проектно-изыскательские работы "Реконструкция кольцевой транспортной развязки  ул. Автостроителей – ул. Свердлова – ул. 40 лет Победы"</t>
  </si>
  <si>
    <t xml:space="preserve">Строительство автомобильных дорог общего пользования местного значения </t>
  </si>
  <si>
    <t>Строительство магистральной улицы районного значения транспортно-пешеходной ул. Механизаторов от ул. Громовой до ул. Лизы Чайкиной в Комсомольском районе города Тольятти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</si>
  <si>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N 8 "Союз"</t>
  </si>
  <si>
    <t>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</si>
  <si>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Строительство улицы Казачья в жилой застройке микрорайона Жигулевское море от ул. Ивана Красюка до ул. Бориса Коваленко</t>
  </si>
  <si>
    <t>Строительство магистральной улицы общегородского значения регулируемого движения в продолжение ул. Фермерской до Южного шоссе</t>
  </si>
  <si>
    <t>Строительный контроль и авторский надзор  по строительству магистральной улицы районного значения транспортно-пешеходной ул. Механизаторов от ул. Громовой до ул. Лизы Чайкиной в Комсомольском районе города Тольятти</t>
  </si>
  <si>
    <t>Строительный контроль и авторский надзор  по строительству бокового проезда - подъездной дороги к земельному участку, на котором расположен физкультурно-оздоровительный комплекс СДЮШОР N 8 "Союз"</t>
  </si>
  <si>
    <t>Строительный контроль и авторский надзор  по строительству улицы Ивана Красюка в жилой застройке микрорайона Жигулевское море от ул. Казачьей до пересечения ул. Молодецкая и проезда Оренбургский</t>
  </si>
  <si>
    <t>Строительный контроль и авторский надзор  по строительству улицы Казачья в жилой застройке микрорайона Жигулевское море от ул. Ивана Красюка до ул. Бориса Коваленко</t>
  </si>
  <si>
    <t>Строительный контроль и авторский надзор  по строительству магистральной улицы общегородского значения регулируемого движения в продолжение ул. Фермерской до Южного шоссе</t>
  </si>
  <si>
    <t>Реконструкция автомобильных дорог общего пользования местного значения</t>
  </si>
  <si>
    <t>Реконструкция кольцевой транспортной развязки  ул. Автостроителей – ул. Свердлова – ул. 40 лет Победы</t>
  </si>
  <si>
    <r>
      <t xml:space="preserve">Капитальный ремонт автомобильных  дорог общего пользования местного значения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</si>
  <si>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t xml:space="preserve">Площадь реконструированных автомобильных дорог общего пользования местного значения городского округа Тольятти
</t>
  </si>
  <si>
    <t>Строительный контроль и авторский надзор  по реконструкции кольцевой транспортной развязки  ул. Автостроителей – ул. Свердлова – ул. 40 лет Победы</t>
  </si>
  <si>
    <r>
      <t xml:space="preserve">Капитальный ремонт автомобильных  дорог общего пользования местного значения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</si>
  <si>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t xml:space="preserve">Протяженность отремонтированных путем капитального ремонта автомобильных дорог общего пользования местного значения </t>
  </si>
  <si>
    <t xml:space="preserve">Количество разработанной проектно-сметной документации </t>
  </si>
  <si>
    <t xml:space="preserve">Количество откорректированной проектно-сметной документации 
</t>
  </si>
  <si>
    <t xml:space="preserve">Капитальный ремонт автомобильных  дорог общего пользования местного значения                                       </t>
  </si>
  <si>
    <t>Капитальный ремонт автомобильной дороги по улице Базовая от ул. Комсомольская до улицы Ларина</t>
  </si>
  <si>
    <t>Капитальный ремонт автомобильной дороги по Тупиковому проезду</t>
  </si>
  <si>
    <t>Строительный контроль и авторский надзор  по капитальному ремонту автомобильной дороги по улице Базовая от ул. Комсомольская до улицы Ларина</t>
  </si>
  <si>
    <t>Строительный контроль и авторский надзор  по капитальномуремонту автомобильной дороги по Тупиковому проезду</t>
  </si>
  <si>
    <t xml:space="preserve">Доля выполненных работ от общего объема строительных работ, запланированных в текущем году
</t>
  </si>
  <si>
    <t xml:space="preserve">Доля выполненных работ от общего объема работ по капитальному ремонту, запланированных в текущем году
</t>
  </si>
  <si>
    <t xml:space="preserve">Подготовка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
</t>
  </si>
  <si>
    <t xml:space="preserve">Количество представленных экспертных заключений
</t>
  </si>
  <si>
    <t xml:space="preserve">Проведение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
</t>
  </si>
  <si>
    <t xml:space="preserve">Проведение технического учета и паспортизации автомобильных дорог общего пользования местного значения
</t>
  </si>
  <si>
    <t xml:space="preserve">Количество автомобильных дорог общего пользования местного значения городского округа Тольятти, на которых проведен технический учет и паспортизация
</t>
  </si>
  <si>
    <t xml:space="preserve">Устройство съездов для инвалидов и других маломобильных групп населения </t>
  </si>
  <si>
    <t xml:space="preserve">Количество объектов, оборудованных съездами 
</t>
  </si>
  <si>
    <t xml:space="preserve">Площадь автомобильных дорог, на которых проведен ремонт "картами"
</t>
  </si>
  <si>
    <t xml:space="preserve">Ремонт "картами"автомобильных дорог общего пользования местного значения </t>
  </si>
  <si>
    <t xml:space="preserve">Протяженность отремонтированных путем ремонта автомобильных дорог  / в т.ч. в рамках реализации национального проекта "Инфраструктура для жизни"
</t>
  </si>
  <si>
    <t xml:space="preserve">в том числе в рамках реализации национального проекта "Инфраструктура для жизни" </t>
  </si>
  <si>
    <t>ул. Комсомольская</t>
  </si>
  <si>
    <t>ул. Советская</t>
  </si>
  <si>
    <t>Московский проспект</t>
  </si>
  <si>
    <t>ул. Дзержинского</t>
  </si>
  <si>
    <t>ул. Революционная</t>
  </si>
  <si>
    <t xml:space="preserve">Итого по объектам ремонта дорог пв рамках реализации национального проекта "Инфраструктура для жизни" </t>
  </si>
  <si>
    <t>7,3 / 7,3</t>
  </si>
  <si>
    <t xml:space="preserve">Площадь отремонтированных путем отсыпки асфальтогранулятом автомобильных дорог
</t>
  </si>
  <si>
    <t>349,38 /155,27</t>
  </si>
  <si>
    <r>
      <t xml:space="preserve">Ремонт автомобильных дорог общего пользования местного значения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</t>
    </r>
  </si>
  <si>
    <t xml:space="preserve">Ремонт автомобильных дорог общего пользования местного значения                                                  </t>
  </si>
  <si>
    <t>1.2.6.</t>
  </si>
  <si>
    <t>Разработка проекта организации дорожного движения</t>
  </si>
  <si>
    <t>Количество разработанных проектов</t>
  </si>
  <si>
    <t>1.2.7.</t>
  </si>
  <si>
    <t>1.2.8.</t>
  </si>
  <si>
    <t xml:space="preserve">Количество  замененных павильонов </t>
  </si>
  <si>
    <t xml:space="preserve">Количество разработанной проектно-сметной документации 
</t>
  </si>
  <si>
    <t>Выполнение проектно-изыскательских работ по устройству рамной П-образной опоры (РМП)</t>
  </si>
  <si>
    <t xml:space="preserve">Устройство рамной П-образной опоры (РМП)
</t>
  </si>
  <si>
    <t xml:space="preserve">Количество объектов, на которых установлены РМП
</t>
  </si>
  <si>
    <t>2.1.3.</t>
  </si>
  <si>
    <t>Проектно-изыскательские работы по строительству улично-дорожной сети в мкр."Тимофеевка-2"</t>
  </si>
  <si>
    <t xml:space="preserve">в том числе в рамках реализации национального проекта "Инфраструктура для жизни"
</t>
  </si>
  <si>
    <t>2028</t>
  </si>
  <si>
    <t xml:space="preserve">Оплата услуг финансовой аренды (лизинга) за приобретенные в 2022 году автобусы </t>
  </si>
  <si>
    <t>Оплата услуг финансовой аренды (лизинга) за приобретенные в 2022 году автобусы</t>
  </si>
  <si>
    <r>
      <t xml:space="preserve">Выполнение работ по осуществлению регулярных перевозок пассажиров и багажа по регулируемым тарифам по межмуниципальным маршрутам  на садово-дачные массивы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</si>
  <si>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Департамент общественной безопасности и противодействия коррупции администрации городского округа Тольятти</t>
  </si>
  <si>
    <t xml:space="preserve">Выполнение проектно-изыскательских работ по строительству автомобильных дорог общего пользования местного значения
</t>
  </si>
  <si>
    <t xml:space="preserve">Строительный контроль и авторский надзор  по капитальному ремонту автомобильных дорог общего пользования местного значения
</t>
  </si>
  <si>
    <t>Подпрограмма "Содержание улично-дорожной сети на 2026 - 2030 годы"</t>
  </si>
  <si>
    <t xml:space="preserve">Общая стоимость работ (ориентировочная), тыс. руб
</t>
  </si>
  <si>
    <t xml:space="preserve">Строительный контроль и авторский надзор  по строительству автомобильных дорог общего пользования местного значения
</t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</si>
  <si>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 (ГП "Развитие транспортной системы Самарской области") </t>
    </r>
  </si>
  <si>
    <t xml:space="preserve">Ремонт "картами" автомобильных дорог общего пользования местного значения </t>
  </si>
  <si>
    <t>Диагностика надземных пешеходных переходов (мостов, путепроводов)</t>
  </si>
  <si>
    <t xml:space="preserve"> Устройство пешеходных дорожек, тротуаров, подходов к кнопкам вызова пешеходной фазы</t>
  </si>
  <si>
    <t>Количество светофорных объектов на которых  устроены подходы в твердом порытии</t>
  </si>
  <si>
    <r>
      <t xml:space="preserve">Ремонт автомобильных дорог общего пользования местного значения                                                                      </t>
    </r>
    <r>
      <rPr>
        <i/>
        <sz val="10"/>
        <rFont val="Times New Roman"/>
        <family val="1"/>
        <charset val="204"/>
      </rPr>
      <t xml:space="preserve">   (ГП "Развитие транспортной системы Самарской области")</t>
    </r>
  </si>
  <si>
    <t>Соответствие нанесенной дорожной разметки утвержденной дислокации горизонтальной дорожной разметки</t>
  </si>
  <si>
    <t>1.2.9.</t>
  </si>
  <si>
    <t>Устройство парковочных площадок, карманов и стоянок</t>
  </si>
  <si>
    <t>Строительный контроль и авторский  надзор по устройству парковочных площадок, карманов и стоянок</t>
  </si>
  <si>
    <r>
      <t xml:space="preserve">Обеспечение деятельности МКУ "ЦОДД  ГОТ"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</si>
  <si>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t>Количество  вновь введенных в эксплуатацию (реконструируемых) парковочных площадок, карманов и стоянок</t>
  </si>
  <si>
    <t>2.2.3.</t>
  </si>
  <si>
    <t>2.2.4.</t>
  </si>
  <si>
    <t>2.2.5.</t>
  </si>
  <si>
    <t>2.2.6.</t>
  </si>
  <si>
    <t>Количество функционирующих интеллектуальных транспортных систем в г.о.Тольятти</t>
  </si>
  <si>
    <r>
      <t xml:space="preserve">Обеспечение деятельности МКУ "ЦОДД  ГОТ"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</si>
  <si>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а также дорог с низкой транспортной нагрузкой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</si>
  <si>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а также дорог с низкой транспортной нагрузкой</t>
  </si>
  <si>
    <t>Задача 1 подпрограммы:  выполнение проектно-изыскательских работ для строительства, реконструкции и капитального ремонта автомобильных дорог</t>
  </si>
  <si>
    <t>Задача 2 подпрограммы: развитие и модернизация улично-дорожной сети путём строительства, реконструкции и капитального ремонта автомобильных дорог общего пользования местного значения для приведения их в нормативное состояние и увеличения пропускной способности</t>
  </si>
  <si>
    <t>Задача 3 подпрограммы:  содержание и поддержание транспортно-эксплуатационных характеристик автомобильных дорог за счет проведения ремонтных работ</t>
  </si>
  <si>
    <t>2.3.3.</t>
  </si>
  <si>
    <t>2.3.4.</t>
  </si>
  <si>
    <t>2.3.5.</t>
  </si>
  <si>
    <t>2.3.6.</t>
  </si>
  <si>
    <t>2..4.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</si>
  <si>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 в городском округе Тольятти на 2026 - 2030 годы" </t>
  </si>
  <si>
    <t>Задача 1 подпрограммы: выполнение проектно-изыскательских работ для строительства, реконструкции и капитального ремонта автомобильных дорог</t>
  </si>
  <si>
    <t>2.1.1.1.</t>
  </si>
  <si>
    <t>2.1.1.2.</t>
  </si>
  <si>
    <t>2.1.1.3.</t>
  </si>
  <si>
    <t>2.1.1.4.</t>
  </si>
  <si>
    <t>2.1.2.1.</t>
  </si>
  <si>
    <t>2.1.3.1.</t>
  </si>
  <si>
    <t>2.2.1.1.</t>
  </si>
  <si>
    <t>2.2.1.2.</t>
  </si>
  <si>
    <t>2.2.1.3.</t>
  </si>
  <si>
    <t>2.2.1.4.</t>
  </si>
  <si>
    <t>2.2.1.5.</t>
  </si>
  <si>
    <t xml:space="preserve">ИТОГО ПО ПОДПРОГРАММЕ "МРАД"                                             </t>
  </si>
  <si>
    <t>Проектно-изыскательские работы по капитальному ремонту и ремонту путепроводов, подземных пешеходных переходов и мостов</t>
  </si>
  <si>
    <t>3.2.2.</t>
  </si>
  <si>
    <t>2.3.1.1.</t>
  </si>
  <si>
    <t>2.3.1.2.</t>
  </si>
  <si>
    <t>2.3.1.3.</t>
  </si>
  <si>
    <t>2.3.1.4.</t>
  </si>
  <si>
    <t>2.3.1.5.</t>
  </si>
  <si>
    <t>2.3.1.6.</t>
  </si>
  <si>
    <t>2.3.1.7.</t>
  </si>
  <si>
    <t>2.3.1.8.</t>
  </si>
  <si>
    <t>2.3.1.9.</t>
  </si>
  <si>
    <t>2.3.1.10.</t>
  </si>
  <si>
    <t>2.3.1.11.</t>
  </si>
  <si>
    <t>2.3.1.12.</t>
  </si>
  <si>
    <t>2.3.1.13.</t>
  </si>
  <si>
    <t>2.3.1.14.</t>
  </si>
  <si>
    <t>2.3.1.15.</t>
  </si>
  <si>
    <t>ул. Голосова (от ул. Баныкина до ул. Мира)</t>
  </si>
  <si>
    <t>ул. Родины (от ул. Комсомольской до ул. Баныкина)</t>
  </si>
  <si>
    <t>Приморский бульвар (от ул. Юбилейной до проспекта Степана Разина)</t>
  </si>
  <si>
    <t>ул. Карбышева</t>
  </si>
  <si>
    <t>ул. Советская (от ул. Лесная до ул. Ленинградская)</t>
  </si>
  <si>
    <t>ул. Клавдии Вавиловой</t>
  </si>
  <si>
    <t>ул. Самарская (от ул. Чапаева до ул. Максима Горького)</t>
  </si>
  <si>
    <t>ул. Новопромышленная (от ул. Комсомольской до ул. Голосова)</t>
  </si>
  <si>
    <t>Количество разработанной проектно-сметной документации по ремонту путепроводов</t>
  </si>
  <si>
    <t>Задача 3 подпрограммы: содержание и поддержание транспортно-эксплуатационных характеристик автомобильных дорог за счет проведения ремонтных работ</t>
  </si>
  <si>
    <t xml:space="preserve">Приложение № 5
к муниципальной программе
"Развитие транспортной системы
и дорожного хозяйства
городского округа Тольятти
на 2026 - 2030 гг."
</t>
  </si>
  <si>
    <t>Задача 3 муниципальной программы: содержание улично-дорожной сети, искусственных дорожных сооружений и дорожной инфраструктуры в нормативном состоянии для обеспечения круглогодичного и бесперебойного дорожного движения</t>
  </si>
  <si>
    <t>Цель подпрограммы: содержание улично-дорожной сети, искусственных дорожных сооружений и дорожной инфраструктуры в нормативном состоянии для обеспечения круглогодичного и бесперебойного дорожного движения</t>
  </si>
  <si>
    <t>Задача 1 подпрограммы: содержание в нормативном состоянии улично-дорожной сети, искусственных дорожных сооружений и дорожной инфраструктуры</t>
  </si>
  <si>
    <t>Задача 2 подпрограммы: обеспечение безопасной эксплуатации искусственных дорожных сооружений на основе систематического контроля их технического состояния</t>
  </si>
  <si>
    <t xml:space="preserve">ПОКАЗАТЕЛИ (ИНДИКАТОРЫ)
муниципальной программы "Развитие транспортной системы и дорожного хозяйства городского округа Тольятти на 2026-2030 годы" 
</t>
  </si>
  <si>
    <t>Цель подпрограммы:  содержание улично-дорожной сети, искусственных дорожных сооружений и дорожной инфраструктуры в нормативном состоянии для обеспечения круглогодичного и бесперебойного дорожного движения</t>
  </si>
  <si>
    <t xml:space="preserve">Строительный контроль и авторский надзор  по капитальному ремонту автомобильных дорог общего пользования местного значения 
</t>
  </si>
  <si>
    <t>Отсыпка асфальтогранулятом автомобильных дорог с низкой интенсивностью движения</t>
  </si>
  <si>
    <t>Задача 4 подпрограммы: создание и обустройство автомобильных дорог с низкой интенсивностью движения</t>
  </si>
  <si>
    <t>Задача 4 подпрограммы:  создание и обустройство автомобильных дорог с низкой интенсивностью движения</t>
  </si>
  <si>
    <t>2.2.2.1.</t>
  </si>
  <si>
    <t>2.2.2.2.</t>
  </si>
  <si>
    <t>2.2.2.3.</t>
  </si>
  <si>
    <t>2.2.2.4.</t>
  </si>
  <si>
    <t>2.2.2.5.</t>
  </si>
  <si>
    <t>1.1.8.</t>
  </si>
  <si>
    <t>1.2.10.</t>
  </si>
  <si>
    <t>2026-2028</t>
  </si>
  <si>
    <t>Проектно-изыскательские работы по устройству и переносу остановок общественного транспорта</t>
  </si>
  <si>
    <t>Проектно-изыскательские работы по устройству (строительству) парковочных площадок</t>
  </si>
  <si>
    <t>Количество разработанной проектно-сметной документации по устройству и переносу остановок общественного транспорта</t>
  </si>
  <si>
    <t xml:space="preserve">Количество разработанной проектно-сметной документации по устройству (строительству) парковочных площадок </t>
  </si>
  <si>
    <t>2.1.3.2.</t>
  </si>
  <si>
    <t>2.1.3.3.</t>
  </si>
  <si>
    <t>2.1.4.</t>
  </si>
  <si>
    <t xml:space="preserve">Выполнение проектно-изыскательских работ по капитальному ремонту автомобильных дорог общего пользования местного значения
</t>
  </si>
  <si>
    <t>2.1.4.1.</t>
  </si>
  <si>
    <t>Проектно-изыскательские работы по капитальному ремонту Ленинского проспекта (3А, 3Б, 5, 9 квартала Автозаводского района)</t>
  </si>
  <si>
    <t>2.1.4.2.</t>
  </si>
  <si>
    <t>2.2.2.6.</t>
  </si>
  <si>
    <t>2.2.3.1.</t>
  </si>
  <si>
    <t>2.2.5.1.</t>
  </si>
  <si>
    <t>2.2.5.2.</t>
  </si>
  <si>
    <t>2.2.6.1.</t>
  </si>
  <si>
    <t>2.2.6.2.</t>
  </si>
  <si>
    <t>Хрящевское шоссе (от Тольяттинского таможенного поста до здания по адресу Хрящевское шоссе, 14)</t>
  </si>
  <si>
    <t>пр. Степана Разина
(от ул. Фрунзе до ул. Спортивная)</t>
  </si>
  <si>
    <t>ул. Кудашева (от Автозаводского шоссе до границы г.о. Тольятти)</t>
  </si>
  <si>
    <t>ул. Индустриальная (от ул. Ларина до здания по адресу ул. Индустриальная 7Д)</t>
  </si>
  <si>
    <t>2.3.1.16.</t>
  </si>
  <si>
    <t>11,25 / 11,25</t>
  </si>
  <si>
    <t xml:space="preserve">Выполнение проектно-изыскательских работ по капитальному ремонту  автомобильных дорог общего пользования местного значения
</t>
  </si>
  <si>
    <t>Проектно-изыскательские работы по капитальному ремонту автомобильной дороги на участке от Комсомольского шоссе кафе "Волжский замок"</t>
  </si>
  <si>
    <t>2.2.1.6.</t>
  </si>
  <si>
    <t>Строительство заезда на внутриквартальный проезд (дублер) по Московскому проспекту в районе жилых домов № 57-49</t>
  </si>
  <si>
    <t>2.2.4.1.</t>
  </si>
  <si>
    <t>Приложение № 1                                                                                             к  постановлению администрации                     городского округа Тольятти от______________№ __________</t>
  </si>
  <si>
    <t>Приложение № 2                                                                                              к  постановлению администрации                                                       городского округа Тольятти                        от_______________№ _________</t>
  </si>
  <si>
    <t>Приложение № 5                                                                                              к  постановлению администрации                                                       городского округа Тольятти                        от_______________№ _________</t>
  </si>
  <si>
    <t>2026, 2029, 2030</t>
  </si>
  <si>
    <t>2026, 2027, 2029, 2030</t>
  </si>
  <si>
    <t>2026, 2027,  2028</t>
  </si>
  <si>
    <t>2029, 2030</t>
  </si>
  <si>
    <t>2029-2030</t>
  </si>
  <si>
    <t>2029- 2030</t>
  </si>
  <si>
    <t>2027-2028</t>
  </si>
  <si>
    <t>2026-2027, 2029-2030</t>
  </si>
  <si>
    <t>2026-2027,  2029-2030</t>
  </si>
  <si>
    <t>2026, 2029-2030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</si>
</sst>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\ _₽_-;\-* #,##0.00\ _₽_-;_-* &quot;-&quot;??\ _₽_-;_-@_-"/>
    <numFmt numFmtId="165" formatCode="0.0"/>
    <numFmt numFmtId="166" formatCode="#,##0.0"/>
    <numFmt numFmtId="167" formatCode="#,##0.0_р_."/>
    <numFmt numFmtId="168" formatCode="#,##0_р_."/>
    <numFmt numFmtId="169" formatCode="#,##0.00_р_."/>
    <numFmt numFmtId="170" formatCode="#,##0.000_р_."/>
    <numFmt numFmtId="171" formatCode="0.000"/>
    <numFmt numFmtId="172" formatCode="#,##0.000"/>
    <numFmt numFmtId="173" formatCode="#,##0;[Red]#,##0"/>
    <numFmt numFmtId="174" formatCode="0.0000"/>
    <numFmt numFmtId="175" formatCode="0.00000"/>
    <numFmt numFmtId="176" formatCode="0.0000;[Red]0.0000"/>
    <numFmt numFmtId="177" formatCode="#,##0.000;[Red]#,##0.000"/>
  </numFmts>
  <fonts count="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8" fillId="0" borderId="0"/>
    <xf numFmtId="0" fontId="18" fillId="0" borderId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78">
    <xf numFmtId="0" fontId="0" fillId="0" borderId="0" xfId="0"/>
    <xf numFmtId="0" fontId="25" fillId="0" borderId="0" xfId="0" applyFont="1" applyAlignment="1">
      <alignment wrapText="1"/>
    </xf>
    <xf numFmtId="0" fontId="0" fillId="0" borderId="6" xfId="0" applyBorder="1"/>
    <xf numFmtId="0" fontId="7" fillId="0" borderId="0" xfId="0" applyFont="1"/>
    <xf numFmtId="0" fontId="15" fillId="0" borderId="0" xfId="0" applyFont="1"/>
    <xf numFmtId="0" fontId="24" fillId="0" borderId="0" xfId="0" applyFont="1"/>
    <xf numFmtId="0" fontId="21" fillId="0" borderId="0" xfId="0" applyFont="1" applyAlignment="1">
      <alignment horizontal="center"/>
    </xf>
    <xf numFmtId="0" fontId="20" fillId="0" borderId="0" xfId="0" applyFont="1"/>
    <xf numFmtId="0" fontId="17" fillId="0" borderId="0" xfId="0" applyFont="1"/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0" fillId="2" borderId="0" xfId="0" applyFill="1"/>
    <xf numFmtId="0" fontId="34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24" fillId="2" borderId="0" xfId="0" applyFont="1" applyFill="1"/>
    <xf numFmtId="0" fontId="0" fillId="2" borderId="0" xfId="0" applyFill="1" applyAlignment="1">
      <alignment wrapText="1"/>
    </xf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6" xfId="0" applyFill="1" applyBorder="1"/>
    <xf numFmtId="0" fontId="19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8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15" fillId="2" borderId="0" xfId="0" applyFont="1" applyFill="1"/>
    <xf numFmtId="0" fontId="24" fillId="2" borderId="0" xfId="0" applyFont="1" applyFill="1" applyAlignment="1">
      <alignment horizontal="center" vertical="top" wrapText="1"/>
    </xf>
    <xf numFmtId="165" fontId="0" fillId="2" borderId="0" xfId="0" applyNumberFormat="1" applyFill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5" fillId="2" borderId="0" xfId="0" applyFont="1" applyFill="1"/>
    <xf numFmtId="2" fontId="1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/>
    </xf>
    <xf numFmtId="0" fontId="19" fillId="2" borderId="11" xfId="0" applyFont="1" applyFill="1" applyBorder="1" applyAlignment="1">
      <alignment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9" fontId="8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/>
    <xf numFmtId="165" fontId="8" fillId="2" borderId="0" xfId="0" applyNumberFormat="1" applyFont="1" applyFill="1" applyAlignment="1">
      <alignment horizontal="center" vertical="center" wrapText="1"/>
    </xf>
    <xf numFmtId="0" fontId="9" fillId="2" borderId="0" xfId="0" applyFont="1" applyFill="1"/>
    <xf numFmtId="0" fontId="16" fillId="2" borderId="0" xfId="0" applyFont="1" applyFill="1"/>
    <xf numFmtId="3" fontId="26" fillId="2" borderId="1" xfId="0" applyNumberFormat="1" applyFont="1" applyFill="1" applyBorder="1" applyAlignment="1">
      <alignment horizontal="center" vertical="center"/>
    </xf>
    <xf numFmtId="4" fontId="25" fillId="2" borderId="0" xfId="0" applyNumberFormat="1" applyFont="1" applyFill="1"/>
    <xf numFmtId="3" fontId="25" fillId="2" borderId="0" xfId="0" applyNumberFormat="1" applyFont="1" applyFill="1"/>
    <xf numFmtId="0" fontId="8" fillId="0" borderId="0" xfId="0" applyFont="1"/>
    <xf numFmtId="168" fontId="8" fillId="2" borderId="0" xfId="0" applyNumberFormat="1" applyFont="1" applyFill="1"/>
    <xf numFmtId="0" fontId="14" fillId="2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/>
    <xf numFmtId="0" fontId="9" fillId="0" borderId="0" xfId="0" applyFont="1"/>
    <xf numFmtId="0" fontId="14" fillId="0" borderId="0" xfId="0" applyFont="1"/>
    <xf numFmtId="0" fontId="0" fillId="2" borderId="0" xfId="0" applyFill="1" applyBorder="1"/>
    <xf numFmtId="0" fontId="25" fillId="2" borderId="1" xfId="0" applyFont="1" applyFill="1" applyBorder="1" applyAlignment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/>
    </xf>
    <xf numFmtId="166" fontId="16" fillId="2" borderId="1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" fontId="25" fillId="2" borderId="1" xfId="0" applyNumberFormat="1" applyFont="1" applyFill="1" applyBorder="1" applyAlignment="1">
      <alignment horizontal="center" vertical="center" wrapText="1" shrinkToFit="1"/>
    </xf>
    <xf numFmtId="1" fontId="25" fillId="2" borderId="1" xfId="0" applyNumberFormat="1" applyFont="1" applyFill="1" applyBorder="1" applyAlignment="1">
      <alignment horizontal="center" vertical="center" shrinkToFit="1"/>
    </xf>
    <xf numFmtId="2" fontId="8" fillId="2" borderId="1" xfId="0" applyNumberFormat="1" applyFont="1" applyFill="1" applyBorder="1" applyAlignment="1">
      <alignment horizontal="center" vertical="top" wrapText="1" shrinkToFit="1"/>
    </xf>
    <xf numFmtId="175" fontId="8" fillId="2" borderId="1" xfId="0" applyNumberFormat="1" applyFont="1" applyFill="1" applyBorder="1" applyAlignment="1">
      <alignment horizontal="center" vertical="top" wrapText="1" shrinkToFit="1"/>
    </xf>
    <xf numFmtId="174" fontId="8" fillId="2" borderId="1" xfId="0" applyNumberFormat="1" applyFont="1" applyFill="1" applyBorder="1" applyAlignment="1">
      <alignment horizontal="center" vertical="top" wrapText="1" shrinkToFit="1"/>
    </xf>
    <xf numFmtId="0" fontId="9" fillId="2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7" fillId="2" borderId="0" xfId="0" applyFont="1" applyFill="1"/>
    <xf numFmtId="0" fontId="9" fillId="2" borderId="5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/>
    <xf numFmtId="2" fontId="7" fillId="2" borderId="0" xfId="0" applyNumberFormat="1" applyFont="1" applyFill="1"/>
    <xf numFmtId="0" fontId="0" fillId="2" borderId="6" xfId="0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1" fontId="0" fillId="2" borderId="0" xfId="0" applyNumberFormat="1" applyFill="1"/>
    <xf numFmtId="0" fontId="25" fillId="2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top" wrapText="1" shrinkToFit="1"/>
    </xf>
    <xf numFmtId="4" fontId="8" fillId="0" borderId="1" xfId="0" applyNumberFormat="1" applyFont="1" applyFill="1" applyBorder="1" applyAlignment="1">
      <alignment horizontal="center" vertical="top" wrapText="1" shrinkToFit="1"/>
    </xf>
    <xf numFmtId="0" fontId="8" fillId="0" borderId="1" xfId="0" applyFont="1" applyFill="1" applyBorder="1" applyAlignment="1">
      <alignment horizontal="center" vertical="top" wrapText="1"/>
    </xf>
    <xf numFmtId="14" fontId="16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top" wrapText="1"/>
    </xf>
    <xf numFmtId="168" fontId="8" fillId="0" borderId="4" xfId="0" applyNumberFormat="1" applyFont="1" applyFill="1" applyBorder="1" applyAlignment="1">
      <alignment horizontal="center" vertical="top" wrapText="1"/>
    </xf>
    <xf numFmtId="168" fontId="8" fillId="0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 shrinkToFit="1"/>
    </xf>
    <xf numFmtId="3" fontId="9" fillId="0" borderId="0" xfId="0" applyNumberFormat="1" applyFont="1" applyFill="1" applyAlignment="1">
      <alignment horizontal="center" vertical="center" wrapText="1" shrinkToFit="1"/>
    </xf>
    <xf numFmtId="3" fontId="26" fillId="0" borderId="1" xfId="0" applyNumberFormat="1" applyFont="1" applyFill="1" applyBorder="1" applyAlignment="1">
      <alignment horizontal="center" vertical="center"/>
    </xf>
    <xf numFmtId="3" fontId="26" fillId="0" borderId="1" xfId="4" applyNumberFormat="1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top" wrapText="1"/>
    </xf>
    <xf numFmtId="168" fontId="35" fillId="0" borderId="1" xfId="0" applyNumberFormat="1" applyFont="1" applyFill="1" applyBorder="1" applyAlignment="1">
      <alignment horizontal="center" vertical="top" wrapText="1"/>
    </xf>
    <xf numFmtId="3" fontId="36" fillId="0" borderId="1" xfId="0" applyNumberFormat="1" applyFont="1" applyFill="1" applyBorder="1" applyAlignment="1">
      <alignment horizontal="center" vertical="top"/>
    </xf>
    <xf numFmtId="3" fontId="37" fillId="0" borderId="1" xfId="0" applyNumberFormat="1" applyFont="1" applyFill="1" applyBorder="1" applyAlignment="1">
      <alignment horizontal="center" vertical="top"/>
    </xf>
    <xf numFmtId="49" fontId="35" fillId="0" borderId="1" xfId="0" applyNumberFormat="1" applyFont="1" applyFill="1" applyBorder="1" applyAlignment="1">
      <alignment horizontal="center" vertical="top" wrapText="1"/>
    </xf>
    <xf numFmtId="168" fontId="25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left" vertical="top" wrapText="1"/>
    </xf>
    <xf numFmtId="167" fontId="25" fillId="0" borderId="1" xfId="0" applyNumberFormat="1" applyFont="1" applyFill="1" applyBorder="1" applyAlignment="1">
      <alignment horizontal="center" vertical="top" wrapText="1"/>
    </xf>
    <xf numFmtId="168" fontId="19" fillId="0" borderId="1" xfId="0" applyNumberFormat="1" applyFont="1" applyFill="1" applyBorder="1" applyAlignment="1">
      <alignment horizontal="center" vertical="top"/>
    </xf>
    <xf numFmtId="3" fontId="19" fillId="0" borderId="1" xfId="0" applyNumberFormat="1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 wrapText="1"/>
    </xf>
    <xf numFmtId="167" fontId="25" fillId="0" borderId="1" xfId="0" applyNumberFormat="1" applyFont="1" applyFill="1" applyBorder="1" applyAlignment="1">
      <alignment horizontal="center" vertical="center" wrapText="1"/>
    </xf>
    <xf numFmtId="168" fontId="19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top" wrapText="1"/>
    </xf>
    <xf numFmtId="3" fontId="19" fillId="0" borderId="1" xfId="0" applyNumberFormat="1" applyFont="1" applyFill="1" applyBorder="1" applyAlignment="1">
      <alignment horizontal="center" vertical="top" wrapText="1"/>
    </xf>
    <xf numFmtId="3" fontId="26" fillId="0" borderId="1" xfId="0" applyNumberFormat="1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3" fontId="26" fillId="0" borderId="1" xfId="4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16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vertical="top" wrapText="1"/>
    </xf>
    <xf numFmtId="0" fontId="25" fillId="0" borderId="4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 wrapText="1"/>
    </xf>
    <xf numFmtId="0" fontId="25" fillId="0" borderId="5" xfId="0" applyFont="1" applyFill="1" applyBorder="1" applyAlignment="1">
      <alignment horizontal="center" vertical="top" wrapText="1"/>
    </xf>
    <xf numFmtId="4" fontId="25" fillId="0" borderId="1" xfId="1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3" fontId="19" fillId="0" borderId="1" xfId="4" applyNumberFormat="1" applyFont="1" applyFill="1" applyBorder="1" applyAlignment="1">
      <alignment horizontal="center" vertical="center"/>
    </xf>
    <xf numFmtId="16" fontId="1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167" fontId="26" fillId="0" borderId="1" xfId="0" applyNumberFormat="1" applyFont="1" applyFill="1" applyBorder="1" applyAlignment="1">
      <alignment horizontal="center" vertical="center" wrapText="1"/>
    </xf>
    <xf numFmtId="165" fontId="25" fillId="0" borderId="1" xfId="6" applyNumberFormat="1" applyFont="1" applyFill="1" applyBorder="1" applyAlignment="1">
      <alignment horizontal="left" vertical="top" wrapText="1"/>
    </xf>
    <xf numFmtId="0" fontId="8" fillId="0" borderId="1" xfId="6" applyFont="1" applyFill="1" applyBorder="1" applyAlignment="1">
      <alignment horizontal="center" vertical="top" wrapText="1"/>
    </xf>
    <xf numFmtId="0" fontId="25" fillId="0" borderId="1" xfId="6" applyFont="1" applyFill="1" applyBorder="1" applyAlignment="1">
      <alignment horizontal="center" vertical="top" wrapText="1"/>
    </xf>
    <xf numFmtId="3" fontId="19" fillId="0" borderId="1" xfId="6" applyNumberFormat="1" applyFont="1" applyFill="1" applyBorder="1" applyAlignment="1">
      <alignment horizontal="center" vertical="top"/>
    </xf>
    <xf numFmtId="3" fontId="26" fillId="0" borderId="1" xfId="6" applyNumberFormat="1" applyFont="1" applyFill="1" applyBorder="1" applyAlignment="1">
      <alignment horizontal="center" vertical="top"/>
    </xf>
    <xf numFmtId="165" fontId="25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/>
    <xf numFmtId="3" fontId="19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0" fontId="8" fillId="0" borderId="3" xfId="0" applyFont="1" applyFill="1" applyBorder="1"/>
    <xf numFmtId="0" fontId="9" fillId="0" borderId="3" xfId="0" applyFont="1" applyFill="1" applyBorder="1"/>
    <xf numFmtId="0" fontId="14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169" fontId="8" fillId="0" borderId="4" xfId="0" applyNumberFormat="1" applyFont="1" applyFill="1" applyBorder="1" applyAlignment="1">
      <alignment horizontal="center" vertical="top" wrapText="1"/>
    </xf>
    <xf numFmtId="168" fontId="32" fillId="0" borderId="1" xfId="0" applyNumberFormat="1" applyFont="1" applyFill="1" applyBorder="1" applyAlignment="1">
      <alignment horizontal="center" vertical="top" wrapText="1"/>
    </xf>
    <xf numFmtId="171" fontId="8" fillId="0" borderId="1" xfId="0" applyNumberFormat="1" applyFont="1" applyFill="1" applyBorder="1" applyAlignment="1">
      <alignment horizontal="center" vertical="top"/>
    </xf>
    <xf numFmtId="170" fontId="8" fillId="0" borderId="1" xfId="0" applyNumberFormat="1" applyFont="1" applyFill="1" applyBorder="1" applyAlignment="1">
      <alignment horizontal="center" vertical="top" wrapText="1"/>
    </xf>
    <xf numFmtId="168" fontId="38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167" fontId="8" fillId="0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175" fontId="8" fillId="0" borderId="1" xfId="0" applyNumberFormat="1" applyFont="1" applyFill="1" applyBorder="1" applyAlignment="1">
      <alignment horizontal="center" vertical="top" wrapText="1" shrinkToFit="1"/>
    </xf>
    <xf numFmtId="174" fontId="8" fillId="0" borderId="1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top" wrapText="1" shrinkToFit="1"/>
    </xf>
    <xf numFmtId="0" fontId="8" fillId="0" borderId="5" xfId="0" applyFont="1" applyFill="1" applyBorder="1" applyAlignment="1">
      <alignment horizontal="left" vertical="top" wrapText="1"/>
    </xf>
    <xf numFmtId="4" fontId="8" fillId="0" borderId="1" xfId="1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169" fontId="8" fillId="0" borderId="1" xfId="0" applyNumberFormat="1" applyFont="1" applyFill="1" applyBorder="1" applyAlignment="1">
      <alignment horizontal="center" vertical="top" wrapText="1"/>
    </xf>
    <xf numFmtId="177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center" wrapText="1"/>
    </xf>
    <xf numFmtId="171" fontId="8" fillId="0" borderId="1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top" wrapText="1"/>
    </xf>
    <xf numFmtId="173" fontId="8" fillId="0" borderId="1" xfId="4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left" vertical="top" wrapText="1"/>
    </xf>
    <xf numFmtId="4" fontId="12" fillId="0" borderId="1" xfId="0" applyNumberFormat="1" applyFont="1" applyFill="1" applyBorder="1" applyAlignment="1">
      <alignment vertical="top" wrapText="1" shrinkToFit="1"/>
    </xf>
    <xf numFmtId="2" fontId="12" fillId="0" borderId="1" xfId="0" applyNumberFormat="1" applyFont="1" applyFill="1" applyBorder="1" applyAlignment="1">
      <alignment horizontal="center" vertical="top" wrapText="1" shrinkToFit="1"/>
    </xf>
    <xf numFmtId="3" fontId="12" fillId="0" borderId="1" xfId="0" applyNumberFormat="1" applyFont="1" applyFill="1" applyBorder="1" applyAlignment="1">
      <alignment horizontal="center" vertical="top" wrapText="1" shrinkToFit="1"/>
    </xf>
    <xf numFmtId="0" fontId="7" fillId="0" borderId="0" xfId="0" applyFont="1" applyFill="1"/>
    <xf numFmtId="4" fontId="8" fillId="0" borderId="1" xfId="0" applyNumberFormat="1" applyFont="1" applyFill="1" applyBorder="1" applyAlignment="1">
      <alignment horizontal="center" vertical="center" wrapText="1" shrinkToFit="1"/>
    </xf>
    <xf numFmtId="4" fontId="8" fillId="0" borderId="1" xfId="16" applyNumberFormat="1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vertical="top" wrapText="1" shrinkToFit="1"/>
    </xf>
    <xf numFmtId="2" fontId="8" fillId="0" borderId="1" xfId="0" applyNumberFormat="1" applyFont="1" applyFill="1" applyBorder="1" applyAlignment="1">
      <alignment horizontal="center" vertical="top" wrapText="1" shrinkToFit="1"/>
    </xf>
    <xf numFmtId="3" fontId="8" fillId="0" borderId="1" xfId="0" applyNumberFormat="1" applyFont="1" applyFill="1" applyBorder="1" applyAlignment="1">
      <alignment horizontal="center" vertical="top" shrinkToFit="1"/>
    </xf>
    <xf numFmtId="4" fontId="14" fillId="0" borderId="1" xfId="0" applyNumberFormat="1" applyFont="1" applyFill="1" applyBorder="1" applyAlignment="1">
      <alignment vertical="top" wrapText="1" shrinkToFit="1"/>
    </xf>
    <xf numFmtId="2" fontId="9" fillId="0" borderId="1" xfId="0" applyNumberFormat="1" applyFont="1" applyFill="1" applyBorder="1" applyAlignment="1">
      <alignment horizontal="center" vertical="top" wrapText="1" shrinkToFit="1"/>
    </xf>
    <xf numFmtId="4" fontId="9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3" fontId="9" fillId="0" borderId="1" xfId="0" applyNumberFormat="1" applyFont="1" applyFill="1" applyBorder="1" applyAlignment="1">
      <alignment horizontal="center" vertical="top" wrapText="1" shrinkToFit="1"/>
    </xf>
    <xf numFmtId="0" fontId="0" fillId="0" borderId="0" xfId="0" applyFill="1"/>
    <xf numFmtId="0" fontId="12" fillId="0" borderId="1" xfId="0" applyFont="1" applyFill="1" applyBorder="1" applyAlignment="1">
      <alignment vertical="top" wrapText="1"/>
    </xf>
    <xf numFmtId="175" fontId="12" fillId="0" borderId="1" xfId="0" applyNumberFormat="1" applyFont="1" applyFill="1" applyBorder="1" applyAlignment="1">
      <alignment horizontal="center" vertical="top" wrapText="1" shrinkToFit="1"/>
    </xf>
    <xf numFmtId="4" fontId="8" fillId="0" borderId="1" xfId="0" applyNumberFormat="1" applyFont="1" applyFill="1" applyBorder="1" applyAlignment="1">
      <alignment horizontal="left" vertical="top" wrapText="1" shrinkToFit="1"/>
    </xf>
    <xf numFmtId="0" fontId="13" fillId="0" borderId="1" xfId="0" applyFont="1" applyFill="1" applyBorder="1" applyAlignment="1">
      <alignment vertical="center" wrapText="1"/>
    </xf>
    <xf numFmtId="3" fontId="0" fillId="0" borderId="0" xfId="0" applyNumberFormat="1" applyFill="1"/>
    <xf numFmtId="0" fontId="14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vertical="center" wrapText="1"/>
    </xf>
    <xf numFmtId="2" fontId="25" fillId="0" borderId="1" xfId="0" applyNumberFormat="1" applyFont="1" applyFill="1" applyBorder="1" applyAlignment="1">
      <alignment horizontal="center" vertical="center" wrapText="1" shrinkToFit="1"/>
    </xf>
    <xf numFmtId="2" fontId="9" fillId="0" borderId="1" xfId="0" applyNumberFormat="1" applyFont="1" applyFill="1" applyBorder="1" applyAlignment="1">
      <alignment horizontal="center" vertical="center" wrapText="1" shrinkToFit="1"/>
    </xf>
    <xf numFmtId="2" fontId="8" fillId="0" borderId="1" xfId="0" applyNumberFormat="1" applyFont="1" applyFill="1" applyBorder="1" applyAlignment="1">
      <alignment horizontal="center" vertical="center" wrapText="1" shrinkToFit="1"/>
    </xf>
    <xf numFmtId="4" fontId="9" fillId="0" borderId="1" xfId="0" applyNumberFormat="1" applyFont="1" applyFill="1" applyBorder="1" applyAlignment="1">
      <alignment horizontal="center" vertical="top" wrapText="1" shrinkToFit="1"/>
    </xf>
    <xf numFmtId="176" fontId="9" fillId="0" borderId="1" xfId="0" applyNumberFormat="1" applyFont="1" applyFill="1" applyBorder="1" applyAlignment="1">
      <alignment horizontal="center" vertical="top" wrapText="1" shrinkToFit="1"/>
    </xf>
    <xf numFmtId="0" fontId="22" fillId="0" borderId="5" xfId="0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left" vertical="center" wrapText="1" shrinkToFit="1"/>
    </xf>
    <xf numFmtId="172" fontId="12" fillId="0" borderId="1" xfId="0" applyNumberFormat="1" applyFont="1" applyFill="1" applyBorder="1" applyAlignment="1">
      <alignment horizontal="center" vertical="top" wrapText="1" shrinkToFit="1"/>
    </xf>
    <xf numFmtId="0" fontId="16" fillId="0" borderId="5" xfId="0" applyFont="1" applyFill="1" applyBorder="1" applyAlignment="1">
      <alignment horizontal="center" vertical="top"/>
    </xf>
    <xf numFmtId="171" fontId="8" fillId="0" borderId="1" xfId="0" applyNumberFormat="1" applyFont="1" applyFill="1" applyBorder="1" applyAlignment="1">
      <alignment horizontal="center" vertical="top" wrapText="1" shrinkToFit="1"/>
    </xf>
    <xf numFmtId="0" fontId="12" fillId="0" borderId="5" xfId="0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left" vertical="center" wrapText="1" shrinkToFit="1"/>
    </xf>
    <xf numFmtId="0" fontId="12" fillId="0" borderId="5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Fill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left" vertical="center" wrapText="1"/>
    </xf>
    <xf numFmtId="165" fontId="12" fillId="0" borderId="1" xfId="1" applyNumberFormat="1" applyFont="1" applyFill="1" applyBorder="1" applyAlignment="1">
      <alignment horizontal="left" vertical="center" wrapText="1"/>
    </xf>
    <xf numFmtId="171" fontId="25" fillId="0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8" fillId="0" borderId="1" xfId="1" applyNumberFormat="1" applyFont="1" applyFill="1" applyBorder="1" applyAlignment="1">
      <alignment horizontal="center" vertical="top" wrapText="1"/>
    </xf>
    <xf numFmtId="2" fontId="25" fillId="0" borderId="1" xfId="6" applyNumberFormat="1" applyFont="1" applyFill="1" applyBorder="1" applyAlignment="1">
      <alignment horizontal="left" vertical="center" wrapText="1"/>
    </xf>
    <xf numFmtId="171" fontId="25" fillId="0" borderId="1" xfId="0" applyNumberFormat="1" applyFont="1" applyFill="1" applyBorder="1" applyAlignment="1">
      <alignment horizontal="center" vertical="distributed"/>
    </xf>
    <xf numFmtId="4" fontId="13" fillId="0" borderId="1" xfId="1" applyNumberFormat="1" applyFont="1" applyFill="1" applyBorder="1" applyAlignment="1">
      <alignment horizontal="left" vertical="center" wrapText="1"/>
    </xf>
    <xf numFmtId="171" fontId="25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left" vertical="top" wrapText="1"/>
    </xf>
    <xf numFmtId="3" fontId="10" fillId="0" borderId="1" xfId="16" applyNumberFormat="1" applyFont="1" applyFill="1" applyBorder="1" applyAlignment="1">
      <alignment horizontal="center" vertical="top" wrapText="1"/>
    </xf>
    <xf numFmtId="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" fontId="12" fillId="0" borderId="1" xfId="16" applyNumberFormat="1" applyFont="1" applyFill="1" applyBorder="1" applyAlignment="1">
      <alignment horizontal="center" vertical="top" wrapText="1"/>
    </xf>
    <xf numFmtId="3" fontId="25" fillId="0" borderId="1" xfId="16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center"/>
    </xf>
    <xf numFmtId="4" fontId="10" fillId="0" borderId="1" xfId="16" applyNumberFormat="1" applyFont="1" applyFill="1" applyBorder="1" applyAlignment="1">
      <alignment horizontal="left" vertical="top" wrapText="1"/>
    </xf>
    <xf numFmtId="4" fontId="10" fillId="0" borderId="1" xfId="16" applyNumberFormat="1" applyFont="1" applyFill="1" applyBorder="1" applyAlignment="1">
      <alignment horizontal="left" vertical="center" wrapText="1"/>
    </xf>
    <xf numFmtId="172" fontId="10" fillId="0" borderId="1" xfId="16" applyNumberFormat="1" applyFont="1" applyFill="1" applyBorder="1" applyAlignment="1">
      <alignment horizontal="center" vertical="top" wrapText="1"/>
    </xf>
    <xf numFmtId="4" fontId="10" fillId="0" borderId="1" xfId="16" applyNumberFormat="1" applyFont="1" applyFill="1" applyBorder="1" applyAlignment="1">
      <alignment horizontal="center" vertical="center" wrapText="1"/>
    </xf>
    <xf numFmtId="4" fontId="12" fillId="0" borderId="1" xfId="16" applyNumberFormat="1" applyFont="1" applyFill="1" applyBorder="1" applyAlignment="1">
      <alignment horizontal="left" vertical="top" wrapText="1"/>
    </xf>
    <xf numFmtId="165" fontId="12" fillId="0" borderId="1" xfId="16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top"/>
    </xf>
    <xf numFmtId="2" fontId="13" fillId="0" borderId="1" xfId="16" applyNumberFormat="1" applyFont="1" applyFill="1" applyBorder="1" applyAlignment="1">
      <alignment horizontal="left" vertical="center" wrapText="1"/>
    </xf>
    <xf numFmtId="2" fontId="8" fillId="0" borderId="1" xfId="16" applyNumberFormat="1" applyFont="1" applyFill="1" applyBorder="1" applyAlignment="1">
      <alignment horizontal="center" vertical="center" wrapText="1"/>
    </xf>
    <xf numFmtId="3" fontId="19" fillId="0" borderId="1" xfId="16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 shrinkToFi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left" wrapText="1"/>
    </xf>
    <xf numFmtId="0" fontId="25" fillId="2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5" fillId="2" borderId="6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top" wrapText="1"/>
    </xf>
    <xf numFmtId="0" fontId="16" fillId="2" borderId="7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wrapText="1"/>
    </xf>
    <xf numFmtId="0" fontId="29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 wrapText="1"/>
    </xf>
    <xf numFmtId="0" fontId="28" fillId="2" borderId="6" xfId="0" applyFont="1" applyFill="1" applyBorder="1"/>
    <xf numFmtId="0" fontId="2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4" xfId="0" applyFont="1" applyFill="1" applyBorder="1" applyAlignment="1">
      <alignment horizontal="left" vertical="top" wrapText="1"/>
    </xf>
    <xf numFmtId="0" fontId="38" fillId="0" borderId="5" xfId="0" applyFont="1" applyFill="1" applyBorder="1" applyAlignment="1">
      <alignment horizontal="left" vertical="top" wrapText="1"/>
    </xf>
    <xf numFmtId="0" fontId="3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wrapText="1"/>
    </xf>
    <xf numFmtId="0" fontId="27" fillId="2" borderId="0" xfId="0" applyFont="1" applyFill="1" applyAlignment="1">
      <alignment horizontal="center"/>
    </xf>
    <xf numFmtId="1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 shrinkToFit="1"/>
    </xf>
    <xf numFmtId="2" fontId="25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65" fontId="12" fillId="0" borderId="1" xfId="16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</cellXfs>
  <cellStyles count="18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5" xfId="12"/>
    <cellStyle name="Обычный 2 6" xfId="16"/>
    <cellStyle name="Обычный 2 6 2" xfId="17"/>
    <cellStyle name="Обычный 3" xfId="2"/>
    <cellStyle name="Обычный 3 2" xfId="11"/>
    <cellStyle name="Обычный 3 2 2" xfId="15"/>
    <cellStyle name="Обычный 3 3" xfId="13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9933"/>
      <color rgb="FFFFFF66"/>
      <color rgb="FFFFFF00"/>
      <color rgb="FFFFFF99"/>
      <color rgb="FFFFFFCC"/>
      <color rgb="FFF9B67F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kina.nu/Desktop/&#1053;&#1054;&#1042;&#1040;&#1071;%20&#1052;&#1055;/&#1053;&#1054;&#1042;&#1067;&#1045;%204%20&#1055;&#1056;&#1054;&#1043;&#1056;&#1040;&#1052;&#1052;&#1067;/&#1052;&#1056;&#1040;&#1044;/&#1055;&#1088;&#1080;&#1083;&#1086;&#1078;&#1077;&#1085;&#1080;&#1103;%20&#1052;&#1056;&#1040;&#1044;%20&#1074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 Финансирование"/>
      <sheetName val="2. Показатели"/>
      <sheetName val="5. Перечень МРАД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14"/>
      <c r="B1" s="14"/>
      <c r="C1" s="14"/>
      <c r="D1" s="14"/>
      <c r="E1" s="290" t="s">
        <v>123</v>
      </c>
      <c r="F1" s="290"/>
      <c r="G1" s="290"/>
      <c r="H1" s="290"/>
      <c r="I1" s="290"/>
      <c r="J1" s="1"/>
      <c r="K1" s="1"/>
    </row>
    <row r="2" spans="1:11" ht="40.15" customHeight="1" x14ac:dyDescent="0.2">
      <c r="A2" s="289" t="s">
        <v>81</v>
      </c>
      <c r="B2" s="289"/>
      <c r="C2" s="289"/>
      <c r="D2" s="289"/>
      <c r="E2" s="289"/>
      <c r="F2" s="289"/>
      <c r="G2" s="289"/>
      <c r="H2" s="289"/>
      <c r="I2" s="289"/>
    </row>
    <row r="3" spans="1:11" ht="31.5" customHeight="1" x14ac:dyDescent="0.2">
      <c r="A3" s="296" t="s">
        <v>32</v>
      </c>
      <c r="B3" s="296" t="s">
        <v>66</v>
      </c>
      <c r="C3" s="296" t="s">
        <v>67</v>
      </c>
      <c r="D3" s="296" t="s">
        <v>43</v>
      </c>
      <c r="E3" s="296" t="s">
        <v>68</v>
      </c>
      <c r="F3" s="296"/>
      <c r="G3" s="296"/>
      <c r="H3" s="296"/>
      <c r="I3" s="296"/>
    </row>
    <row r="4" spans="1:11" ht="27" customHeight="1" x14ac:dyDescent="0.2">
      <c r="A4" s="296"/>
      <c r="B4" s="296"/>
      <c r="C4" s="296"/>
      <c r="D4" s="296"/>
      <c r="E4" s="15" t="s">
        <v>114</v>
      </c>
      <c r="F4" s="15" t="s">
        <v>115</v>
      </c>
      <c r="G4" s="15" t="s">
        <v>116</v>
      </c>
      <c r="H4" s="15" t="s">
        <v>117</v>
      </c>
      <c r="I4" s="15" t="s">
        <v>118</v>
      </c>
    </row>
    <row r="5" spans="1:11" ht="15" x14ac:dyDescent="0.2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</row>
    <row r="6" spans="1:11" ht="61.5" customHeight="1" x14ac:dyDescent="0.2">
      <c r="A6" s="30">
        <v>1</v>
      </c>
      <c r="B6" s="23" t="s">
        <v>74</v>
      </c>
      <c r="C6" s="30" t="s">
        <v>52</v>
      </c>
      <c r="D6" s="30">
        <v>2.5</v>
      </c>
      <c r="E6" s="30">
        <v>2.4500000000000002</v>
      </c>
      <c r="F6" s="32">
        <v>2.4</v>
      </c>
      <c r="G6" s="32">
        <v>2.35</v>
      </c>
      <c r="H6" s="32" t="s">
        <v>46</v>
      </c>
      <c r="I6" s="30" t="s">
        <v>46</v>
      </c>
    </row>
    <row r="7" spans="1:11" ht="45" customHeight="1" x14ac:dyDescent="0.2">
      <c r="A7" s="30">
        <v>2</v>
      </c>
      <c r="B7" s="23" t="s">
        <v>75</v>
      </c>
      <c r="C7" s="30" t="s">
        <v>63</v>
      </c>
      <c r="D7" s="30">
        <v>789</v>
      </c>
      <c r="E7" s="30">
        <v>788</v>
      </c>
      <c r="F7" s="30">
        <v>785</v>
      </c>
      <c r="G7" s="30">
        <v>780</v>
      </c>
      <c r="H7" s="30">
        <v>775</v>
      </c>
      <c r="I7" s="30">
        <v>770</v>
      </c>
    </row>
    <row r="8" spans="1:11" ht="48" customHeight="1" x14ac:dyDescent="0.2">
      <c r="A8" s="30">
        <v>3</v>
      </c>
      <c r="B8" s="23" t="s">
        <v>155</v>
      </c>
      <c r="C8" s="30" t="s">
        <v>52</v>
      </c>
      <c r="D8" s="30" t="s">
        <v>46</v>
      </c>
      <c r="E8" s="30" t="s">
        <v>46</v>
      </c>
      <c r="F8" s="30" t="s">
        <v>46</v>
      </c>
      <c r="G8" s="30" t="s">
        <v>46</v>
      </c>
      <c r="H8" s="30">
        <v>100</v>
      </c>
      <c r="I8" s="30">
        <v>100</v>
      </c>
    </row>
    <row r="9" spans="1:11" ht="86.25" customHeight="1" x14ac:dyDescent="0.2">
      <c r="A9" s="30">
        <v>4</v>
      </c>
      <c r="B9" s="23" t="s">
        <v>86</v>
      </c>
      <c r="C9" s="30" t="s">
        <v>54</v>
      </c>
      <c r="D9" s="30">
        <v>711.9</v>
      </c>
      <c r="E9" s="31">
        <v>730.5</v>
      </c>
      <c r="F9" s="33">
        <v>755.75</v>
      </c>
      <c r="G9" s="33">
        <f>763.95-3.61+3.44-3.11</f>
        <v>760.67000000000007</v>
      </c>
      <c r="H9" s="33">
        <f>810.3-44.18-1.53+4.25+11.33-7.64</f>
        <v>772.53000000000009</v>
      </c>
      <c r="I9" s="52">
        <f>798.27</f>
        <v>798.27</v>
      </c>
    </row>
    <row r="10" spans="1:11" ht="98.25" customHeight="1" x14ac:dyDescent="0.2">
      <c r="A10" s="30">
        <v>5</v>
      </c>
      <c r="B10" s="23" t="s">
        <v>87</v>
      </c>
      <c r="C10" s="30" t="s">
        <v>52</v>
      </c>
      <c r="D10" s="30" t="s">
        <v>46</v>
      </c>
      <c r="E10" s="32">
        <v>0.35</v>
      </c>
      <c r="F10" s="33">
        <v>0.02</v>
      </c>
      <c r="G10" s="33">
        <f>0+0.19-0.17</f>
        <v>1.999999999999999E-2</v>
      </c>
      <c r="H10" s="33">
        <f>0.18-0.07</f>
        <v>0.10999999999999999</v>
      </c>
      <c r="I10" s="55" t="s">
        <v>46</v>
      </c>
    </row>
    <row r="11" spans="1:11" ht="112.5" customHeight="1" x14ac:dyDescent="0.2">
      <c r="A11" s="30">
        <v>6</v>
      </c>
      <c r="B11" s="23" t="s">
        <v>88</v>
      </c>
      <c r="C11" s="30" t="s">
        <v>52</v>
      </c>
      <c r="D11" s="30" t="s">
        <v>46</v>
      </c>
      <c r="E11" s="32">
        <v>0.1</v>
      </c>
      <c r="F11" s="33">
        <v>0.05</v>
      </c>
      <c r="G11" s="33">
        <f>100/868.09*1.96</f>
        <v>0.22578304092893592</v>
      </c>
      <c r="H11" s="30" t="s">
        <v>46</v>
      </c>
      <c r="I11" s="30" t="s">
        <v>46</v>
      </c>
    </row>
    <row r="12" spans="1:11" ht="112.5" customHeight="1" x14ac:dyDescent="0.2">
      <c r="A12" s="30">
        <v>7</v>
      </c>
      <c r="B12" s="23" t="s">
        <v>89</v>
      </c>
      <c r="C12" s="30" t="s">
        <v>52</v>
      </c>
      <c r="D12" s="30" t="s">
        <v>46</v>
      </c>
      <c r="E12" s="32">
        <v>0.05</v>
      </c>
      <c r="F12" s="33">
        <f>1.41-0.92</f>
        <v>0.48999999999999988</v>
      </c>
      <c r="G12" s="33" t="s">
        <v>46</v>
      </c>
      <c r="H12" s="32">
        <v>0.49</v>
      </c>
      <c r="I12" s="54">
        <v>0.49</v>
      </c>
    </row>
    <row r="13" spans="1:11" ht="146.25" customHeight="1" x14ac:dyDescent="0.2">
      <c r="A13" s="30">
        <v>8</v>
      </c>
      <c r="B13" s="23" t="s">
        <v>64</v>
      </c>
      <c r="C13" s="30" t="s">
        <v>52</v>
      </c>
      <c r="D13" s="30">
        <v>43.8</v>
      </c>
      <c r="E13" s="30">
        <v>3</v>
      </c>
      <c r="F13" s="34">
        <v>0.61</v>
      </c>
      <c r="G13" s="34">
        <f>2.34-0.17-0.18</f>
        <v>1.99</v>
      </c>
      <c r="H13" s="30">
        <f>2.16-0.29-0.12</f>
        <v>1.75</v>
      </c>
      <c r="I13" s="52">
        <f>0.78</f>
        <v>0.78</v>
      </c>
    </row>
    <row r="14" spans="1:11" ht="36" customHeight="1" x14ac:dyDescent="0.2">
      <c r="A14" s="30">
        <v>9</v>
      </c>
      <c r="B14" s="23" t="s">
        <v>65</v>
      </c>
      <c r="C14" s="30" t="s">
        <v>52</v>
      </c>
      <c r="D14" s="30">
        <v>40</v>
      </c>
      <c r="E14" s="30">
        <v>45</v>
      </c>
      <c r="F14" s="30">
        <v>49</v>
      </c>
      <c r="G14" s="30">
        <v>50</v>
      </c>
      <c r="H14" s="30">
        <v>55</v>
      </c>
      <c r="I14" s="30">
        <v>60</v>
      </c>
    </row>
    <row r="15" spans="1:11" ht="48.75" customHeight="1" x14ac:dyDescent="0.2">
      <c r="A15" s="30">
        <v>10</v>
      </c>
      <c r="B15" s="23" t="s">
        <v>70</v>
      </c>
      <c r="C15" s="30" t="s">
        <v>52</v>
      </c>
      <c r="D15" s="30">
        <v>20.5</v>
      </c>
      <c r="E15" s="30">
        <v>38.700000000000003</v>
      </c>
      <c r="F15" s="30">
        <v>18.8</v>
      </c>
      <c r="G15" s="30">
        <f>24.2+4.7-3.6</f>
        <v>25.299999999999997</v>
      </c>
      <c r="H15" s="30">
        <f>24.2+4.7</f>
        <v>28.9</v>
      </c>
      <c r="I15" s="52">
        <v>38.200000000000003</v>
      </c>
    </row>
    <row r="16" spans="1:11" ht="41.25" customHeight="1" x14ac:dyDescent="0.2">
      <c r="A16" s="30">
        <v>11</v>
      </c>
      <c r="B16" s="23" t="s">
        <v>71</v>
      </c>
      <c r="C16" s="30" t="s">
        <v>52</v>
      </c>
      <c r="D16" s="30">
        <v>77.5</v>
      </c>
      <c r="E16" s="30">
        <v>50.6</v>
      </c>
      <c r="F16" s="30">
        <v>54.8</v>
      </c>
      <c r="G16" s="30">
        <f>54.8+2.6</f>
        <v>57.4</v>
      </c>
      <c r="H16" s="30">
        <f>54.8+2.6</f>
        <v>57.4</v>
      </c>
      <c r="I16" s="52">
        <v>13.7</v>
      </c>
    </row>
    <row r="17" spans="1:9" ht="59.25" customHeight="1" x14ac:dyDescent="0.2">
      <c r="A17" s="30">
        <v>12</v>
      </c>
      <c r="B17" s="23" t="s">
        <v>162</v>
      </c>
      <c r="C17" s="30" t="s">
        <v>52</v>
      </c>
      <c r="D17" s="30">
        <v>90.1</v>
      </c>
      <c r="E17" s="31">
        <v>94</v>
      </c>
      <c r="F17" s="31">
        <v>95.1</v>
      </c>
      <c r="G17" s="31">
        <f>95.4+0.4-0.2</f>
        <v>95.600000000000009</v>
      </c>
      <c r="H17" s="31">
        <f>95.4+0.4</f>
        <v>95.800000000000011</v>
      </c>
      <c r="I17" s="51">
        <v>96.9</v>
      </c>
    </row>
    <row r="18" spans="1:9" ht="42" customHeight="1" x14ac:dyDescent="0.2">
      <c r="A18" s="30">
        <v>13</v>
      </c>
      <c r="B18" s="23" t="s">
        <v>72</v>
      </c>
      <c r="C18" s="30" t="s">
        <v>52</v>
      </c>
      <c r="D18" s="30">
        <v>81.3</v>
      </c>
      <c r="E18" s="30">
        <v>82.3</v>
      </c>
      <c r="F18" s="31">
        <v>89</v>
      </c>
      <c r="G18" s="31">
        <f>89+2.2</f>
        <v>91.2</v>
      </c>
      <c r="H18" s="31">
        <f>89+2.2</f>
        <v>91.2</v>
      </c>
      <c r="I18" s="53">
        <v>98</v>
      </c>
    </row>
    <row r="19" spans="1:9" ht="13.5" x14ac:dyDescent="0.25">
      <c r="A19" s="294" t="s">
        <v>92</v>
      </c>
      <c r="B19" s="295"/>
      <c r="C19" s="295"/>
      <c r="D19" s="295"/>
      <c r="E19" s="295"/>
      <c r="F19" s="295"/>
      <c r="G19" s="295"/>
      <c r="H19" s="295"/>
      <c r="I19" s="295"/>
    </row>
    <row r="20" spans="1:9" ht="39.75" customHeight="1" x14ac:dyDescent="0.2">
      <c r="A20" s="30">
        <v>14</v>
      </c>
      <c r="B20" s="28" t="s">
        <v>69</v>
      </c>
      <c r="C20" s="30" t="s">
        <v>158</v>
      </c>
      <c r="D20" s="31">
        <v>1115.1470999999999</v>
      </c>
      <c r="E20" s="30">
        <v>1115.5</v>
      </c>
      <c r="F20" s="31">
        <v>1115.75</v>
      </c>
      <c r="G20" s="31">
        <v>1116</v>
      </c>
      <c r="H20" s="31">
        <v>1116.25</v>
      </c>
      <c r="I20" s="30">
        <v>1116.5</v>
      </c>
    </row>
    <row r="21" spans="1:9" ht="29.25" customHeight="1" x14ac:dyDescent="0.25">
      <c r="A21" s="291" t="s">
        <v>91</v>
      </c>
      <c r="B21" s="292"/>
      <c r="C21" s="292"/>
      <c r="D21" s="292"/>
      <c r="E21" s="292"/>
      <c r="F21" s="292"/>
      <c r="G21" s="292"/>
      <c r="H21" s="292"/>
      <c r="I21" s="293"/>
    </row>
    <row r="22" spans="1:9" ht="49.5" customHeight="1" x14ac:dyDescent="0.2">
      <c r="A22" s="30">
        <v>15</v>
      </c>
      <c r="B22" s="23" t="s">
        <v>73</v>
      </c>
      <c r="C22" s="30" t="s">
        <v>52</v>
      </c>
      <c r="D22" s="31" t="s">
        <v>46</v>
      </c>
      <c r="E22" s="31">
        <v>74.66</v>
      </c>
      <c r="F22" s="31">
        <f>80.1+0.6</f>
        <v>80.699999999999989</v>
      </c>
      <c r="G22" s="55">
        <f>84.14+0.22-0.22</f>
        <v>84.14</v>
      </c>
      <c r="H22" s="31">
        <v>92.3</v>
      </c>
      <c r="I22" s="31">
        <v>87</v>
      </c>
    </row>
    <row r="23" spans="1:9" ht="55.5" customHeight="1" x14ac:dyDescent="0.2">
      <c r="A23" s="30">
        <v>16</v>
      </c>
      <c r="B23" s="23" t="s">
        <v>129</v>
      </c>
      <c r="C23" s="30" t="s">
        <v>52</v>
      </c>
      <c r="D23" s="30" t="s">
        <v>46</v>
      </c>
      <c r="E23" s="56">
        <v>10</v>
      </c>
      <c r="F23" s="56">
        <v>20</v>
      </c>
      <c r="G23" s="56">
        <v>30</v>
      </c>
      <c r="H23" s="56">
        <v>100</v>
      </c>
      <c r="I23" s="56" t="s">
        <v>46</v>
      </c>
    </row>
    <row r="24" spans="1:9" ht="49.5" customHeight="1" x14ac:dyDescent="0.2">
      <c r="A24" s="30">
        <v>17</v>
      </c>
      <c r="B24" s="23" t="s">
        <v>85</v>
      </c>
      <c r="C24" s="30" t="s">
        <v>52</v>
      </c>
      <c r="D24" s="30" t="s">
        <v>46</v>
      </c>
      <c r="E24" s="56">
        <v>62</v>
      </c>
      <c r="F24" s="56">
        <v>64</v>
      </c>
      <c r="G24" s="56">
        <v>66</v>
      </c>
      <c r="H24" s="56">
        <v>100</v>
      </c>
      <c r="I24" s="56" t="s">
        <v>46</v>
      </c>
    </row>
    <row r="25" spans="1:9" ht="46.5" customHeight="1" x14ac:dyDescent="0.2">
      <c r="A25" s="30">
        <v>18</v>
      </c>
      <c r="B25" s="23" t="s">
        <v>130</v>
      </c>
      <c r="C25" s="30" t="s">
        <v>52</v>
      </c>
      <c r="D25" s="30" t="s">
        <v>46</v>
      </c>
      <c r="E25" s="56" t="s">
        <v>46</v>
      </c>
      <c r="F25" s="56" t="s">
        <v>46</v>
      </c>
      <c r="G25" s="56" t="s">
        <v>46</v>
      </c>
      <c r="H25" s="56">
        <v>2.67</v>
      </c>
      <c r="I25" s="56" t="s">
        <v>46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P94"/>
  <sheetViews>
    <sheetView view="pageBreakPreview" zoomScale="70" zoomScaleNormal="100" zoomScaleSheetLayoutView="70" workbookViewId="0">
      <pane ySplit="7" topLeftCell="A8" activePane="bottomLeft" state="frozen"/>
      <selection pane="bottomLeft" activeCell="B3" sqref="B3:AD3"/>
    </sheetView>
  </sheetViews>
  <sheetFormatPr defaultColWidth="9.140625" defaultRowHeight="42" customHeight="1" outlineLevelRow="1" x14ac:dyDescent="0.2"/>
  <cols>
    <col min="1" max="1" width="8.140625" customWidth="1"/>
    <col min="2" max="2" width="23.85546875" style="13" customWidth="1"/>
    <col min="3" max="3" width="19.7109375" style="7" customWidth="1"/>
    <col min="4" max="4" width="10.28515625" customWidth="1"/>
    <col min="5" max="5" width="14.140625" style="3" customWidth="1"/>
    <col min="6" max="6" width="12.85546875" customWidth="1"/>
    <col min="7" max="7" width="13.85546875" customWidth="1"/>
    <col min="8" max="8" width="9.28515625" customWidth="1"/>
    <col min="9" max="9" width="8.85546875" customWidth="1"/>
    <col min="10" max="10" width="15" style="3" customWidth="1"/>
    <col min="11" max="11" width="13.7109375" customWidth="1"/>
    <col min="12" max="12" width="13" customWidth="1"/>
    <col min="13" max="13" width="9.140625" customWidth="1"/>
    <col min="14" max="14" width="8.42578125" customWidth="1"/>
    <col min="15" max="15" width="13.85546875" style="3" customWidth="1"/>
    <col min="16" max="16" width="14.28515625" customWidth="1"/>
    <col min="17" max="17" width="13.7109375" customWidth="1"/>
    <col min="18" max="18" width="8.5703125" customWidth="1"/>
    <col min="19" max="19" width="8.42578125" customWidth="1"/>
    <col min="20" max="20" width="14.42578125" style="3" customWidth="1"/>
    <col min="21" max="21" width="14.42578125" customWidth="1"/>
    <col min="22" max="22" width="16" customWidth="1"/>
    <col min="23" max="23" width="8.5703125" customWidth="1"/>
    <col min="24" max="24" width="8.42578125" customWidth="1"/>
    <col min="25" max="25" width="13.85546875" style="3" customWidth="1"/>
    <col min="26" max="26" width="13.140625" customWidth="1"/>
    <col min="27" max="27" width="13.85546875" customWidth="1"/>
    <col min="28" max="28" width="8.5703125" customWidth="1"/>
    <col min="29" max="29" width="7.7109375" customWidth="1"/>
    <col min="30" max="30" width="15.7109375" style="8" customWidth="1"/>
    <col min="31" max="31" width="16.42578125" bestFit="1" customWidth="1"/>
    <col min="32" max="32" width="22.28515625" customWidth="1"/>
    <col min="33" max="33" width="16.28515625" customWidth="1"/>
    <col min="34" max="34" width="14.7109375" bestFit="1" customWidth="1"/>
  </cols>
  <sheetData>
    <row r="1" spans="1:34" s="5" customFormat="1" ht="82.9" customHeight="1" x14ac:dyDescent="0.25">
      <c r="A1" s="35"/>
      <c r="B1" s="46"/>
      <c r="C1" s="47"/>
      <c r="D1" s="48"/>
      <c r="E1" s="36"/>
      <c r="F1" s="17"/>
      <c r="G1" s="17"/>
      <c r="H1" s="17"/>
      <c r="I1" s="17"/>
      <c r="J1" s="37"/>
      <c r="K1" s="18"/>
      <c r="L1" s="18"/>
      <c r="M1" s="18"/>
      <c r="N1" s="18"/>
      <c r="O1" s="14"/>
      <c r="P1" s="14"/>
      <c r="Q1" s="38"/>
      <c r="R1" s="14"/>
      <c r="S1" s="14"/>
      <c r="T1" s="14"/>
      <c r="U1" s="14"/>
      <c r="V1" s="14"/>
      <c r="W1" s="14"/>
      <c r="X1" s="14"/>
      <c r="Y1" s="16"/>
      <c r="Z1" s="14"/>
      <c r="AA1" s="319" t="s">
        <v>433</v>
      </c>
      <c r="AB1" s="319"/>
      <c r="AC1" s="319"/>
      <c r="AD1" s="319"/>
      <c r="AE1" s="287"/>
      <c r="AF1" s="287"/>
      <c r="AG1" s="17"/>
      <c r="AH1" s="17"/>
    </row>
    <row r="2" spans="1:34" s="5" customFormat="1" ht="120.75" customHeight="1" x14ac:dyDescent="0.25">
      <c r="A2" s="35"/>
      <c r="B2" s="46"/>
      <c r="C2" s="47"/>
      <c r="D2" s="48"/>
      <c r="E2" s="58"/>
      <c r="F2" s="40"/>
      <c r="G2" s="40"/>
      <c r="H2" s="40"/>
      <c r="I2" s="40"/>
      <c r="J2" s="97"/>
      <c r="K2" s="59"/>
      <c r="L2" s="59"/>
      <c r="M2" s="59"/>
      <c r="N2" s="59"/>
      <c r="O2" s="60"/>
      <c r="P2" s="60"/>
      <c r="Q2" s="61"/>
      <c r="R2" s="60"/>
      <c r="S2" s="60"/>
      <c r="T2" s="60"/>
      <c r="U2" s="60"/>
      <c r="V2" s="60"/>
      <c r="W2" s="60"/>
      <c r="X2" s="60"/>
      <c r="Y2" s="62"/>
      <c r="Z2" s="60"/>
      <c r="AA2" s="320" t="s">
        <v>164</v>
      </c>
      <c r="AB2" s="320"/>
      <c r="AC2" s="320"/>
      <c r="AD2" s="320"/>
      <c r="AE2" s="40"/>
      <c r="AF2" s="40"/>
      <c r="AG2" s="40"/>
      <c r="AH2" s="40"/>
    </row>
    <row r="3" spans="1:34" ht="78" customHeight="1" x14ac:dyDescent="0.35">
      <c r="A3" s="20"/>
      <c r="B3" s="325" t="s">
        <v>165</v>
      </c>
      <c r="C3" s="325"/>
      <c r="D3" s="325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60"/>
      <c r="AF3" s="60"/>
      <c r="AG3" s="60"/>
      <c r="AH3" s="60"/>
    </row>
    <row r="4" spans="1:34" ht="42" customHeight="1" x14ac:dyDescent="0.2">
      <c r="A4" s="324" t="s">
        <v>166</v>
      </c>
      <c r="B4" s="296" t="s">
        <v>31</v>
      </c>
      <c r="C4" s="296" t="s">
        <v>30</v>
      </c>
      <c r="D4" s="296" t="s">
        <v>37</v>
      </c>
      <c r="E4" s="327" t="s">
        <v>29</v>
      </c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8" t="s">
        <v>28</v>
      </c>
      <c r="AE4" s="60"/>
      <c r="AF4" s="60"/>
      <c r="AG4" s="60"/>
      <c r="AH4" s="60"/>
    </row>
    <row r="5" spans="1:34" ht="42" customHeight="1" x14ac:dyDescent="0.2">
      <c r="A5" s="324"/>
      <c r="B5" s="323"/>
      <c r="C5" s="296"/>
      <c r="D5" s="296"/>
      <c r="E5" s="321" t="s">
        <v>168</v>
      </c>
      <c r="F5" s="321"/>
      <c r="G5" s="321"/>
      <c r="H5" s="321"/>
      <c r="I5" s="321"/>
      <c r="J5" s="321" t="s">
        <v>169</v>
      </c>
      <c r="K5" s="321"/>
      <c r="L5" s="321"/>
      <c r="M5" s="321"/>
      <c r="N5" s="321"/>
      <c r="O5" s="321" t="s">
        <v>170</v>
      </c>
      <c r="P5" s="321"/>
      <c r="Q5" s="321"/>
      <c r="R5" s="321"/>
      <c r="S5" s="321"/>
      <c r="T5" s="321" t="s">
        <v>171</v>
      </c>
      <c r="U5" s="321"/>
      <c r="V5" s="321"/>
      <c r="W5" s="321"/>
      <c r="X5" s="321"/>
      <c r="Y5" s="321" t="s">
        <v>172</v>
      </c>
      <c r="Z5" s="321"/>
      <c r="AA5" s="321"/>
      <c r="AB5" s="321"/>
      <c r="AC5" s="321"/>
      <c r="AD5" s="328"/>
      <c r="AE5" s="60"/>
      <c r="AF5" s="60"/>
      <c r="AG5" s="60"/>
      <c r="AH5" s="60"/>
    </row>
    <row r="6" spans="1:34" ht="57.6" customHeight="1" x14ac:dyDescent="0.25">
      <c r="A6" s="324"/>
      <c r="B6" s="323"/>
      <c r="C6" s="296"/>
      <c r="D6" s="296"/>
      <c r="E6" s="84" t="s">
        <v>27</v>
      </c>
      <c r="F6" s="99" t="s">
        <v>38</v>
      </c>
      <c r="G6" s="99" t="s">
        <v>39</v>
      </c>
      <c r="H6" s="99" t="s">
        <v>26</v>
      </c>
      <c r="I6" s="99" t="s">
        <v>33</v>
      </c>
      <c r="J6" s="84" t="s">
        <v>27</v>
      </c>
      <c r="K6" s="99" t="s">
        <v>38</v>
      </c>
      <c r="L6" s="99" t="s">
        <v>39</v>
      </c>
      <c r="M6" s="99" t="s">
        <v>26</v>
      </c>
      <c r="N6" s="99" t="s">
        <v>167</v>
      </c>
      <c r="O6" s="84" t="s">
        <v>27</v>
      </c>
      <c r="P6" s="99" t="s">
        <v>38</v>
      </c>
      <c r="Q6" s="99" t="s">
        <v>39</v>
      </c>
      <c r="R6" s="99" t="s">
        <v>34</v>
      </c>
      <c r="S6" s="99" t="s">
        <v>33</v>
      </c>
      <c r="T6" s="84" t="s">
        <v>27</v>
      </c>
      <c r="U6" s="99" t="s">
        <v>38</v>
      </c>
      <c r="V6" s="99" t="s">
        <v>39</v>
      </c>
      <c r="W6" s="99" t="s">
        <v>34</v>
      </c>
      <c r="X6" s="99" t="s">
        <v>33</v>
      </c>
      <c r="Y6" s="84" t="s">
        <v>27</v>
      </c>
      <c r="Z6" s="99" t="s">
        <v>38</v>
      </c>
      <c r="AA6" s="99" t="s">
        <v>39</v>
      </c>
      <c r="AB6" s="99" t="s">
        <v>34</v>
      </c>
      <c r="AC6" s="99" t="s">
        <v>33</v>
      </c>
      <c r="AD6" s="328"/>
      <c r="AE6" s="49"/>
      <c r="AF6" s="49"/>
      <c r="AG6" s="49"/>
      <c r="AH6" s="49"/>
    </row>
    <row r="7" spans="1:34" s="9" customFormat="1" ht="25.15" customHeight="1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  <c r="Z7" s="39">
        <v>26</v>
      </c>
      <c r="AA7" s="39">
        <v>27</v>
      </c>
      <c r="AB7" s="39">
        <v>28</v>
      </c>
      <c r="AC7" s="39">
        <v>29</v>
      </c>
      <c r="AD7" s="39">
        <v>30</v>
      </c>
      <c r="AE7" s="49"/>
      <c r="AF7" s="49"/>
      <c r="AG7" s="49"/>
      <c r="AH7" s="49"/>
    </row>
    <row r="8" spans="1:34" s="9" customFormat="1" ht="33" customHeight="1" x14ac:dyDescent="0.25">
      <c r="A8" s="322" t="s">
        <v>132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49"/>
      <c r="AF8" s="49"/>
      <c r="AG8" s="49"/>
      <c r="AH8" s="49"/>
    </row>
    <row r="9" spans="1:34" s="9" customFormat="1" ht="34.9" customHeight="1" x14ac:dyDescent="0.25">
      <c r="A9" s="100" t="s">
        <v>98</v>
      </c>
      <c r="B9" s="305" t="s">
        <v>173</v>
      </c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40"/>
      <c r="AF9" s="40"/>
      <c r="AG9" s="40"/>
      <c r="AH9" s="40"/>
    </row>
    <row r="10" spans="1:34" s="5" customFormat="1" ht="30" customHeight="1" x14ac:dyDescent="0.25">
      <c r="A10" s="304" t="s">
        <v>174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40"/>
      <c r="AF10" s="40"/>
      <c r="AG10" s="40"/>
      <c r="AH10" s="40"/>
    </row>
    <row r="11" spans="1:34" s="5" customFormat="1" ht="34.9" customHeight="1" outlineLevel="1" x14ac:dyDescent="0.25">
      <c r="A11" s="313" t="s">
        <v>175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40"/>
      <c r="AF11" s="40"/>
      <c r="AG11" s="40"/>
      <c r="AH11" s="40"/>
    </row>
    <row r="12" spans="1:34" s="5" customFormat="1" ht="38.25" customHeight="1" outlineLevel="1" x14ac:dyDescent="0.25">
      <c r="A12" s="117" t="s">
        <v>1</v>
      </c>
      <c r="B12" s="313" t="s">
        <v>176</v>
      </c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63"/>
      <c r="AF12" s="63"/>
      <c r="AG12" s="63"/>
      <c r="AH12" s="63"/>
    </row>
    <row r="13" spans="1:34" s="7" customFormat="1" ht="88.15" customHeight="1" outlineLevel="1" x14ac:dyDescent="0.25">
      <c r="A13" s="104" t="s">
        <v>4</v>
      </c>
      <c r="B13" s="118" t="s">
        <v>90</v>
      </c>
      <c r="C13" s="119" t="s">
        <v>22</v>
      </c>
      <c r="D13" s="120" t="s">
        <v>436</v>
      </c>
      <c r="E13" s="121">
        <f>SUM(F13:I13)</f>
        <v>281</v>
      </c>
      <c r="F13" s="122">
        <v>281</v>
      </c>
      <c r="G13" s="122">
        <v>0</v>
      </c>
      <c r="H13" s="122">
        <v>0</v>
      </c>
      <c r="I13" s="122">
        <v>0</v>
      </c>
      <c r="J13" s="121">
        <f>SUM(K13:N13)</f>
        <v>0</v>
      </c>
      <c r="K13" s="122">
        <v>0</v>
      </c>
      <c r="L13" s="122">
        <v>0</v>
      </c>
      <c r="M13" s="122">
        <v>0</v>
      </c>
      <c r="N13" s="122">
        <v>0</v>
      </c>
      <c r="O13" s="121">
        <f>SUM(P13:S13)</f>
        <v>0</v>
      </c>
      <c r="P13" s="122">
        <v>0</v>
      </c>
      <c r="Q13" s="122">
        <v>0</v>
      </c>
      <c r="R13" s="122">
        <v>0</v>
      </c>
      <c r="S13" s="122">
        <v>0</v>
      </c>
      <c r="T13" s="121">
        <f t="shared" ref="T13:T18" si="0">SUM(U13:X13)</f>
        <v>6200</v>
      </c>
      <c r="U13" s="122">
        <v>6200</v>
      </c>
      <c r="V13" s="122">
        <v>0</v>
      </c>
      <c r="W13" s="122">
        <v>0</v>
      </c>
      <c r="X13" s="122">
        <v>0</v>
      </c>
      <c r="Y13" s="121">
        <f t="shared" ref="Y13:Y18" si="1">SUM(Z13:AC13)</f>
        <v>6500</v>
      </c>
      <c r="Z13" s="122">
        <v>6500</v>
      </c>
      <c r="AA13" s="122">
        <v>0</v>
      </c>
      <c r="AB13" s="122">
        <v>0</v>
      </c>
      <c r="AC13" s="122">
        <v>0</v>
      </c>
      <c r="AD13" s="121">
        <f>E13+J13+O13+T13+Y13</f>
        <v>12981</v>
      </c>
      <c r="AE13" s="63"/>
      <c r="AF13" s="63"/>
      <c r="AG13" s="63"/>
      <c r="AH13" s="63"/>
    </row>
    <row r="14" spans="1:34" s="7" customFormat="1" ht="87.75" customHeight="1" outlineLevel="1" x14ac:dyDescent="0.2">
      <c r="A14" s="104" t="s">
        <v>10</v>
      </c>
      <c r="B14" s="118" t="s">
        <v>203</v>
      </c>
      <c r="C14" s="119" t="s">
        <v>22</v>
      </c>
      <c r="D14" s="120" t="s">
        <v>404</v>
      </c>
      <c r="E14" s="121">
        <f t="shared" ref="E14:E18" si="2">SUM(F14:I14)</f>
        <v>29757</v>
      </c>
      <c r="F14" s="122">
        <v>29757</v>
      </c>
      <c r="G14" s="122">
        <v>0</v>
      </c>
      <c r="H14" s="122">
        <v>0</v>
      </c>
      <c r="I14" s="122">
        <v>0</v>
      </c>
      <c r="J14" s="121">
        <f t="shared" ref="J14:J18" si="3">SUM(K14:N14)</f>
        <v>71549</v>
      </c>
      <c r="K14" s="122">
        <v>71549</v>
      </c>
      <c r="L14" s="122">
        <v>0</v>
      </c>
      <c r="M14" s="122">
        <v>0</v>
      </c>
      <c r="N14" s="122">
        <v>0</v>
      </c>
      <c r="O14" s="121">
        <f t="shared" ref="O14:O18" si="4">SUM(P14:S14)</f>
        <v>13882</v>
      </c>
      <c r="P14" s="122">
        <v>13882</v>
      </c>
      <c r="Q14" s="122">
        <v>0</v>
      </c>
      <c r="R14" s="122">
        <v>0</v>
      </c>
      <c r="S14" s="122">
        <v>0</v>
      </c>
      <c r="T14" s="121">
        <f t="shared" si="0"/>
        <v>0</v>
      </c>
      <c r="U14" s="122">
        <v>0</v>
      </c>
      <c r="V14" s="122">
        <v>0</v>
      </c>
      <c r="W14" s="122">
        <v>0</v>
      </c>
      <c r="X14" s="122">
        <v>0</v>
      </c>
      <c r="Y14" s="121">
        <f t="shared" si="1"/>
        <v>0</v>
      </c>
      <c r="Z14" s="122">
        <v>0</v>
      </c>
      <c r="AA14" s="122">
        <v>0</v>
      </c>
      <c r="AB14" s="122">
        <v>0</v>
      </c>
      <c r="AC14" s="122">
        <v>0</v>
      </c>
      <c r="AD14" s="121">
        <f>E14+J14+O14+T14+Y14</f>
        <v>115188</v>
      </c>
      <c r="AE14" s="60"/>
      <c r="AF14" s="60"/>
      <c r="AG14" s="60"/>
      <c r="AH14" s="60"/>
    </row>
    <row r="15" spans="1:34" ht="85.5" customHeight="1" outlineLevel="1" x14ac:dyDescent="0.2">
      <c r="A15" s="105" t="s">
        <v>13</v>
      </c>
      <c r="B15" s="118" t="s">
        <v>178</v>
      </c>
      <c r="C15" s="119" t="s">
        <v>22</v>
      </c>
      <c r="D15" s="120" t="s">
        <v>436</v>
      </c>
      <c r="E15" s="121">
        <f t="shared" si="2"/>
        <v>3606</v>
      </c>
      <c r="F15" s="122">
        <v>3606</v>
      </c>
      <c r="G15" s="122">
        <v>0</v>
      </c>
      <c r="H15" s="122">
        <v>0</v>
      </c>
      <c r="I15" s="122">
        <v>0</v>
      </c>
      <c r="J15" s="121">
        <f t="shared" si="3"/>
        <v>0</v>
      </c>
      <c r="K15" s="122">
        <v>0</v>
      </c>
      <c r="L15" s="122">
        <v>0</v>
      </c>
      <c r="M15" s="122">
        <v>0</v>
      </c>
      <c r="N15" s="122">
        <v>0</v>
      </c>
      <c r="O15" s="121">
        <f t="shared" si="4"/>
        <v>0</v>
      </c>
      <c r="P15" s="122">
        <v>0</v>
      </c>
      <c r="Q15" s="122">
        <v>0</v>
      </c>
      <c r="R15" s="122">
        <v>0</v>
      </c>
      <c r="S15" s="122">
        <v>0</v>
      </c>
      <c r="T15" s="121">
        <f t="shared" si="0"/>
        <v>3261</v>
      </c>
      <c r="U15" s="122">
        <v>3261</v>
      </c>
      <c r="V15" s="122">
        <v>0</v>
      </c>
      <c r="W15" s="122">
        <v>0</v>
      </c>
      <c r="X15" s="122">
        <v>0</v>
      </c>
      <c r="Y15" s="121">
        <f t="shared" si="1"/>
        <v>3391</v>
      </c>
      <c r="Z15" s="122">
        <v>3391</v>
      </c>
      <c r="AA15" s="122">
        <v>0</v>
      </c>
      <c r="AB15" s="122">
        <v>0</v>
      </c>
      <c r="AC15" s="122">
        <v>0</v>
      </c>
      <c r="AD15" s="121">
        <f t="shared" ref="AD15:AD18" si="5">E15+J15+O15+T15+Y15</f>
        <v>10258</v>
      </c>
      <c r="AE15" s="60"/>
      <c r="AF15" s="60"/>
      <c r="AG15" s="60"/>
      <c r="AH15" s="60"/>
    </row>
    <row r="16" spans="1:34" ht="88.5" customHeight="1" outlineLevel="1" x14ac:dyDescent="0.2">
      <c r="A16" s="105" t="s">
        <v>100</v>
      </c>
      <c r="B16" s="118" t="s">
        <v>125</v>
      </c>
      <c r="C16" s="119" t="s">
        <v>22</v>
      </c>
      <c r="D16" s="120" t="s">
        <v>437</v>
      </c>
      <c r="E16" s="121">
        <f t="shared" si="2"/>
        <v>124</v>
      </c>
      <c r="F16" s="122">
        <v>124</v>
      </c>
      <c r="G16" s="122">
        <v>0</v>
      </c>
      <c r="H16" s="122">
        <v>0</v>
      </c>
      <c r="I16" s="122">
        <v>0</v>
      </c>
      <c r="J16" s="121">
        <f t="shared" si="3"/>
        <v>129</v>
      </c>
      <c r="K16" s="122">
        <v>129</v>
      </c>
      <c r="L16" s="122">
        <v>0</v>
      </c>
      <c r="M16" s="122">
        <v>0</v>
      </c>
      <c r="N16" s="122">
        <v>0</v>
      </c>
      <c r="O16" s="121">
        <f t="shared" si="4"/>
        <v>0</v>
      </c>
      <c r="P16" s="122">
        <v>0</v>
      </c>
      <c r="Q16" s="122">
        <v>0</v>
      </c>
      <c r="R16" s="122">
        <v>0</v>
      </c>
      <c r="S16" s="122">
        <v>0</v>
      </c>
      <c r="T16" s="121">
        <f t="shared" si="0"/>
        <v>4593</v>
      </c>
      <c r="U16" s="122">
        <v>4593</v>
      </c>
      <c r="V16" s="122">
        <v>0</v>
      </c>
      <c r="W16" s="122">
        <v>0</v>
      </c>
      <c r="X16" s="122">
        <v>0</v>
      </c>
      <c r="Y16" s="121">
        <f t="shared" si="1"/>
        <v>4777</v>
      </c>
      <c r="Z16" s="122">
        <v>4777</v>
      </c>
      <c r="AA16" s="122">
        <v>0</v>
      </c>
      <c r="AB16" s="122">
        <v>0</v>
      </c>
      <c r="AC16" s="122">
        <v>0</v>
      </c>
      <c r="AD16" s="121">
        <f t="shared" si="5"/>
        <v>9623</v>
      </c>
      <c r="AE16" s="60"/>
      <c r="AF16" s="60"/>
      <c r="AG16" s="60"/>
      <c r="AH16" s="60"/>
    </row>
    <row r="17" spans="1:34" ht="84.75" customHeight="1" outlineLevel="1" x14ac:dyDescent="0.2">
      <c r="A17" s="105" t="s">
        <v>101</v>
      </c>
      <c r="B17" s="118" t="s">
        <v>320</v>
      </c>
      <c r="C17" s="119" t="s">
        <v>22</v>
      </c>
      <c r="D17" s="120" t="s">
        <v>438</v>
      </c>
      <c r="E17" s="121">
        <f t="shared" ref="E17" si="6">SUM(F17:I17)</f>
        <v>113904</v>
      </c>
      <c r="F17" s="122">
        <v>113904</v>
      </c>
      <c r="G17" s="122">
        <v>0</v>
      </c>
      <c r="H17" s="122">
        <v>0</v>
      </c>
      <c r="I17" s="122">
        <v>0</v>
      </c>
      <c r="J17" s="121">
        <f t="shared" si="3"/>
        <v>46811</v>
      </c>
      <c r="K17" s="122">
        <v>46811</v>
      </c>
      <c r="L17" s="122">
        <v>0</v>
      </c>
      <c r="M17" s="122">
        <v>0</v>
      </c>
      <c r="N17" s="122">
        <v>0</v>
      </c>
      <c r="O17" s="121">
        <f t="shared" si="4"/>
        <v>59447</v>
      </c>
      <c r="P17" s="122">
        <v>59447</v>
      </c>
      <c r="Q17" s="122">
        <v>0</v>
      </c>
      <c r="R17" s="122">
        <v>0</v>
      </c>
      <c r="S17" s="122">
        <v>0</v>
      </c>
      <c r="T17" s="121">
        <f t="shared" ref="T17" si="7">SUM(U17:X17)</f>
        <v>0</v>
      </c>
      <c r="U17" s="122">
        <v>0</v>
      </c>
      <c r="V17" s="122">
        <v>0</v>
      </c>
      <c r="W17" s="122">
        <v>0</v>
      </c>
      <c r="X17" s="122">
        <v>0</v>
      </c>
      <c r="Y17" s="121">
        <f>SUM(Z17:AC17)</f>
        <v>0</v>
      </c>
      <c r="Z17" s="122">
        <v>0</v>
      </c>
      <c r="AA17" s="122">
        <v>0</v>
      </c>
      <c r="AB17" s="122">
        <v>0</v>
      </c>
      <c r="AC17" s="122">
        <v>0</v>
      </c>
      <c r="AD17" s="121">
        <f t="shared" si="5"/>
        <v>220162</v>
      </c>
      <c r="AE17" s="60"/>
      <c r="AF17" s="60"/>
      <c r="AG17" s="60"/>
      <c r="AH17" s="60"/>
    </row>
    <row r="18" spans="1:34" ht="87.75" customHeight="1" outlineLevel="1" x14ac:dyDescent="0.2">
      <c r="A18" s="104" t="s">
        <v>102</v>
      </c>
      <c r="B18" s="118" t="s">
        <v>204</v>
      </c>
      <c r="C18" s="119" t="s">
        <v>25</v>
      </c>
      <c r="D18" s="123" t="s">
        <v>307</v>
      </c>
      <c r="E18" s="121">
        <f t="shared" si="2"/>
        <v>0</v>
      </c>
      <c r="F18" s="122">
        <v>0</v>
      </c>
      <c r="G18" s="122">
        <v>0</v>
      </c>
      <c r="H18" s="122">
        <v>0</v>
      </c>
      <c r="I18" s="122">
        <v>0</v>
      </c>
      <c r="J18" s="121">
        <f t="shared" si="3"/>
        <v>0</v>
      </c>
      <c r="K18" s="122">
        <v>0</v>
      </c>
      <c r="L18" s="122">
        <v>0</v>
      </c>
      <c r="M18" s="122">
        <v>0</v>
      </c>
      <c r="N18" s="122">
        <v>0</v>
      </c>
      <c r="O18" s="121">
        <f t="shared" si="4"/>
        <v>12154</v>
      </c>
      <c r="P18" s="122">
        <v>12154</v>
      </c>
      <c r="Q18" s="122">
        <v>0</v>
      </c>
      <c r="R18" s="122">
        <v>0</v>
      </c>
      <c r="S18" s="122">
        <v>0</v>
      </c>
      <c r="T18" s="121">
        <f t="shared" si="0"/>
        <v>0</v>
      </c>
      <c r="U18" s="122">
        <v>0</v>
      </c>
      <c r="V18" s="122">
        <v>0</v>
      </c>
      <c r="W18" s="122">
        <v>0</v>
      </c>
      <c r="X18" s="122">
        <v>0</v>
      </c>
      <c r="Y18" s="121">
        <f t="shared" si="1"/>
        <v>0</v>
      </c>
      <c r="Z18" s="122">
        <v>0</v>
      </c>
      <c r="AA18" s="122">
        <v>0</v>
      </c>
      <c r="AB18" s="122">
        <v>0</v>
      </c>
      <c r="AC18" s="122">
        <v>0</v>
      </c>
      <c r="AD18" s="121">
        <f t="shared" si="5"/>
        <v>12154</v>
      </c>
      <c r="AE18" s="60"/>
      <c r="AF18" s="60"/>
      <c r="AG18" s="60"/>
      <c r="AH18" s="60"/>
    </row>
    <row r="19" spans="1:34" ht="87.75" customHeight="1" outlineLevel="1" x14ac:dyDescent="0.2">
      <c r="A19" s="105" t="s">
        <v>103</v>
      </c>
      <c r="B19" s="118" t="s">
        <v>83</v>
      </c>
      <c r="C19" s="119" t="s">
        <v>22</v>
      </c>
      <c r="D19" s="120" t="s">
        <v>404</v>
      </c>
      <c r="E19" s="121">
        <f t="shared" ref="E19:E20" si="8">SUM(F19:I19)</f>
        <v>1807</v>
      </c>
      <c r="F19" s="122">
        <v>1807</v>
      </c>
      <c r="G19" s="122">
        <v>0</v>
      </c>
      <c r="H19" s="122">
        <v>0</v>
      </c>
      <c r="I19" s="122">
        <v>0</v>
      </c>
      <c r="J19" s="121">
        <f t="shared" ref="J19:J20" si="9">SUM(K19:N19)</f>
        <v>5007</v>
      </c>
      <c r="K19" s="122">
        <v>5007</v>
      </c>
      <c r="L19" s="122">
        <v>0</v>
      </c>
      <c r="M19" s="122">
        <v>0</v>
      </c>
      <c r="N19" s="122">
        <v>0</v>
      </c>
      <c r="O19" s="121">
        <f t="shared" ref="O19:O20" si="10">SUM(P19:S19)</f>
        <v>6719</v>
      </c>
      <c r="P19" s="122">
        <v>6719</v>
      </c>
      <c r="Q19" s="122">
        <v>0</v>
      </c>
      <c r="R19" s="122">
        <v>0</v>
      </c>
      <c r="S19" s="122">
        <v>0</v>
      </c>
      <c r="T19" s="121">
        <f t="shared" ref="T19:T20" si="11">SUM(U19:X19)</f>
        <v>0</v>
      </c>
      <c r="U19" s="122">
        <v>0</v>
      </c>
      <c r="V19" s="122">
        <v>0</v>
      </c>
      <c r="W19" s="122">
        <v>0</v>
      </c>
      <c r="X19" s="122">
        <v>0</v>
      </c>
      <c r="Y19" s="121">
        <f t="shared" ref="Y19:Y20" si="12">SUM(Z19:AC19)</f>
        <v>0</v>
      </c>
      <c r="Z19" s="122">
        <v>0</v>
      </c>
      <c r="AA19" s="122">
        <v>0</v>
      </c>
      <c r="AB19" s="122">
        <v>0</v>
      </c>
      <c r="AC19" s="122">
        <v>0</v>
      </c>
      <c r="AD19" s="121">
        <f t="shared" ref="AD19:AD20" si="13">E19+J19+O19+T19+Y19</f>
        <v>13533</v>
      </c>
      <c r="AE19" s="60"/>
      <c r="AF19" s="60"/>
      <c r="AG19" s="60"/>
      <c r="AH19" s="60"/>
    </row>
    <row r="20" spans="1:34" ht="99" customHeight="1" outlineLevel="1" x14ac:dyDescent="0.2">
      <c r="A20" s="105" t="s">
        <v>402</v>
      </c>
      <c r="B20" s="118" t="s">
        <v>405</v>
      </c>
      <c r="C20" s="119" t="s">
        <v>22</v>
      </c>
      <c r="D20" s="124">
        <v>2026</v>
      </c>
      <c r="E20" s="121">
        <f t="shared" si="8"/>
        <v>1450</v>
      </c>
      <c r="F20" s="122">
        <v>1450</v>
      </c>
      <c r="G20" s="122">
        <v>0</v>
      </c>
      <c r="H20" s="122">
        <v>0</v>
      </c>
      <c r="I20" s="122">
        <v>0</v>
      </c>
      <c r="J20" s="121">
        <f t="shared" si="9"/>
        <v>0</v>
      </c>
      <c r="K20" s="122">
        <v>0</v>
      </c>
      <c r="L20" s="122">
        <v>0</v>
      </c>
      <c r="M20" s="122">
        <v>0</v>
      </c>
      <c r="N20" s="122">
        <v>0</v>
      </c>
      <c r="O20" s="121">
        <f t="shared" si="10"/>
        <v>0</v>
      </c>
      <c r="P20" s="122">
        <v>0</v>
      </c>
      <c r="Q20" s="122">
        <v>0</v>
      </c>
      <c r="R20" s="122">
        <v>0</v>
      </c>
      <c r="S20" s="122">
        <v>0</v>
      </c>
      <c r="T20" s="121">
        <f t="shared" si="11"/>
        <v>0</v>
      </c>
      <c r="U20" s="122">
        <v>0</v>
      </c>
      <c r="V20" s="122">
        <v>0</v>
      </c>
      <c r="W20" s="122">
        <v>0</v>
      </c>
      <c r="X20" s="122">
        <v>0</v>
      </c>
      <c r="Y20" s="121">
        <f t="shared" si="12"/>
        <v>0</v>
      </c>
      <c r="Z20" s="122">
        <v>0</v>
      </c>
      <c r="AA20" s="122">
        <v>0</v>
      </c>
      <c r="AB20" s="122">
        <v>0</v>
      </c>
      <c r="AC20" s="122">
        <v>0</v>
      </c>
      <c r="AD20" s="121">
        <f t="shared" si="13"/>
        <v>1450</v>
      </c>
      <c r="AE20" s="60"/>
      <c r="AF20" s="60"/>
      <c r="AG20" s="60"/>
      <c r="AH20" s="60"/>
    </row>
    <row r="21" spans="1:34" ht="40.9" customHeight="1" outlineLevel="1" x14ac:dyDescent="0.2">
      <c r="A21" s="125" t="s">
        <v>6</v>
      </c>
      <c r="B21" s="302" t="s">
        <v>179</v>
      </c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60"/>
      <c r="AF21" s="60"/>
      <c r="AG21" s="60"/>
      <c r="AH21" s="60"/>
    </row>
    <row r="22" spans="1:34" ht="97.5" customHeight="1" outlineLevel="1" x14ac:dyDescent="0.2">
      <c r="A22" s="104" t="s">
        <v>7</v>
      </c>
      <c r="B22" s="118" t="s">
        <v>77</v>
      </c>
      <c r="C22" s="119" t="s">
        <v>127</v>
      </c>
      <c r="D22" s="106" t="s">
        <v>177</v>
      </c>
      <c r="E22" s="121">
        <f t="shared" ref="E22:E31" si="14">SUM(F22:I22)</f>
        <v>10639</v>
      </c>
      <c r="F22" s="122">
        <v>10639</v>
      </c>
      <c r="G22" s="122">
        <v>0</v>
      </c>
      <c r="H22" s="122">
        <v>0</v>
      </c>
      <c r="I22" s="122">
        <v>0</v>
      </c>
      <c r="J22" s="121">
        <f>SUM(K22:N22)</f>
        <v>11065</v>
      </c>
      <c r="K22" s="122">
        <v>11065</v>
      </c>
      <c r="L22" s="122">
        <v>0</v>
      </c>
      <c r="M22" s="122">
        <v>0</v>
      </c>
      <c r="N22" s="122">
        <v>0</v>
      </c>
      <c r="O22" s="121">
        <f>SUM(P22:S22)</f>
        <v>11508</v>
      </c>
      <c r="P22" s="122">
        <v>11508</v>
      </c>
      <c r="Q22" s="122">
        <v>0</v>
      </c>
      <c r="R22" s="122">
        <v>0</v>
      </c>
      <c r="S22" s="122">
        <v>0</v>
      </c>
      <c r="T22" s="121">
        <f t="shared" ref="T22:T28" si="15">SUM(U22:X22)</f>
        <v>6100</v>
      </c>
      <c r="U22" s="122">
        <v>6100</v>
      </c>
      <c r="V22" s="122">
        <v>0</v>
      </c>
      <c r="W22" s="122">
        <v>0</v>
      </c>
      <c r="X22" s="122">
        <v>0</v>
      </c>
      <c r="Y22" s="121">
        <f t="shared" ref="Y22:Y28" si="16">SUM(Z22:AC22)</f>
        <v>6344</v>
      </c>
      <c r="Z22" s="122">
        <v>6344</v>
      </c>
      <c r="AA22" s="122">
        <v>0</v>
      </c>
      <c r="AB22" s="122">
        <v>0</v>
      </c>
      <c r="AC22" s="122">
        <v>0</v>
      </c>
      <c r="AD22" s="121">
        <f t="shared" ref="AD22:AD31" si="17">E22+J22+O22+T22+Y22</f>
        <v>45656</v>
      </c>
      <c r="AE22" s="60"/>
      <c r="AF22" s="60"/>
      <c r="AG22" s="60"/>
      <c r="AH22" s="60"/>
    </row>
    <row r="23" spans="1:34" ht="94.9" customHeight="1" outlineLevel="1" x14ac:dyDescent="0.2">
      <c r="A23" s="105" t="s">
        <v>8</v>
      </c>
      <c r="B23" s="118" t="s">
        <v>78</v>
      </c>
      <c r="C23" s="119" t="s">
        <v>128</v>
      </c>
      <c r="D23" s="106" t="s">
        <v>177</v>
      </c>
      <c r="E23" s="121">
        <f t="shared" si="14"/>
        <v>1652</v>
      </c>
      <c r="F23" s="122">
        <v>1652</v>
      </c>
      <c r="G23" s="122">
        <v>0</v>
      </c>
      <c r="H23" s="122">
        <v>0</v>
      </c>
      <c r="I23" s="122">
        <v>0</v>
      </c>
      <c r="J23" s="121">
        <f>K23</f>
        <v>1718</v>
      </c>
      <c r="K23" s="122">
        <v>1718</v>
      </c>
      <c r="L23" s="122">
        <v>0</v>
      </c>
      <c r="M23" s="122">
        <v>0</v>
      </c>
      <c r="N23" s="122">
        <v>0</v>
      </c>
      <c r="O23" s="121">
        <f t="shared" ref="O23:O28" si="18">SUM(P23:S23)</f>
        <v>1787</v>
      </c>
      <c r="P23" s="122">
        <v>1787</v>
      </c>
      <c r="Q23" s="122">
        <v>0</v>
      </c>
      <c r="R23" s="122">
        <v>0</v>
      </c>
      <c r="S23" s="122">
        <v>0</v>
      </c>
      <c r="T23" s="121">
        <f t="shared" si="15"/>
        <v>6568</v>
      </c>
      <c r="U23" s="122">
        <v>6568</v>
      </c>
      <c r="V23" s="122">
        <v>0</v>
      </c>
      <c r="W23" s="122">
        <v>0</v>
      </c>
      <c r="X23" s="122">
        <v>0</v>
      </c>
      <c r="Y23" s="121">
        <f t="shared" si="16"/>
        <v>6831</v>
      </c>
      <c r="Z23" s="122">
        <v>6831</v>
      </c>
      <c r="AA23" s="122">
        <v>0</v>
      </c>
      <c r="AB23" s="122">
        <v>0</v>
      </c>
      <c r="AC23" s="122">
        <v>0</v>
      </c>
      <c r="AD23" s="121">
        <f>E23+J23+O23+T23+Y23</f>
        <v>18556</v>
      </c>
      <c r="AE23" s="60"/>
      <c r="AF23" s="60"/>
      <c r="AG23" s="60"/>
      <c r="AH23" s="60"/>
    </row>
    <row r="24" spans="1:34" ht="105.75" customHeight="1" outlineLevel="1" x14ac:dyDescent="0.2">
      <c r="A24" s="105" t="s">
        <v>12</v>
      </c>
      <c r="B24" s="118" t="s">
        <v>187</v>
      </c>
      <c r="C24" s="119" t="s">
        <v>128</v>
      </c>
      <c r="D24" s="106" t="s">
        <v>439</v>
      </c>
      <c r="E24" s="121">
        <f t="shared" si="14"/>
        <v>0</v>
      </c>
      <c r="F24" s="122">
        <v>0</v>
      </c>
      <c r="G24" s="122">
        <v>0</v>
      </c>
      <c r="H24" s="122">
        <v>0</v>
      </c>
      <c r="I24" s="122">
        <v>0</v>
      </c>
      <c r="J24" s="121">
        <f>SUM(K24:N24)</f>
        <v>0</v>
      </c>
      <c r="K24" s="122">
        <v>0</v>
      </c>
      <c r="L24" s="122">
        <v>0</v>
      </c>
      <c r="M24" s="122">
        <v>0</v>
      </c>
      <c r="N24" s="122">
        <v>0</v>
      </c>
      <c r="O24" s="121">
        <f t="shared" si="18"/>
        <v>0</v>
      </c>
      <c r="P24" s="126">
        <v>0</v>
      </c>
      <c r="Q24" s="122">
        <v>0</v>
      </c>
      <c r="R24" s="122">
        <v>0</v>
      </c>
      <c r="S24" s="122">
        <v>0</v>
      </c>
      <c r="T24" s="121">
        <f t="shared" si="15"/>
        <v>30321</v>
      </c>
      <c r="U24" s="122">
        <v>30321</v>
      </c>
      <c r="V24" s="122">
        <v>0</v>
      </c>
      <c r="W24" s="122">
        <v>0</v>
      </c>
      <c r="X24" s="122">
        <v>0</v>
      </c>
      <c r="Y24" s="121">
        <f t="shared" si="16"/>
        <v>31534</v>
      </c>
      <c r="Z24" s="122">
        <v>31534</v>
      </c>
      <c r="AA24" s="122">
        <v>0</v>
      </c>
      <c r="AB24" s="122">
        <v>0</v>
      </c>
      <c r="AC24" s="122">
        <v>0</v>
      </c>
      <c r="AD24" s="121">
        <f t="shared" si="17"/>
        <v>61855</v>
      </c>
      <c r="AE24" s="60"/>
      <c r="AF24" s="60"/>
      <c r="AG24" s="60"/>
      <c r="AH24" s="60"/>
    </row>
    <row r="25" spans="1:34" ht="105" customHeight="1" outlineLevel="1" x14ac:dyDescent="0.2">
      <c r="A25" s="105" t="s">
        <v>104</v>
      </c>
      <c r="B25" s="118" t="s">
        <v>301</v>
      </c>
      <c r="C25" s="119" t="s">
        <v>128</v>
      </c>
      <c r="D25" s="106" t="s">
        <v>177</v>
      </c>
      <c r="E25" s="121">
        <f t="shared" si="14"/>
        <v>0</v>
      </c>
      <c r="F25" s="122">
        <v>0</v>
      </c>
      <c r="G25" s="122">
        <v>0</v>
      </c>
      <c r="H25" s="122">
        <v>0</v>
      </c>
      <c r="I25" s="122">
        <v>0</v>
      </c>
      <c r="J25" s="121">
        <f t="shared" ref="J25:J26" si="19">SUM(K25:N25)</f>
        <v>0</v>
      </c>
      <c r="K25" s="122">
        <v>0</v>
      </c>
      <c r="L25" s="122">
        <v>0</v>
      </c>
      <c r="M25" s="122">
        <v>0</v>
      </c>
      <c r="N25" s="122">
        <v>0</v>
      </c>
      <c r="O25" s="121">
        <f t="shared" si="18"/>
        <v>0</v>
      </c>
      <c r="P25" s="126">
        <v>0</v>
      </c>
      <c r="Q25" s="122">
        <v>0</v>
      </c>
      <c r="R25" s="122">
        <v>0</v>
      </c>
      <c r="S25" s="122">
        <v>0</v>
      </c>
      <c r="T25" s="121">
        <f t="shared" si="15"/>
        <v>0</v>
      </c>
      <c r="U25" s="122">
        <v>0</v>
      </c>
      <c r="V25" s="122">
        <v>0</v>
      </c>
      <c r="W25" s="122">
        <v>0</v>
      </c>
      <c r="X25" s="122">
        <v>0</v>
      </c>
      <c r="Y25" s="121">
        <f t="shared" si="16"/>
        <v>0</v>
      </c>
      <c r="Z25" s="122">
        <v>0</v>
      </c>
      <c r="AA25" s="122">
        <v>0</v>
      </c>
      <c r="AB25" s="122">
        <v>0</v>
      </c>
      <c r="AC25" s="122">
        <v>0</v>
      </c>
      <c r="AD25" s="121">
        <f t="shared" si="17"/>
        <v>0</v>
      </c>
      <c r="AE25" s="60"/>
      <c r="AF25" s="60"/>
      <c r="AG25" s="60"/>
      <c r="AH25" s="60"/>
    </row>
    <row r="26" spans="1:34" ht="105" customHeight="1" outlineLevel="1" x14ac:dyDescent="0.2">
      <c r="A26" s="105" t="s">
        <v>105</v>
      </c>
      <c r="B26" s="118" t="s">
        <v>302</v>
      </c>
      <c r="C26" s="119" t="s">
        <v>128</v>
      </c>
      <c r="D26" s="106" t="s">
        <v>177</v>
      </c>
      <c r="E26" s="121">
        <f t="shared" si="14"/>
        <v>0</v>
      </c>
      <c r="F26" s="122">
        <v>0</v>
      </c>
      <c r="G26" s="122">
        <v>0</v>
      </c>
      <c r="H26" s="122">
        <v>0</v>
      </c>
      <c r="I26" s="122">
        <v>0</v>
      </c>
      <c r="J26" s="121">
        <f t="shared" si="19"/>
        <v>0</v>
      </c>
      <c r="K26" s="122">
        <v>0</v>
      </c>
      <c r="L26" s="122">
        <v>0</v>
      </c>
      <c r="M26" s="122">
        <v>0</v>
      </c>
      <c r="N26" s="122">
        <v>0</v>
      </c>
      <c r="O26" s="121">
        <f t="shared" si="18"/>
        <v>0</v>
      </c>
      <c r="P26" s="126">
        <v>0</v>
      </c>
      <c r="Q26" s="122">
        <v>0</v>
      </c>
      <c r="R26" s="122">
        <v>0</v>
      </c>
      <c r="S26" s="122">
        <v>0</v>
      </c>
      <c r="T26" s="121">
        <f t="shared" si="15"/>
        <v>0</v>
      </c>
      <c r="U26" s="122">
        <v>0</v>
      </c>
      <c r="V26" s="122">
        <v>0</v>
      </c>
      <c r="W26" s="122">
        <v>0</v>
      </c>
      <c r="X26" s="122">
        <v>0</v>
      </c>
      <c r="Y26" s="121">
        <f t="shared" si="16"/>
        <v>0</v>
      </c>
      <c r="Z26" s="122">
        <v>0</v>
      </c>
      <c r="AA26" s="122">
        <v>0</v>
      </c>
      <c r="AB26" s="122">
        <v>0</v>
      </c>
      <c r="AC26" s="122">
        <v>0</v>
      </c>
      <c r="AD26" s="121">
        <f t="shared" si="17"/>
        <v>0</v>
      </c>
      <c r="AE26" s="60"/>
      <c r="AF26" s="60"/>
      <c r="AG26" s="60"/>
      <c r="AH26" s="60"/>
    </row>
    <row r="27" spans="1:34" ht="105" customHeight="1" outlineLevel="1" x14ac:dyDescent="0.2">
      <c r="A27" s="105" t="s">
        <v>294</v>
      </c>
      <c r="B27" s="118" t="s">
        <v>295</v>
      </c>
      <c r="C27" s="119" t="s">
        <v>22</v>
      </c>
      <c r="D27" s="106" t="s">
        <v>177</v>
      </c>
      <c r="E27" s="121">
        <f t="shared" si="14"/>
        <v>0</v>
      </c>
      <c r="F27" s="122">
        <v>0</v>
      </c>
      <c r="G27" s="122">
        <v>0</v>
      </c>
      <c r="H27" s="122">
        <v>0</v>
      </c>
      <c r="I27" s="122">
        <v>0</v>
      </c>
      <c r="J27" s="121">
        <f>SUM(K27:N27)</f>
        <v>0</v>
      </c>
      <c r="K27" s="122">
        <v>0</v>
      </c>
      <c r="L27" s="122">
        <v>0</v>
      </c>
      <c r="M27" s="122">
        <v>0</v>
      </c>
      <c r="N27" s="122">
        <v>0</v>
      </c>
      <c r="O27" s="121">
        <f t="shared" si="18"/>
        <v>0</v>
      </c>
      <c r="P27" s="126">
        <v>0</v>
      </c>
      <c r="Q27" s="122">
        <v>0</v>
      </c>
      <c r="R27" s="122">
        <v>0</v>
      </c>
      <c r="S27" s="122">
        <v>0</v>
      </c>
      <c r="T27" s="121">
        <f t="shared" si="15"/>
        <v>0</v>
      </c>
      <c r="U27" s="122">
        <v>0</v>
      </c>
      <c r="V27" s="122">
        <v>0</v>
      </c>
      <c r="W27" s="122">
        <v>0</v>
      </c>
      <c r="X27" s="122">
        <v>0</v>
      </c>
      <c r="Y27" s="121">
        <f t="shared" si="16"/>
        <v>0</v>
      </c>
      <c r="Z27" s="122">
        <v>0</v>
      </c>
      <c r="AA27" s="122">
        <v>0</v>
      </c>
      <c r="AB27" s="122">
        <v>0</v>
      </c>
      <c r="AC27" s="122">
        <v>0</v>
      </c>
      <c r="AD27" s="121">
        <f t="shared" si="17"/>
        <v>0</v>
      </c>
      <c r="AE27" s="60"/>
      <c r="AF27" s="60"/>
      <c r="AG27" s="60"/>
      <c r="AH27" s="60"/>
    </row>
    <row r="28" spans="1:34" ht="93" customHeight="1" outlineLevel="1" x14ac:dyDescent="0.2">
      <c r="A28" s="105" t="s">
        <v>297</v>
      </c>
      <c r="B28" s="118" t="s">
        <v>35</v>
      </c>
      <c r="C28" s="119" t="s">
        <v>22</v>
      </c>
      <c r="D28" s="106" t="s">
        <v>177</v>
      </c>
      <c r="E28" s="121">
        <f t="shared" si="14"/>
        <v>70636</v>
      </c>
      <c r="F28" s="122">
        <v>70636</v>
      </c>
      <c r="G28" s="122">
        <v>0</v>
      </c>
      <c r="H28" s="122">
        <v>0</v>
      </c>
      <c r="I28" s="122">
        <v>0</v>
      </c>
      <c r="J28" s="121">
        <f>SUM(K28:N28)</f>
        <v>77650</v>
      </c>
      <c r="K28" s="122">
        <v>77650</v>
      </c>
      <c r="L28" s="122">
        <v>0</v>
      </c>
      <c r="M28" s="122">
        <v>0</v>
      </c>
      <c r="N28" s="122">
        <v>0</v>
      </c>
      <c r="O28" s="121">
        <f t="shared" si="18"/>
        <v>80756</v>
      </c>
      <c r="P28" s="126">
        <v>80756</v>
      </c>
      <c r="Q28" s="122">
        <v>0</v>
      </c>
      <c r="R28" s="122">
        <v>0</v>
      </c>
      <c r="S28" s="122">
        <v>0</v>
      </c>
      <c r="T28" s="121">
        <f t="shared" si="15"/>
        <v>80407</v>
      </c>
      <c r="U28" s="122">
        <v>80407</v>
      </c>
      <c r="V28" s="122">
        <v>0</v>
      </c>
      <c r="W28" s="122">
        <v>0</v>
      </c>
      <c r="X28" s="122">
        <v>0</v>
      </c>
      <c r="Y28" s="121">
        <f t="shared" si="16"/>
        <v>83623</v>
      </c>
      <c r="Z28" s="122">
        <v>83623</v>
      </c>
      <c r="AA28" s="122">
        <v>0</v>
      </c>
      <c r="AB28" s="122">
        <v>0</v>
      </c>
      <c r="AC28" s="122">
        <v>0</v>
      </c>
      <c r="AD28" s="121">
        <f t="shared" si="17"/>
        <v>393072</v>
      </c>
      <c r="AE28" s="60"/>
      <c r="AF28" s="60"/>
      <c r="AG28" s="60"/>
      <c r="AH28" s="60"/>
    </row>
    <row r="29" spans="1:34" ht="93" customHeight="1" outlineLevel="1" x14ac:dyDescent="0.2">
      <c r="A29" s="105" t="s">
        <v>298</v>
      </c>
      <c r="B29" s="118" t="s">
        <v>325</v>
      </c>
      <c r="C29" s="119" t="s">
        <v>22</v>
      </c>
      <c r="D29" s="106">
        <v>2026</v>
      </c>
      <c r="E29" s="121">
        <f t="shared" si="14"/>
        <v>21377</v>
      </c>
      <c r="F29" s="122">
        <v>21377</v>
      </c>
      <c r="G29" s="122">
        <v>0</v>
      </c>
      <c r="H29" s="122">
        <v>0</v>
      </c>
      <c r="I29" s="122">
        <v>0</v>
      </c>
      <c r="J29" s="121">
        <f>SUM(K29:N29)</f>
        <v>0</v>
      </c>
      <c r="K29" s="122">
        <v>0</v>
      </c>
      <c r="L29" s="122">
        <v>0</v>
      </c>
      <c r="M29" s="122">
        <v>0</v>
      </c>
      <c r="N29" s="122">
        <v>0</v>
      </c>
      <c r="O29" s="121">
        <f>SUM(P29:S29)</f>
        <v>0</v>
      </c>
      <c r="P29" s="126">
        <v>0</v>
      </c>
      <c r="Q29" s="122">
        <v>0</v>
      </c>
      <c r="R29" s="122">
        <v>0</v>
      </c>
      <c r="S29" s="122">
        <v>0</v>
      </c>
      <c r="T29" s="121">
        <f>SUM(U29:X29)</f>
        <v>0</v>
      </c>
      <c r="U29" s="122">
        <v>0</v>
      </c>
      <c r="V29" s="122">
        <v>0</v>
      </c>
      <c r="W29" s="122">
        <v>0</v>
      </c>
      <c r="X29" s="122">
        <v>0</v>
      </c>
      <c r="Y29" s="121">
        <f>SUM(Z29:AC29)</f>
        <v>0</v>
      </c>
      <c r="Z29" s="122">
        <v>0</v>
      </c>
      <c r="AA29" s="122">
        <v>0</v>
      </c>
      <c r="AB29" s="122">
        <v>0</v>
      </c>
      <c r="AC29" s="122">
        <v>0</v>
      </c>
      <c r="AD29" s="121">
        <f t="shared" si="17"/>
        <v>21377</v>
      </c>
      <c r="AE29" s="60"/>
      <c r="AF29" s="60"/>
      <c r="AG29" s="60"/>
      <c r="AH29" s="60"/>
    </row>
    <row r="30" spans="1:34" ht="100.5" customHeight="1" outlineLevel="1" x14ac:dyDescent="0.2">
      <c r="A30" s="105" t="s">
        <v>324</v>
      </c>
      <c r="B30" s="118" t="s">
        <v>326</v>
      </c>
      <c r="C30" s="119" t="s">
        <v>22</v>
      </c>
      <c r="D30" s="106">
        <v>2026</v>
      </c>
      <c r="E30" s="121">
        <f t="shared" ref="E30" si="20">SUM(F30:I30)</f>
        <v>437</v>
      </c>
      <c r="F30" s="122">
        <v>437</v>
      </c>
      <c r="G30" s="122">
        <v>0</v>
      </c>
      <c r="H30" s="122">
        <v>0</v>
      </c>
      <c r="I30" s="122">
        <v>0</v>
      </c>
      <c r="J30" s="121">
        <f>SUM(K30:N30)</f>
        <v>0</v>
      </c>
      <c r="K30" s="122">
        <v>0</v>
      </c>
      <c r="L30" s="122">
        <v>0</v>
      </c>
      <c r="M30" s="122">
        <v>0</v>
      </c>
      <c r="N30" s="122">
        <v>0</v>
      </c>
      <c r="O30" s="121">
        <f>SUM(P30:S30)</f>
        <v>0</v>
      </c>
      <c r="P30" s="126">
        <v>0</v>
      </c>
      <c r="Q30" s="122">
        <v>0</v>
      </c>
      <c r="R30" s="122">
        <v>0</v>
      </c>
      <c r="S30" s="122">
        <v>0</v>
      </c>
      <c r="T30" s="121">
        <f>SUM(U30:X30)</f>
        <v>0</v>
      </c>
      <c r="U30" s="122">
        <v>0</v>
      </c>
      <c r="V30" s="122">
        <v>0</v>
      </c>
      <c r="W30" s="122">
        <v>0</v>
      </c>
      <c r="X30" s="122">
        <v>0</v>
      </c>
      <c r="Y30" s="121">
        <f>SUM(Z30:AC30)</f>
        <v>0</v>
      </c>
      <c r="Z30" s="122">
        <v>0</v>
      </c>
      <c r="AA30" s="122">
        <v>0</v>
      </c>
      <c r="AB30" s="122">
        <v>0</v>
      </c>
      <c r="AC30" s="122">
        <v>0</v>
      </c>
      <c r="AD30" s="121">
        <f t="shared" ref="AD30" si="21">E30+J30+O30+T30+Y30</f>
        <v>437</v>
      </c>
      <c r="AE30" s="60"/>
      <c r="AF30" s="60"/>
      <c r="AG30" s="60"/>
      <c r="AH30" s="60"/>
    </row>
    <row r="31" spans="1:34" ht="99" customHeight="1" outlineLevel="1" x14ac:dyDescent="0.2">
      <c r="A31" s="105" t="s">
        <v>403</v>
      </c>
      <c r="B31" s="118" t="s">
        <v>406</v>
      </c>
      <c r="C31" s="119" t="s">
        <v>22</v>
      </c>
      <c r="D31" s="106">
        <v>2026</v>
      </c>
      <c r="E31" s="121">
        <f t="shared" si="14"/>
        <v>2901</v>
      </c>
      <c r="F31" s="122">
        <v>2901</v>
      </c>
      <c r="G31" s="122">
        <v>0</v>
      </c>
      <c r="H31" s="122">
        <v>0</v>
      </c>
      <c r="I31" s="122">
        <v>0</v>
      </c>
      <c r="J31" s="121">
        <f>SUM(K31:N31)</f>
        <v>0</v>
      </c>
      <c r="K31" s="122">
        <v>0</v>
      </c>
      <c r="L31" s="122">
        <v>0</v>
      </c>
      <c r="M31" s="122">
        <v>0</v>
      </c>
      <c r="N31" s="122">
        <v>0</v>
      </c>
      <c r="O31" s="121">
        <f>SUM(P31:S31)</f>
        <v>0</v>
      </c>
      <c r="P31" s="126">
        <v>0</v>
      </c>
      <c r="Q31" s="122">
        <v>0</v>
      </c>
      <c r="R31" s="122">
        <v>0</v>
      </c>
      <c r="S31" s="122">
        <v>0</v>
      </c>
      <c r="T31" s="121">
        <f>SUM(U31:X31)</f>
        <v>0</v>
      </c>
      <c r="U31" s="122">
        <v>0</v>
      </c>
      <c r="V31" s="122">
        <v>0</v>
      </c>
      <c r="W31" s="122">
        <v>0</v>
      </c>
      <c r="X31" s="122">
        <v>0</v>
      </c>
      <c r="Y31" s="121">
        <f>SUM(Z31:AC31)</f>
        <v>0</v>
      </c>
      <c r="Z31" s="122">
        <v>0</v>
      </c>
      <c r="AA31" s="122">
        <v>0</v>
      </c>
      <c r="AB31" s="122">
        <v>0</v>
      </c>
      <c r="AC31" s="122">
        <v>0</v>
      </c>
      <c r="AD31" s="121">
        <f t="shared" si="17"/>
        <v>2901</v>
      </c>
      <c r="AE31" s="60"/>
      <c r="AF31" s="60"/>
      <c r="AG31" s="60"/>
      <c r="AH31" s="60"/>
    </row>
    <row r="32" spans="1:34" ht="46.9" customHeight="1" outlineLevel="1" x14ac:dyDescent="0.2">
      <c r="A32" s="125" t="s">
        <v>11</v>
      </c>
      <c r="B32" s="302" t="s">
        <v>180</v>
      </c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60"/>
      <c r="AF32" s="60"/>
      <c r="AG32" s="60"/>
      <c r="AH32" s="60"/>
    </row>
    <row r="33" spans="1:34" ht="119.25" customHeight="1" outlineLevel="1" x14ac:dyDescent="0.2">
      <c r="A33" s="105" t="s">
        <v>60</v>
      </c>
      <c r="B33" s="127" t="s">
        <v>327</v>
      </c>
      <c r="C33" s="103" t="s">
        <v>128</v>
      </c>
      <c r="D33" s="128" t="s">
        <v>177</v>
      </c>
      <c r="E33" s="129">
        <f>SUM(F33:I33)</f>
        <v>97206</v>
      </c>
      <c r="F33" s="126">
        <v>97206</v>
      </c>
      <c r="G33" s="126">
        <v>0</v>
      </c>
      <c r="H33" s="126">
        <v>0</v>
      </c>
      <c r="I33" s="126">
        <v>0</v>
      </c>
      <c r="J33" s="130">
        <f>SUM(K33:N33)</f>
        <v>97682</v>
      </c>
      <c r="K33" s="126">
        <v>97682</v>
      </c>
      <c r="L33" s="126">
        <v>0</v>
      </c>
      <c r="M33" s="126">
        <v>0</v>
      </c>
      <c r="N33" s="126">
        <v>0</v>
      </c>
      <c r="O33" s="130">
        <f>SUM(P33:S33)</f>
        <v>95773</v>
      </c>
      <c r="P33" s="126">
        <v>95773</v>
      </c>
      <c r="Q33" s="126">
        <v>0</v>
      </c>
      <c r="R33" s="126">
        <v>0</v>
      </c>
      <c r="S33" s="126">
        <v>0</v>
      </c>
      <c r="T33" s="130">
        <f>SUM(U33:X33)</f>
        <v>99397</v>
      </c>
      <c r="U33" s="126">
        <f>92591+6806</f>
        <v>99397</v>
      </c>
      <c r="V33" s="126">
        <v>0</v>
      </c>
      <c r="W33" s="126">
        <v>0</v>
      </c>
      <c r="X33" s="126">
        <v>0</v>
      </c>
      <c r="Y33" s="130">
        <f>SUM(Z33:AC33)</f>
        <v>103373</v>
      </c>
      <c r="Z33" s="126">
        <f>96295+7078</f>
        <v>103373</v>
      </c>
      <c r="AA33" s="126">
        <v>0</v>
      </c>
      <c r="AB33" s="126">
        <v>0</v>
      </c>
      <c r="AC33" s="126">
        <v>0</v>
      </c>
      <c r="AD33" s="130">
        <f>E33+J33+O33+T33+Y33</f>
        <v>493431</v>
      </c>
      <c r="AE33" s="60"/>
      <c r="AF33" s="60"/>
      <c r="AG33" s="60"/>
      <c r="AH33" s="60"/>
    </row>
    <row r="34" spans="1:34" ht="49.5" customHeight="1" outlineLevel="1" x14ac:dyDescent="0.2">
      <c r="A34" s="125" t="s">
        <v>136</v>
      </c>
      <c r="B34" s="302" t="s">
        <v>145</v>
      </c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60"/>
      <c r="AF34" s="60"/>
      <c r="AG34" s="60"/>
      <c r="AH34" s="60"/>
    </row>
    <row r="35" spans="1:34" ht="264" customHeight="1" outlineLevel="1" x14ac:dyDescent="0.2">
      <c r="A35" s="131" t="s">
        <v>137</v>
      </c>
      <c r="B35" s="127" t="s">
        <v>159</v>
      </c>
      <c r="C35" s="103" t="s">
        <v>143</v>
      </c>
      <c r="D35" s="124" t="s">
        <v>177</v>
      </c>
      <c r="E35" s="126" t="s">
        <v>46</v>
      </c>
      <c r="F35" s="126" t="s">
        <v>46</v>
      </c>
      <c r="G35" s="126" t="s">
        <v>46</v>
      </c>
      <c r="H35" s="126" t="s">
        <v>46</v>
      </c>
      <c r="I35" s="126" t="s">
        <v>46</v>
      </c>
      <c r="J35" s="126" t="s">
        <v>46</v>
      </c>
      <c r="K35" s="126" t="s">
        <v>46</v>
      </c>
      <c r="L35" s="126" t="s">
        <v>46</v>
      </c>
      <c r="M35" s="126" t="s">
        <v>46</v>
      </c>
      <c r="N35" s="126" t="s">
        <v>46</v>
      </c>
      <c r="O35" s="126" t="s">
        <v>46</v>
      </c>
      <c r="P35" s="126" t="s">
        <v>46</v>
      </c>
      <c r="Q35" s="126" t="s">
        <v>46</v>
      </c>
      <c r="R35" s="126" t="s">
        <v>46</v>
      </c>
      <c r="S35" s="126" t="s">
        <v>46</v>
      </c>
      <c r="T35" s="130" t="s">
        <v>46</v>
      </c>
      <c r="U35" s="130" t="s">
        <v>46</v>
      </c>
      <c r="V35" s="130" t="s">
        <v>46</v>
      </c>
      <c r="W35" s="130" t="s">
        <v>46</v>
      </c>
      <c r="X35" s="130" t="s">
        <v>46</v>
      </c>
      <c r="Y35" s="130" t="s">
        <v>46</v>
      </c>
      <c r="Z35" s="130" t="s">
        <v>46</v>
      </c>
      <c r="AA35" s="130" t="s">
        <v>46</v>
      </c>
      <c r="AB35" s="130" t="s">
        <v>46</v>
      </c>
      <c r="AC35" s="130" t="s">
        <v>46</v>
      </c>
      <c r="AD35" s="130" t="s">
        <v>46</v>
      </c>
      <c r="AE35" s="60"/>
      <c r="AF35" s="60"/>
      <c r="AG35" s="60"/>
      <c r="AH35" s="60"/>
    </row>
    <row r="36" spans="1:34" ht="138" customHeight="1" outlineLevel="1" x14ac:dyDescent="0.2">
      <c r="A36" s="131" t="s">
        <v>138</v>
      </c>
      <c r="B36" s="127" t="s">
        <v>144</v>
      </c>
      <c r="C36" s="103" t="s">
        <v>143</v>
      </c>
      <c r="D36" s="124" t="s">
        <v>177</v>
      </c>
      <c r="E36" s="126" t="s">
        <v>46</v>
      </c>
      <c r="F36" s="126" t="s">
        <v>46</v>
      </c>
      <c r="G36" s="126" t="s">
        <v>46</v>
      </c>
      <c r="H36" s="126" t="s">
        <v>46</v>
      </c>
      <c r="I36" s="126" t="s">
        <v>46</v>
      </c>
      <c r="J36" s="126" t="s">
        <v>46</v>
      </c>
      <c r="K36" s="126" t="s">
        <v>46</v>
      </c>
      <c r="L36" s="126" t="s">
        <v>46</v>
      </c>
      <c r="M36" s="126" t="s">
        <v>46</v>
      </c>
      <c r="N36" s="126" t="s">
        <v>46</v>
      </c>
      <c r="O36" s="126" t="s">
        <v>46</v>
      </c>
      <c r="P36" s="126" t="s">
        <v>46</v>
      </c>
      <c r="Q36" s="126" t="s">
        <v>46</v>
      </c>
      <c r="R36" s="126" t="s">
        <v>46</v>
      </c>
      <c r="S36" s="126" t="s">
        <v>46</v>
      </c>
      <c r="T36" s="130" t="s">
        <v>46</v>
      </c>
      <c r="U36" s="130" t="s">
        <v>46</v>
      </c>
      <c r="V36" s="130" t="s">
        <v>46</v>
      </c>
      <c r="W36" s="130" t="s">
        <v>46</v>
      </c>
      <c r="X36" s="130" t="s">
        <v>46</v>
      </c>
      <c r="Y36" s="130" t="s">
        <v>46</v>
      </c>
      <c r="Z36" s="130" t="s">
        <v>46</v>
      </c>
      <c r="AA36" s="130" t="s">
        <v>46</v>
      </c>
      <c r="AB36" s="130" t="s">
        <v>46</v>
      </c>
      <c r="AC36" s="130" t="s">
        <v>46</v>
      </c>
      <c r="AD36" s="130" t="s">
        <v>46</v>
      </c>
      <c r="AE36" s="60"/>
      <c r="AF36" s="60"/>
      <c r="AG36" s="60"/>
      <c r="AH36" s="60"/>
    </row>
    <row r="37" spans="1:34" ht="120" customHeight="1" outlineLevel="1" x14ac:dyDescent="0.2">
      <c r="A37" s="131" t="s">
        <v>139</v>
      </c>
      <c r="B37" s="127" t="s">
        <v>185</v>
      </c>
      <c r="C37" s="103" t="s">
        <v>143</v>
      </c>
      <c r="D37" s="124" t="s">
        <v>177</v>
      </c>
      <c r="E37" s="126" t="s">
        <v>46</v>
      </c>
      <c r="F37" s="126" t="s">
        <v>46</v>
      </c>
      <c r="G37" s="126" t="s">
        <v>46</v>
      </c>
      <c r="H37" s="126" t="s">
        <v>46</v>
      </c>
      <c r="I37" s="126" t="s">
        <v>46</v>
      </c>
      <c r="J37" s="126" t="s">
        <v>46</v>
      </c>
      <c r="K37" s="126" t="s">
        <v>46</v>
      </c>
      <c r="L37" s="126" t="s">
        <v>46</v>
      </c>
      <c r="M37" s="126" t="s">
        <v>46</v>
      </c>
      <c r="N37" s="126" t="s">
        <v>46</v>
      </c>
      <c r="O37" s="126" t="s">
        <v>46</v>
      </c>
      <c r="P37" s="126" t="s">
        <v>46</v>
      </c>
      <c r="Q37" s="126" t="s">
        <v>46</v>
      </c>
      <c r="R37" s="126" t="s">
        <v>46</v>
      </c>
      <c r="S37" s="126" t="s">
        <v>46</v>
      </c>
      <c r="T37" s="130" t="s">
        <v>46</v>
      </c>
      <c r="U37" s="130" t="s">
        <v>46</v>
      </c>
      <c r="V37" s="130" t="s">
        <v>46</v>
      </c>
      <c r="W37" s="130" t="s">
        <v>46</v>
      </c>
      <c r="X37" s="130" t="s">
        <v>46</v>
      </c>
      <c r="Y37" s="130" t="s">
        <v>46</v>
      </c>
      <c r="Z37" s="130" t="s">
        <v>46</v>
      </c>
      <c r="AA37" s="130" t="s">
        <v>46</v>
      </c>
      <c r="AB37" s="130" t="s">
        <v>46</v>
      </c>
      <c r="AC37" s="130" t="s">
        <v>46</v>
      </c>
      <c r="AD37" s="130" t="s">
        <v>46</v>
      </c>
      <c r="AE37" s="60"/>
      <c r="AF37" s="60"/>
      <c r="AG37" s="60"/>
      <c r="AH37" s="60"/>
    </row>
    <row r="38" spans="1:34" ht="76.5" customHeight="1" outlineLevel="1" x14ac:dyDescent="0.2">
      <c r="A38" s="131" t="s">
        <v>140</v>
      </c>
      <c r="B38" s="127" t="s">
        <v>186</v>
      </c>
      <c r="C38" s="103" t="s">
        <v>143</v>
      </c>
      <c r="D38" s="124" t="s">
        <v>177</v>
      </c>
      <c r="E38" s="126" t="s">
        <v>46</v>
      </c>
      <c r="F38" s="126" t="s">
        <v>46</v>
      </c>
      <c r="G38" s="126" t="s">
        <v>46</v>
      </c>
      <c r="H38" s="126" t="s">
        <v>46</v>
      </c>
      <c r="I38" s="126" t="s">
        <v>46</v>
      </c>
      <c r="J38" s="126" t="s">
        <v>46</v>
      </c>
      <c r="K38" s="126" t="s">
        <v>46</v>
      </c>
      <c r="L38" s="126" t="s">
        <v>46</v>
      </c>
      <c r="M38" s="126" t="s">
        <v>46</v>
      </c>
      <c r="N38" s="126" t="s">
        <v>46</v>
      </c>
      <c r="O38" s="126" t="s">
        <v>46</v>
      </c>
      <c r="P38" s="126" t="s">
        <v>46</v>
      </c>
      <c r="Q38" s="126" t="s">
        <v>46</v>
      </c>
      <c r="R38" s="126" t="s">
        <v>46</v>
      </c>
      <c r="S38" s="126" t="s">
        <v>46</v>
      </c>
      <c r="T38" s="130" t="s">
        <v>46</v>
      </c>
      <c r="U38" s="130" t="s">
        <v>46</v>
      </c>
      <c r="V38" s="130" t="s">
        <v>46</v>
      </c>
      <c r="W38" s="130" t="s">
        <v>46</v>
      </c>
      <c r="X38" s="130" t="s">
        <v>46</v>
      </c>
      <c r="Y38" s="130" t="s">
        <v>46</v>
      </c>
      <c r="Z38" s="130" t="s">
        <v>46</v>
      </c>
      <c r="AA38" s="130" t="s">
        <v>46</v>
      </c>
      <c r="AB38" s="130" t="s">
        <v>46</v>
      </c>
      <c r="AC38" s="130" t="s">
        <v>46</v>
      </c>
      <c r="AD38" s="130" t="s">
        <v>46</v>
      </c>
      <c r="AE38" s="60"/>
      <c r="AF38" s="60"/>
      <c r="AG38" s="60"/>
      <c r="AH38" s="60"/>
    </row>
    <row r="39" spans="1:34" ht="74.25" customHeight="1" outlineLevel="1" x14ac:dyDescent="0.2">
      <c r="A39" s="131" t="s">
        <v>141</v>
      </c>
      <c r="B39" s="127" t="s">
        <v>149</v>
      </c>
      <c r="C39" s="103" t="s">
        <v>143</v>
      </c>
      <c r="D39" s="124" t="s">
        <v>177</v>
      </c>
      <c r="E39" s="126" t="s">
        <v>46</v>
      </c>
      <c r="F39" s="126" t="s">
        <v>46</v>
      </c>
      <c r="G39" s="126" t="s">
        <v>46</v>
      </c>
      <c r="H39" s="126" t="s">
        <v>46</v>
      </c>
      <c r="I39" s="126" t="s">
        <v>46</v>
      </c>
      <c r="J39" s="126" t="s">
        <v>46</v>
      </c>
      <c r="K39" s="126" t="s">
        <v>46</v>
      </c>
      <c r="L39" s="126" t="s">
        <v>46</v>
      </c>
      <c r="M39" s="126" t="s">
        <v>46</v>
      </c>
      <c r="N39" s="126" t="s">
        <v>46</v>
      </c>
      <c r="O39" s="126" t="s">
        <v>46</v>
      </c>
      <c r="P39" s="126" t="s">
        <v>46</v>
      </c>
      <c r="Q39" s="126" t="s">
        <v>46</v>
      </c>
      <c r="R39" s="126" t="s">
        <v>46</v>
      </c>
      <c r="S39" s="126" t="s">
        <v>46</v>
      </c>
      <c r="T39" s="130" t="s">
        <v>46</v>
      </c>
      <c r="U39" s="130" t="s">
        <v>46</v>
      </c>
      <c r="V39" s="130" t="s">
        <v>46</v>
      </c>
      <c r="W39" s="130" t="s">
        <v>46</v>
      </c>
      <c r="X39" s="130" t="s">
        <v>46</v>
      </c>
      <c r="Y39" s="130" t="s">
        <v>46</v>
      </c>
      <c r="Z39" s="130" t="s">
        <v>46</v>
      </c>
      <c r="AA39" s="130" t="s">
        <v>46</v>
      </c>
      <c r="AB39" s="130" t="s">
        <v>46</v>
      </c>
      <c r="AC39" s="130" t="s">
        <v>46</v>
      </c>
      <c r="AD39" s="130" t="s">
        <v>46</v>
      </c>
      <c r="AE39" s="60"/>
      <c r="AF39" s="60"/>
      <c r="AG39" s="60"/>
      <c r="AH39" s="60"/>
    </row>
    <row r="40" spans="1:34" ht="112.5" customHeight="1" outlineLevel="1" x14ac:dyDescent="0.2">
      <c r="A40" s="131" t="s">
        <v>142</v>
      </c>
      <c r="B40" s="132" t="s">
        <v>153</v>
      </c>
      <c r="C40" s="133" t="s">
        <v>181</v>
      </c>
      <c r="D40" s="124" t="s">
        <v>177</v>
      </c>
      <c r="E40" s="126" t="s">
        <v>46</v>
      </c>
      <c r="F40" s="126" t="s">
        <v>46</v>
      </c>
      <c r="G40" s="126" t="s">
        <v>46</v>
      </c>
      <c r="H40" s="126" t="s">
        <v>46</v>
      </c>
      <c r="I40" s="126" t="s">
        <v>46</v>
      </c>
      <c r="J40" s="126" t="s">
        <v>46</v>
      </c>
      <c r="K40" s="126" t="s">
        <v>46</v>
      </c>
      <c r="L40" s="126" t="s">
        <v>46</v>
      </c>
      <c r="M40" s="126" t="s">
        <v>46</v>
      </c>
      <c r="N40" s="126" t="s">
        <v>46</v>
      </c>
      <c r="O40" s="126" t="s">
        <v>46</v>
      </c>
      <c r="P40" s="126" t="s">
        <v>46</v>
      </c>
      <c r="Q40" s="126" t="s">
        <v>46</v>
      </c>
      <c r="R40" s="126" t="s">
        <v>46</v>
      </c>
      <c r="S40" s="126" t="s">
        <v>46</v>
      </c>
      <c r="T40" s="130" t="s">
        <v>46</v>
      </c>
      <c r="U40" s="130" t="s">
        <v>46</v>
      </c>
      <c r="V40" s="130" t="s">
        <v>46</v>
      </c>
      <c r="W40" s="130" t="s">
        <v>46</v>
      </c>
      <c r="X40" s="130" t="s">
        <v>46</v>
      </c>
      <c r="Y40" s="130" t="s">
        <v>46</v>
      </c>
      <c r="Z40" s="130" t="s">
        <v>46</v>
      </c>
      <c r="AA40" s="130" t="s">
        <v>46</v>
      </c>
      <c r="AB40" s="130" t="s">
        <v>46</v>
      </c>
      <c r="AC40" s="130" t="s">
        <v>46</v>
      </c>
      <c r="AD40" s="130" t="s">
        <v>46</v>
      </c>
      <c r="AE40" s="60"/>
      <c r="AF40" s="60"/>
      <c r="AG40" s="60"/>
      <c r="AH40" s="60"/>
    </row>
    <row r="41" spans="1:34" ht="114.75" customHeight="1" outlineLevel="1" x14ac:dyDescent="0.2">
      <c r="A41" s="131" t="s">
        <v>151</v>
      </c>
      <c r="B41" s="132" t="s">
        <v>163</v>
      </c>
      <c r="C41" s="103" t="s">
        <v>311</v>
      </c>
      <c r="D41" s="124" t="s">
        <v>177</v>
      </c>
      <c r="E41" s="126" t="s">
        <v>46</v>
      </c>
      <c r="F41" s="126" t="s">
        <v>46</v>
      </c>
      <c r="G41" s="126" t="s">
        <v>46</v>
      </c>
      <c r="H41" s="126" t="s">
        <v>46</v>
      </c>
      <c r="I41" s="126" t="s">
        <v>46</v>
      </c>
      <c r="J41" s="126" t="s">
        <v>46</v>
      </c>
      <c r="K41" s="126" t="s">
        <v>46</v>
      </c>
      <c r="L41" s="126" t="s">
        <v>46</v>
      </c>
      <c r="M41" s="126" t="s">
        <v>46</v>
      </c>
      <c r="N41" s="126" t="s">
        <v>46</v>
      </c>
      <c r="O41" s="126" t="s">
        <v>46</v>
      </c>
      <c r="P41" s="126" t="s">
        <v>46</v>
      </c>
      <c r="Q41" s="126" t="s">
        <v>46</v>
      </c>
      <c r="R41" s="126" t="s">
        <v>46</v>
      </c>
      <c r="S41" s="126" t="s">
        <v>46</v>
      </c>
      <c r="T41" s="126" t="s">
        <v>46</v>
      </c>
      <c r="U41" s="126" t="s">
        <v>46</v>
      </c>
      <c r="V41" s="126" t="s">
        <v>46</v>
      </c>
      <c r="W41" s="126" t="s">
        <v>46</v>
      </c>
      <c r="X41" s="126" t="s">
        <v>46</v>
      </c>
      <c r="Y41" s="126" t="s">
        <v>46</v>
      </c>
      <c r="Z41" s="126" t="s">
        <v>46</v>
      </c>
      <c r="AA41" s="126" t="s">
        <v>46</v>
      </c>
      <c r="AB41" s="126" t="s">
        <v>46</v>
      </c>
      <c r="AC41" s="126" t="s">
        <v>46</v>
      </c>
      <c r="AD41" s="130" t="s">
        <v>46</v>
      </c>
      <c r="AE41" s="60"/>
      <c r="AF41" s="60"/>
      <c r="AG41" s="60"/>
      <c r="AH41" s="60"/>
    </row>
    <row r="42" spans="1:34" ht="50.25" customHeight="1" outlineLevel="1" x14ac:dyDescent="0.2">
      <c r="A42" s="306" t="s">
        <v>182</v>
      </c>
      <c r="B42" s="307"/>
      <c r="C42" s="308"/>
      <c r="D42" s="134"/>
      <c r="E42" s="135">
        <f>SUM(F42:I42)</f>
        <v>355777</v>
      </c>
      <c r="F42" s="111">
        <f>SUM(F13:F33)</f>
        <v>355777</v>
      </c>
      <c r="G42" s="111">
        <f>SUM(G13:G33)</f>
        <v>0</v>
      </c>
      <c r="H42" s="111">
        <f>SUM(H13:H33)</f>
        <v>0</v>
      </c>
      <c r="I42" s="111">
        <f>SUM(I13:I33)</f>
        <v>0</v>
      </c>
      <c r="J42" s="113">
        <f>SUM(K42:N42)</f>
        <v>311611</v>
      </c>
      <c r="K42" s="111">
        <f>SUM(K13:K33)</f>
        <v>311611</v>
      </c>
      <c r="L42" s="111">
        <f>SUM(L13:L33)</f>
        <v>0</v>
      </c>
      <c r="M42" s="111">
        <f>SUM(M13:M33)</f>
        <v>0</v>
      </c>
      <c r="N42" s="111">
        <f>SUM(N13:N33)</f>
        <v>0</v>
      </c>
      <c r="O42" s="113">
        <f>SUM(P42:S42)</f>
        <v>282026</v>
      </c>
      <c r="P42" s="111">
        <f>SUM(P13:P33)</f>
        <v>282026</v>
      </c>
      <c r="Q42" s="111">
        <f>SUM(Q13:Q33)</f>
        <v>0</v>
      </c>
      <c r="R42" s="111">
        <f>SUM(R13:R33)</f>
        <v>0</v>
      </c>
      <c r="S42" s="111">
        <f>SUM(S13:S33)</f>
        <v>0</v>
      </c>
      <c r="T42" s="113">
        <f t="shared" ref="T42" si="22">SUM(U42:X42)</f>
        <v>236847</v>
      </c>
      <c r="U42" s="111">
        <f>SUM(U13:U33)</f>
        <v>236847</v>
      </c>
      <c r="V42" s="111">
        <v>0</v>
      </c>
      <c r="W42" s="111">
        <v>0</v>
      </c>
      <c r="X42" s="111">
        <v>0</v>
      </c>
      <c r="Y42" s="113">
        <f>SUM(Z42:AC42)</f>
        <v>246373</v>
      </c>
      <c r="Z42" s="111">
        <f>SUM(Z13:Z33)</f>
        <v>246373</v>
      </c>
      <c r="AA42" s="111">
        <v>0</v>
      </c>
      <c r="AB42" s="111">
        <v>0</v>
      </c>
      <c r="AC42" s="111">
        <v>0</v>
      </c>
      <c r="AD42" s="113">
        <f>E42+J42+O42+T42+Y42</f>
        <v>1432634</v>
      </c>
      <c r="AE42" s="64">
        <f>F42+K42+P42+U42+Z42</f>
        <v>1432634</v>
      </c>
      <c r="AF42" s="64">
        <f>G42+L42+Q42+V42+AA42</f>
        <v>0</v>
      </c>
      <c r="AG42" s="64">
        <f>H42+M42+R42+W42+AB42</f>
        <v>0</v>
      </c>
      <c r="AH42" s="64">
        <f>I42+N42+S42+X42+AC42</f>
        <v>0</v>
      </c>
    </row>
    <row r="43" spans="1:34" s="6" customFormat="1" ht="55.15" customHeight="1" x14ac:dyDescent="0.2">
      <c r="A43" s="117" t="s">
        <v>99</v>
      </c>
      <c r="B43" s="299" t="s">
        <v>335</v>
      </c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12"/>
      <c r="AE43" s="85"/>
      <c r="AF43" s="85"/>
      <c r="AG43" s="85"/>
      <c r="AH43" s="85"/>
    </row>
    <row r="44" spans="1:34" ht="42" customHeight="1" x14ac:dyDescent="0.2">
      <c r="A44" s="304" t="s">
        <v>212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60"/>
      <c r="AF44" s="60"/>
      <c r="AG44" s="60"/>
      <c r="AH44" s="60"/>
    </row>
    <row r="45" spans="1:34" s="10" customFormat="1" ht="43.15" customHeight="1" outlineLevel="1" x14ac:dyDescent="0.2">
      <c r="A45" s="313" t="s">
        <v>336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60"/>
      <c r="AF45" s="60"/>
      <c r="AG45" s="60"/>
      <c r="AH45" s="60"/>
    </row>
    <row r="46" spans="1:34" s="10" customFormat="1" ht="54" customHeight="1" outlineLevel="1" x14ac:dyDescent="0.2">
      <c r="A46" s="117" t="s">
        <v>2</v>
      </c>
      <c r="B46" s="309" t="s">
        <v>337</v>
      </c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1"/>
      <c r="AE46" s="60"/>
      <c r="AF46" s="60"/>
      <c r="AG46" s="60"/>
      <c r="AH46" s="60"/>
    </row>
    <row r="47" spans="1:34" s="10" customFormat="1" ht="122.25" customHeight="1" outlineLevel="1" x14ac:dyDescent="0.2">
      <c r="A47" s="105" t="s">
        <v>5</v>
      </c>
      <c r="B47" s="127" t="s">
        <v>238</v>
      </c>
      <c r="C47" s="103" t="s">
        <v>24</v>
      </c>
      <c r="D47" s="136">
        <v>2029</v>
      </c>
      <c r="E47" s="137">
        <f>SUM(F47:I47)</f>
        <v>0</v>
      </c>
      <c r="F47" s="138">
        <f>'5. Перечень МРАД'!G9</f>
        <v>0</v>
      </c>
      <c r="G47" s="138">
        <f>'5. Перечень МРАД'!H9</f>
        <v>0</v>
      </c>
      <c r="H47" s="139">
        <v>0</v>
      </c>
      <c r="I47" s="139">
        <v>0</v>
      </c>
      <c r="J47" s="137">
        <f>SUM(K47:N47)</f>
        <v>0</v>
      </c>
      <c r="K47" s="138">
        <f>'5. Перечень МРАД'!J9</f>
        <v>0</v>
      </c>
      <c r="L47" s="138">
        <f>'5. Перечень МРАД'!K9</f>
        <v>0</v>
      </c>
      <c r="M47" s="139">
        <v>0</v>
      </c>
      <c r="N47" s="139">
        <v>0</v>
      </c>
      <c r="O47" s="137">
        <f>SUM(P47:S47)</f>
        <v>0</v>
      </c>
      <c r="P47" s="138">
        <f>'5. Перечень МРАД'!M9</f>
        <v>0</v>
      </c>
      <c r="Q47" s="138">
        <f>'5. Перечень МРАД'!N9</f>
        <v>0</v>
      </c>
      <c r="R47" s="139">
        <v>0</v>
      </c>
      <c r="S47" s="139">
        <v>0</v>
      </c>
      <c r="T47" s="137">
        <f>SUM(U47:X47)</f>
        <v>37397</v>
      </c>
      <c r="U47" s="138">
        <f>'5. Перечень МРАД'!P9</f>
        <v>37397</v>
      </c>
      <c r="V47" s="138">
        <f>'5. Перечень МРАД'!Q9</f>
        <v>0</v>
      </c>
      <c r="W47" s="139">
        <v>0</v>
      </c>
      <c r="X47" s="139">
        <v>0</v>
      </c>
      <c r="Y47" s="137">
        <f>SUM(Z47:AC47)</f>
        <v>0</v>
      </c>
      <c r="Z47" s="138">
        <f>'5. Перечень МРАД'!S9</f>
        <v>0</v>
      </c>
      <c r="AA47" s="138">
        <f>'5. Перечень МРАД'!T9</f>
        <v>0</v>
      </c>
      <c r="AB47" s="139">
        <v>0</v>
      </c>
      <c r="AC47" s="139">
        <v>0</v>
      </c>
      <c r="AD47" s="130">
        <f>E47+J47+O47+T47+Y47</f>
        <v>37397</v>
      </c>
      <c r="AE47" s="60"/>
      <c r="AF47" s="60"/>
      <c r="AG47" s="60"/>
      <c r="AH47" s="60"/>
    </row>
    <row r="48" spans="1:34" ht="109.5" customHeight="1" outlineLevel="1" x14ac:dyDescent="0.2">
      <c r="A48" s="105" t="s">
        <v>16</v>
      </c>
      <c r="B48" s="127" t="s">
        <v>237</v>
      </c>
      <c r="C48" s="103" t="s">
        <v>24</v>
      </c>
      <c r="D48" s="136">
        <v>2029</v>
      </c>
      <c r="E48" s="137">
        <f>SUM(F48:I48)</f>
        <v>0</v>
      </c>
      <c r="F48" s="140">
        <f>'5. Перечень МРАД'!G14</f>
        <v>0</v>
      </c>
      <c r="G48" s="140">
        <f>'5. Перечень МРАД'!H14</f>
        <v>0</v>
      </c>
      <c r="H48" s="140">
        <v>0</v>
      </c>
      <c r="I48" s="138">
        <v>0</v>
      </c>
      <c r="J48" s="137">
        <f>SUM(K48:N48)</f>
        <v>0</v>
      </c>
      <c r="K48" s="140">
        <f>'5. Перечень МРАД'!J14</f>
        <v>0</v>
      </c>
      <c r="L48" s="140">
        <f>'5. Перечень МРАД'!K14</f>
        <v>0</v>
      </c>
      <c r="M48" s="140">
        <v>0</v>
      </c>
      <c r="N48" s="138">
        <v>0</v>
      </c>
      <c r="O48" s="137">
        <f>SUM(P48:S48)</f>
        <v>0</v>
      </c>
      <c r="P48" s="140">
        <f>'5. Перечень МРАД'!M14</f>
        <v>0</v>
      </c>
      <c r="Q48" s="140">
        <f>'5. Перечень МРАД'!N14</f>
        <v>0</v>
      </c>
      <c r="R48" s="140">
        <v>0</v>
      </c>
      <c r="S48" s="138">
        <v>0</v>
      </c>
      <c r="T48" s="137">
        <f>SUM(U48:X48)</f>
        <v>3831</v>
      </c>
      <c r="U48" s="126">
        <f>'5. Перечень МРАД'!P14</f>
        <v>3831</v>
      </c>
      <c r="V48" s="126">
        <f>'5. Перечень МРАД'!Q14</f>
        <v>0</v>
      </c>
      <c r="W48" s="126">
        <v>0</v>
      </c>
      <c r="X48" s="126">
        <v>0</v>
      </c>
      <c r="Y48" s="137">
        <f>SUM(Z48:AC48)</f>
        <v>0</v>
      </c>
      <c r="Z48" s="126">
        <f>'5. Перечень МРАД'!S14</f>
        <v>0</v>
      </c>
      <c r="AA48" s="126">
        <f>'5. Перечень МРАД'!T14</f>
        <v>0</v>
      </c>
      <c r="AB48" s="126">
        <v>0</v>
      </c>
      <c r="AC48" s="126">
        <v>0</v>
      </c>
      <c r="AD48" s="130">
        <f>E48+J48+O48+T48+Y48</f>
        <v>3831</v>
      </c>
      <c r="AE48" s="60"/>
      <c r="AF48" s="60"/>
      <c r="AG48" s="60"/>
      <c r="AH48" s="60"/>
    </row>
    <row r="49" spans="1:34" ht="97.5" customHeight="1" outlineLevel="1" x14ac:dyDescent="0.2">
      <c r="A49" s="141" t="s">
        <v>304</v>
      </c>
      <c r="B49" s="142" t="s">
        <v>312</v>
      </c>
      <c r="C49" s="103" t="s">
        <v>24</v>
      </c>
      <c r="D49" s="136" t="s">
        <v>442</v>
      </c>
      <c r="E49" s="137">
        <f>SUM(F49:I49)</f>
        <v>0</v>
      </c>
      <c r="F49" s="140">
        <f>'5. Перечень МРАД'!G16</f>
        <v>0</v>
      </c>
      <c r="G49" s="140">
        <f>'5. Перечень МРАД'!H16</f>
        <v>0</v>
      </c>
      <c r="H49" s="140">
        <v>0</v>
      </c>
      <c r="I49" s="138">
        <v>0</v>
      </c>
      <c r="J49" s="137">
        <f>SUM(K49:N49)</f>
        <v>15687</v>
      </c>
      <c r="K49" s="140">
        <f>'5. Перечень МРАД'!J16</f>
        <v>15687</v>
      </c>
      <c r="L49" s="140">
        <f>'5. Перечень МРАД'!K16</f>
        <v>0</v>
      </c>
      <c r="M49" s="140">
        <v>0</v>
      </c>
      <c r="N49" s="138">
        <v>0</v>
      </c>
      <c r="O49" s="137">
        <f>SUM(P49:S49)</f>
        <v>33849</v>
      </c>
      <c r="P49" s="140">
        <f>'5. Перечень МРАД'!M16</f>
        <v>33849</v>
      </c>
      <c r="Q49" s="140">
        <f>'5. Перечень МРАД'!N16</f>
        <v>0</v>
      </c>
      <c r="R49" s="140">
        <v>0</v>
      </c>
      <c r="S49" s="138">
        <v>0</v>
      </c>
      <c r="T49" s="137">
        <f>SUM(U49:X49)</f>
        <v>0</v>
      </c>
      <c r="U49" s="126">
        <f>'5. Перечень МРАД'!P16</f>
        <v>0</v>
      </c>
      <c r="V49" s="126">
        <f>'5. Перечень МРАД'!Q16</f>
        <v>0</v>
      </c>
      <c r="W49" s="126">
        <v>0</v>
      </c>
      <c r="X49" s="126">
        <v>0</v>
      </c>
      <c r="Y49" s="137">
        <f>SUM(Z49:AC49)</f>
        <v>0</v>
      </c>
      <c r="Z49" s="126">
        <f>'5. Перечень МРАД'!S16</f>
        <v>0</v>
      </c>
      <c r="AA49" s="126">
        <f>'5. Перечень МРАД'!T16</f>
        <v>0</v>
      </c>
      <c r="AB49" s="126">
        <v>0</v>
      </c>
      <c r="AC49" s="126">
        <v>0</v>
      </c>
      <c r="AD49" s="130">
        <f>E49+J49+O49+T49+Y49</f>
        <v>49536</v>
      </c>
      <c r="AE49" s="60"/>
      <c r="AF49" s="60"/>
      <c r="AG49" s="60"/>
      <c r="AH49" s="60"/>
    </row>
    <row r="50" spans="1:34" ht="97.5" customHeight="1" outlineLevel="1" x14ac:dyDescent="0.2">
      <c r="A50" s="114" t="s">
        <v>411</v>
      </c>
      <c r="B50" s="142" t="s">
        <v>412</v>
      </c>
      <c r="C50" s="103" t="s">
        <v>24</v>
      </c>
      <c r="D50" s="136">
        <v>2026</v>
      </c>
      <c r="E50" s="137">
        <f>SUM(F50:I50)</f>
        <v>11660</v>
      </c>
      <c r="F50" s="140">
        <f>'5. Перечень МРАД'!G20</f>
        <v>11660</v>
      </c>
      <c r="G50" s="140">
        <f>'5. Перечень МРАД'!H20</f>
        <v>0</v>
      </c>
      <c r="H50" s="140">
        <v>0</v>
      </c>
      <c r="I50" s="138">
        <v>0</v>
      </c>
      <c r="J50" s="137">
        <f>SUM(K50:N50)</f>
        <v>0</v>
      </c>
      <c r="K50" s="140">
        <f>'5. Перечень МРАД'!L20</f>
        <v>0</v>
      </c>
      <c r="L50" s="140">
        <f>'5. Перечень МРАД'!M20</f>
        <v>0</v>
      </c>
      <c r="M50" s="140">
        <v>0</v>
      </c>
      <c r="N50" s="138">
        <v>0</v>
      </c>
      <c r="O50" s="137">
        <f>SUM(P50:S50)</f>
        <v>0</v>
      </c>
      <c r="P50" s="140">
        <f>'5. Перечень МРАД'!Q20</f>
        <v>0</v>
      </c>
      <c r="Q50" s="140">
        <f>'5. Перечень МРАД'!R20</f>
        <v>0</v>
      </c>
      <c r="R50" s="140">
        <v>0</v>
      </c>
      <c r="S50" s="138">
        <v>0</v>
      </c>
      <c r="T50" s="137">
        <f>SUM(U50:X50)</f>
        <v>0</v>
      </c>
      <c r="U50" s="140">
        <f>'5. Перечень МРАД'!V20</f>
        <v>0</v>
      </c>
      <c r="V50" s="140">
        <f>'5. Перечень МРАД'!W20</f>
        <v>0</v>
      </c>
      <c r="W50" s="126">
        <v>0</v>
      </c>
      <c r="X50" s="126">
        <v>0</v>
      </c>
      <c r="Y50" s="137">
        <f>SUM(Z50:AC50)</f>
        <v>0</v>
      </c>
      <c r="Z50" s="140">
        <f>'5. Перечень МРАД'!AA20</f>
        <v>0</v>
      </c>
      <c r="AA50" s="140">
        <f>'5. Перечень МРАД'!AB20</f>
        <v>0</v>
      </c>
      <c r="AB50" s="126">
        <v>0</v>
      </c>
      <c r="AC50" s="126">
        <v>0</v>
      </c>
      <c r="AD50" s="130">
        <f>E50+J50+O50+T50+Y50</f>
        <v>11660</v>
      </c>
      <c r="AE50" s="60"/>
      <c r="AF50" s="60"/>
      <c r="AG50" s="60"/>
      <c r="AH50" s="60"/>
    </row>
    <row r="51" spans="1:34" ht="49.5" customHeight="1" outlineLevel="1" x14ac:dyDescent="0.2">
      <c r="A51" s="143" t="s">
        <v>213</v>
      </c>
      <c r="B51" s="309" t="s">
        <v>338</v>
      </c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1"/>
      <c r="AE51" s="60"/>
      <c r="AF51" s="60"/>
      <c r="AG51" s="60"/>
      <c r="AH51" s="60"/>
    </row>
    <row r="52" spans="1:34" ht="142.5" customHeight="1" outlineLevel="1" x14ac:dyDescent="0.2">
      <c r="A52" s="105" t="s">
        <v>214</v>
      </c>
      <c r="B52" s="144" t="s">
        <v>220</v>
      </c>
      <c r="C52" s="133" t="s">
        <v>24</v>
      </c>
      <c r="D52" s="136" t="s">
        <v>436</v>
      </c>
      <c r="E52" s="130">
        <f t="shared" ref="E52:E57" si="23">SUM(F52:I52)</f>
        <v>3211</v>
      </c>
      <c r="F52" s="140">
        <f>'5. Перечень МРАД'!G24</f>
        <v>3211</v>
      </c>
      <c r="G52" s="140">
        <f>'5. Перечень МРАД'!H24</f>
        <v>0</v>
      </c>
      <c r="H52" s="140">
        <v>0</v>
      </c>
      <c r="I52" s="138">
        <v>0</v>
      </c>
      <c r="J52" s="130">
        <f t="shared" ref="J52:J56" si="24">SUM(K52:N52)</f>
        <v>0</v>
      </c>
      <c r="K52" s="140">
        <f>'5. Перечень МРАД'!J24</f>
        <v>0</v>
      </c>
      <c r="L52" s="140">
        <f>'5. Перечень МРАД'!K24</f>
        <v>0</v>
      </c>
      <c r="M52" s="140">
        <v>0</v>
      </c>
      <c r="N52" s="138">
        <v>0</v>
      </c>
      <c r="O52" s="130">
        <f t="shared" ref="O52:O56" si="25">SUM(P52:S52)</f>
        <v>0</v>
      </c>
      <c r="P52" s="140">
        <f>'5. Перечень МРАД'!M24</f>
        <v>0</v>
      </c>
      <c r="Q52" s="140">
        <f>'5. Перечень МРАД'!N24</f>
        <v>0</v>
      </c>
      <c r="R52" s="140">
        <v>0</v>
      </c>
      <c r="S52" s="138">
        <v>0</v>
      </c>
      <c r="T52" s="130">
        <f t="shared" ref="T52:T56" si="26">SUM(U52:X52)</f>
        <v>536947</v>
      </c>
      <c r="U52" s="126">
        <f>'5. Перечень МРАД'!P24</f>
        <v>30950</v>
      </c>
      <c r="V52" s="126">
        <f>'5. Перечень МРАД'!Q24</f>
        <v>505997</v>
      </c>
      <c r="W52" s="126">
        <v>0</v>
      </c>
      <c r="X52" s="126">
        <v>0</v>
      </c>
      <c r="Y52" s="130">
        <f t="shared" ref="Y52:Y56" si="27">SUM(Z52:AC52)</f>
        <v>515262</v>
      </c>
      <c r="Z52" s="126">
        <f>'5. Перечень МРАД'!S24</f>
        <v>37099</v>
      </c>
      <c r="AA52" s="126">
        <f>'5. Перечень МРАД'!T24</f>
        <v>478163</v>
      </c>
      <c r="AB52" s="126">
        <v>0</v>
      </c>
      <c r="AC52" s="126">
        <v>0</v>
      </c>
      <c r="AD52" s="130">
        <f t="shared" ref="AD52:AD57" si="28">E52+J52+O52+T52+Y52</f>
        <v>1055420</v>
      </c>
      <c r="AE52" s="60"/>
      <c r="AF52" s="60"/>
      <c r="AG52" s="60"/>
      <c r="AH52" s="60"/>
    </row>
    <row r="53" spans="1:34" ht="134.25" customHeight="1" outlineLevel="1" x14ac:dyDescent="0.2">
      <c r="A53" s="105" t="s">
        <v>221</v>
      </c>
      <c r="B53" s="145" t="s">
        <v>225</v>
      </c>
      <c r="C53" s="133" t="s">
        <v>24</v>
      </c>
      <c r="D53" s="136" t="s">
        <v>440</v>
      </c>
      <c r="E53" s="130">
        <f t="shared" si="23"/>
        <v>68</v>
      </c>
      <c r="F53" s="140">
        <f>'5. Перечень МРАД'!G31</f>
        <v>68</v>
      </c>
      <c r="G53" s="140">
        <f xml:space="preserve"> '5. Перечень МРАД'!H31</f>
        <v>0</v>
      </c>
      <c r="H53" s="140">
        <v>0</v>
      </c>
      <c r="I53" s="138">
        <v>0</v>
      </c>
      <c r="J53" s="130">
        <f t="shared" si="24"/>
        <v>0</v>
      </c>
      <c r="K53" s="140">
        <f>'5. Перечень МРАД'!J31</f>
        <v>0</v>
      </c>
      <c r="L53" s="140">
        <f>'5. Перечень МРАД'!K31</f>
        <v>0</v>
      </c>
      <c r="M53" s="140">
        <v>0</v>
      </c>
      <c r="N53" s="138">
        <v>0</v>
      </c>
      <c r="O53" s="130">
        <f t="shared" si="25"/>
        <v>0</v>
      </c>
      <c r="P53" s="140">
        <f>'5. Перечень МРАД'!M31</f>
        <v>0</v>
      </c>
      <c r="Q53" s="140">
        <f>'5. Перечень МРАД'!N31</f>
        <v>0</v>
      </c>
      <c r="R53" s="140">
        <v>0</v>
      </c>
      <c r="S53" s="138">
        <v>0</v>
      </c>
      <c r="T53" s="130">
        <f t="shared" si="26"/>
        <v>11018</v>
      </c>
      <c r="U53" s="126">
        <f>'5. Перечень МРАД'!P31</f>
        <v>11018</v>
      </c>
      <c r="V53" s="126">
        <f>'5. Перечень МРАД'!Q31</f>
        <v>0</v>
      </c>
      <c r="W53" s="126">
        <v>0</v>
      </c>
      <c r="X53" s="126">
        <v>0</v>
      </c>
      <c r="Y53" s="130">
        <f t="shared" si="27"/>
        <v>9945</v>
      </c>
      <c r="Z53" s="126">
        <f>'5. Перечень МРАД'!S31</f>
        <v>9945</v>
      </c>
      <c r="AA53" s="126">
        <f>'5. Перечень МРАД'!T31</f>
        <v>0</v>
      </c>
      <c r="AB53" s="126">
        <v>0</v>
      </c>
      <c r="AC53" s="126">
        <v>0</v>
      </c>
      <c r="AD53" s="130">
        <f t="shared" si="28"/>
        <v>21031</v>
      </c>
      <c r="AE53" s="60"/>
      <c r="AF53" s="60"/>
      <c r="AG53" s="60"/>
      <c r="AH53" s="60"/>
    </row>
    <row r="54" spans="1:34" ht="138" customHeight="1" outlineLevel="1" x14ac:dyDescent="0.2">
      <c r="A54" s="105" t="s">
        <v>329</v>
      </c>
      <c r="B54" s="146" t="s">
        <v>227</v>
      </c>
      <c r="C54" s="133" t="s">
        <v>24</v>
      </c>
      <c r="D54" s="136">
        <v>2029</v>
      </c>
      <c r="E54" s="130">
        <f t="shared" si="23"/>
        <v>0</v>
      </c>
      <c r="F54" s="140">
        <f>'5. Перечень МРАД'!G38</f>
        <v>0</v>
      </c>
      <c r="G54" s="140">
        <f>'5. Перечень МРАД'!H38</f>
        <v>0</v>
      </c>
      <c r="H54" s="140">
        <v>0</v>
      </c>
      <c r="I54" s="138">
        <v>0</v>
      </c>
      <c r="J54" s="130">
        <f t="shared" si="24"/>
        <v>0</v>
      </c>
      <c r="K54" s="140">
        <f>'5. Перечень МРАД'!J38</f>
        <v>0</v>
      </c>
      <c r="L54" s="140">
        <f>'5. Перечень МРАД'!K38</f>
        <v>0</v>
      </c>
      <c r="M54" s="140">
        <v>0</v>
      </c>
      <c r="N54" s="138">
        <v>0</v>
      </c>
      <c r="O54" s="130">
        <f>SUM(P54:S54)</f>
        <v>0</v>
      </c>
      <c r="P54" s="140">
        <f>'5. Перечень МРАД'!M38</f>
        <v>0</v>
      </c>
      <c r="Q54" s="140">
        <f>'5. Перечень МРАД'!N38</f>
        <v>0</v>
      </c>
      <c r="R54" s="140">
        <v>0</v>
      </c>
      <c r="S54" s="138">
        <v>0</v>
      </c>
      <c r="T54" s="130">
        <f>SUM(U54:X54)</f>
        <v>188561</v>
      </c>
      <c r="U54" s="126">
        <f>'5. Перечень МРАД'!P38</f>
        <v>1886</v>
      </c>
      <c r="V54" s="126">
        <f>'5. Перечень МРАД'!Q38</f>
        <v>186675</v>
      </c>
      <c r="W54" s="126">
        <v>0</v>
      </c>
      <c r="X54" s="126">
        <v>0</v>
      </c>
      <c r="Y54" s="130">
        <f t="shared" si="27"/>
        <v>0</v>
      </c>
      <c r="Z54" s="126">
        <f>'5. Перечень МРАД'!S38</f>
        <v>0</v>
      </c>
      <c r="AA54" s="126">
        <f>'5. Перечень МРАД'!T38</f>
        <v>0</v>
      </c>
      <c r="AB54" s="126">
        <v>0</v>
      </c>
      <c r="AC54" s="126">
        <v>0</v>
      </c>
      <c r="AD54" s="130">
        <f t="shared" si="28"/>
        <v>188561</v>
      </c>
      <c r="AE54" s="60"/>
      <c r="AF54" s="60"/>
      <c r="AG54" s="60"/>
      <c r="AH54" s="60"/>
    </row>
    <row r="55" spans="1:34" ht="135" customHeight="1" outlineLevel="1" x14ac:dyDescent="0.2">
      <c r="A55" s="147" t="s">
        <v>330</v>
      </c>
      <c r="B55" s="127" t="s">
        <v>226</v>
      </c>
      <c r="C55" s="133" t="s">
        <v>24</v>
      </c>
      <c r="D55" s="136">
        <v>2029</v>
      </c>
      <c r="E55" s="130">
        <f t="shared" si="23"/>
        <v>0</v>
      </c>
      <c r="F55" s="140">
        <f>'5. Перечень МРАД'!G40</f>
        <v>0</v>
      </c>
      <c r="G55" s="140">
        <f>'5. Перечень МРАД'!H40</f>
        <v>0</v>
      </c>
      <c r="H55" s="140">
        <v>0</v>
      </c>
      <c r="I55" s="138">
        <v>0</v>
      </c>
      <c r="J55" s="130">
        <f t="shared" si="24"/>
        <v>0</v>
      </c>
      <c r="K55" s="140">
        <f>'5. Перечень МРАД'!J40</f>
        <v>0</v>
      </c>
      <c r="L55" s="140">
        <f>'5. Перечень МРАД'!K40</f>
        <v>0</v>
      </c>
      <c r="M55" s="140">
        <v>0</v>
      </c>
      <c r="N55" s="138">
        <v>0</v>
      </c>
      <c r="O55" s="130">
        <f>SUM(P55:S55)</f>
        <v>0</v>
      </c>
      <c r="P55" s="140">
        <f>'5. Перечень МРАД'!M40</f>
        <v>0</v>
      </c>
      <c r="Q55" s="140">
        <f>'5. Перечень МРАД'!N40</f>
        <v>0</v>
      </c>
      <c r="R55" s="140">
        <v>0</v>
      </c>
      <c r="S55" s="138">
        <v>0</v>
      </c>
      <c r="T55" s="130">
        <f>SUM(U55:X55)</f>
        <v>4035</v>
      </c>
      <c r="U55" s="126">
        <f>'5. Перечень МРАД'!P40</f>
        <v>4035</v>
      </c>
      <c r="V55" s="126">
        <f>'5. Перечень МРАД'!Q40</f>
        <v>0</v>
      </c>
      <c r="W55" s="126">
        <v>0</v>
      </c>
      <c r="X55" s="126">
        <v>0</v>
      </c>
      <c r="Y55" s="130">
        <f t="shared" si="27"/>
        <v>0</v>
      </c>
      <c r="Z55" s="126">
        <f>'5. Перечень МРАД'!S40</f>
        <v>0</v>
      </c>
      <c r="AA55" s="126">
        <f>'5. Перечень МРАД'!T40</f>
        <v>0</v>
      </c>
      <c r="AB55" s="126">
        <v>0</v>
      </c>
      <c r="AC55" s="126">
        <v>0</v>
      </c>
      <c r="AD55" s="130">
        <f t="shared" si="28"/>
        <v>4035</v>
      </c>
      <c r="AE55" s="60"/>
      <c r="AF55" s="60"/>
      <c r="AG55" s="60"/>
      <c r="AH55" s="60"/>
    </row>
    <row r="56" spans="1:34" ht="132.75" customHeight="1" outlineLevel="1" x14ac:dyDescent="0.2">
      <c r="A56" s="147" t="s">
        <v>331</v>
      </c>
      <c r="B56" s="127" t="s">
        <v>258</v>
      </c>
      <c r="C56" s="103" t="s">
        <v>20</v>
      </c>
      <c r="D56" s="136" t="s">
        <v>441</v>
      </c>
      <c r="E56" s="130">
        <f t="shared" si="23"/>
        <v>0</v>
      </c>
      <c r="F56" s="140">
        <f>'5. Перечень МРАД'!G42</f>
        <v>0</v>
      </c>
      <c r="G56" s="140">
        <f>'5. Перечень МРАД'!H42</f>
        <v>0</v>
      </c>
      <c r="H56" s="140">
        <v>0</v>
      </c>
      <c r="I56" s="138">
        <v>0</v>
      </c>
      <c r="J56" s="130">
        <f t="shared" si="24"/>
        <v>0</v>
      </c>
      <c r="K56" s="140">
        <f>'5. Перечень МРАД'!J42</f>
        <v>0</v>
      </c>
      <c r="L56" s="140">
        <f>'5. Перечень МРАД'!K42</f>
        <v>0</v>
      </c>
      <c r="M56" s="140">
        <v>0</v>
      </c>
      <c r="N56" s="138">
        <v>0</v>
      </c>
      <c r="O56" s="130">
        <f t="shared" si="25"/>
        <v>0</v>
      </c>
      <c r="P56" s="140">
        <f>'5. Перечень МРАД'!M42</f>
        <v>0</v>
      </c>
      <c r="Q56" s="140">
        <f>'5. Перечень МРАД'!N42</f>
        <v>0</v>
      </c>
      <c r="R56" s="140">
        <v>0</v>
      </c>
      <c r="S56" s="138">
        <v>0</v>
      </c>
      <c r="T56" s="130">
        <f t="shared" si="26"/>
        <v>565694</v>
      </c>
      <c r="U56" s="126">
        <f>'5. Перечень МРАД'!P42</f>
        <v>5657</v>
      </c>
      <c r="V56" s="126">
        <f>'5. Перечень МРАД'!Q42</f>
        <v>560037</v>
      </c>
      <c r="W56" s="126">
        <v>0</v>
      </c>
      <c r="X56" s="126">
        <v>0</v>
      </c>
      <c r="Y56" s="130">
        <f t="shared" si="27"/>
        <v>531708</v>
      </c>
      <c r="Z56" s="126">
        <f>'5. Перечень МРАД'!S42</f>
        <v>5317</v>
      </c>
      <c r="AA56" s="126">
        <f>'5. Перечень МРАД'!T42</f>
        <v>526391</v>
      </c>
      <c r="AB56" s="126">
        <v>0</v>
      </c>
      <c r="AC56" s="126">
        <v>0</v>
      </c>
      <c r="AD56" s="130">
        <f t="shared" si="28"/>
        <v>1097402</v>
      </c>
      <c r="AE56" s="60"/>
      <c r="AF56" s="60"/>
      <c r="AG56" s="60"/>
      <c r="AH56" s="60"/>
    </row>
    <row r="57" spans="1:34" ht="135.75" customHeight="1" outlineLevel="1" x14ac:dyDescent="0.2">
      <c r="A57" s="148" t="s">
        <v>332</v>
      </c>
      <c r="B57" s="144" t="s">
        <v>393</v>
      </c>
      <c r="C57" s="103" t="s">
        <v>20</v>
      </c>
      <c r="D57" s="136" t="s">
        <v>440</v>
      </c>
      <c r="E57" s="130">
        <f t="shared" si="23"/>
        <v>0</v>
      </c>
      <c r="F57" s="140">
        <f>'5. Перечень МРАД'!G45</f>
        <v>0</v>
      </c>
      <c r="G57" s="140">
        <f>'5. Перечень МРАД'!H45</f>
        <v>0</v>
      </c>
      <c r="H57" s="140">
        <v>0</v>
      </c>
      <c r="I57" s="138">
        <v>0</v>
      </c>
      <c r="J57" s="130">
        <f t="shared" ref="J57" si="29">SUM(K57:N57)</f>
        <v>0</v>
      </c>
      <c r="K57" s="140">
        <f>'5. Перечень МРАД'!J45</f>
        <v>0</v>
      </c>
      <c r="L57" s="140">
        <f>'5. Перечень МРАД'!K45</f>
        <v>0</v>
      </c>
      <c r="M57" s="140">
        <v>0</v>
      </c>
      <c r="N57" s="138">
        <v>0</v>
      </c>
      <c r="O57" s="130">
        <f t="shared" ref="O57" si="30">SUM(P57:S57)</f>
        <v>0</v>
      </c>
      <c r="P57" s="140">
        <f>'5. Перечень МРАД'!M45</f>
        <v>0</v>
      </c>
      <c r="Q57" s="140">
        <f>'5. Перечень МРАД'!N45</f>
        <v>0</v>
      </c>
      <c r="R57" s="140">
        <v>0</v>
      </c>
      <c r="S57" s="138">
        <v>0</v>
      </c>
      <c r="T57" s="130">
        <f t="shared" ref="T57" si="31">SUM(U57:X57)</f>
        <v>10919</v>
      </c>
      <c r="U57" s="126">
        <f>'5. Перечень МРАД'!P45</f>
        <v>10919</v>
      </c>
      <c r="V57" s="126">
        <f>'5. Перечень МРАД'!Q45</f>
        <v>0</v>
      </c>
      <c r="W57" s="126">
        <v>0</v>
      </c>
      <c r="X57" s="126">
        <v>0</v>
      </c>
      <c r="Y57" s="130">
        <f t="shared" ref="Y57" si="32">SUM(Z57:AC57)</f>
        <v>10263</v>
      </c>
      <c r="Z57" s="126">
        <f>'5. Перечень МРАД'!S45</f>
        <v>10263</v>
      </c>
      <c r="AA57" s="126">
        <f>'5. Перечень МРАД'!T45</f>
        <v>0</v>
      </c>
      <c r="AB57" s="126">
        <v>0</v>
      </c>
      <c r="AC57" s="126">
        <v>0</v>
      </c>
      <c r="AD57" s="130">
        <f t="shared" si="28"/>
        <v>21182</v>
      </c>
      <c r="AE57" s="60"/>
      <c r="AF57" s="60"/>
      <c r="AG57" s="60"/>
      <c r="AH57" s="60"/>
    </row>
    <row r="58" spans="1:34" ht="57" customHeight="1" outlineLevel="1" x14ac:dyDescent="0.2">
      <c r="A58" s="149" t="s">
        <v>215</v>
      </c>
      <c r="B58" s="309" t="s">
        <v>339</v>
      </c>
      <c r="C58" s="310"/>
      <c r="D58" s="310"/>
      <c r="E58" s="310"/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1"/>
      <c r="AE58" s="60"/>
      <c r="AF58" s="60"/>
      <c r="AG58" s="60"/>
      <c r="AH58" s="60"/>
    </row>
    <row r="59" spans="1:34" ht="156.75" customHeight="1" outlineLevel="1" x14ac:dyDescent="0.2">
      <c r="A59" s="315" t="s">
        <v>216</v>
      </c>
      <c r="B59" s="144" t="s">
        <v>292</v>
      </c>
      <c r="C59" s="317" t="s">
        <v>24</v>
      </c>
      <c r="D59" s="151" t="s">
        <v>205</v>
      </c>
      <c r="E59" s="130">
        <f t="shared" ref="E59:E65" si="33">F59+G59+H59+I59</f>
        <v>54311</v>
      </c>
      <c r="F59" s="140">
        <f>'5. Перечень МРАД'!G49</f>
        <v>54311</v>
      </c>
      <c r="G59" s="140">
        <f>'5. Перечень МРАД'!H49</f>
        <v>0</v>
      </c>
      <c r="H59" s="140">
        <v>0</v>
      </c>
      <c r="I59" s="138">
        <v>0</v>
      </c>
      <c r="J59" s="130">
        <f t="shared" ref="J59" si="34">SUM(K59:N59)</f>
        <v>54311</v>
      </c>
      <c r="K59" s="140">
        <f>'5. Перечень МРАД'!J49</f>
        <v>54311</v>
      </c>
      <c r="L59" s="140">
        <f>'5. Перечень МРАД'!K49</f>
        <v>0</v>
      </c>
      <c r="M59" s="140">
        <v>0</v>
      </c>
      <c r="N59" s="138">
        <v>0</v>
      </c>
      <c r="O59" s="130">
        <f t="shared" ref="O59" si="35">SUM(P59:S59)</f>
        <v>0</v>
      </c>
      <c r="P59" s="140">
        <f>'5. Перечень МРАД'!M49</f>
        <v>0</v>
      </c>
      <c r="Q59" s="140">
        <f>'5. Перечень МРАД'!N49</f>
        <v>0</v>
      </c>
      <c r="R59" s="140">
        <v>0</v>
      </c>
      <c r="S59" s="138">
        <v>0</v>
      </c>
      <c r="T59" s="130">
        <f t="shared" ref="T59" si="36">SUM(U59:X59)</f>
        <v>0</v>
      </c>
      <c r="U59" s="126">
        <f>'5. Перечень МРАД'!P49</f>
        <v>0</v>
      </c>
      <c r="V59" s="126">
        <f>'5. Перечень МРАД'!Q49</f>
        <v>0</v>
      </c>
      <c r="W59" s="126">
        <v>0</v>
      </c>
      <c r="X59" s="126">
        <v>0</v>
      </c>
      <c r="Y59" s="130">
        <f t="shared" ref="Y59" si="37">SUM(Z59:AC59)</f>
        <v>0</v>
      </c>
      <c r="Z59" s="126">
        <f>'5. Перечень МРАД'!S49</f>
        <v>0</v>
      </c>
      <c r="AA59" s="126">
        <f>'5. Перечень МРАД'!T49</f>
        <v>0</v>
      </c>
      <c r="AB59" s="126">
        <v>0</v>
      </c>
      <c r="AC59" s="126">
        <v>0</v>
      </c>
      <c r="AD59" s="130">
        <f t="shared" ref="AD59:AD65" si="38">E59+J59+O59+T59+Y59</f>
        <v>108622</v>
      </c>
      <c r="AE59" s="60"/>
      <c r="AF59" s="60"/>
      <c r="AG59" s="60"/>
      <c r="AH59" s="60"/>
    </row>
    <row r="60" spans="1:34" ht="109.5" customHeight="1" outlineLevel="1" x14ac:dyDescent="0.2">
      <c r="A60" s="316"/>
      <c r="B60" s="144" t="s">
        <v>306</v>
      </c>
      <c r="C60" s="318"/>
      <c r="D60" s="151" t="s">
        <v>205</v>
      </c>
      <c r="E60" s="130">
        <f t="shared" si="33"/>
        <v>54311</v>
      </c>
      <c r="F60" s="140">
        <f>'5. Перечень МРАД'!G68</f>
        <v>54311</v>
      </c>
      <c r="G60" s="140">
        <f>'5. Перечень МРАД'!H66</f>
        <v>0</v>
      </c>
      <c r="H60" s="140">
        <v>0</v>
      </c>
      <c r="I60" s="138">
        <v>0</v>
      </c>
      <c r="J60" s="130">
        <f t="shared" ref="J60" si="39">SUM(K60:N60)</f>
        <v>54311</v>
      </c>
      <c r="K60" s="140">
        <f>'5. Перечень МРАД'!J68</f>
        <v>54311</v>
      </c>
      <c r="L60" s="140">
        <f>'5. Перечень МРАД'!K66</f>
        <v>0</v>
      </c>
      <c r="M60" s="140">
        <v>0</v>
      </c>
      <c r="N60" s="138">
        <v>0</v>
      </c>
      <c r="O60" s="130">
        <f t="shared" ref="O60" si="40">SUM(P60:S60)</f>
        <v>0</v>
      </c>
      <c r="P60" s="140">
        <f>'5. Перечень МРАД'!M66</f>
        <v>0</v>
      </c>
      <c r="Q60" s="140">
        <f>'5. Перечень МРАД'!N66</f>
        <v>0</v>
      </c>
      <c r="R60" s="140">
        <v>0</v>
      </c>
      <c r="S60" s="138">
        <v>0</v>
      </c>
      <c r="T60" s="130">
        <f t="shared" ref="T60" si="41">SUM(U60:X60)</f>
        <v>0</v>
      </c>
      <c r="U60" s="126">
        <f>'5. Перечень МРАД'!P66</f>
        <v>0</v>
      </c>
      <c r="V60" s="126">
        <f>'5. Перечень МРАД'!Q66</f>
        <v>0</v>
      </c>
      <c r="W60" s="126">
        <v>0</v>
      </c>
      <c r="X60" s="126">
        <v>0</v>
      </c>
      <c r="Y60" s="130">
        <f t="shared" ref="Y60" si="42">SUM(Z60:AC60)</f>
        <v>0</v>
      </c>
      <c r="Z60" s="126">
        <f>'5. Перечень МРАД'!S66</f>
        <v>0</v>
      </c>
      <c r="AA60" s="126">
        <f>'5. Перечень МРАД'!T66</f>
        <v>0</v>
      </c>
      <c r="AB60" s="126">
        <v>0</v>
      </c>
      <c r="AC60" s="126">
        <v>0</v>
      </c>
      <c r="AD60" s="130">
        <f t="shared" si="38"/>
        <v>108622</v>
      </c>
      <c r="AE60" s="60"/>
      <c r="AF60" s="60"/>
      <c r="AG60" s="60"/>
      <c r="AH60" s="60"/>
    </row>
    <row r="61" spans="1:34" ht="203.25" customHeight="1" outlineLevel="1" x14ac:dyDescent="0.2">
      <c r="A61" s="114" t="s">
        <v>224</v>
      </c>
      <c r="B61" s="127" t="s">
        <v>272</v>
      </c>
      <c r="C61" s="103" t="s">
        <v>20</v>
      </c>
      <c r="D61" s="136" t="s">
        <v>443</v>
      </c>
      <c r="E61" s="130">
        <f t="shared" si="33"/>
        <v>2062</v>
      </c>
      <c r="F61" s="140">
        <f>'5. Перечень МРАД'!F69</f>
        <v>2062</v>
      </c>
      <c r="G61" s="140">
        <f>'5. Перечень МРАД'!H67</f>
        <v>0</v>
      </c>
      <c r="H61" s="140">
        <v>0</v>
      </c>
      <c r="I61" s="138">
        <v>0</v>
      </c>
      <c r="J61" s="130">
        <f t="shared" ref="J61" si="43">SUM(K61:N61)</f>
        <v>2062</v>
      </c>
      <c r="K61" s="140">
        <f>'5. Перечень МРАД'!J69</f>
        <v>2062</v>
      </c>
      <c r="L61" s="140">
        <f>'5. Перечень МРАД'!K67</f>
        <v>0</v>
      </c>
      <c r="M61" s="140">
        <v>0</v>
      </c>
      <c r="N61" s="138">
        <v>0</v>
      </c>
      <c r="O61" s="130">
        <f t="shared" ref="O61" si="44">SUM(P61:S61)</f>
        <v>0</v>
      </c>
      <c r="P61" s="140">
        <f>'5. Перечень МРАД'!M69</f>
        <v>0</v>
      </c>
      <c r="Q61" s="140">
        <f>'5. Перечень МРАД'!N67</f>
        <v>0</v>
      </c>
      <c r="R61" s="140">
        <v>0</v>
      </c>
      <c r="S61" s="138">
        <v>0</v>
      </c>
      <c r="T61" s="130">
        <f t="shared" ref="T61" si="45">SUM(U61:X61)</f>
        <v>2319</v>
      </c>
      <c r="U61" s="126">
        <f>'5. Перечень МРАД'!P69</f>
        <v>2319</v>
      </c>
      <c r="V61" s="126">
        <f>'5. Перечень МРАД'!Q67</f>
        <v>0</v>
      </c>
      <c r="W61" s="126">
        <v>0</v>
      </c>
      <c r="X61" s="126">
        <v>0</v>
      </c>
      <c r="Y61" s="130">
        <f t="shared" ref="Y61" si="46">SUM(Z61:AC61)</f>
        <v>2412</v>
      </c>
      <c r="Z61" s="140">
        <f>'5. Перечень МРАД'!R69</f>
        <v>2412</v>
      </c>
      <c r="AA61" s="126">
        <f>'5. Перечень МРАД'!T67</f>
        <v>0</v>
      </c>
      <c r="AB61" s="126">
        <v>0</v>
      </c>
      <c r="AC61" s="126">
        <v>0</v>
      </c>
      <c r="AD61" s="130">
        <f t="shared" si="38"/>
        <v>8855</v>
      </c>
      <c r="AE61" s="60"/>
      <c r="AF61" s="60"/>
      <c r="AG61" s="60"/>
      <c r="AH61" s="60"/>
    </row>
    <row r="62" spans="1:34" ht="234.75" customHeight="1" outlineLevel="1" x14ac:dyDescent="0.2">
      <c r="A62" s="114" t="s">
        <v>340</v>
      </c>
      <c r="B62" s="127" t="s">
        <v>274</v>
      </c>
      <c r="C62" s="103" t="s">
        <v>20</v>
      </c>
      <c r="D62" s="151" t="s">
        <v>177</v>
      </c>
      <c r="E62" s="130">
        <f t="shared" si="33"/>
        <v>212</v>
      </c>
      <c r="F62" s="140">
        <f>'5. Перечень МРАД'!G70</f>
        <v>212</v>
      </c>
      <c r="G62" s="140">
        <f>'5. Перечень МРАД'!H70</f>
        <v>0</v>
      </c>
      <c r="H62" s="140">
        <v>0</v>
      </c>
      <c r="I62" s="138">
        <v>0</v>
      </c>
      <c r="J62" s="130">
        <f t="shared" ref="J62:J63" si="47">SUM(K62:N62)</f>
        <v>221</v>
      </c>
      <c r="K62" s="140">
        <f>'5. Перечень МРАД'!J70</f>
        <v>221</v>
      </c>
      <c r="L62" s="140">
        <f>'5. Перечень МРАД'!K70</f>
        <v>0</v>
      </c>
      <c r="M62" s="140">
        <v>0</v>
      </c>
      <c r="N62" s="138">
        <v>0</v>
      </c>
      <c r="O62" s="130">
        <f t="shared" ref="O62:O63" si="48">SUM(P62:S62)</f>
        <v>230</v>
      </c>
      <c r="P62" s="140">
        <f>'5. Перечень МРАД'!M70</f>
        <v>230</v>
      </c>
      <c r="Q62" s="140">
        <f>'5. Перечень МРАД'!N70</f>
        <v>0</v>
      </c>
      <c r="R62" s="140">
        <v>0</v>
      </c>
      <c r="S62" s="138">
        <v>0</v>
      </c>
      <c r="T62" s="130">
        <f t="shared" ref="T62:T63" si="49">SUM(U62:X62)</f>
        <v>216</v>
      </c>
      <c r="U62" s="126">
        <f>'5. Перечень МРАД'!P70</f>
        <v>216</v>
      </c>
      <c r="V62" s="126">
        <f>'5. Перечень МРАД'!Q70</f>
        <v>0</v>
      </c>
      <c r="W62" s="126">
        <v>0</v>
      </c>
      <c r="X62" s="126">
        <v>0</v>
      </c>
      <c r="Y62" s="130">
        <f t="shared" ref="Y62:Y63" si="50">SUM(Z62:AC62)</f>
        <v>225</v>
      </c>
      <c r="Z62" s="126">
        <f>'5. Перечень МРАД'!S70</f>
        <v>225</v>
      </c>
      <c r="AA62" s="126">
        <f>'5. Перечень МРАД'!T70</f>
        <v>0</v>
      </c>
      <c r="AB62" s="126">
        <v>0</v>
      </c>
      <c r="AC62" s="126">
        <v>0</v>
      </c>
      <c r="AD62" s="130">
        <f t="shared" si="38"/>
        <v>1104</v>
      </c>
      <c r="AE62" s="60"/>
      <c r="AF62" s="60"/>
      <c r="AG62" s="60"/>
      <c r="AH62" s="60"/>
    </row>
    <row r="63" spans="1:34" ht="105.75" customHeight="1" outlineLevel="1" x14ac:dyDescent="0.2">
      <c r="A63" s="114" t="s">
        <v>341</v>
      </c>
      <c r="B63" s="127" t="s">
        <v>275</v>
      </c>
      <c r="C63" s="103" t="s">
        <v>20</v>
      </c>
      <c r="D63" s="136" t="s">
        <v>177</v>
      </c>
      <c r="E63" s="130">
        <f t="shared" si="33"/>
        <v>500</v>
      </c>
      <c r="F63" s="140">
        <f>'5. Перечень МРАД'!G71</f>
        <v>500</v>
      </c>
      <c r="G63" s="140">
        <f>'5. Перечень МРАД'!H71</f>
        <v>0</v>
      </c>
      <c r="H63" s="140">
        <v>0</v>
      </c>
      <c r="I63" s="138">
        <v>0</v>
      </c>
      <c r="J63" s="130">
        <f t="shared" si="47"/>
        <v>500</v>
      </c>
      <c r="K63" s="140">
        <f>'5. Перечень МРАД'!J71</f>
        <v>500</v>
      </c>
      <c r="L63" s="140">
        <f>'5. Перечень МРАД'!K71</f>
        <v>0</v>
      </c>
      <c r="M63" s="140">
        <v>0</v>
      </c>
      <c r="N63" s="138">
        <v>0</v>
      </c>
      <c r="O63" s="130">
        <f t="shared" si="48"/>
        <v>500</v>
      </c>
      <c r="P63" s="140">
        <f>'5. Перечень МРАД'!M71</f>
        <v>500</v>
      </c>
      <c r="Q63" s="140">
        <f>'5. Перечень МРАД'!N71</f>
        <v>0</v>
      </c>
      <c r="R63" s="140">
        <v>0</v>
      </c>
      <c r="S63" s="138">
        <v>0</v>
      </c>
      <c r="T63" s="130">
        <f t="shared" si="49"/>
        <v>541</v>
      </c>
      <c r="U63" s="126">
        <f>'5. Перечень МРАД'!P71</f>
        <v>541</v>
      </c>
      <c r="V63" s="126">
        <f>'5. Перечень МРАД'!Q71</f>
        <v>0</v>
      </c>
      <c r="W63" s="126">
        <v>0</v>
      </c>
      <c r="X63" s="126">
        <v>0</v>
      </c>
      <c r="Y63" s="130">
        <f t="shared" si="50"/>
        <v>563</v>
      </c>
      <c r="Z63" s="126">
        <f>'5. Перечень МРАД'!S71</f>
        <v>563</v>
      </c>
      <c r="AA63" s="126">
        <f>'5. Перечень МРАД'!T71</f>
        <v>0</v>
      </c>
      <c r="AB63" s="126">
        <v>0</v>
      </c>
      <c r="AC63" s="126">
        <v>0</v>
      </c>
      <c r="AD63" s="130">
        <f t="shared" si="38"/>
        <v>2604</v>
      </c>
      <c r="AE63" s="60"/>
      <c r="AF63" s="60"/>
      <c r="AG63" s="60"/>
      <c r="AH63" s="60"/>
    </row>
    <row r="64" spans="1:34" ht="93.75" customHeight="1" outlineLevel="1" x14ac:dyDescent="0.2">
      <c r="A64" s="114" t="s">
        <v>342</v>
      </c>
      <c r="B64" s="152" t="s">
        <v>277</v>
      </c>
      <c r="C64" s="103" t="s">
        <v>20</v>
      </c>
      <c r="D64" s="151" t="s">
        <v>444</v>
      </c>
      <c r="E64" s="130">
        <f t="shared" si="33"/>
        <v>1260</v>
      </c>
      <c r="F64" s="140">
        <f>'5. Перечень МРАД'!G72</f>
        <v>1260</v>
      </c>
      <c r="G64" s="140">
        <f>'5. Перечень МРАД'!H72</f>
        <v>0</v>
      </c>
      <c r="H64" s="140">
        <v>0</v>
      </c>
      <c r="I64" s="138">
        <v>0</v>
      </c>
      <c r="J64" s="130">
        <f t="shared" ref="J64:J65" si="51">SUM(K64:N64)</f>
        <v>5450</v>
      </c>
      <c r="K64" s="140">
        <f>'5. Перечень МРАД'!J72</f>
        <v>5450</v>
      </c>
      <c r="L64" s="140">
        <f>'5. Перечень МРАД'!K72</f>
        <v>0</v>
      </c>
      <c r="M64" s="140">
        <v>0</v>
      </c>
      <c r="N64" s="138">
        <v>0</v>
      </c>
      <c r="O64" s="130">
        <f t="shared" ref="O64:O65" si="52">SUM(P64:S64)</f>
        <v>0</v>
      </c>
      <c r="P64" s="140">
        <f>'5. Перечень МРАД'!M72</f>
        <v>0</v>
      </c>
      <c r="Q64" s="140">
        <f>'5. Перечень МРАД'!N72</f>
        <v>0</v>
      </c>
      <c r="R64" s="140">
        <v>0</v>
      </c>
      <c r="S64" s="138">
        <v>0</v>
      </c>
      <c r="T64" s="130">
        <f t="shared" ref="T64:T65" si="53">SUM(U64:X64)</f>
        <v>3428</v>
      </c>
      <c r="U64" s="126">
        <f>'5. Перечень МРАД'!P72</f>
        <v>3428</v>
      </c>
      <c r="V64" s="126">
        <f>'5. Перечень МРАД'!Q72</f>
        <v>0</v>
      </c>
      <c r="W64" s="126">
        <v>0</v>
      </c>
      <c r="X64" s="126">
        <v>0</v>
      </c>
      <c r="Y64" s="130">
        <f t="shared" ref="Y64:Y65" si="54">SUM(Z64:AC64)</f>
        <v>3565</v>
      </c>
      <c r="Z64" s="126">
        <f>'5. Перечень МРАД'!S72</f>
        <v>3565</v>
      </c>
      <c r="AA64" s="126">
        <f>'5. Перечень МРАД'!T72</f>
        <v>0</v>
      </c>
      <c r="AB64" s="126">
        <v>0</v>
      </c>
      <c r="AC64" s="126">
        <v>0</v>
      </c>
      <c r="AD64" s="130">
        <f t="shared" si="38"/>
        <v>13703</v>
      </c>
      <c r="AE64" s="60"/>
      <c r="AF64" s="60"/>
      <c r="AG64" s="60"/>
      <c r="AH64" s="60"/>
    </row>
    <row r="65" spans="1:34" ht="90" customHeight="1" outlineLevel="1" x14ac:dyDescent="0.2">
      <c r="A65" s="114" t="s">
        <v>343</v>
      </c>
      <c r="B65" s="152" t="s">
        <v>280</v>
      </c>
      <c r="C65" s="103" t="s">
        <v>20</v>
      </c>
      <c r="D65" s="136" t="s">
        <v>440</v>
      </c>
      <c r="E65" s="130">
        <f t="shared" si="33"/>
        <v>110000</v>
      </c>
      <c r="F65" s="140">
        <f>'5. Перечень МРАД'!G73</f>
        <v>110000</v>
      </c>
      <c r="G65" s="140">
        <f>'5. Перечень МРАД'!H73</f>
        <v>0</v>
      </c>
      <c r="H65" s="140">
        <v>0</v>
      </c>
      <c r="I65" s="138">
        <v>0</v>
      </c>
      <c r="J65" s="130">
        <f t="shared" si="51"/>
        <v>0</v>
      </c>
      <c r="K65" s="140">
        <f>'5. Перечень МРАД'!J73</f>
        <v>0</v>
      </c>
      <c r="L65" s="140">
        <f>'5. Перечень МРАД'!K73</f>
        <v>0</v>
      </c>
      <c r="M65" s="140">
        <v>0</v>
      </c>
      <c r="N65" s="138">
        <v>0</v>
      </c>
      <c r="O65" s="130">
        <f t="shared" si="52"/>
        <v>0</v>
      </c>
      <c r="P65" s="140">
        <f>'5. Перечень МРАД'!M73</f>
        <v>0</v>
      </c>
      <c r="Q65" s="140">
        <f>'5. Перечень МРАД'!N73</f>
        <v>0</v>
      </c>
      <c r="R65" s="140">
        <v>0</v>
      </c>
      <c r="S65" s="138">
        <v>0</v>
      </c>
      <c r="T65" s="130">
        <f t="shared" si="53"/>
        <v>129000</v>
      </c>
      <c r="U65" s="126">
        <f>'5. Перечень МРАД'!P73</f>
        <v>129000</v>
      </c>
      <c r="V65" s="126">
        <f>'5. Перечень МРАД'!Q73</f>
        <v>0</v>
      </c>
      <c r="W65" s="126">
        <v>0</v>
      </c>
      <c r="X65" s="126">
        <v>0</v>
      </c>
      <c r="Y65" s="130">
        <f t="shared" si="54"/>
        <v>134000</v>
      </c>
      <c r="Z65" s="126">
        <f>'5. Перечень МРАД'!S73</f>
        <v>134000</v>
      </c>
      <c r="AA65" s="126">
        <f>'5. Перечень МРАД'!T73</f>
        <v>0</v>
      </c>
      <c r="AB65" s="126">
        <v>0</v>
      </c>
      <c r="AC65" s="126">
        <v>0</v>
      </c>
      <c r="AD65" s="130">
        <f t="shared" si="38"/>
        <v>373000</v>
      </c>
      <c r="AE65" s="60"/>
      <c r="AF65" s="60"/>
      <c r="AG65" s="60"/>
      <c r="AH65" s="60"/>
    </row>
    <row r="66" spans="1:34" s="6" customFormat="1" ht="58.5" customHeight="1" outlineLevel="1" x14ac:dyDescent="0.25">
      <c r="A66" s="149" t="s">
        <v>344</v>
      </c>
      <c r="B66" s="313" t="s">
        <v>396</v>
      </c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65"/>
      <c r="AF66" s="65"/>
      <c r="AG66" s="65"/>
      <c r="AH66" s="66"/>
    </row>
    <row r="67" spans="1:34" s="6" customFormat="1" ht="111.75" customHeight="1" outlineLevel="1" x14ac:dyDescent="0.25">
      <c r="A67" s="114" t="s">
        <v>218</v>
      </c>
      <c r="B67" s="144" t="s">
        <v>394</v>
      </c>
      <c r="C67" s="103" t="s">
        <v>24</v>
      </c>
      <c r="D67" s="136" t="s">
        <v>445</v>
      </c>
      <c r="E67" s="130">
        <f>F67+G67+H67+I67</f>
        <v>4778</v>
      </c>
      <c r="F67" s="140">
        <f>'5. Перечень МРАД'!G75</f>
        <v>4778</v>
      </c>
      <c r="G67" s="140">
        <f>'5. Перечень МРАД'!H75</f>
        <v>0</v>
      </c>
      <c r="H67" s="140">
        <v>0</v>
      </c>
      <c r="I67" s="138">
        <v>0</v>
      </c>
      <c r="J67" s="130">
        <f t="shared" ref="J67" si="55">K67+L67+M67+N67</f>
        <v>0</v>
      </c>
      <c r="K67" s="140">
        <f>'5. Перечень МРАД'!J75</f>
        <v>0</v>
      </c>
      <c r="L67" s="140">
        <f>'5. Перечень МРАД'!K75</f>
        <v>0</v>
      </c>
      <c r="M67" s="140">
        <v>0</v>
      </c>
      <c r="N67" s="138">
        <v>0</v>
      </c>
      <c r="O67" s="130">
        <f t="shared" ref="O67" si="56">SUM(P67:S67)</f>
        <v>0</v>
      </c>
      <c r="P67" s="140">
        <f>'5. Перечень МРАД'!M75</f>
        <v>0</v>
      </c>
      <c r="Q67" s="140">
        <f>'5. Перечень МРАД'!N75</f>
        <v>0</v>
      </c>
      <c r="R67" s="140">
        <v>0</v>
      </c>
      <c r="S67" s="138">
        <v>0</v>
      </c>
      <c r="T67" s="130">
        <f t="shared" ref="T67" si="57">SUM(U67:X67)</f>
        <v>4119</v>
      </c>
      <c r="U67" s="126">
        <f>'5. Перечень МРАД'!P75</f>
        <v>4119</v>
      </c>
      <c r="V67" s="126">
        <f>'5. Перечень МРАД'!Q75</f>
        <v>0</v>
      </c>
      <c r="W67" s="126">
        <v>0</v>
      </c>
      <c r="X67" s="126">
        <v>0</v>
      </c>
      <c r="Y67" s="130">
        <f t="shared" ref="Y67" si="58">SUM(Z67:AC67)</f>
        <v>4284</v>
      </c>
      <c r="Z67" s="126">
        <f>'5. Перечень МРАД'!S75</f>
        <v>4284</v>
      </c>
      <c r="AA67" s="126">
        <f>'5. Перечень МРАД'!T75</f>
        <v>0</v>
      </c>
      <c r="AB67" s="126">
        <v>0</v>
      </c>
      <c r="AC67" s="126">
        <v>0</v>
      </c>
      <c r="AD67" s="130">
        <f t="shared" ref="AD67" si="59">E67+J67+O67+T67+Y67</f>
        <v>13181</v>
      </c>
      <c r="AE67" s="65"/>
      <c r="AF67" s="65"/>
      <c r="AG67" s="65"/>
      <c r="AH67" s="66"/>
    </row>
    <row r="68" spans="1:34" s="11" customFormat="1" ht="51" customHeight="1" outlineLevel="1" x14ac:dyDescent="0.25">
      <c r="A68" s="314" t="s">
        <v>211</v>
      </c>
      <c r="B68" s="314"/>
      <c r="C68" s="314"/>
      <c r="D68" s="153"/>
      <c r="E68" s="154">
        <f t="shared" ref="E68:AC68" si="60">SUM(E47:E67)-E60</f>
        <v>188062</v>
      </c>
      <c r="F68" s="112">
        <f t="shared" si="60"/>
        <v>188062</v>
      </c>
      <c r="G68" s="112">
        <f t="shared" si="60"/>
        <v>0</v>
      </c>
      <c r="H68" s="112">
        <f t="shared" si="60"/>
        <v>0</v>
      </c>
      <c r="I68" s="112">
        <f t="shared" si="60"/>
        <v>0</v>
      </c>
      <c r="J68" s="154">
        <f t="shared" si="60"/>
        <v>78231</v>
      </c>
      <c r="K68" s="112">
        <f t="shared" si="60"/>
        <v>78231</v>
      </c>
      <c r="L68" s="112">
        <f t="shared" si="60"/>
        <v>0</v>
      </c>
      <c r="M68" s="112">
        <f t="shared" si="60"/>
        <v>0</v>
      </c>
      <c r="N68" s="112">
        <f t="shared" si="60"/>
        <v>0</v>
      </c>
      <c r="O68" s="154">
        <f t="shared" si="60"/>
        <v>34579</v>
      </c>
      <c r="P68" s="112">
        <f t="shared" si="60"/>
        <v>34579</v>
      </c>
      <c r="Q68" s="112">
        <f t="shared" si="60"/>
        <v>0</v>
      </c>
      <c r="R68" s="112">
        <f t="shared" si="60"/>
        <v>0</v>
      </c>
      <c r="S68" s="112">
        <f t="shared" si="60"/>
        <v>0</v>
      </c>
      <c r="T68" s="154">
        <f t="shared" si="60"/>
        <v>1498025</v>
      </c>
      <c r="U68" s="112">
        <f t="shared" si="60"/>
        <v>245316</v>
      </c>
      <c r="V68" s="112">
        <f t="shared" si="60"/>
        <v>1252709</v>
      </c>
      <c r="W68" s="112">
        <f t="shared" si="60"/>
        <v>0</v>
      </c>
      <c r="X68" s="112">
        <f t="shared" si="60"/>
        <v>0</v>
      </c>
      <c r="Y68" s="154">
        <f t="shared" si="60"/>
        <v>1212227</v>
      </c>
      <c r="Z68" s="112">
        <f t="shared" si="60"/>
        <v>207673</v>
      </c>
      <c r="AA68" s="112">
        <f t="shared" si="60"/>
        <v>1004554</v>
      </c>
      <c r="AB68" s="112">
        <f t="shared" si="60"/>
        <v>0</v>
      </c>
      <c r="AC68" s="112">
        <f t="shared" si="60"/>
        <v>0</v>
      </c>
      <c r="AD68" s="113">
        <f>E68+J68+O68+T68+Y68</f>
        <v>3011124</v>
      </c>
      <c r="AE68" s="64">
        <f>F68+K68+P68+U68+Z68</f>
        <v>753861</v>
      </c>
      <c r="AF68" s="64">
        <f>G68+L68+Q68+V68+AA68</f>
        <v>2257263</v>
      </c>
      <c r="AG68" s="64">
        <f>H68+M68+R68+W68+AB68</f>
        <v>0</v>
      </c>
      <c r="AH68" s="64">
        <f>I68+N68+S68+X68+AC68</f>
        <v>0</v>
      </c>
    </row>
    <row r="69" spans="1:34" ht="42" customHeight="1" x14ac:dyDescent="0.2">
      <c r="A69" s="117" t="s">
        <v>106</v>
      </c>
      <c r="B69" s="299" t="s">
        <v>387</v>
      </c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50"/>
      <c r="AF69" s="50"/>
      <c r="AG69" s="50"/>
      <c r="AH69" s="50"/>
    </row>
    <row r="70" spans="1:34" ht="37.9" customHeight="1" x14ac:dyDescent="0.2">
      <c r="A70" s="304" t="s">
        <v>207</v>
      </c>
      <c r="B70" s="304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60"/>
      <c r="AF70" s="60"/>
      <c r="AG70" s="60"/>
      <c r="AH70" s="60"/>
    </row>
    <row r="71" spans="1:34" ht="36" customHeight="1" x14ac:dyDescent="0.2">
      <c r="A71" s="302" t="s">
        <v>388</v>
      </c>
      <c r="B71" s="302"/>
      <c r="C71" s="302"/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297"/>
      <c r="AE71" s="60"/>
      <c r="AF71" s="60"/>
      <c r="AG71" s="60"/>
      <c r="AH71" s="60"/>
    </row>
    <row r="72" spans="1:34" ht="36.6" customHeight="1" outlineLevel="1" x14ac:dyDescent="0.2">
      <c r="A72" s="155" t="s">
        <v>17</v>
      </c>
      <c r="B72" s="297" t="s">
        <v>389</v>
      </c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60"/>
      <c r="AF72" s="60"/>
      <c r="AG72" s="60"/>
      <c r="AH72" s="60"/>
    </row>
    <row r="73" spans="1:34" ht="189.75" customHeight="1" outlineLevel="1" x14ac:dyDescent="0.2">
      <c r="A73" s="105" t="s">
        <v>93</v>
      </c>
      <c r="B73" s="156" t="s">
        <v>208</v>
      </c>
      <c r="C73" s="103" t="s">
        <v>23</v>
      </c>
      <c r="D73" s="136" t="s">
        <v>177</v>
      </c>
      <c r="E73" s="130">
        <f>SUM(F73:I73)</f>
        <v>769549</v>
      </c>
      <c r="F73" s="126">
        <v>769549</v>
      </c>
      <c r="G73" s="126">
        <v>0</v>
      </c>
      <c r="H73" s="126">
        <v>0</v>
      </c>
      <c r="I73" s="126">
        <v>0</v>
      </c>
      <c r="J73" s="130">
        <f>SUM(K73:N73)</f>
        <v>933458</v>
      </c>
      <c r="K73" s="126">
        <v>933458</v>
      </c>
      <c r="L73" s="126">
        <v>0</v>
      </c>
      <c r="M73" s="126">
        <v>0</v>
      </c>
      <c r="N73" s="126">
        <v>0</v>
      </c>
      <c r="O73" s="130">
        <f t="shared" ref="O73:O74" si="61">SUM(P73:S73)</f>
        <v>1109480</v>
      </c>
      <c r="P73" s="126">
        <v>1109480</v>
      </c>
      <c r="Q73" s="126">
        <v>0</v>
      </c>
      <c r="R73" s="126">
        <v>0</v>
      </c>
      <c r="S73" s="126">
        <v>0</v>
      </c>
      <c r="T73" s="130">
        <f>SUM(U73:X73)</f>
        <v>1298094</v>
      </c>
      <c r="U73" s="126">
        <v>1298094</v>
      </c>
      <c r="V73" s="126">
        <v>0</v>
      </c>
      <c r="W73" s="126">
        <v>0</v>
      </c>
      <c r="X73" s="126">
        <v>0</v>
      </c>
      <c r="Y73" s="130">
        <f>SUM(Z73:AC73)</f>
        <v>1500020</v>
      </c>
      <c r="Z73" s="126">
        <v>1500020</v>
      </c>
      <c r="AA73" s="126">
        <v>0</v>
      </c>
      <c r="AB73" s="126">
        <v>0</v>
      </c>
      <c r="AC73" s="126">
        <v>0</v>
      </c>
      <c r="AD73" s="130">
        <f t="shared" ref="AD73:AD74" si="62">E73+J73+O73+T73+Y73</f>
        <v>5610601</v>
      </c>
      <c r="AE73" s="60"/>
      <c r="AF73" s="60"/>
      <c r="AG73" s="60"/>
      <c r="AH73" s="60"/>
    </row>
    <row r="74" spans="1:34" ht="87.75" customHeight="1" outlineLevel="1" x14ac:dyDescent="0.2">
      <c r="A74" s="105" t="s">
        <v>107</v>
      </c>
      <c r="B74" s="156" t="s">
        <v>58</v>
      </c>
      <c r="C74" s="103" t="s">
        <v>23</v>
      </c>
      <c r="D74" s="136" t="s">
        <v>177</v>
      </c>
      <c r="E74" s="130">
        <f>SUM(F74:I74)</f>
        <v>8772</v>
      </c>
      <c r="F74" s="126">
        <v>8772</v>
      </c>
      <c r="G74" s="126">
        <v>0</v>
      </c>
      <c r="H74" s="126">
        <v>0</v>
      </c>
      <c r="I74" s="126">
        <v>0</v>
      </c>
      <c r="J74" s="130">
        <f>SUM(K74:N74)</f>
        <v>10640</v>
      </c>
      <c r="K74" s="126">
        <v>10640</v>
      </c>
      <c r="L74" s="126">
        <v>0</v>
      </c>
      <c r="M74" s="126">
        <v>0</v>
      </c>
      <c r="N74" s="126">
        <v>0</v>
      </c>
      <c r="O74" s="130">
        <f t="shared" si="61"/>
        <v>12648</v>
      </c>
      <c r="P74" s="126">
        <v>12648</v>
      </c>
      <c r="Q74" s="126">
        <v>0</v>
      </c>
      <c r="R74" s="126">
        <v>0</v>
      </c>
      <c r="S74" s="126">
        <v>0</v>
      </c>
      <c r="T74" s="130">
        <f>SUM(U74:X74)</f>
        <v>14796</v>
      </c>
      <c r="U74" s="126">
        <v>14796</v>
      </c>
      <c r="V74" s="126">
        <v>0</v>
      </c>
      <c r="W74" s="126">
        <v>0</v>
      </c>
      <c r="X74" s="126">
        <v>0</v>
      </c>
      <c r="Y74" s="130">
        <f>SUM(Z74:AC74)</f>
        <v>17098</v>
      </c>
      <c r="Z74" s="126">
        <v>17098</v>
      </c>
      <c r="AA74" s="126">
        <v>0</v>
      </c>
      <c r="AB74" s="126">
        <v>0</v>
      </c>
      <c r="AC74" s="126">
        <v>0</v>
      </c>
      <c r="AD74" s="130">
        <f t="shared" si="62"/>
        <v>63954</v>
      </c>
      <c r="AE74" s="60"/>
      <c r="AF74" s="60"/>
      <c r="AG74" s="60"/>
      <c r="AH74" s="60"/>
    </row>
    <row r="75" spans="1:34" ht="36.6" customHeight="1" outlineLevel="1" x14ac:dyDescent="0.2">
      <c r="A75" s="155" t="s">
        <v>18</v>
      </c>
      <c r="B75" s="297" t="s">
        <v>390</v>
      </c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301"/>
      <c r="AE75" s="68"/>
      <c r="AF75" s="69"/>
      <c r="AG75" s="69"/>
      <c r="AH75" s="69"/>
    </row>
    <row r="76" spans="1:34" ht="89.25" customHeight="1" outlineLevel="1" x14ac:dyDescent="0.2">
      <c r="A76" s="105" t="s">
        <v>94</v>
      </c>
      <c r="B76" s="156" t="s">
        <v>319</v>
      </c>
      <c r="C76" s="103" t="s">
        <v>23</v>
      </c>
      <c r="D76" s="136">
        <v>2026</v>
      </c>
      <c r="E76" s="130">
        <f>SUM(F76:I76)</f>
        <v>420</v>
      </c>
      <c r="F76" s="126">
        <v>420</v>
      </c>
      <c r="G76" s="126">
        <v>0</v>
      </c>
      <c r="H76" s="126">
        <v>0</v>
      </c>
      <c r="I76" s="126">
        <v>0</v>
      </c>
      <c r="J76" s="130">
        <f>SUM(K76:N76)</f>
        <v>0</v>
      </c>
      <c r="K76" s="126">
        <v>0</v>
      </c>
      <c r="L76" s="126">
        <v>0</v>
      </c>
      <c r="M76" s="126">
        <v>0</v>
      </c>
      <c r="N76" s="126">
        <v>0</v>
      </c>
      <c r="O76" s="130">
        <f t="shared" ref="O76" si="63">SUM(P76:S76)</f>
        <v>0</v>
      </c>
      <c r="P76" s="126">
        <v>0</v>
      </c>
      <c r="Q76" s="126">
        <v>0</v>
      </c>
      <c r="R76" s="126">
        <v>0</v>
      </c>
      <c r="S76" s="126">
        <v>0</v>
      </c>
      <c r="T76" s="130">
        <f>SUM(U76:X76)</f>
        <v>0</v>
      </c>
      <c r="U76" s="126">
        <v>0</v>
      </c>
      <c r="V76" s="126">
        <v>0</v>
      </c>
      <c r="W76" s="126">
        <v>0</v>
      </c>
      <c r="X76" s="126">
        <v>0</v>
      </c>
      <c r="Y76" s="130">
        <f>SUM(Z76:AC76)</f>
        <v>0</v>
      </c>
      <c r="Z76" s="126">
        <v>0</v>
      </c>
      <c r="AA76" s="126">
        <v>0</v>
      </c>
      <c r="AB76" s="126">
        <v>0</v>
      </c>
      <c r="AC76" s="126">
        <v>0</v>
      </c>
      <c r="AD76" s="130">
        <f>E76+J76+O76+T76+Y76</f>
        <v>420</v>
      </c>
      <c r="AE76" s="60"/>
      <c r="AF76" s="60"/>
      <c r="AG76" s="60"/>
      <c r="AH76" s="60"/>
    </row>
    <row r="77" spans="1:34" ht="116.25" customHeight="1" outlineLevel="1" x14ac:dyDescent="0.2">
      <c r="A77" s="105" t="s">
        <v>360</v>
      </c>
      <c r="B77" s="156" t="s">
        <v>359</v>
      </c>
      <c r="C77" s="103" t="s">
        <v>23</v>
      </c>
      <c r="D77" s="136">
        <v>2026</v>
      </c>
      <c r="E77" s="130">
        <f>SUM(F77:I77)</f>
        <v>2549</v>
      </c>
      <c r="F77" s="126">
        <v>2549</v>
      </c>
      <c r="G77" s="126">
        <v>0</v>
      </c>
      <c r="H77" s="126">
        <v>0</v>
      </c>
      <c r="I77" s="126">
        <v>0</v>
      </c>
      <c r="J77" s="130">
        <f>SUM(K77:N77)</f>
        <v>0</v>
      </c>
      <c r="K77" s="126">
        <v>0</v>
      </c>
      <c r="L77" s="126">
        <v>0</v>
      </c>
      <c r="M77" s="126">
        <v>0</v>
      </c>
      <c r="N77" s="126">
        <v>0</v>
      </c>
      <c r="O77" s="130">
        <f t="shared" ref="O77" si="64">SUM(P77:S77)</f>
        <v>0</v>
      </c>
      <c r="P77" s="126">
        <v>0</v>
      </c>
      <c r="Q77" s="126">
        <v>0</v>
      </c>
      <c r="R77" s="126">
        <v>0</v>
      </c>
      <c r="S77" s="126">
        <v>0</v>
      </c>
      <c r="T77" s="130">
        <f>SUM(U77:X77)</f>
        <v>0</v>
      </c>
      <c r="U77" s="126">
        <v>0</v>
      </c>
      <c r="V77" s="126">
        <v>0</v>
      </c>
      <c r="W77" s="126">
        <v>0</v>
      </c>
      <c r="X77" s="126">
        <v>0</v>
      </c>
      <c r="Y77" s="130">
        <f>SUM(Z77:AC77)</f>
        <v>0</v>
      </c>
      <c r="Z77" s="126">
        <v>0</v>
      </c>
      <c r="AA77" s="126">
        <v>0</v>
      </c>
      <c r="AB77" s="126">
        <v>0</v>
      </c>
      <c r="AC77" s="126">
        <v>0</v>
      </c>
      <c r="AD77" s="130">
        <f>E77+J77+O77+T77+Y77</f>
        <v>2549</v>
      </c>
      <c r="AE77" s="60"/>
      <c r="AF77" s="60"/>
      <c r="AG77" s="60"/>
      <c r="AH77" s="60"/>
    </row>
    <row r="78" spans="1:34" ht="39" customHeight="1" outlineLevel="1" x14ac:dyDescent="0.2">
      <c r="A78" s="303" t="s">
        <v>36</v>
      </c>
      <c r="B78" s="303"/>
      <c r="C78" s="303"/>
      <c r="D78" s="157"/>
      <c r="E78" s="113">
        <f>SUM(E73:E77)</f>
        <v>781290</v>
      </c>
      <c r="F78" s="113">
        <f>SUM(F73:F77)</f>
        <v>781290</v>
      </c>
      <c r="G78" s="113">
        <f t="shared" ref="G78:AC78" si="65">SUM(G73:G76)</f>
        <v>0</v>
      </c>
      <c r="H78" s="113">
        <f t="shared" si="65"/>
        <v>0</v>
      </c>
      <c r="I78" s="113">
        <f t="shared" si="65"/>
        <v>0</v>
      </c>
      <c r="J78" s="113">
        <f>SUM(J73:J77)</f>
        <v>944098</v>
      </c>
      <c r="K78" s="113">
        <f>SUM(K73:K77)</f>
        <v>944098</v>
      </c>
      <c r="L78" s="113">
        <f t="shared" si="65"/>
        <v>0</v>
      </c>
      <c r="M78" s="113">
        <f t="shared" si="65"/>
        <v>0</v>
      </c>
      <c r="N78" s="113">
        <f t="shared" si="65"/>
        <v>0</v>
      </c>
      <c r="O78" s="113">
        <f>SUM(O73:O77)</f>
        <v>1122128</v>
      </c>
      <c r="P78" s="113">
        <f>SUM(P73:P77)</f>
        <v>1122128</v>
      </c>
      <c r="Q78" s="113">
        <f t="shared" si="65"/>
        <v>0</v>
      </c>
      <c r="R78" s="113">
        <f t="shared" si="65"/>
        <v>0</v>
      </c>
      <c r="S78" s="113">
        <f t="shared" si="65"/>
        <v>0</v>
      </c>
      <c r="T78" s="113">
        <f>SUM(T73:T77)</f>
        <v>1312890</v>
      </c>
      <c r="U78" s="113">
        <f>SUM(U73:U77)</f>
        <v>1312890</v>
      </c>
      <c r="V78" s="113">
        <f t="shared" si="65"/>
        <v>0</v>
      </c>
      <c r="W78" s="113">
        <f t="shared" si="65"/>
        <v>0</v>
      </c>
      <c r="X78" s="113">
        <f t="shared" si="65"/>
        <v>0</v>
      </c>
      <c r="Y78" s="113">
        <f>SUM(Y73:Y77)</f>
        <v>1517118</v>
      </c>
      <c r="Z78" s="113">
        <f>SUM(Z73:Z77)</f>
        <v>1517118</v>
      </c>
      <c r="AA78" s="113">
        <f t="shared" si="65"/>
        <v>0</v>
      </c>
      <c r="AB78" s="113">
        <f t="shared" si="65"/>
        <v>0</v>
      </c>
      <c r="AC78" s="113">
        <f t="shared" si="65"/>
        <v>0</v>
      </c>
      <c r="AD78" s="113">
        <f>SUM(AD73:AD77)</f>
        <v>5677524</v>
      </c>
      <c r="AE78" s="64">
        <f>F78+K78+P78+U78+Z78</f>
        <v>5677524</v>
      </c>
      <c r="AF78" s="64">
        <f>G78+L78+Q78+V78+AA78</f>
        <v>0</v>
      </c>
      <c r="AG78" s="64">
        <f>H78+M78+R78+W78+AB78</f>
        <v>0</v>
      </c>
      <c r="AH78" s="64">
        <f>I78+N78+S78+X78+AC78</f>
        <v>0</v>
      </c>
    </row>
    <row r="79" spans="1:34" ht="39" customHeight="1" outlineLevel="1" x14ac:dyDescent="0.2">
      <c r="A79" s="117" t="s">
        <v>108</v>
      </c>
      <c r="B79" s="299" t="s">
        <v>134</v>
      </c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12"/>
      <c r="AE79" s="60"/>
      <c r="AF79" s="60"/>
      <c r="AG79" s="60"/>
      <c r="AH79" s="60"/>
    </row>
    <row r="80" spans="1:34" s="6" customFormat="1" ht="38.450000000000003" customHeight="1" outlineLevel="1" x14ac:dyDescent="0.2">
      <c r="A80" s="304" t="s">
        <v>193</v>
      </c>
      <c r="B80" s="304"/>
      <c r="C80" s="304"/>
      <c r="D80" s="304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60"/>
      <c r="AF80" s="60"/>
      <c r="AG80" s="60"/>
      <c r="AH80" s="60"/>
    </row>
    <row r="81" spans="1:198" ht="34.15" customHeight="1" x14ac:dyDescent="0.2">
      <c r="A81" s="302" t="s">
        <v>133</v>
      </c>
      <c r="B81" s="302"/>
      <c r="C81" s="302"/>
      <c r="D81" s="302"/>
      <c r="E81" s="302"/>
      <c r="F81" s="302"/>
      <c r="G81" s="302"/>
      <c r="H81" s="302"/>
      <c r="I81" s="302"/>
      <c r="J81" s="302"/>
      <c r="K81" s="302"/>
      <c r="L81" s="302"/>
      <c r="M81" s="302"/>
      <c r="N81" s="302"/>
      <c r="O81" s="302"/>
      <c r="P81" s="302"/>
      <c r="Q81" s="302"/>
      <c r="R81" s="302"/>
      <c r="S81" s="302"/>
      <c r="T81" s="302"/>
      <c r="U81" s="302"/>
      <c r="V81" s="302"/>
      <c r="W81" s="302"/>
      <c r="X81" s="302"/>
      <c r="Y81" s="302"/>
      <c r="Z81" s="302"/>
      <c r="AA81" s="302"/>
      <c r="AB81" s="302"/>
      <c r="AC81" s="302"/>
      <c r="AD81" s="302"/>
      <c r="AE81" s="85"/>
      <c r="AF81" s="85"/>
      <c r="AG81" s="85"/>
      <c r="AH81" s="85"/>
    </row>
    <row r="82" spans="1:198" ht="42" customHeight="1" x14ac:dyDescent="0.2">
      <c r="A82" s="125" t="s">
        <v>14</v>
      </c>
      <c r="B82" s="297" t="s">
        <v>109</v>
      </c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301"/>
      <c r="AE82" s="60"/>
      <c r="AF82" s="60"/>
      <c r="AG82" s="60"/>
      <c r="AH82" s="60"/>
    </row>
    <row r="83" spans="1:198" ht="83.25" customHeight="1" x14ac:dyDescent="0.2">
      <c r="A83" s="149" t="s">
        <v>95</v>
      </c>
      <c r="B83" s="127" t="s">
        <v>200</v>
      </c>
      <c r="C83" s="103" t="s">
        <v>20</v>
      </c>
      <c r="D83" s="136" t="s">
        <v>177</v>
      </c>
      <c r="E83" s="130">
        <f>F83+G83+H83+I83</f>
        <v>639</v>
      </c>
      <c r="F83" s="126">
        <v>639</v>
      </c>
      <c r="G83" s="126">
        <v>0</v>
      </c>
      <c r="H83" s="126">
        <v>0</v>
      </c>
      <c r="I83" s="126">
        <v>0</v>
      </c>
      <c r="J83" s="130">
        <f>K83+L83+M83+N83</f>
        <v>665</v>
      </c>
      <c r="K83" s="126">
        <v>665</v>
      </c>
      <c r="L83" s="126">
        <v>0</v>
      </c>
      <c r="M83" s="126">
        <v>0</v>
      </c>
      <c r="N83" s="126">
        <v>0</v>
      </c>
      <c r="O83" s="130">
        <f>SUM(P83:S83)</f>
        <v>485</v>
      </c>
      <c r="P83" s="126">
        <v>485</v>
      </c>
      <c r="Q83" s="126">
        <v>0</v>
      </c>
      <c r="R83" s="126">
        <v>0</v>
      </c>
      <c r="S83" s="126">
        <f>112-112</f>
        <v>0</v>
      </c>
      <c r="T83" s="130">
        <f>SUM(U83:X83)</f>
        <v>273</v>
      </c>
      <c r="U83" s="126">
        <v>273</v>
      </c>
      <c r="V83" s="126">
        <v>0</v>
      </c>
      <c r="W83" s="126">
        <v>0</v>
      </c>
      <c r="X83" s="126">
        <f>112-112</f>
        <v>0</v>
      </c>
      <c r="Y83" s="130">
        <f>SUM(Z83:AC83)</f>
        <v>284</v>
      </c>
      <c r="Z83" s="126">
        <v>284</v>
      </c>
      <c r="AA83" s="126">
        <v>0</v>
      </c>
      <c r="AB83" s="126">
        <v>0</v>
      </c>
      <c r="AC83" s="126">
        <f>112-112</f>
        <v>0</v>
      </c>
      <c r="AD83" s="130">
        <f>E83+J83+O83+T83+Y83</f>
        <v>2346</v>
      </c>
      <c r="AE83" s="60"/>
      <c r="AF83" s="60"/>
      <c r="AG83" s="60"/>
      <c r="AH83" s="60"/>
    </row>
    <row r="84" spans="1:198" ht="38.25" customHeight="1" x14ac:dyDescent="0.2">
      <c r="A84" s="117" t="s">
        <v>3</v>
      </c>
      <c r="B84" s="309" t="s">
        <v>189</v>
      </c>
      <c r="C84" s="310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310"/>
      <c r="R84" s="310"/>
      <c r="S84" s="310"/>
      <c r="T84" s="310"/>
      <c r="U84" s="310"/>
      <c r="V84" s="310"/>
      <c r="W84" s="310"/>
      <c r="X84" s="310"/>
      <c r="Y84" s="310"/>
      <c r="Z84" s="310"/>
      <c r="AA84" s="310"/>
      <c r="AB84" s="310"/>
      <c r="AC84" s="310"/>
      <c r="AD84" s="311"/>
      <c r="AE84" s="60"/>
      <c r="AF84" s="60"/>
      <c r="AG84" s="60"/>
      <c r="AH84" s="60"/>
    </row>
    <row r="85" spans="1:198" s="8" customFormat="1" ht="138.75" customHeight="1" x14ac:dyDescent="0.2">
      <c r="A85" s="105" t="s">
        <v>96</v>
      </c>
      <c r="B85" s="158" t="s">
        <v>84</v>
      </c>
      <c r="C85" s="159" t="s">
        <v>20</v>
      </c>
      <c r="D85" s="160" t="s">
        <v>177</v>
      </c>
      <c r="E85" s="161">
        <f>F85+G85+H85+I85</f>
        <v>21886</v>
      </c>
      <c r="F85" s="162">
        <v>21886</v>
      </c>
      <c r="G85" s="162">
        <v>0</v>
      </c>
      <c r="H85" s="162">
        <v>0</v>
      </c>
      <c r="I85" s="162">
        <v>0</v>
      </c>
      <c r="J85" s="161">
        <f>K85+L85+M85+N85</f>
        <v>21886</v>
      </c>
      <c r="K85" s="162">
        <v>21886</v>
      </c>
      <c r="L85" s="162">
        <v>0</v>
      </c>
      <c r="M85" s="162">
        <v>0</v>
      </c>
      <c r="N85" s="162">
        <v>0</v>
      </c>
      <c r="O85" s="161">
        <f>SUM(P85:S85)</f>
        <v>21886</v>
      </c>
      <c r="P85" s="162">
        <v>21886</v>
      </c>
      <c r="Q85" s="162">
        <v>0</v>
      </c>
      <c r="R85" s="162">
        <v>0</v>
      </c>
      <c r="S85" s="162">
        <v>0</v>
      </c>
      <c r="T85" s="161">
        <f>SUM(U85:X85)</f>
        <v>23672</v>
      </c>
      <c r="U85" s="162">
        <v>23672</v>
      </c>
      <c r="V85" s="162">
        <v>0</v>
      </c>
      <c r="W85" s="162">
        <v>0</v>
      </c>
      <c r="X85" s="162">
        <v>0</v>
      </c>
      <c r="Y85" s="161">
        <f>SUM(Z85:AC85)</f>
        <v>24619</v>
      </c>
      <c r="Z85" s="162">
        <v>24619</v>
      </c>
      <c r="AA85" s="162">
        <v>0</v>
      </c>
      <c r="AB85" s="162">
        <v>0</v>
      </c>
      <c r="AC85" s="162">
        <v>0</v>
      </c>
      <c r="AD85" s="161">
        <f>E85+J85+O85+T85+Y85</f>
        <v>113949</v>
      </c>
      <c r="AE85" s="60"/>
      <c r="AF85" s="60"/>
      <c r="AG85" s="60"/>
      <c r="AH85" s="60"/>
    </row>
    <row r="86" spans="1:198" s="8" customFormat="1" ht="217.5" customHeight="1" x14ac:dyDescent="0.2">
      <c r="A86" s="105" t="s">
        <v>110</v>
      </c>
      <c r="B86" s="158" t="s">
        <v>197</v>
      </c>
      <c r="C86" s="159" t="s">
        <v>20</v>
      </c>
      <c r="D86" s="160" t="s">
        <v>177</v>
      </c>
      <c r="E86" s="161">
        <f>F86+G86+H86+I86</f>
        <v>60211</v>
      </c>
      <c r="F86" s="162">
        <v>0</v>
      </c>
      <c r="G86" s="162">
        <v>60211</v>
      </c>
      <c r="H86" s="162">
        <v>0</v>
      </c>
      <c r="I86" s="162">
        <v>0</v>
      </c>
      <c r="J86" s="161">
        <f>K86+L86+M86+N86</f>
        <v>79247</v>
      </c>
      <c r="K86" s="162">
        <v>0</v>
      </c>
      <c r="L86" s="162">
        <v>79247</v>
      </c>
      <c r="M86" s="162">
        <v>0</v>
      </c>
      <c r="N86" s="162">
        <v>0</v>
      </c>
      <c r="O86" s="161">
        <f>SUM(P86:S86)</f>
        <v>79247</v>
      </c>
      <c r="P86" s="162">
        <v>0</v>
      </c>
      <c r="Q86" s="162">
        <v>79247</v>
      </c>
      <c r="R86" s="162">
        <v>0</v>
      </c>
      <c r="S86" s="162">
        <v>0</v>
      </c>
      <c r="T86" s="161">
        <f>SUM(U86:X86)</f>
        <v>123771</v>
      </c>
      <c r="U86" s="162">
        <v>0</v>
      </c>
      <c r="V86" s="162">
        <v>123771</v>
      </c>
      <c r="W86" s="162">
        <v>0</v>
      </c>
      <c r="X86" s="162">
        <v>0</v>
      </c>
      <c r="Y86" s="161">
        <f>SUM(Z86:AC86)</f>
        <v>128722</v>
      </c>
      <c r="Z86" s="162">
        <v>0</v>
      </c>
      <c r="AA86" s="162">
        <v>128722</v>
      </c>
      <c r="AB86" s="162">
        <v>0</v>
      </c>
      <c r="AC86" s="162">
        <v>0</v>
      </c>
      <c r="AD86" s="161">
        <f>E86+J86+O86+T86+Y86</f>
        <v>471198</v>
      </c>
      <c r="AE86" s="60"/>
      <c r="AF86" s="60"/>
      <c r="AG86" s="60"/>
      <c r="AH86" s="60"/>
    </row>
    <row r="87" spans="1:198" s="8" customFormat="1" ht="181.5" customHeight="1" x14ac:dyDescent="0.2">
      <c r="A87" s="105" t="s">
        <v>111</v>
      </c>
      <c r="B87" s="163" t="s">
        <v>126</v>
      </c>
      <c r="C87" s="103" t="s">
        <v>20</v>
      </c>
      <c r="D87" s="136" t="s">
        <v>443</v>
      </c>
      <c r="E87" s="130">
        <f>F87+G87+H87+I87</f>
        <v>46453</v>
      </c>
      <c r="F87" s="126">
        <v>46453</v>
      </c>
      <c r="G87" s="126">
        <v>0</v>
      </c>
      <c r="H87" s="126">
        <v>0</v>
      </c>
      <c r="I87" s="126">
        <v>0</v>
      </c>
      <c r="J87" s="130">
        <f>K87+L87+M87+N87</f>
        <v>22124</v>
      </c>
      <c r="K87" s="126">
        <v>22124</v>
      </c>
      <c r="L87" s="126">
        <v>0</v>
      </c>
      <c r="M87" s="126">
        <v>0</v>
      </c>
      <c r="N87" s="126">
        <v>0</v>
      </c>
      <c r="O87" s="130">
        <f>SUM(P87:S87)</f>
        <v>0</v>
      </c>
      <c r="P87" s="126">
        <v>0</v>
      </c>
      <c r="Q87" s="126">
        <v>0</v>
      </c>
      <c r="R87" s="126">
        <v>0</v>
      </c>
      <c r="S87" s="126">
        <v>0</v>
      </c>
      <c r="T87" s="130">
        <f>SUM(U87:X87)</f>
        <v>2727901</v>
      </c>
      <c r="U87" s="126">
        <v>54901</v>
      </c>
      <c r="V87" s="126">
        <v>2673000</v>
      </c>
      <c r="W87" s="126">
        <v>0</v>
      </c>
      <c r="X87" s="126">
        <v>0</v>
      </c>
      <c r="Y87" s="130">
        <f>SUM(Z87:AC87)</f>
        <v>2832017</v>
      </c>
      <c r="Z87" s="126">
        <v>57047</v>
      </c>
      <c r="AA87" s="126">
        <v>2774970</v>
      </c>
      <c r="AB87" s="126">
        <v>0</v>
      </c>
      <c r="AC87" s="126">
        <v>0</v>
      </c>
      <c r="AD87" s="130">
        <f>E87+J87+O87+T87+Y87</f>
        <v>5628495</v>
      </c>
      <c r="AE87" s="60"/>
      <c r="AF87" s="60"/>
      <c r="AG87" s="60"/>
      <c r="AH87" s="60"/>
    </row>
    <row r="88" spans="1:198" s="8" customFormat="1" ht="286.5" customHeight="1" x14ac:dyDescent="0.2">
      <c r="A88" s="105" t="s">
        <v>112</v>
      </c>
      <c r="B88" s="163" t="s">
        <v>198</v>
      </c>
      <c r="C88" s="103" t="s">
        <v>20</v>
      </c>
      <c r="D88" s="136" t="s">
        <v>177</v>
      </c>
      <c r="E88" s="130">
        <f>F88+G88+H88+I88</f>
        <v>5736</v>
      </c>
      <c r="F88" s="126">
        <v>5736</v>
      </c>
      <c r="G88" s="126">
        <v>0</v>
      </c>
      <c r="H88" s="126">
        <v>0</v>
      </c>
      <c r="I88" s="126">
        <v>0</v>
      </c>
      <c r="J88" s="130">
        <f>K88+L88+M88+N88</f>
        <v>5966</v>
      </c>
      <c r="K88" s="126">
        <v>5966</v>
      </c>
      <c r="L88" s="126">
        <v>0</v>
      </c>
      <c r="M88" s="126">
        <v>0</v>
      </c>
      <c r="N88" s="126">
        <v>0</v>
      </c>
      <c r="O88" s="130">
        <f>SUM(P88:S88)</f>
        <v>6205</v>
      </c>
      <c r="P88" s="126">
        <v>6205</v>
      </c>
      <c r="Q88" s="126">
        <v>0</v>
      </c>
      <c r="R88" s="126">
        <v>0</v>
      </c>
      <c r="S88" s="126">
        <v>0</v>
      </c>
      <c r="T88" s="130">
        <f>SUM(U88:X88)</f>
        <v>3154</v>
      </c>
      <c r="U88" s="126">
        <v>3154</v>
      </c>
      <c r="V88" s="126">
        <v>0</v>
      </c>
      <c r="W88" s="126">
        <v>0</v>
      </c>
      <c r="X88" s="126">
        <v>0</v>
      </c>
      <c r="Y88" s="130">
        <f>SUM(Z88:AC88)</f>
        <v>3280</v>
      </c>
      <c r="Z88" s="126">
        <v>3280</v>
      </c>
      <c r="AA88" s="126">
        <v>0</v>
      </c>
      <c r="AB88" s="126">
        <v>0</v>
      </c>
      <c r="AC88" s="126">
        <v>0</v>
      </c>
      <c r="AD88" s="130">
        <f>E88+J88+O88+T88+Y88</f>
        <v>24341</v>
      </c>
      <c r="AE88" s="60"/>
      <c r="AF88" s="60"/>
      <c r="AG88" s="60"/>
      <c r="AH88" s="60"/>
    </row>
    <row r="89" spans="1:198" s="12" customFormat="1" ht="39" customHeight="1" x14ac:dyDescent="0.2">
      <c r="A89" s="117" t="s">
        <v>15</v>
      </c>
      <c r="B89" s="310" t="s">
        <v>199</v>
      </c>
      <c r="C89" s="310"/>
      <c r="D89" s="310"/>
      <c r="E89" s="310"/>
      <c r="F89" s="310"/>
      <c r="G89" s="310"/>
      <c r="H89" s="310"/>
      <c r="I89" s="310"/>
      <c r="J89" s="310"/>
      <c r="K89" s="310"/>
      <c r="L89" s="310"/>
      <c r="M89" s="310"/>
      <c r="N89" s="310"/>
      <c r="O89" s="310"/>
      <c r="P89" s="310"/>
      <c r="Q89" s="310"/>
      <c r="R89" s="310"/>
      <c r="S89" s="310"/>
      <c r="T89" s="310"/>
      <c r="U89" s="310"/>
      <c r="V89" s="310"/>
      <c r="W89" s="310"/>
      <c r="X89" s="310"/>
      <c r="Y89" s="310"/>
      <c r="Z89" s="310"/>
      <c r="AA89" s="310"/>
      <c r="AB89" s="310"/>
      <c r="AC89" s="310"/>
      <c r="AD89" s="311"/>
      <c r="AE89" s="60"/>
      <c r="AF89" s="60"/>
      <c r="AG89" s="60"/>
      <c r="AH89" s="60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78"/>
      <c r="EE89" s="78"/>
      <c r="EF89" s="78"/>
      <c r="EG89" s="78"/>
      <c r="EH89" s="78"/>
      <c r="EI89" s="78"/>
      <c r="EJ89" s="78"/>
      <c r="EK89" s="78"/>
      <c r="EL89" s="78"/>
      <c r="EM89" s="78"/>
      <c r="EN89" s="78"/>
      <c r="EO89" s="78"/>
      <c r="EP89" s="78"/>
      <c r="EQ89" s="78"/>
      <c r="ER89" s="78"/>
      <c r="ES89" s="78"/>
      <c r="ET89" s="78"/>
      <c r="EU89" s="78"/>
      <c r="EV89" s="78"/>
      <c r="EW89" s="78"/>
      <c r="EX89" s="78"/>
      <c r="EY89" s="78"/>
      <c r="EZ89" s="78"/>
      <c r="FA89" s="78"/>
      <c r="FB89" s="78"/>
      <c r="FC89" s="78"/>
      <c r="FD89" s="78"/>
      <c r="FE89" s="78"/>
      <c r="FF89" s="78"/>
      <c r="FG89" s="78"/>
      <c r="FH89" s="78"/>
      <c r="FI89" s="78"/>
      <c r="FJ89" s="78"/>
      <c r="FK89" s="78"/>
      <c r="FL89" s="78"/>
      <c r="FM89" s="78"/>
      <c r="FN89" s="78"/>
      <c r="FO89" s="78"/>
      <c r="FP89" s="78"/>
      <c r="FQ89" s="78"/>
      <c r="FR89" s="78"/>
      <c r="FS89" s="78"/>
      <c r="FT89" s="78"/>
      <c r="FU89" s="78"/>
      <c r="FV89" s="78"/>
      <c r="FW89" s="78"/>
      <c r="FX89" s="78"/>
      <c r="FY89" s="78"/>
      <c r="FZ89" s="78"/>
      <c r="GA89" s="78"/>
      <c r="GB89" s="78"/>
      <c r="GC89" s="78"/>
      <c r="GD89" s="78"/>
      <c r="GE89" s="78"/>
      <c r="GF89" s="78"/>
      <c r="GG89" s="78"/>
      <c r="GH89" s="78"/>
      <c r="GI89" s="78"/>
      <c r="GJ89" s="78"/>
      <c r="GK89" s="78"/>
      <c r="GL89" s="78"/>
      <c r="GM89" s="78"/>
      <c r="GN89" s="78"/>
      <c r="GO89" s="78"/>
      <c r="GP89" s="78"/>
    </row>
    <row r="90" spans="1:198" s="8" customFormat="1" ht="90" customHeight="1" x14ac:dyDescent="0.2">
      <c r="A90" s="149" t="s">
        <v>97</v>
      </c>
      <c r="B90" s="164" t="s">
        <v>308</v>
      </c>
      <c r="C90" s="103" t="s">
        <v>20</v>
      </c>
      <c r="D90" s="136" t="s">
        <v>404</v>
      </c>
      <c r="E90" s="130">
        <f>F90+G90+H90+I90</f>
        <v>48682</v>
      </c>
      <c r="F90" s="126">
        <v>48682</v>
      </c>
      <c r="G90" s="126">
        <v>0</v>
      </c>
      <c r="H90" s="126">
        <v>0</v>
      </c>
      <c r="I90" s="126">
        <v>0</v>
      </c>
      <c r="J90" s="130">
        <f>K90+L90+M90+N90</f>
        <v>48682</v>
      </c>
      <c r="K90" s="126">
        <v>48682</v>
      </c>
      <c r="L90" s="126">
        <v>0</v>
      </c>
      <c r="M90" s="126">
        <v>0</v>
      </c>
      <c r="N90" s="126">
        <v>0</v>
      </c>
      <c r="O90" s="130">
        <f t="shared" ref="O90" si="66">SUM(P90:S90)</f>
        <v>16250</v>
      </c>
      <c r="P90" s="126">
        <v>16250</v>
      </c>
      <c r="Q90" s="126">
        <v>0</v>
      </c>
      <c r="R90" s="126">
        <v>0</v>
      </c>
      <c r="S90" s="126">
        <v>0</v>
      </c>
      <c r="T90" s="130">
        <f>SUM(U90:X90)</f>
        <v>0</v>
      </c>
      <c r="U90" s="126">
        <v>0</v>
      </c>
      <c r="V90" s="126">
        <v>0</v>
      </c>
      <c r="W90" s="126">
        <v>0</v>
      </c>
      <c r="X90" s="126">
        <v>0</v>
      </c>
      <c r="Y90" s="130">
        <f>SUM(Z90:AC90)</f>
        <v>0</v>
      </c>
      <c r="Z90" s="126">
        <v>0</v>
      </c>
      <c r="AA90" s="126">
        <v>0</v>
      </c>
      <c r="AB90" s="126">
        <v>0</v>
      </c>
      <c r="AC90" s="126">
        <v>0</v>
      </c>
      <c r="AD90" s="130">
        <f>E90+J90+O90+T90+Y90</f>
        <v>113614</v>
      </c>
      <c r="AE90" s="86"/>
      <c r="AF90" s="86"/>
      <c r="AG90" s="86"/>
      <c r="AH90" s="86"/>
    </row>
    <row r="91" spans="1:198" s="4" customFormat="1" ht="42" customHeight="1" x14ac:dyDescent="0.25">
      <c r="A91" s="329" t="s">
        <v>19</v>
      </c>
      <c r="B91" s="330"/>
      <c r="C91" s="331"/>
      <c r="D91" s="165"/>
      <c r="E91" s="113">
        <f>SUM(F91:I91)</f>
        <v>183607</v>
      </c>
      <c r="F91" s="113">
        <f>SUM(F83:F90)</f>
        <v>123396</v>
      </c>
      <c r="G91" s="113">
        <f>SUM(G83:G90)</f>
        <v>60211</v>
      </c>
      <c r="H91" s="113">
        <f>SUM(H83:H89)</f>
        <v>0</v>
      </c>
      <c r="I91" s="113">
        <f>SUM(I83:I90)</f>
        <v>0</v>
      </c>
      <c r="J91" s="113">
        <f>SUM(K91:N91)</f>
        <v>178570</v>
      </c>
      <c r="K91" s="113">
        <f>SUM(K83:K90)</f>
        <v>99323</v>
      </c>
      <c r="L91" s="113">
        <f>SUM(L83:L90)</f>
        <v>79247</v>
      </c>
      <c r="M91" s="113">
        <f>SUM(M83:M89)</f>
        <v>0</v>
      </c>
      <c r="N91" s="113">
        <f>SUM(N83:N89)</f>
        <v>0</v>
      </c>
      <c r="O91" s="113">
        <f>SUM(P91:S91)</f>
        <v>124073</v>
      </c>
      <c r="P91" s="113">
        <f>SUM(P83:P90)</f>
        <v>44826</v>
      </c>
      <c r="Q91" s="113">
        <f>SUM(Q83:Q90)</f>
        <v>79247</v>
      </c>
      <c r="R91" s="113">
        <f>SUM(R83:R90)</f>
        <v>0</v>
      </c>
      <c r="S91" s="113">
        <f>SUM(S83:S90)</f>
        <v>0</v>
      </c>
      <c r="T91" s="113">
        <f>SUM(U91:X91)</f>
        <v>2878771</v>
      </c>
      <c r="U91" s="113">
        <f>SUM(U83:U90)</f>
        <v>82000</v>
      </c>
      <c r="V91" s="113">
        <f>SUM(V83:V90)</f>
        <v>2796771</v>
      </c>
      <c r="W91" s="113">
        <f>SUM(W83:W90)</f>
        <v>0</v>
      </c>
      <c r="X91" s="113">
        <f>SUM(X83:X90)</f>
        <v>0</v>
      </c>
      <c r="Y91" s="113">
        <f>SUM(Z91:AC91)</f>
        <v>2988922</v>
      </c>
      <c r="Z91" s="113">
        <f>SUM(Z83:Z90)</f>
        <v>85230</v>
      </c>
      <c r="AA91" s="113">
        <f>SUM(AA83:AA90)</f>
        <v>2903692</v>
      </c>
      <c r="AB91" s="113">
        <f>SUM(AB83:AB90)</f>
        <v>0</v>
      </c>
      <c r="AC91" s="113">
        <f>SUM(AC83:AC90)</f>
        <v>0</v>
      </c>
      <c r="AD91" s="113">
        <f>SUM(AD83:AD90)</f>
        <v>6353943</v>
      </c>
      <c r="AE91" s="64">
        <f>F91+K91+P91+U91+Z91</f>
        <v>434775</v>
      </c>
      <c r="AF91" s="64">
        <f>G91+L91+Q91+V91+AA91</f>
        <v>5919168</v>
      </c>
      <c r="AG91" s="64">
        <f t="shared" ref="AG91:AH92" si="67">H91+M91+R91+W91+AB91</f>
        <v>0</v>
      </c>
      <c r="AH91" s="64">
        <f t="shared" si="67"/>
        <v>0</v>
      </c>
    </row>
    <row r="92" spans="1:198" s="4" customFormat="1" ht="42" customHeight="1" x14ac:dyDescent="0.25">
      <c r="A92" s="314" t="s">
        <v>210</v>
      </c>
      <c r="B92" s="314"/>
      <c r="C92" s="314"/>
      <c r="D92" s="165"/>
      <c r="E92" s="113">
        <f t="shared" ref="E92:AC92" si="68">E42+E68+E78+E91</f>
        <v>1508736</v>
      </c>
      <c r="F92" s="113">
        <f t="shared" si="68"/>
        <v>1448525</v>
      </c>
      <c r="G92" s="113">
        <f t="shared" si="68"/>
        <v>60211</v>
      </c>
      <c r="H92" s="113">
        <f t="shared" si="68"/>
        <v>0</v>
      </c>
      <c r="I92" s="113">
        <f t="shared" si="68"/>
        <v>0</v>
      </c>
      <c r="J92" s="113">
        <f t="shared" si="68"/>
        <v>1512510</v>
      </c>
      <c r="K92" s="113">
        <f t="shared" si="68"/>
        <v>1433263</v>
      </c>
      <c r="L92" s="113">
        <f t="shared" si="68"/>
        <v>79247</v>
      </c>
      <c r="M92" s="113">
        <f t="shared" si="68"/>
        <v>0</v>
      </c>
      <c r="N92" s="113">
        <f t="shared" si="68"/>
        <v>0</v>
      </c>
      <c r="O92" s="113">
        <f t="shared" si="68"/>
        <v>1562806</v>
      </c>
      <c r="P92" s="113">
        <f t="shared" si="68"/>
        <v>1483559</v>
      </c>
      <c r="Q92" s="113">
        <f t="shared" si="68"/>
        <v>79247</v>
      </c>
      <c r="R92" s="113">
        <f t="shared" si="68"/>
        <v>0</v>
      </c>
      <c r="S92" s="113">
        <f t="shared" si="68"/>
        <v>0</v>
      </c>
      <c r="T92" s="113">
        <f t="shared" si="68"/>
        <v>5926533</v>
      </c>
      <c r="U92" s="113">
        <f t="shared" si="68"/>
        <v>1877053</v>
      </c>
      <c r="V92" s="113">
        <f t="shared" si="68"/>
        <v>4049480</v>
      </c>
      <c r="W92" s="113">
        <f t="shared" si="68"/>
        <v>0</v>
      </c>
      <c r="X92" s="113">
        <f t="shared" si="68"/>
        <v>0</v>
      </c>
      <c r="Y92" s="113">
        <f t="shared" si="68"/>
        <v>5964640</v>
      </c>
      <c r="Z92" s="113">
        <f t="shared" si="68"/>
        <v>2056394</v>
      </c>
      <c r="AA92" s="113">
        <f t="shared" si="68"/>
        <v>3908246</v>
      </c>
      <c r="AB92" s="113">
        <f t="shared" si="68"/>
        <v>0</v>
      </c>
      <c r="AC92" s="113">
        <f t="shared" si="68"/>
        <v>0</v>
      </c>
      <c r="AD92" s="113">
        <f>E92+J92+O92+T92+Y92</f>
        <v>16475225</v>
      </c>
      <c r="AE92" s="64">
        <f>F92+K92+P92+U92+Z92</f>
        <v>8298794</v>
      </c>
      <c r="AF92" s="64">
        <f>G92+L92+Q92+V92+AA92</f>
        <v>8176431</v>
      </c>
      <c r="AG92" s="64">
        <f t="shared" si="67"/>
        <v>0</v>
      </c>
      <c r="AH92" s="64">
        <f t="shared" si="67"/>
        <v>0</v>
      </c>
    </row>
    <row r="93" spans="1:198" ht="42" customHeight="1" x14ac:dyDescent="0.25">
      <c r="A93" s="166"/>
      <c r="B93" s="167"/>
      <c r="C93" s="168"/>
      <c r="D93" s="166"/>
      <c r="E93" s="169"/>
      <c r="F93" s="166"/>
      <c r="G93" s="166"/>
      <c r="H93" s="166"/>
      <c r="I93" s="166"/>
      <c r="J93" s="170"/>
      <c r="K93" s="166"/>
      <c r="L93" s="166"/>
      <c r="M93" s="171"/>
      <c r="N93" s="171"/>
      <c r="O93" s="172"/>
      <c r="P93" s="171"/>
      <c r="Q93" s="171"/>
      <c r="R93" s="166"/>
      <c r="S93" s="166"/>
      <c r="T93" s="170"/>
      <c r="U93" s="166"/>
      <c r="V93" s="166"/>
      <c r="W93" s="166"/>
      <c r="X93" s="166"/>
      <c r="Y93" s="170"/>
      <c r="Z93" s="166"/>
      <c r="AA93" s="166"/>
      <c r="AB93" s="166"/>
      <c r="AC93" s="166"/>
      <c r="AD93" s="173"/>
      <c r="AE93" s="77"/>
      <c r="AF93" s="77"/>
      <c r="AG93" s="77"/>
      <c r="AH93" s="77"/>
    </row>
    <row r="94" spans="1:198" ht="42" customHeight="1" x14ac:dyDescent="0.25">
      <c r="A94" s="67"/>
      <c r="B94" s="70"/>
      <c r="C94" s="71"/>
      <c r="D94" s="67"/>
      <c r="E94" s="72"/>
      <c r="F94" s="67"/>
      <c r="G94" s="67"/>
      <c r="H94" s="67"/>
      <c r="I94" s="67"/>
      <c r="J94" s="72"/>
      <c r="K94" s="67"/>
      <c r="L94" s="67"/>
      <c r="M94" s="67"/>
      <c r="N94" s="67"/>
      <c r="O94" s="72"/>
      <c r="P94" s="67"/>
      <c r="Q94" s="67"/>
      <c r="R94" s="67"/>
      <c r="S94" s="67"/>
      <c r="T94" s="72"/>
      <c r="U94" s="67"/>
      <c r="V94" s="67"/>
      <c r="W94" s="67"/>
      <c r="X94" s="67"/>
      <c r="Y94" s="72"/>
      <c r="Z94" s="67"/>
      <c r="AA94" s="67"/>
      <c r="AB94" s="67"/>
      <c r="AC94" s="67"/>
      <c r="AD94" s="73"/>
      <c r="AE94" s="76"/>
      <c r="AF94" s="76"/>
      <c r="AG94" s="76"/>
      <c r="AH94" s="76"/>
    </row>
  </sheetData>
  <mergeCells count="47">
    <mergeCell ref="A91:C91"/>
    <mergeCell ref="B89:AD89"/>
    <mergeCell ref="A81:AD81"/>
    <mergeCell ref="A80:AD80"/>
    <mergeCell ref="B79:AD79"/>
    <mergeCell ref="B82:AD82"/>
    <mergeCell ref="B84:AD84"/>
    <mergeCell ref="A92:C92"/>
    <mergeCell ref="AA1:AD1"/>
    <mergeCell ref="AA2:AD2"/>
    <mergeCell ref="Y5:AC5"/>
    <mergeCell ref="O5:S5"/>
    <mergeCell ref="A8:AD8"/>
    <mergeCell ref="B4:B6"/>
    <mergeCell ref="C4:C6"/>
    <mergeCell ref="E5:I5"/>
    <mergeCell ref="A4:A6"/>
    <mergeCell ref="J5:N5"/>
    <mergeCell ref="T5:X5"/>
    <mergeCell ref="B3:AD3"/>
    <mergeCell ref="D4:D6"/>
    <mergeCell ref="E4:AC4"/>
    <mergeCell ref="AD4:AD6"/>
    <mergeCell ref="A68:C68"/>
    <mergeCell ref="B51:AD51"/>
    <mergeCell ref="B58:AD58"/>
    <mergeCell ref="B66:AD66"/>
    <mergeCell ref="A59:A60"/>
    <mergeCell ref="C59:C60"/>
    <mergeCell ref="B9:AD9"/>
    <mergeCell ref="A42:C42"/>
    <mergeCell ref="B46:AD46"/>
    <mergeCell ref="B43:AD43"/>
    <mergeCell ref="B21:AD21"/>
    <mergeCell ref="B32:AD32"/>
    <mergeCell ref="B34:AD34"/>
    <mergeCell ref="B12:AD12"/>
    <mergeCell ref="A10:AD10"/>
    <mergeCell ref="A11:AD11"/>
    <mergeCell ref="A44:AD44"/>
    <mergeCell ref="A45:AD45"/>
    <mergeCell ref="B72:AD72"/>
    <mergeCell ref="B69:AD69"/>
    <mergeCell ref="B75:AD75"/>
    <mergeCell ref="A71:AD71"/>
    <mergeCell ref="A78:C78"/>
    <mergeCell ref="A70:AD70"/>
  </mergeCells>
  <phoneticPr fontId="5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47" fitToHeight="0" orientation="landscape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8"/>
  <sheetViews>
    <sheetView tabSelected="1" view="pageBreakPreview" zoomScale="90" zoomScaleNormal="100" zoomScaleSheetLayoutView="90" workbookViewId="0">
      <pane ySplit="9" topLeftCell="A10" activePane="bottomLeft" state="frozen"/>
      <selection pane="bottomLeft" activeCell="G16" sqref="G16"/>
    </sheetView>
  </sheetViews>
  <sheetFormatPr defaultColWidth="9.140625" defaultRowHeight="12.75" x14ac:dyDescent="0.2"/>
  <cols>
    <col min="1" max="1" width="6.140625" style="14" customWidth="1"/>
    <col min="2" max="2" width="47.28515625" style="14" customWidth="1"/>
    <col min="3" max="3" width="52.28515625" style="14" customWidth="1"/>
    <col min="4" max="4" width="8.85546875" style="14"/>
    <col min="5" max="5" width="15.42578125" style="14" customWidth="1"/>
    <col min="6" max="6" width="13.140625" style="14" customWidth="1"/>
    <col min="7" max="7" width="11.5703125" style="14" customWidth="1"/>
    <col min="8" max="8" width="14" style="14" customWidth="1"/>
    <col min="9" max="9" width="13.85546875" style="14" customWidth="1"/>
    <col min="10" max="10" width="13.42578125" style="14" customWidth="1"/>
    <col min="11" max="16" width="9.140625" style="14"/>
    <col min="17" max="17" width="14.140625" style="14" customWidth="1"/>
    <col min="18" max="16384" width="9.140625" style="14"/>
  </cols>
  <sheetData>
    <row r="1" spans="1:14" ht="76.5" customHeight="1" x14ac:dyDescent="0.2">
      <c r="G1" s="348" t="s">
        <v>434</v>
      </c>
      <c r="H1" s="348"/>
      <c r="I1" s="348"/>
      <c r="J1" s="348"/>
    </row>
    <row r="2" spans="1:14" ht="95.25" customHeight="1" x14ac:dyDescent="0.2">
      <c r="G2" s="290" t="s">
        <v>184</v>
      </c>
      <c r="H2" s="290"/>
      <c r="I2" s="290"/>
      <c r="J2" s="290"/>
    </row>
    <row r="3" spans="1:14" ht="12.75" customHeight="1" x14ac:dyDescent="0.2">
      <c r="A3" s="20"/>
      <c r="B3" s="24"/>
      <c r="C3" s="25"/>
      <c r="D3" s="26"/>
      <c r="E3" s="27"/>
      <c r="F3" s="27"/>
      <c r="G3" s="27"/>
      <c r="H3" s="27"/>
      <c r="I3" s="27"/>
      <c r="J3" s="27"/>
    </row>
    <row r="4" spans="1:14" ht="31.5" customHeight="1" x14ac:dyDescent="0.2">
      <c r="A4" s="355" t="s">
        <v>391</v>
      </c>
      <c r="B4" s="356"/>
      <c r="C4" s="356"/>
      <c r="D4" s="356"/>
      <c r="E4" s="356"/>
      <c r="F4" s="355"/>
      <c r="G4" s="355"/>
      <c r="H4" s="355"/>
      <c r="I4" s="355"/>
      <c r="J4" s="355"/>
    </row>
    <row r="5" spans="1:14" ht="18.75" customHeight="1" x14ac:dyDescent="0.2">
      <c r="A5" s="324" t="s">
        <v>32</v>
      </c>
      <c r="B5" s="349" t="s">
        <v>40</v>
      </c>
      <c r="C5" s="351" t="s">
        <v>41</v>
      </c>
      <c r="D5" s="351" t="s">
        <v>42</v>
      </c>
      <c r="E5" s="353" t="s">
        <v>43</v>
      </c>
      <c r="F5" s="351" t="s">
        <v>44</v>
      </c>
      <c r="G5" s="351"/>
      <c r="H5" s="352"/>
      <c r="I5" s="352"/>
      <c r="J5" s="352"/>
    </row>
    <row r="6" spans="1:14" ht="7.5" customHeight="1" x14ac:dyDescent="0.2">
      <c r="A6" s="324"/>
      <c r="B6" s="350"/>
      <c r="C6" s="351"/>
      <c r="D6" s="352"/>
      <c r="E6" s="354"/>
      <c r="F6" s="352"/>
      <c r="G6" s="352"/>
      <c r="H6" s="352"/>
      <c r="I6" s="352"/>
      <c r="J6" s="352"/>
    </row>
    <row r="7" spans="1:14" ht="9" customHeight="1" x14ac:dyDescent="0.2">
      <c r="A7" s="324"/>
      <c r="B7" s="350"/>
      <c r="C7" s="351"/>
      <c r="D7" s="352"/>
      <c r="E7" s="354"/>
      <c r="F7" s="324">
        <v>2026</v>
      </c>
      <c r="G7" s="324">
        <v>2027</v>
      </c>
      <c r="H7" s="324">
        <v>2028</v>
      </c>
      <c r="I7" s="324">
        <v>2029</v>
      </c>
      <c r="J7" s="324">
        <v>2030</v>
      </c>
    </row>
    <row r="8" spans="1:14" ht="12" customHeight="1" x14ac:dyDescent="0.2">
      <c r="A8" s="324"/>
      <c r="B8" s="350"/>
      <c r="C8" s="351"/>
      <c r="D8" s="352"/>
      <c r="E8" s="354"/>
      <c r="F8" s="324"/>
      <c r="G8" s="324"/>
      <c r="H8" s="324"/>
      <c r="I8" s="324"/>
      <c r="J8" s="324"/>
    </row>
    <row r="9" spans="1:14" x14ac:dyDescent="0.2">
      <c r="A9" s="98">
        <v>1</v>
      </c>
      <c r="B9" s="98">
        <v>2</v>
      </c>
      <c r="C9" s="98">
        <v>3</v>
      </c>
      <c r="D9" s="98">
        <v>4</v>
      </c>
      <c r="E9" s="98">
        <v>5</v>
      </c>
      <c r="F9" s="98">
        <v>6</v>
      </c>
      <c r="G9" s="98">
        <v>7</v>
      </c>
      <c r="H9" s="98">
        <v>8</v>
      </c>
      <c r="I9" s="98">
        <v>9</v>
      </c>
      <c r="J9" s="98">
        <v>10</v>
      </c>
    </row>
    <row r="10" spans="1:14" ht="25.5" customHeight="1" x14ac:dyDescent="0.2">
      <c r="A10" s="340" t="s">
        <v>132</v>
      </c>
      <c r="B10" s="340"/>
      <c r="C10" s="340"/>
      <c r="D10" s="340"/>
      <c r="E10" s="340"/>
      <c r="F10" s="340"/>
      <c r="G10" s="340"/>
      <c r="H10" s="340"/>
      <c r="I10" s="340"/>
      <c r="J10" s="340"/>
    </row>
    <row r="11" spans="1:14" ht="27.75" customHeight="1" x14ac:dyDescent="0.2">
      <c r="A11" s="87" t="s">
        <v>98</v>
      </c>
      <c r="B11" s="345" t="s">
        <v>173</v>
      </c>
      <c r="C11" s="346"/>
      <c r="D11" s="346"/>
      <c r="E11" s="346"/>
      <c r="F11" s="346"/>
      <c r="G11" s="346"/>
      <c r="H11" s="346"/>
      <c r="I11" s="346"/>
      <c r="J11" s="347"/>
    </row>
    <row r="12" spans="1:14" ht="17.45" customHeight="1" x14ac:dyDescent="0.2">
      <c r="A12" s="341" t="s">
        <v>174</v>
      </c>
      <c r="B12" s="342"/>
      <c r="C12" s="342"/>
      <c r="D12" s="342"/>
      <c r="E12" s="342"/>
      <c r="F12" s="342"/>
      <c r="G12" s="342"/>
      <c r="H12" s="342"/>
      <c r="I12" s="342"/>
      <c r="J12" s="343"/>
    </row>
    <row r="13" spans="1:14" ht="25.15" customHeight="1" x14ac:dyDescent="0.2">
      <c r="A13" s="344" t="s">
        <v>175</v>
      </c>
      <c r="B13" s="344"/>
      <c r="C13" s="344"/>
      <c r="D13" s="344"/>
      <c r="E13" s="344"/>
      <c r="F13" s="344"/>
      <c r="G13" s="344"/>
      <c r="H13" s="344"/>
      <c r="I13" s="344"/>
      <c r="J13" s="344"/>
    </row>
    <row r="14" spans="1:14" ht="27.75" customHeight="1" x14ac:dyDescent="0.2">
      <c r="A14" s="174" t="s">
        <v>1</v>
      </c>
      <c r="B14" s="334" t="s">
        <v>176</v>
      </c>
      <c r="C14" s="335"/>
      <c r="D14" s="335"/>
      <c r="E14" s="335"/>
      <c r="F14" s="335"/>
      <c r="G14" s="335"/>
      <c r="H14" s="335"/>
      <c r="I14" s="335"/>
      <c r="J14" s="336"/>
    </row>
    <row r="15" spans="1:14" ht="39" customHeight="1" x14ac:dyDescent="0.2">
      <c r="A15" s="115" t="s">
        <v>4</v>
      </c>
      <c r="B15" s="175" t="s">
        <v>90</v>
      </c>
      <c r="C15" s="132" t="s">
        <v>161</v>
      </c>
      <c r="D15" s="176" t="s">
        <v>52</v>
      </c>
      <c r="E15" s="107" t="s">
        <v>46</v>
      </c>
      <c r="F15" s="107">
        <v>100</v>
      </c>
      <c r="G15" s="107">
        <v>100</v>
      </c>
      <c r="H15" s="107">
        <v>100</v>
      </c>
      <c r="I15" s="107">
        <v>100</v>
      </c>
      <c r="J15" s="107">
        <v>100</v>
      </c>
      <c r="K15" s="57"/>
      <c r="L15" s="74"/>
      <c r="M15" s="74"/>
      <c r="N15" s="74"/>
    </row>
    <row r="16" spans="1:14" ht="30" customHeight="1" x14ac:dyDescent="0.2">
      <c r="A16" s="141" t="s">
        <v>10</v>
      </c>
      <c r="B16" s="175" t="s">
        <v>203</v>
      </c>
      <c r="C16" s="132" t="s">
        <v>206</v>
      </c>
      <c r="D16" s="177" t="s">
        <v>45</v>
      </c>
      <c r="E16" s="107">
        <v>2</v>
      </c>
      <c r="F16" s="107">
        <v>2</v>
      </c>
      <c r="G16" s="107">
        <v>5</v>
      </c>
      <c r="H16" s="107">
        <v>2</v>
      </c>
      <c r="I16" s="107" t="s">
        <v>46</v>
      </c>
      <c r="J16" s="107" t="s">
        <v>46</v>
      </c>
      <c r="K16" s="57"/>
    </row>
    <row r="17" spans="1:10" ht="28.5" customHeight="1" x14ac:dyDescent="0.2">
      <c r="A17" s="141" t="s">
        <v>13</v>
      </c>
      <c r="B17" s="175" t="s">
        <v>178</v>
      </c>
      <c r="C17" s="132" t="s">
        <v>47</v>
      </c>
      <c r="D17" s="177" t="s">
        <v>45</v>
      </c>
      <c r="E17" s="108">
        <v>25</v>
      </c>
      <c r="F17" s="108">
        <v>8</v>
      </c>
      <c r="G17" s="108" t="s">
        <v>46</v>
      </c>
      <c r="H17" s="108" t="s">
        <v>46</v>
      </c>
      <c r="I17" s="108">
        <v>8</v>
      </c>
      <c r="J17" s="108">
        <v>8</v>
      </c>
    </row>
    <row r="18" spans="1:10" ht="27.75" customHeight="1" x14ac:dyDescent="0.2">
      <c r="A18" s="115" t="s">
        <v>100</v>
      </c>
      <c r="B18" s="175" t="s">
        <v>125</v>
      </c>
      <c r="C18" s="132" t="s">
        <v>124</v>
      </c>
      <c r="D18" s="178" t="s">
        <v>45</v>
      </c>
      <c r="E18" s="108">
        <v>8</v>
      </c>
      <c r="F18" s="108">
        <v>10</v>
      </c>
      <c r="G18" s="108">
        <v>10</v>
      </c>
      <c r="H18" s="108" t="s">
        <v>46</v>
      </c>
      <c r="I18" s="108">
        <v>10</v>
      </c>
      <c r="J18" s="108">
        <v>10</v>
      </c>
    </row>
    <row r="19" spans="1:10" ht="35.25" customHeight="1" x14ac:dyDescent="0.2">
      <c r="A19" s="315" t="s">
        <v>101</v>
      </c>
      <c r="B19" s="361" t="s">
        <v>320</v>
      </c>
      <c r="C19" s="208" t="s">
        <v>202</v>
      </c>
      <c r="D19" s="207" t="s">
        <v>45</v>
      </c>
      <c r="E19" s="107">
        <v>11</v>
      </c>
      <c r="F19" s="107">
        <v>2</v>
      </c>
      <c r="G19" s="107">
        <v>1</v>
      </c>
      <c r="H19" s="107">
        <v>1</v>
      </c>
      <c r="I19" s="179" t="s">
        <v>46</v>
      </c>
      <c r="J19" s="179" t="s">
        <v>46</v>
      </c>
    </row>
    <row r="20" spans="1:10" ht="28.5" customHeight="1" x14ac:dyDescent="0.2">
      <c r="A20" s="316"/>
      <c r="B20" s="362"/>
      <c r="C20" s="208" t="s">
        <v>321</v>
      </c>
      <c r="D20" s="207" t="s">
        <v>45</v>
      </c>
      <c r="E20" s="107" t="s">
        <v>46</v>
      </c>
      <c r="F20" s="107">
        <v>1</v>
      </c>
      <c r="G20" s="107" t="s">
        <v>46</v>
      </c>
      <c r="H20" s="107" t="s">
        <v>46</v>
      </c>
      <c r="I20" s="107" t="s">
        <v>46</v>
      </c>
      <c r="J20" s="107" t="s">
        <v>46</v>
      </c>
    </row>
    <row r="21" spans="1:10" ht="30" customHeight="1" x14ac:dyDescent="0.2">
      <c r="A21" s="141" t="s">
        <v>102</v>
      </c>
      <c r="B21" s="175" t="s">
        <v>204</v>
      </c>
      <c r="C21" s="132" t="s">
        <v>263</v>
      </c>
      <c r="D21" s="209" t="s">
        <v>45</v>
      </c>
      <c r="E21" s="108">
        <v>1</v>
      </c>
      <c r="F21" s="108" t="s">
        <v>46</v>
      </c>
      <c r="G21" s="108" t="s">
        <v>46</v>
      </c>
      <c r="H21" s="108">
        <v>2</v>
      </c>
      <c r="I21" s="108" t="s">
        <v>46</v>
      </c>
      <c r="J21" s="108" t="s">
        <v>46</v>
      </c>
    </row>
    <row r="22" spans="1:10" ht="29.25" customHeight="1" x14ac:dyDescent="0.2">
      <c r="A22" s="141" t="s">
        <v>103</v>
      </c>
      <c r="B22" s="175" t="s">
        <v>83</v>
      </c>
      <c r="C22" s="132" t="s">
        <v>300</v>
      </c>
      <c r="D22" s="209" t="s">
        <v>45</v>
      </c>
      <c r="E22" s="108">
        <v>3</v>
      </c>
      <c r="F22" s="108">
        <v>1</v>
      </c>
      <c r="G22" s="180">
        <v>5</v>
      </c>
      <c r="H22" s="180">
        <v>5</v>
      </c>
      <c r="I22" s="108" t="s">
        <v>46</v>
      </c>
      <c r="J22" s="108" t="s">
        <v>46</v>
      </c>
    </row>
    <row r="23" spans="1:10" ht="32.25" customHeight="1" x14ac:dyDescent="0.2">
      <c r="A23" s="141" t="s">
        <v>402</v>
      </c>
      <c r="B23" s="175" t="s">
        <v>405</v>
      </c>
      <c r="C23" s="132" t="s">
        <v>407</v>
      </c>
      <c r="D23" s="209" t="s">
        <v>45</v>
      </c>
      <c r="E23" s="108">
        <v>1</v>
      </c>
      <c r="F23" s="108">
        <v>6</v>
      </c>
      <c r="G23" s="108" t="s">
        <v>46</v>
      </c>
      <c r="H23" s="108" t="s">
        <v>46</v>
      </c>
      <c r="I23" s="108" t="s">
        <v>46</v>
      </c>
      <c r="J23" s="108" t="s">
        <v>46</v>
      </c>
    </row>
    <row r="24" spans="1:10" ht="36" customHeight="1" x14ac:dyDescent="0.2">
      <c r="A24" s="174" t="s">
        <v>6</v>
      </c>
      <c r="B24" s="334" t="s">
        <v>179</v>
      </c>
      <c r="C24" s="335"/>
      <c r="D24" s="335"/>
      <c r="E24" s="335"/>
      <c r="F24" s="335"/>
      <c r="G24" s="335"/>
      <c r="H24" s="335"/>
      <c r="I24" s="335"/>
      <c r="J24" s="336"/>
    </row>
    <row r="25" spans="1:10" ht="19.149999999999999" customHeight="1" x14ac:dyDescent="0.2">
      <c r="A25" s="357" t="s">
        <v>7</v>
      </c>
      <c r="B25" s="358" t="s">
        <v>77</v>
      </c>
      <c r="C25" s="132" t="s">
        <v>76</v>
      </c>
      <c r="D25" s="209" t="s">
        <v>48</v>
      </c>
      <c r="E25" s="181">
        <v>0.83599999999999997</v>
      </c>
      <c r="F25" s="182" t="s">
        <v>46</v>
      </c>
      <c r="G25" s="182" t="s">
        <v>46</v>
      </c>
      <c r="H25" s="182">
        <v>7.3999999999999996E-2</v>
      </c>
      <c r="I25" s="182" t="s">
        <v>46</v>
      </c>
      <c r="J25" s="182" t="s">
        <v>46</v>
      </c>
    </row>
    <row r="26" spans="1:10" ht="15" customHeight="1" x14ac:dyDescent="0.2">
      <c r="A26" s="357"/>
      <c r="B26" s="359"/>
      <c r="C26" s="132" t="s">
        <v>49</v>
      </c>
      <c r="D26" s="209" t="s">
        <v>45</v>
      </c>
      <c r="E26" s="141">
        <v>63</v>
      </c>
      <c r="F26" s="108">
        <v>4</v>
      </c>
      <c r="G26" s="108">
        <v>6</v>
      </c>
      <c r="H26" s="108">
        <v>6</v>
      </c>
      <c r="I26" s="108" t="s">
        <v>46</v>
      </c>
      <c r="J26" s="108" t="s">
        <v>46</v>
      </c>
    </row>
    <row r="27" spans="1:10" ht="19.899999999999999" customHeight="1" x14ac:dyDescent="0.2">
      <c r="A27" s="357"/>
      <c r="B27" s="360"/>
      <c r="C27" s="132" t="s">
        <v>80</v>
      </c>
      <c r="D27" s="209" t="s">
        <v>45</v>
      </c>
      <c r="E27" s="141">
        <v>612</v>
      </c>
      <c r="F27" s="108">
        <v>676</v>
      </c>
      <c r="G27" s="108">
        <v>250</v>
      </c>
      <c r="H27" s="108">
        <v>103</v>
      </c>
      <c r="I27" s="108">
        <v>565</v>
      </c>
      <c r="J27" s="108">
        <v>565</v>
      </c>
    </row>
    <row r="28" spans="1:10" ht="39.75" customHeight="1" x14ac:dyDescent="0.2">
      <c r="A28" s="141" t="s">
        <v>8</v>
      </c>
      <c r="B28" s="132" t="s">
        <v>78</v>
      </c>
      <c r="C28" s="132" t="s">
        <v>79</v>
      </c>
      <c r="D28" s="209" t="s">
        <v>45</v>
      </c>
      <c r="E28" s="108">
        <v>2731</v>
      </c>
      <c r="F28" s="108">
        <v>780</v>
      </c>
      <c r="G28" s="108">
        <v>755</v>
      </c>
      <c r="H28" s="108">
        <v>566</v>
      </c>
      <c r="I28" s="108">
        <v>2000</v>
      </c>
      <c r="J28" s="108">
        <v>2000</v>
      </c>
    </row>
    <row r="29" spans="1:10" ht="45.75" customHeight="1" x14ac:dyDescent="0.2">
      <c r="A29" s="141" t="s">
        <v>12</v>
      </c>
      <c r="B29" s="132" t="s">
        <v>187</v>
      </c>
      <c r="C29" s="132" t="s">
        <v>299</v>
      </c>
      <c r="D29" s="103" t="s">
        <v>45</v>
      </c>
      <c r="E29" s="141" t="s">
        <v>46</v>
      </c>
      <c r="F29" s="108" t="s">
        <v>46</v>
      </c>
      <c r="G29" s="108" t="s">
        <v>46</v>
      </c>
      <c r="H29" s="108" t="s">
        <v>46</v>
      </c>
      <c r="I29" s="108">
        <v>49</v>
      </c>
      <c r="J29" s="108">
        <v>49</v>
      </c>
    </row>
    <row r="30" spans="1:10" ht="36" customHeight="1" x14ac:dyDescent="0.2">
      <c r="A30" s="141" t="s">
        <v>104</v>
      </c>
      <c r="B30" s="132" t="s">
        <v>301</v>
      </c>
      <c r="C30" s="142" t="s">
        <v>263</v>
      </c>
      <c r="D30" s="103" t="s">
        <v>45</v>
      </c>
      <c r="E30" s="141">
        <v>1</v>
      </c>
      <c r="F30" s="108" t="s">
        <v>46</v>
      </c>
      <c r="G30" s="108" t="s">
        <v>46</v>
      </c>
      <c r="H30" s="108" t="s">
        <v>46</v>
      </c>
      <c r="I30" s="108" t="s">
        <v>46</v>
      </c>
      <c r="J30" s="108" t="s">
        <v>46</v>
      </c>
    </row>
    <row r="31" spans="1:10" ht="30.75" customHeight="1" x14ac:dyDescent="0.2">
      <c r="A31" s="141" t="s">
        <v>105</v>
      </c>
      <c r="B31" s="132" t="s">
        <v>302</v>
      </c>
      <c r="C31" s="132" t="s">
        <v>303</v>
      </c>
      <c r="D31" s="103" t="s">
        <v>45</v>
      </c>
      <c r="E31" s="141">
        <v>1</v>
      </c>
      <c r="F31" s="108" t="s">
        <v>46</v>
      </c>
      <c r="G31" s="108" t="s">
        <v>46</v>
      </c>
      <c r="H31" s="108" t="s">
        <v>46</v>
      </c>
      <c r="I31" s="108" t="s">
        <v>46</v>
      </c>
      <c r="J31" s="108" t="s">
        <v>46</v>
      </c>
    </row>
    <row r="32" spans="1:10" ht="28.5" customHeight="1" x14ac:dyDescent="0.2">
      <c r="A32" s="141" t="s">
        <v>294</v>
      </c>
      <c r="B32" s="132" t="s">
        <v>295</v>
      </c>
      <c r="C32" s="132" t="s">
        <v>296</v>
      </c>
      <c r="D32" s="103" t="s">
        <v>45</v>
      </c>
      <c r="E32" s="108" t="s">
        <v>46</v>
      </c>
      <c r="F32" s="108" t="s">
        <v>46</v>
      </c>
      <c r="G32" s="108" t="s">
        <v>46</v>
      </c>
      <c r="H32" s="108" t="s">
        <v>46</v>
      </c>
      <c r="I32" s="108" t="s">
        <v>46</v>
      </c>
      <c r="J32" s="108" t="s">
        <v>46</v>
      </c>
    </row>
    <row r="33" spans="1:10" ht="28.5" customHeight="1" x14ac:dyDescent="0.2">
      <c r="A33" s="315" t="s">
        <v>297</v>
      </c>
      <c r="B33" s="363" t="s">
        <v>35</v>
      </c>
      <c r="C33" s="132" t="s">
        <v>59</v>
      </c>
      <c r="D33" s="103" t="s">
        <v>45</v>
      </c>
      <c r="E33" s="108">
        <v>29</v>
      </c>
      <c r="F33" s="108">
        <v>29</v>
      </c>
      <c r="G33" s="183">
        <v>29</v>
      </c>
      <c r="H33" s="108">
        <v>29</v>
      </c>
      <c r="I33" s="108">
        <v>29</v>
      </c>
      <c r="J33" s="108">
        <v>29</v>
      </c>
    </row>
    <row r="34" spans="1:10" ht="29.25" customHeight="1" x14ac:dyDescent="0.2">
      <c r="A34" s="316"/>
      <c r="B34" s="364"/>
      <c r="C34" s="132" t="s">
        <v>323</v>
      </c>
      <c r="D34" s="184" t="s">
        <v>52</v>
      </c>
      <c r="E34" s="108" t="s">
        <v>46</v>
      </c>
      <c r="F34" s="108">
        <v>100</v>
      </c>
      <c r="G34" s="183">
        <v>100</v>
      </c>
      <c r="H34" s="108">
        <v>100</v>
      </c>
      <c r="I34" s="108">
        <v>100</v>
      </c>
      <c r="J34" s="108">
        <v>100</v>
      </c>
    </row>
    <row r="35" spans="1:10" ht="29.25" customHeight="1" x14ac:dyDescent="0.2">
      <c r="A35" s="116" t="s">
        <v>298</v>
      </c>
      <c r="B35" s="132" t="s">
        <v>325</v>
      </c>
      <c r="C35" s="132" t="s">
        <v>328</v>
      </c>
      <c r="D35" s="103" t="s">
        <v>45</v>
      </c>
      <c r="E35" s="108">
        <v>1</v>
      </c>
      <c r="F35" s="108">
        <v>2</v>
      </c>
      <c r="G35" s="108" t="s">
        <v>46</v>
      </c>
      <c r="H35" s="108" t="s">
        <v>46</v>
      </c>
      <c r="I35" s="108" t="s">
        <v>46</v>
      </c>
      <c r="J35" s="108" t="s">
        <v>46</v>
      </c>
    </row>
    <row r="36" spans="1:10" ht="29.25" customHeight="1" x14ac:dyDescent="0.2">
      <c r="A36" s="141" t="s">
        <v>324</v>
      </c>
      <c r="B36" s="132" t="s">
        <v>326</v>
      </c>
      <c r="C36" s="132" t="s">
        <v>160</v>
      </c>
      <c r="D36" s="103" t="s">
        <v>45</v>
      </c>
      <c r="E36" s="108" t="s">
        <v>46</v>
      </c>
      <c r="F36" s="108">
        <v>1</v>
      </c>
      <c r="G36" s="108" t="s">
        <v>46</v>
      </c>
      <c r="H36" s="108" t="s">
        <v>46</v>
      </c>
      <c r="I36" s="108" t="s">
        <v>46</v>
      </c>
      <c r="J36" s="108" t="s">
        <v>46</v>
      </c>
    </row>
    <row r="37" spans="1:10" ht="29.25" customHeight="1" x14ac:dyDescent="0.2">
      <c r="A37" s="141" t="s">
        <v>403</v>
      </c>
      <c r="B37" s="132" t="s">
        <v>406</v>
      </c>
      <c r="C37" s="132" t="s">
        <v>408</v>
      </c>
      <c r="D37" s="103" t="s">
        <v>45</v>
      </c>
      <c r="E37" s="108">
        <v>1</v>
      </c>
      <c r="F37" s="108">
        <v>2</v>
      </c>
      <c r="G37" s="108" t="s">
        <v>46</v>
      </c>
      <c r="H37" s="108" t="s">
        <v>46</v>
      </c>
      <c r="I37" s="108" t="s">
        <v>46</v>
      </c>
      <c r="J37" s="108" t="s">
        <v>46</v>
      </c>
    </row>
    <row r="38" spans="1:10" ht="30.6" customHeight="1" x14ac:dyDescent="0.2">
      <c r="A38" s="174" t="s">
        <v>11</v>
      </c>
      <c r="B38" s="334" t="s">
        <v>180</v>
      </c>
      <c r="C38" s="335"/>
      <c r="D38" s="335"/>
      <c r="E38" s="335"/>
      <c r="F38" s="335"/>
      <c r="G38" s="335"/>
      <c r="H38" s="335"/>
      <c r="I38" s="335"/>
      <c r="J38" s="336"/>
    </row>
    <row r="39" spans="1:10" ht="30.6" customHeight="1" x14ac:dyDescent="0.2">
      <c r="A39" s="315" t="s">
        <v>60</v>
      </c>
      <c r="B39" s="358" t="s">
        <v>334</v>
      </c>
      <c r="C39" s="132" t="s">
        <v>51</v>
      </c>
      <c r="D39" s="184" t="s">
        <v>52</v>
      </c>
      <c r="E39" s="185">
        <v>99</v>
      </c>
      <c r="F39" s="185" t="s">
        <v>183</v>
      </c>
      <c r="G39" s="185" t="s">
        <v>183</v>
      </c>
      <c r="H39" s="185" t="s">
        <v>183</v>
      </c>
      <c r="I39" s="185" t="s">
        <v>183</v>
      </c>
      <c r="J39" s="185" t="s">
        <v>183</v>
      </c>
    </row>
    <row r="40" spans="1:10" ht="29.25" customHeight="1" x14ac:dyDescent="0.2">
      <c r="A40" s="316"/>
      <c r="B40" s="360"/>
      <c r="C40" s="142" t="s">
        <v>333</v>
      </c>
      <c r="D40" s="103" t="s">
        <v>50</v>
      </c>
      <c r="E40" s="141" t="s">
        <v>46</v>
      </c>
      <c r="F40" s="108" t="s">
        <v>46</v>
      </c>
      <c r="G40" s="108" t="s">
        <v>46</v>
      </c>
      <c r="H40" s="108" t="s">
        <v>46</v>
      </c>
      <c r="I40" s="103">
        <v>1</v>
      </c>
      <c r="J40" s="103">
        <v>1</v>
      </c>
    </row>
    <row r="41" spans="1:10" ht="29.25" customHeight="1" x14ac:dyDescent="0.2">
      <c r="A41" s="174" t="s">
        <v>136</v>
      </c>
      <c r="B41" s="334" t="s">
        <v>145</v>
      </c>
      <c r="C41" s="335"/>
      <c r="D41" s="335"/>
      <c r="E41" s="335"/>
      <c r="F41" s="335"/>
      <c r="G41" s="335"/>
      <c r="H41" s="335"/>
      <c r="I41" s="335"/>
      <c r="J41" s="336"/>
    </row>
    <row r="42" spans="1:10" ht="71.25" customHeight="1" x14ac:dyDescent="0.2">
      <c r="A42" s="141" t="s">
        <v>137</v>
      </c>
      <c r="B42" s="132" t="s">
        <v>159</v>
      </c>
      <c r="C42" s="132" t="s">
        <v>146</v>
      </c>
      <c r="D42" s="103" t="s">
        <v>50</v>
      </c>
      <c r="E42" s="108">
        <v>1</v>
      </c>
      <c r="F42" s="108">
        <v>1</v>
      </c>
      <c r="G42" s="108">
        <v>1</v>
      </c>
      <c r="H42" s="108">
        <v>1</v>
      </c>
      <c r="I42" s="103">
        <v>1</v>
      </c>
      <c r="J42" s="103">
        <v>1</v>
      </c>
    </row>
    <row r="43" spans="1:10" ht="50.25" customHeight="1" x14ac:dyDescent="0.2">
      <c r="A43" s="141" t="s">
        <v>138</v>
      </c>
      <c r="B43" s="132" t="s">
        <v>144</v>
      </c>
      <c r="C43" s="132" t="s">
        <v>147</v>
      </c>
      <c r="D43" s="103" t="s">
        <v>50</v>
      </c>
      <c r="E43" s="108">
        <v>1</v>
      </c>
      <c r="F43" s="108">
        <v>1</v>
      </c>
      <c r="G43" s="108">
        <v>1</v>
      </c>
      <c r="H43" s="108">
        <v>1</v>
      </c>
      <c r="I43" s="103">
        <v>1</v>
      </c>
      <c r="J43" s="103">
        <v>1</v>
      </c>
    </row>
    <row r="44" spans="1:10" ht="43.5" customHeight="1" x14ac:dyDescent="0.2">
      <c r="A44" s="141" t="s">
        <v>139</v>
      </c>
      <c r="B44" s="132" t="s">
        <v>185</v>
      </c>
      <c r="C44" s="132" t="s">
        <v>150</v>
      </c>
      <c r="D44" s="105" t="s">
        <v>52</v>
      </c>
      <c r="E44" s="108">
        <v>100</v>
      </c>
      <c r="F44" s="108">
        <v>100</v>
      </c>
      <c r="G44" s="108">
        <v>100</v>
      </c>
      <c r="H44" s="108">
        <v>100</v>
      </c>
      <c r="I44" s="103">
        <v>100</v>
      </c>
      <c r="J44" s="103">
        <v>100</v>
      </c>
    </row>
    <row r="45" spans="1:10" ht="29.25" customHeight="1" x14ac:dyDescent="0.2">
      <c r="A45" s="141" t="s">
        <v>140</v>
      </c>
      <c r="B45" s="132" t="s">
        <v>186</v>
      </c>
      <c r="C45" s="132" t="s">
        <v>148</v>
      </c>
      <c r="D45" s="105" t="s">
        <v>52</v>
      </c>
      <c r="E45" s="108">
        <v>100</v>
      </c>
      <c r="F45" s="108">
        <v>100</v>
      </c>
      <c r="G45" s="108">
        <v>100</v>
      </c>
      <c r="H45" s="108">
        <v>100</v>
      </c>
      <c r="I45" s="103">
        <v>100</v>
      </c>
      <c r="J45" s="103">
        <v>100</v>
      </c>
    </row>
    <row r="46" spans="1:10" ht="35.25" customHeight="1" x14ac:dyDescent="0.2">
      <c r="A46" s="141" t="s">
        <v>141</v>
      </c>
      <c r="B46" s="132" t="s">
        <v>149</v>
      </c>
      <c r="C46" s="132" t="s">
        <v>148</v>
      </c>
      <c r="D46" s="105" t="s">
        <v>52</v>
      </c>
      <c r="E46" s="108">
        <v>100</v>
      </c>
      <c r="F46" s="108">
        <v>100</v>
      </c>
      <c r="G46" s="108">
        <v>100</v>
      </c>
      <c r="H46" s="108">
        <v>100</v>
      </c>
      <c r="I46" s="103">
        <v>100</v>
      </c>
      <c r="J46" s="103">
        <v>100</v>
      </c>
    </row>
    <row r="47" spans="1:10" ht="46.5" customHeight="1" x14ac:dyDescent="0.2">
      <c r="A47" s="141" t="s">
        <v>142</v>
      </c>
      <c r="B47" s="132" t="s">
        <v>153</v>
      </c>
      <c r="C47" s="132" t="s">
        <v>154</v>
      </c>
      <c r="D47" s="105" t="s">
        <v>52</v>
      </c>
      <c r="E47" s="103" t="s">
        <v>157</v>
      </c>
      <c r="F47" s="103" t="s">
        <v>157</v>
      </c>
      <c r="G47" s="103" t="s">
        <v>157</v>
      </c>
      <c r="H47" s="103" t="s">
        <v>157</v>
      </c>
      <c r="I47" s="103" t="s">
        <v>157</v>
      </c>
      <c r="J47" s="103" t="s">
        <v>157</v>
      </c>
    </row>
    <row r="48" spans="1:10" ht="43.5" customHeight="1" x14ac:dyDescent="0.2">
      <c r="A48" s="141" t="s">
        <v>151</v>
      </c>
      <c r="B48" s="132" t="s">
        <v>163</v>
      </c>
      <c r="C48" s="132" t="s">
        <v>152</v>
      </c>
      <c r="D48" s="105" t="s">
        <v>50</v>
      </c>
      <c r="E48" s="103" t="s">
        <v>156</v>
      </c>
      <c r="F48" s="103" t="s">
        <v>156</v>
      </c>
      <c r="G48" s="103" t="s">
        <v>156</v>
      </c>
      <c r="H48" s="103" t="s">
        <v>156</v>
      </c>
      <c r="I48" s="103" t="s">
        <v>156</v>
      </c>
      <c r="J48" s="103" t="s">
        <v>156</v>
      </c>
    </row>
    <row r="49" spans="1:30" ht="45.6" customHeight="1" x14ac:dyDescent="0.2">
      <c r="A49" s="174" t="s">
        <v>99</v>
      </c>
      <c r="B49" s="334" t="s">
        <v>335</v>
      </c>
      <c r="C49" s="335"/>
      <c r="D49" s="335"/>
      <c r="E49" s="335"/>
      <c r="F49" s="335"/>
      <c r="G49" s="335"/>
      <c r="H49" s="335"/>
      <c r="I49" s="335"/>
      <c r="J49" s="33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1:30" ht="33.6" customHeight="1" x14ac:dyDescent="0.2">
      <c r="A50" s="339" t="s">
        <v>212</v>
      </c>
      <c r="B50" s="339"/>
      <c r="C50" s="339"/>
      <c r="D50" s="339"/>
      <c r="E50" s="339"/>
      <c r="F50" s="339"/>
      <c r="G50" s="339"/>
      <c r="H50" s="339"/>
      <c r="I50" s="339"/>
      <c r="J50" s="339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pans="1:30" ht="44.45" customHeight="1" x14ac:dyDescent="0.2">
      <c r="A51" s="338" t="s">
        <v>336</v>
      </c>
      <c r="B51" s="338"/>
      <c r="C51" s="338"/>
      <c r="D51" s="338"/>
      <c r="E51" s="338"/>
      <c r="F51" s="338"/>
      <c r="G51" s="338"/>
      <c r="H51" s="338"/>
      <c r="I51" s="338"/>
      <c r="J51" s="338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 ht="44.45" customHeight="1" x14ac:dyDescent="0.2">
      <c r="A52" s="149" t="s">
        <v>2</v>
      </c>
      <c r="B52" s="334" t="s">
        <v>337</v>
      </c>
      <c r="C52" s="335"/>
      <c r="D52" s="335"/>
      <c r="E52" s="335"/>
      <c r="F52" s="335"/>
      <c r="G52" s="335"/>
      <c r="H52" s="335"/>
      <c r="I52" s="335"/>
      <c r="J52" s="336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ht="44.45" customHeight="1" x14ac:dyDescent="0.2">
      <c r="A53" s="149" t="s">
        <v>5</v>
      </c>
      <c r="B53" s="142" t="s">
        <v>238</v>
      </c>
      <c r="C53" s="142" t="s">
        <v>264</v>
      </c>
      <c r="D53" s="103" t="s">
        <v>45</v>
      </c>
      <c r="E53" s="186" t="s">
        <v>46</v>
      </c>
      <c r="F53" s="103" t="s">
        <v>46</v>
      </c>
      <c r="G53" s="187" t="s">
        <v>46</v>
      </c>
      <c r="H53" s="188" t="s">
        <v>46</v>
      </c>
      <c r="I53" s="103">
        <v>4</v>
      </c>
      <c r="J53" s="187" t="s">
        <v>46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ht="44.45" customHeight="1" x14ac:dyDescent="0.2">
      <c r="A54" s="149" t="s">
        <v>16</v>
      </c>
      <c r="B54" s="142" t="s">
        <v>237</v>
      </c>
      <c r="C54" s="142" t="s">
        <v>263</v>
      </c>
      <c r="D54" s="103" t="s">
        <v>45</v>
      </c>
      <c r="E54" s="186" t="s">
        <v>46</v>
      </c>
      <c r="F54" s="103" t="s">
        <v>46</v>
      </c>
      <c r="G54" s="187" t="s">
        <v>46</v>
      </c>
      <c r="H54" s="187" t="s">
        <v>46</v>
      </c>
      <c r="I54" s="103">
        <v>1</v>
      </c>
      <c r="J54" s="187" t="s">
        <v>46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ht="44.45" customHeight="1" x14ac:dyDescent="0.2">
      <c r="A55" s="149" t="s">
        <v>304</v>
      </c>
      <c r="B55" s="142" t="s">
        <v>312</v>
      </c>
      <c r="C55" s="142" t="s">
        <v>263</v>
      </c>
      <c r="D55" s="103" t="s">
        <v>45</v>
      </c>
      <c r="E55" s="188">
        <v>1</v>
      </c>
      <c r="F55" s="187" t="s">
        <v>46</v>
      </c>
      <c r="G55" s="188">
        <v>1</v>
      </c>
      <c r="H55" s="188">
        <v>2</v>
      </c>
      <c r="I55" s="103" t="s">
        <v>46</v>
      </c>
      <c r="J55" s="187" t="s">
        <v>46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ht="44.45" customHeight="1" x14ac:dyDescent="0.2">
      <c r="A56" s="149" t="s">
        <v>411</v>
      </c>
      <c r="B56" s="142" t="s">
        <v>412</v>
      </c>
      <c r="C56" s="142" t="s">
        <v>263</v>
      </c>
      <c r="D56" s="103" t="s">
        <v>45</v>
      </c>
      <c r="E56" s="188"/>
      <c r="F56" s="188">
        <v>2</v>
      </c>
      <c r="G56" s="188"/>
      <c r="H56" s="188"/>
      <c r="I56" s="103"/>
      <c r="J56" s="187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 ht="44.45" customHeight="1" x14ac:dyDescent="0.2">
      <c r="A57" s="149" t="s">
        <v>213</v>
      </c>
      <c r="B57" s="334" t="s">
        <v>338</v>
      </c>
      <c r="C57" s="335"/>
      <c r="D57" s="335"/>
      <c r="E57" s="335"/>
      <c r="F57" s="335"/>
      <c r="G57" s="335"/>
      <c r="H57" s="335"/>
      <c r="I57" s="335"/>
      <c r="J57" s="336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</row>
    <row r="58" spans="1:30" ht="44.45" customHeight="1" x14ac:dyDescent="0.2">
      <c r="A58" s="315" t="s">
        <v>214</v>
      </c>
      <c r="B58" s="358" t="s">
        <v>222</v>
      </c>
      <c r="C58" s="142" t="s">
        <v>219</v>
      </c>
      <c r="D58" s="103" t="s">
        <v>54</v>
      </c>
      <c r="E58" s="141">
        <v>0.96799999999999997</v>
      </c>
      <c r="F58" s="103">
        <v>1.9349999999999999E-2</v>
      </c>
      <c r="G58" s="187" t="s">
        <v>46</v>
      </c>
      <c r="H58" s="103" t="s">
        <v>46</v>
      </c>
      <c r="I58" s="189">
        <f>0.08973+0.57+0.3041+0.7637</f>
        <v>1.72753</v>
      </c>
      <c r="J58" s="190">
        <v>2.4163000000000001</v>
      </c>
      <c r="K58" s="81">
        <v>0.56999999999999995</v>
      </c>
      <c r="L58" s="82">
        <v>0.30409999999999998</v>
      </c>
      <c r="M58" s="83">
        <v>0.76370000000000005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</row>
    <row r="59" spans="1:30" ht="44.45" customHeight="1" x14ac:dyDescent="0.2">
      <c r="A59" s="316"/>
      <c r="B59" s="360"/>
      <c r="C59" s="142" t="s">
        <v>270</v>
      </c>
      <c r="D59" s="105" t="s">
        <v>52</v>
      </c>
      <c r="E59" s="191" t="s">
        <v>46</v>
      </c>
      <c r="F59" s="103" t="s">
        <v>46</v>
      </c>
      <c r="G59" s="103" t="s">
        <v>46</v>
      </c>
      <c r="H59" s="103" t="s">
        <v>46</v>
      </c>
      <c r="I59" s="103" t="s">
        <v>46</v>
      </c>
      <c r="J59" s="103">
        <v>100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</row>
    <row r="60" spans="1:30" ht="44.45" customHeight="1" x14ac:dyDescent="0.2">
      <c r="A60" s="115" t="s">
        <v>221</v>
      </c>
      <c r="B60" s="132" t="s">
        <v>316</v>
      </c>
      <c r="C60" s="142" t="s">
        <v>223</v>
      </c>
      <c r="D60" s="103" t="s">
        <v>45</v>
      </c>
      <c r="E60" s="191" t="s">
        <v>46</v>
      </c>
      <c r="F60" s="103">
        <v>1</v>
      </c>
      <c r="G60" s="187" t="s">
        <v>46</v>
      </c>
      <c r="H60" s="103" t="s">
        <v>46</v>
      </c>
      <c r="I60" s="103">
        <v>5</v>
      </c>
      <c r="J60" s="188">
        <v>1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1:30" ht="44.45" customHeight="1" x14ac:dyDescent="0.2">
      <c r="A61" s="192" t="s">
        <v>329</v>
      </c>
      <c r="B61" s="193" t="s">
        <v>228</v>
      </c>
      <c r="C61" s="132" t="s">
        <v>259</v>
      </c>
      <c r="D61" s="103" t="s">
        <v>55</v>
      </c>
      <c r="E61" s="103" t="s">
        <v>46</v>
      </c>
      <c r="F61" s="103" t="s">
        <v>46</v>
      </c>
      <c r="G61" s="103" t="s">
        <v>46</v>
      </c>
      <c r="H61" s="103" t="s">
        <v>46</v>
      </c>
      <c r="I61" s="194">
        <v>22.279699999999998</v>
      </c>
      <c r="J61" s="103" t="s">
        <v>46</v>
      </c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</row>
    <row r="62" spans="1:30" ht="44.45" customHeight="1" x14ac:dyDescent="0.2">
      <c r="A62" s="192" t="s">
        <v>330</v>
      </c>
      <c r="B62" s="195" t="s">
        <v>226</v>
      </c>
      <c r="C62" s="142" t="s">
        <v>223</v>
      </c>
      <c r="D62" s="103" t="s">
        <v>45</v>
      </c>
      <c r="E62" s="103" t="s">
        <v>46</v>
      </c>
      <c r="F62" s="103"/>
      <c r="G62" s="103"/>
      <c r="H62" s="103" t="s">
        <v>46</v>
      </c>
      <c r="I62" s="103">
        <v>1</v>
      </c>
      <c r="J62" s="103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</row>
    <row r="63" spans="1:30" ht="44.45" customHeight="1" x14ac:dyDescent="0.2">
      <c r="A63" s="365" t="s">
        <v>331</v>
      </c>
      <c r="B63" s="358" t="s">
        <v>261</v>
      </c>
      <c r="C63" s="132" t="s">
        <v>262</v>
      </c>
      <c r="D63" s="103" t="s">
        <v>54</v>
      </c>
      <c r="E63" s="191" t="s">
        <v>46</v>
      </c>
      <c r="F63" s="103" t="s">
        <v>46</v>
      </c>
      <c r="G63" s="103" t="s">
        <v>46</v>
      </c>
      <c r="H63" s="103" t="s">
        <v>46</v>
      </c>
      <c r="I63" s="103" t="s">
        <v>46</v>
      </c>
      <c r="J63" s="103">
        <v>2.9390000000000001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</row>
    <row r="64" spans="1:30" ht="44.45" customHeight="1" x14ac:dyDescent="0.2">
      <c r="A64" s="366"/>
      <c r="B64" s="360"/>
      <c r="C64" s="132" t="s">
        <v>271</v>
      </c>
      <c r="D64" s="105" t="s">
        <v>52</v>
      </c>
      <c r="E64" s="191" t="s">
        <v>46</v>
      </c>
      <c r="F64" s="103"/>
      <c r="G64" s="103"/>
      <c r="H64" s="103" t="s">
        <v>46</v>
      </c>
      <c r="I64" s="103" t="s">
        <v>46</v>
      </c>
      <c r="J64" s="103">
        <v>100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</row>
    <row r="65" spans="1:30" ht="47.25" customHeight="1" x14ac:dyDescent="0.2">
      <c r="A65" s="192" t="s">
        <v>332</v>
      </c>
      <c r="B65" s="195" t="s">
        <v>313</v>
      </c>
      <c r="C65" s="132" t="s">
        <v>160</v>
      </c>
      <c r="D65" s="103" t="s">
        <v>45</v>
      </c>
      <c r="E65" s="191" t="s">
        <v>46</v>
      </c>
      <c r="F65" s="103" t="s">
        <v>46</v>
      </c>
      <c r="G65" s="103" t="s">
        <v>46</v>
      </c>
      <c r="H65" s="103" t="s">
        <v>46</v>
      </c>
      <c r="I65" s="103">
        <v>2</v>
      </c>
      <c r="J65" s="103">
        <v>2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</row>
    <row r="66" spans="1:30" ht="44.45" customHeight="1" x14ac:dyDescent="0.2">
      <c r="A66" s="192" t="s">
        <v>215</v>
      </c>
      <c r="B66" s="334" t="s">
        <v>385</v>
      </c>
      <c r="C66" s="335"/>
      <c r="D66" s="335"/>
      <c r="E66" s="335"/>
      <c r="F66" s="335"/>
      <c r="G66" s="335"/>
      <c r="H66" s="335"/>
      <c r="I66" s="335"/>
      <c r="J66" s="336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</row>
    <row r="67" spans="1:30" ht="55.5" customHeight="1" x14ac:dyDescent="0.2">
      <c r="A67" s="192" t="s">
        <v>216</v>
      </c>
      <c r="B67" s="195" t="s">
        <v>322</v>
      </c>
      <c r="C67" s="132" t="s">
        <v>281</v>
      </c>
      <c r="D67" s="103" t="s">
        <v>54</v>
      </c>
      <c r="E67" s="191" t="s">
        <v>291</v>
      </c>
      <c r="F67" s="103" t="s">
        <v>427</v>
      </c>
      <c r="G67" s="103" t="s">
        <v>289</v>
      </c>
      <c r="H67" s="103" t="s">
        <v>46</v>
      </c>
      <c r="I67" s="103" t="s">
        <v>46</v>
      </c>
      <c r="J67" s="103" t="s">
        <v>46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spans="1:30" ht="58.5" customHeight="1" x14ac:dyDescent="0.2">
      <c r="A68" s="192" t="s">
        <v>224</v>
      </c>
      <c r="B68" s="132" t="s">
        <v>272</v>
      </c>
      <c r="C68" s="132" t="s">
        <v>273</v>
      </c>
      <c r="D68" s="103" t="s">
        <v>45</v>
      </c>
      <c r="E68" s="141">
        <v>12</v>
      </c>
      <c r="F68" s="103">
        <v>5</v>
      </c>
      <c r="G68" s="103">
        <v>5</v>
      </c>
      <c r="H68" s="103" t="s">
        <v>46</v>
      </c>
      <c r="I68" s="103">
        <v>5</v>
      </c>
      <c r="J68" s="103">
        <v>5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</row>
    <row r="69" spans="1:30" ht="69.75" customHeight="1" x14ac:dyDescent="0.2">
      <c r="A69" s="192" t="s">
        <v>340</v>
      </c>
      <c r="B69" s="132" t="s">
        <v>274</v>
      </c>
      <c r="C69" s="132" t="s">
        <v>273</v>
      </c>
      <c r="D69" s="103" t="s">
        <v>45</v>
      </c>
      <c r="E69" s="141">
        <v>10</v>
      </c>
      <c r="F69" s="103">
        <v>1</v>
      </c>
      <c r="G69" s="103">
        <v>1</v>
      </c>
      <c r="H69" s="103">
        <v>1</v>
      </c>
      <c r="I69" s="103">
        <v>1</v>
      </c>
      <c r="J69" s="103">
        <v>1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</row>
    <row r="70" spans="1:30" ht="44.45" customHeight="1" x14ac:dyDescent="0.2">
      <c r="A70" s="192" t="s">
        <v>341</v>
      </c>
      <c r="B70" s="132" t="s">
        <v>275</v>
      </c>
      <c r="C70" s="132" t="s">
        <v>276</v>
      </c>
      <c r="D70" s="103" t="s">
        <v>45</v>
      </c>
      <c r="E70" s="191" t="s">
        <v>46</v>
      </c>
      <c r="F70" s="103">
        <v>5</v>
      </c>
      <c r="G70" s="103">
        <v>5</v>
      </c>
      <c r="H70" s="103">
        <v>5</v>
      </c>
      <c r="I70" s="103">
        <v>5</v>
      </c>
      <c r="J70" s="103">
        <v>5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</row>
    <row r="71" spans="1:30" ht="44.45" customHeight="1" x14ac:dyDescent="0.2">
      <c r="A71" s="192" t="s">
        <v>342</v>
      </c>
      <c r="B71" s="196" t="s">
        <v>277</v>
      </c>
      <c r="C71" s="132" t="s">
        <v>278</v>
      </c>
      <c r="D71" s="103" t="s">
        <v>45</v>
      </c>
      <c r="E71" s="141">
        <v>20</v>
      </c>
      <c r="F71" s="141">
        <v>29</v>
      </c>
      <c r="G71" s="141">
        <v>31</v>
      </c>
      <c r="H71" s="141" t="s">
        <v>46</v>
      </c>
      <c r="I71" s="141">
        <v>20</v>
      </c>
      <c r="J71" s="141">
        <v>20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</row>
    <row r="72" spans="1:30" ht="38.25" customHeight="1" x14ac:dyDescent="0.2">
      <c r="A72" s="192" t="s">
        <v>343</v>
      </c>
      <c r="B72" s="196" t="s">
        <v>280</v>
      </c>
      <c r="C72" s="132" t="s">
        <v>279</v>
      </c>
      <c r="D72" s="103" t="s">
        <v>55</v>
      </c>
      <c r="E72" s="141">
        <v>32.85</v>
      </c>
      <c r="F72" s="103">
        <v>22.2</v>
      </c>
      <c r="G72" s="103" t="s">
        <v>46</v>
      </c>
      <c r="H72" s="103" t="s">
        <v>46</v>
      </c>
      <c r="I72" s="103">
        <v>33.5</v>
      </c>
      <c r="J72" s="103">
        <v>33.5</v>
      </c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</row>
    <row r="73" spans="1:30" ht="44.45" customHeight="1" x14ac:dyDescent="0.2">
      <c r="A73" s="197" t="s">
        <v>217</v>
      </c>
      <c r="B73" s="334" t="s">
        <v>395</v>
      </c>
      <c r="C73" s="335"/>
      <c r="D73" s="335"/>
      <c r="E73" s="335"/>
      <c r="F73" s="335"/>
      <c r="G73" s="335"/>
      <c r="H73" s="335"/>
      <c r="I73" s="335"/>
      <c r="J73" s="336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</row>
    <row r="74" spans="1:30" ht="44.45" customHeight="1" x14ac:dyDescent="0.2">
      <c r="A74" s="197" t="s">
        <v>218</v>
      </c>
      <c r="B74" s="132" t="s">
        <v>394</v>
      </c>
      <c r="C74" s="142" t="s">
        <v>290</v>
      </c>
      <c r="D74" s="103" t="s">
        <v>55</v>
      </c>
      <c r="E74" s="141">
        <v>8.59</v>
      </c>
      <c r="F74" s="103">
        <v>11.2</v>
      </c>
      <c r="G74" s="103" t="s">
        <v>46</v>
      </c>
      <c r="H74" s="103" t="s">
        <v>46</v>
      </c>
      <c r="I74" s="103">
        <v>10</v>
      </c>
      <c r="J74" s="103">
        <v>10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</row>
    <row r="75" spans="1:30" ht="31.15" customHeight="1" x14ac:dyDescent="0.2">
      <c r="A75" s="174" t="s">
        <v>106</v>
      </c>
      <c r="B75" s="334" t="s">
        <v>387</v>
      </c>
      <c r="C75" s="335"/>
      <c r="D75" s="335"/>
      <c r="E75" s="335"/>
      <c r="F75" s="335"/>
      <c r="G75" s="335"/>
      <c r="H75" s="335"/>
      <c r="I75" s="335"/>
      <c r="J75" s="336"/>
      <c r="K75" s="337"/>
      <c r="L75" s="332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2"/>
      <c r="Y75" s="332"/>
      <c r="Z75" s="332"/>
      <c r="AA75" s="332"/>
      <c r="AB75" s="332"/>
      <c r="AC75" s="332"/>
      <c r="AD75" s="332"/>
    </row>
    <row r="76" spans="1:30" ht="17.45" customHeight="1" x14ac:dyDescent="0.2">
      <c r="A76" s="339" t="s">
        <v>314</v>
      </c>
      <c r="B76" s="339"/>
      <c r="C76" s="339"/>
      <c r="D76" s="339"/>
      <c r="E76" s="339"/>
      <c r="F76" s="339"/>
      <c r="G76" s="339"/>
      <c r="H76" s="339"/>
      <c r="I76" s="339"/>
      <c r="J76" s="339"/>
      <c r="K76" s="333"/>
      <c r="L76" s="333"/>
      <c r="M76" s="333"/>
      <c r="N76" s="333"/>
      <c r="O76" s="333"/>
      <c r="P76" s="333"/>
      <c r="Q76" s="333"/>
      <c r="R76" s="333"/>
      <c r="S76" s="333"/>
      <c r="T76" s="333"/>
      <c r="U76" s="333"/>
      <c r="V76" s="333"/>
      <c r="W76" s="333"/>
      <c r="X76" s="333"/>
      <c r="Y76" s="333"/>
      <c r="Z76" s="333"/>
      <c r="AA76" s="333"/>
      <c r="AB76" s="333"/>
      <c r="AC76" s="333"/>
      <c r="AD76" s="333"/>
    </row>
    <row r="77" spans="1:30" ht="26.25" customHeight="1" x14ac:dyDescent="0.2">
      <c r="A77" s="338" t="s">
        <v>392</v>
      </c>
      <c r="B77" s="338"/>
      <c r="C77" s="338"/>
      <c r="D77" s="338"/>
      <c r="E77" s="338"/>
      <c r="F77" s="338"/>
      <c r="G77" s="338"/>
      <c r="H77" s="338"/>
      <c r="I77" s="338"/>
      <c r="J77" s="338"/>
      <c r="K77" s="332"/>
      <c r="L77" s="332"/>
      <c r="M77" s="332"/>
      <c r="N77" s="332"/>
      <c r="O77" s="332"/>
      <c r="P77" s="332"/>
      <c r="Q77" s="332"/>
      <c r="R77" s="332"/>
      <c r="S77" s="332"/>
      <c r="T77" s="332"/>
      <c r="U77" s="332"/>
      <c r="V77" s="332"/>
      <c r="W77" s="332"/>
      <c r="X77" s="332"/>
      <c r="Y77" s="332"/>
      <c r="Z77" s="332"/>
      <c r="AA77" s="332"/>
      <c r="AB77" s="332"/>
      <c r="AC77" s="332"/>
      <c r="AD77" s="332"/>
    </row>
    <row r="78" spans="1:30" ht="36" customHeight="1" x14ac:dyDescent="0.2">
      <c r="A78" s="174" t="s">
        <v>17</v>
      </c>
      <c r="B78" s="334" t="s">
        <v>389</v>
      </c>
      <c r="C78" s="335"/>
      <c r="D78" s="335"/>
      <c r="E78" s="335"/>
      <c r="F78" s="335"/>
      <c r="G78" s="335"/>
      <c r="H78" s="335"/>
      <c r="I78" s="335"/>
      <c r="J78" s="336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</row>
    <row r="79" spans="1:30" ht="62.25" customHeight="1" x14ac:dyDescent="0.2">
      <c r="A79" s="115" t="s">
        <v>93</v>
      </c>
      <c r="B79" s="195" t="s">
        <v>209</v>
      </c>
      <c r="C79" s="132" t="s">
        <v>57</v>
      </c>
      <c r="D79" s="103" t="s">
        <v>56</v>
      </c>
      <c r="E79" s="198">
        <v>6330.51</v>
      </c>
      <c r="F79" s="199">
        <v>6368.9110000000001</v>
      </c>
      <c r="G79" s="199">
        <v>6368.9110000000001</v>
      </c>
      <c r="H79" s="199">
        <v>6368.9110000000001</v>
      </c>
      <c r="I79" s="199">
        <v>6368.9110000000001</v>
      </c>
      <c r="J79" s="199">
        <v>6368.9110000000001</v>
      </c>
    </row>
    <row r="80" spans="1:30" ht="38.25" customHeight="1" x14ac:dyDescent="0.2">
      <c r="A80" s="197" t="s">
        <v>107</v>
      </c>
      <c r="B80" s="200" t="s">
        <v>58</v>
      </c>
      <c r="C80" s="132" t="s">
        <v>82</v>
      </c>
      <c r="D80" s="103" t="s">
        <v>56</v>
      </c>
      <c r="E80" s="187">
        <v>2.14</v>
      </c>
      <c r="F80" s="201">
        <v>2.1480000000000001</v>
      </c>
      <c r="G80" s="201">
        <v>2.1480000000000001</v>
      </c>
      <c r="H80" s="201">
        <v>2.1480000000000001</v>
      </c>
      <c r="I80" s="201">
        <v>2.1480000000000001</v>
      </c>
      <c r="J80" s="201">
        <v>2.1480000000000001</v>
      </c>
    </row>
    <row r="81" spans="1:10" ht="30.6" customHeight="1" x14ac:dyDescent="0.2">
      <c r="A81" s="174" t="s">
        <v>18</v>
      </c>
      <c r="B81" s="334" t="s">
        <v>390</v>
      </c>
      <c r="C81" s="335"/>
      <c r="D81" s="335"/>
      <c r="E81" s="335"/>
      <c r="F81" s="335"/>
      <c r="G81" s="335"/>
      <c r="H81" s="335"/>
      <c r="I81" s="335"/>
      <c r="J81" s="336"/>
    </row>
    <row r="82" spans="1:10" ht="36" customHeight="1" x14ac:dyDescent="0.2">
      <c r="A82" s="197" t="s">
        <v>94</v>
      </c>
      <c r="B82" s="200" t="s">
        <v>319</v>
      </c>
      <c r="C82" s="193" t="s">
        <v>135</v>
      </c>
      <c r="D82" s="103" t="s">
        <v>45</v>
      </c>
      <c r="E82" s="108">
        <v>1</v>
      </c>
      <c r="F82" s="103">
        <v>1</v>
      </c>
      <c r="G82" s="103" t="s">
        <v>46</v>
      </c>
      <c r="H82" s="103" t="s">
        <v>46</v>
      </c>
      <c r="I82" s="103" t="s">
        <v>46</v>
      </c>
      <c r="J82" s="103" t="s">
        <v>46</v>
      </c>
    </row>
    <row r="83" spans="1:10" ht="53.25" customHeight="1" x14ac:dyDescent="0.2">
      <c r="A83" s="197" t="s">
        <v>360</v>
      </c>
      <c r="B83" s="156" t="s">
        <v>359</v>
      </c>
      <c r="C83" s="142" t="s">
        <v>384</v>
      </c>
      <c r="D83" s="103" t="s">
        <v>45</v>
      </c>
      <c r="E83" s="108">
        <v>1</v>
      </c>
      <c r="F83" s="103">
        <v>1</v>
      </c>
      <c r="G83" s="103" t="s">
        <v>46</v>
      </c>
      <c r="H83" s="103"/>
      <c r="I83" s="103" t="s">
        <v>46</v>
      </c>
      <c r="J83" s="103" t="s">
        <v>46</v>
      </c>
    </row>
    <row r="84" spans="1:10" ht="31.15" customHeight="1" x14ac:dyDescent="0.2">
      <c r="A84" s="174" t="s">
        <v>113</v>
      </c>
      <c r="B84" s="334" t="s">
        <v>134</v>
      </c>
      <c r="C84" s="335"/>
      <c r="D84" s="335"/>
      <c r="E84" s="335"/>
      <c r="F84" s="335"/>
      <c r="G84" s="335"/>
      <c r="H84" s="335"/>
      <c r="I84" s="335"/>
      <c r="J84" s="336"/>
    </row>
    <row r="85" spans="1:10" ht="19.899999999999999" customHeight="1" x14ac:dyDescent="0.2">
      <c r="A85" s="339" t="s">
        <v>188</v>
      </c>
      <c r="B85" s="339"/>
      <c r="C85" s="339"/>
      <c r="D85" s="339"/>
      <c r="E85" s="339"/>
      <c r="F85" s="339"/>
      <c r="G85" s="339"/>
      <c r="H85" s="339"/>
      <c r="I85" s="339"/>
      <c r="J85" s="339"/>
    </row>
    <row r="86" spans="1:10" ht="36" customHeight="1" x14ac:dyDescent="0.2">
      <c r="A86" s="338" t="s">
        <v>133</v>
      </c>
      <c r="B86" s="338"/>
      <c r="C86" s="338"/>
      <c r="D86" s="338"/>
      <c r="E86" s="338"/>
      <c r="F86" s="338"/>
      <c r="G86" s="338"/>
      <c r="H86" s="338"/>
      <c r="I86" s="338"/>
      <c r="J86" s="338"/>
    </row>
    <row r="87" spans="1:10" ht="18" customHeight="1" x14ac:dyDescent="0.2">
      <c r="A87" s="174" t="s">
        <v>14</v>
      </c>
      <c r="B87" s="334" t="s">
        <v>109</v>
      </c>
      <c r="C87" s="335"/>
      <c r="D87" s="335"/>
      <c r="E87" s="335"/>
      <c r="F87" s="335"/>
      <c r="G87" s="335"/>
      <c r="H87" s="335"/>
      <c r="I87" s="335"/>
      <c r="J87" s="336"/>
    </row>
    <row r="88" spans="1:10" ht="28.15" customHeight="1" x14ac:dyDescent="0.2">
      <c r="A88" s="197" t="s">
        <v>95</v>
      </c>
      <c r="B88" s="200" t="s">
        <v>21</v>
      </c>
      <c r="C88" s="132" t="s">
        <v>53</v>
      </c>
      <c r="D88" s="141" t="s">
        <v>45</v>
      </c>
      <c r="E88" s="108">
        <v>31</v>
      </c>
      <c r="F88" s="108">
        <v>110</v>
      </c>
      <c r="G88" s="108">
        <v>110</v>
      </c>
      <c r="H88" s="108">
        <v>85</v>
      </c>
      <c r="I88" s="108">
        <v>50</v>
      </c>
      <c r="J88" s="108">
        <v>50</v>
      </c>
    </row>
    <row r="89" spans="1:10" ht="18" customHeight="1" x14ac:dyDescent="0.2">
      <c r="A89" s="174" t="s">
        <v>3</v>
      </c>
      <c r="B89" s="334" t="s">
        <v>189</v>
      </c>
      <c r="C89" s="335"/>
      <c r="D89" s="335"/>
      <c r="E89" s="335"/>
      <c r="F89" s="335"/>
      <c r="G89" s="335"/>
      <c r="H89" s="335"/>
      <c r="I89" s="335"/>
      <c r="J89" s="336"/>
    </row>
    <row r="90" spans="1:10" ht="45.75" customHeight="1" x14ac:dyDescent="0.2">
      <c r="A90" s="141" t="s">
        <v>96</v>
      </c>
      <c r="B90" s="142" t="s">
        <v>84</v>
      </c>
      <c r="C90" s="132" t="s">
        <v>61</v>
      </c>
      <c r="D90" s="103" t="s">
        <v>62</v>
      </c>
      <c r="E90" s="141">
        <v>781</v>
      </c>
      <c r="F90" s="108">
        <v>976</v>
      </c>
      <c r="G90" s="108">
        <v>976</v>
      </c>
      <c r="H90" s="108">
        <v>976</v>
      </c>
      <c r="I90" s="108">
        <v>976</v>
      </c>
      <c r="J90" s="108">
        <v>976</v>
      </c>
    </row>
    <row r="91" spans="1:10" ht="79.5" customHeight="1" x14ac:dyDescent="0.2">
      <c r="A91" s="202" t="s">
        <v>110</v>
      </c>
      <c r="B91" s="203" t="s">
        <v>310</v>
      </c>
      <c r="C91" s="132" t="s">
        <v>196</v>
      </c>
      <c r="D91" s="103" t="s">
        <v>50</v>
      </c>
      <c r="E91" s="108" t="s">
        <v>46</v>
      </c>
      <c r="F91" s="108">
        <v>27</v>
      </c>
      <c r="G91" s="108">
        <v>27</v>
      </c>
      <c r="H91" s="108">
        <v>27</v>
      </c>
      <c r="I91" s="108">
        <v>27</v>
      </c>
      <c r="J91" s="108">
        <v>27</v>
      </c>
    </row>
    <row r="92" spans="1:10" ht="45" customHeight="1" x14ac:dyDescent="0.2">
      <c r="A92" s="150" t="s">
        <v>111</v>
      </c>
      <c r="B92" s="358" t="s">
        <v>317</v>
      </c>
      <c r="C92" s="132" t="s">
        <v>201</v>
      </c>
      <c r="D92" s="103" t="s">
        <v>52</v>
      </c>
      <c r="E92" s="141">
        <v>92.7</v>
      </c>
      <c r="F92" s="185" t="s">
        <v>191</v>
      </c>
      <c r="G92" s="185" t="s">
        <v>191</v>
      </c>
      <c r="H92" s="185" t="s">
        <v>191</v>
      </c>
      <c r="I92" s="185" t="s">
        <v>191</v>
      </c>
      <c r="J92" s="185" t="s">
        <v>191</v>
      </c>
    </row>
    <row r="93" spans="1:10" ht="45" customHeight="1" x14ac:dyDescent="0.2">
      <c r="A93" s="204"/>
      <c r="B93" s="360"/>
      <c r="C93" s="132" t="s">
        <v>195</v>
      </c>
      <c r="D93" s="103" t="s">
        <v>50</v>
      </c>
      <c r="E93" s="108" t="s">
        <v>46</v>
      </c>
      <c r="F93" s="108">
        <f>56+2</f>
        <v>58</v>
      </c>
      <c r="G93" s="108">
        <f t="shared" ref="G93:J93" si="0">56+2</f>
        <v>58</v>
      </c>
      <c r="H93" s="108">
        <f t="shared" si="0"/>
        <v>58</v>
      </c>
      <c r="I93" s="108">
        <f t="shared" si="0"/>
        <v>58</v>
      </c>
      <c r="J93" s="108">
        <f t="shared" si="0"/>
        <v>58</v>
      </c>
    </row>
    <row r="94" spans="1:10" ht="45" customHeight="1" x14ac:dyDescent="0.2">
      <c r="A94" s="317" t="s">
        <v>112</v>
      </c>
      <c r="B94" s="358" t="s">
        <v>198</v>
      </c>
      <c r="C94" s="132" t="s">
        <v>122</v>
      </c>
      <c r="D94" s="103" t="s">
        <v>121</v>
      </c>
      <c r="E94" s="205">
        <v>2861</v>
      </c>
      <c r="F94" s="108" t="s">
        <v>192</v>
      </c>
      <c r="G94" s="108" t="s">
        <v>192</v>
      </c>
      <c r="H94" s="108" t="s">
        <v>192</v>
      </c>
      <c r="I94" s="108" t="s">
        <v>192</v>
      </c>
      <c r="J94" s="108" t="s">
        <v>192</v>
      </c>
    </row>
    <row r="95" spans="1:10" ht="44.25" customHeight="1" x14ac:dyDescent="0.2">
      <c r="A95" s="318"/>
      <c r="B95" s="360"/>
      <c r="C95" s="132" t="s">
        <v>120</v>
      </c>
      <c r="D95" s="103" t="s">
        <v>119</v>
      </c>
      <c r="E95" s="205">
        <v>57988</v>
      </c>
      <c r="F95" s="108">
        <v>60000</v>
      </c>
      <c r="G95" s="108">
        <v>60000</v>
      </c>
      <c r="H95" s="108">
        <v>60000</v>
      </c>
      <c r="I95" s="108">
        <f t="shared" ref="I95:J95" si="1">175181.82-63149.65-57028.17</f>
        <v>55004.000000000015</v>
      </c>
      <c r="J95" s="108">
        <f t="shared" si="1"/>
        <v>55004.000000000015</v>
      </c>
    </row>
    <row r="96" spans="1:10" ht="17.25" customHeight="1" x14ac:dyDescent="0.2">
      <c r="A96" s="174" t="s">
        <v>15</v>
      </c>
      <c r="B96" s="335" t="s">
        <v>190</v>
      </c>
      <c r="C96" s="335"/>
      <c r="D96" s="335"/>
      <c r="E96" s="335"/>
      <c r="F96" s="335"/>
      <c r="G96" s="335"/>
      <c r="H96" s="335"/>
      <c r="I96" s="335"/>
      <c r="J96" s="336"/>
    </row>
    <row r="97" spans="1:10" ht="42.75" customHeight="1" x14ac:dyDescent="0.2">
      <c r="A97" s="103" t="s">
        <v>97</v>
      </c>
      <c r="B97" s="164" t="s">
        <v>309</v>
      </c>
      <c r="C97" s="132" t="s">
        <v>194</v>
      </c>
      <c r="D97" s="103" t="s">
        <v>52</v>
      </c>
      <c r="E97" s="108" t="s">
        <v>46</v>
      </c>
      <c r="F97" s="108">
        <v>100</v>
      </c>
      <c r="G97" s="108">
        <v>100</v>
      </c>
      <c r="H97" s="108">
        <v>100</v>
      </c>
      <c r="I97" s="108" t="s">
        <v>46</v>
      </c>
      <c r="J97" s="108" t="s">
        <v>46</v>
      </c>
    </row>
    <row r="98" spans="1:10" x14ac:dyDescent="0.2">
      <c r="C98" s="21"/>
      <c r="D98" s="21"/>
      <c r="E98" s="21"/>
    </row>
  </sheetData>
  <mergeCells count="63">
    <mergeCell ref="B96:J96"/>
    <mergeCell ref="B94:B95"/>
    <mergeCell ref="A94:A95"/>
    <mergeCell ref="B92:B93"/>
    <mergeCell ref="B33:B34"/>
    <mergeCell ref="A33:A34"/>
    <mergeCell ref="A39:A40"/>
    <mergeCell ref="B39:B40"/>
    <mergeCell ref="B52:J52"/>
    <mergeCell ref="B57:J57"/>
    <mergeCell ref="A58:A59"/>
    <mergeCell ref="B58:B59"/>
    <mergeCell ref="A63:A64"/>
    <mergeCell ref="B63:B64"/>
    <mergeCell ref="B66:J66"/>
    <mergeCell ref="B73:J73"/>
    <mergeCell ref="B14:J14"/>
    <mergeCell ref="B24:J24"/>
    <mergeCell ref="A50:J50"/>
    <mergeCell ref="A51:J51"/>
    <mergeCell ref="B38:J38"/>
    <mergeCell ref="B49:J49"/>
    <mergeCell ref="B41:J41"/>
    <mergeCell ref="A25:A27"/>
    <mergeCell ref="B25:B27"/>
    <mergeCell ref="A19:A20"/>
    <mergeCell ref="B19:B20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A10:J10"/>
    <mergeCell ref="A12:J12"/>
    <mergeCell ref="A13:J13"/>
    <mergeCell ref="F7:F8"/>
    <mergeCell ref="G2:J2"/>
    <mergeCell ref="B11:J11"/>
    <mergeCell ref="K78:T78"/>
    <mergeCell ref="B89:J89"/>
    <mergeCell ref="U78:AD78"/>
    <mergeCell ref="A86:J86"/>
    <mergeCell ref="A85:J85"/>
    <mergeCell ref="B78:J78"/>
    <mergeCell ref="B84:J84"/>
    <mergeCell ref="B87:J87"/>
    <mergeCell ref="B81:J81"/>
    <mergeCell ref="U77:AD77"/>
    <mergeCell ref="U75:AD75"/>
    <mergeCell ref="K76:T76"/>
    <mergeCell ref="U76:AD76"/>
    <mergeCell ref="B75:J75"/>
    <mergeCell ref="K75:T75"/>
    <mergeCell ref="A77:J77"/>
    <mergeCell ref="K77:T77"/>
    <mergeCell ref="A76:J76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4" firstPageNumber="54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81"/>
  <sheetViews>
    <sheetView showRuler="0" view="pageBreakPreview" zoomScale="80" zoomScaleNormal="79" zoomScaleSheetLayoutView="80" zoomScalePageLayoutView="70" workbookViewId="0">
      <selection activeCell="G9" sqref="G9"/>
    </sheetView>
  </sheetViews>
  <sheetFormatPr defaultColWidth="8.7109375" defaultRowHeight="12.75" outlineLevelRow="1" x14ac:dyDescent="0.2"/>
  <cols>
    <col min="1" max="1" width="11" style="96" customWidth="1"/>
    <col min="2" max="2" width="26.28515625" style="14" customWidth="1"/>
    <col min="3" max="3" width="11.85546875" style="14" customWidth="1"/>
    <col min="4" max="4" width="10.28515625" style="91" customWidth="1"/>
    <col min="5" max="5" width="13.5703125" style="92" customWidth="1"/>
    <col min="6" max="6" width="14.85546875" style="92" customWidth="1"/>
    <col min="7" max="7" width="11.140625" style="92" customWidth="1"/>
    <col min="8" max="8" width="11.5703125" style="92" customWidth="1"/>
    <col min="9" max="9" width="14.28515625" style="16" customWidth="1"/>
    <col min="10" max="10" width="10.85546875" style="18" customWidth="1"/>
    <col min="11" max="11" width="11.85546875" style="18" customWidth="1"/>
    <col min="12" max="12" width="16.42578125" style="95" customWidth="1"/>
    <col min="13" max="13" width="10.85546875" style="18" customWidth="1"/>
    <col min="14" max="14" width="11.28515625" style="18" customWidth="1"/>
    <col min="15" max="15" width="15" style="95" customWidth="1"/>
    <col min="16" max="16" width="11.140625" style="18" customWidth="1"/>
    <col min="17" max="17" width="12" style="18" customWidth="1"/>
    <col min="18" max="18" width="15.28515625" style="95" customWidth="1"/>
    <col min="19" max="19" width="10.85546875" style="18" customWidth="1"/>
    <col min="20" max="20" width="11.7109375" style="18" customWidth="1"/>
    <col min="21" max="21" width="14.28515625" style="14" bestFit="1" customWidth="1"/>
    <col min="22" max="22" width="14.7109375" style="14" customWidth="1"/>
    <col min="23" max="23" width="10.85546875" style="14" bestFit="1" customWidth="1"/>
    <col min="24" max="16384" width="8.7109375" style="14"/>
  </cols>
  <sheetData>
    <row r="1" spans="1:30" ht="85.15" customHeight="1" x14ac:dyDescent="0.2">
      <c r="A1" s="22"/>
      <c r="B1" s="19"/>
      <c r="C1" s="19"/>
      <c r="D1" s="41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48" t="s">
        <v>435</v>
      </c>
      <c r="S1" s="348"/>
      <c r="T1" s="348"/>
      <c r="U1" s="288"/>
    </row>
    <row r="2" spans="1:30" ht="105" customHeight="1" x14ac:dyDescent="0.2">
      <c r="A2" s="22"/>
      <c r="B2" s="19"/>
      <c r="C2" s="19"/>
      <c r="D2" s="41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90" t="s">
        <v>386</v>
      </c>
      <c r="S2" s="290"/>
      <c r="T2" s="290"/>
    </row>
    <row r="3" spans="1:30" ht="74.25" customHeight="1" x14ac:dyDescent="0.3">
      <c r="A3" s="367" t="s">
        <v>345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</row>
    <row r="4" spans="1:30" s="90" customFormat="1" ht="15.6" customHeight="1" x14ac:dyDescent="0.2">
      <c r="A4" s="369" t="s">
        <v>131</v>
      </c>
      <c r="B4" s="370" t="s">
        <v>0</v>
      </c>
      <c r="C4" s="371" t="s">
        <v>230</v>
      </c>
      <c r="D4" s="371" t="s">
        <v>229</v>
      </c>
      <c r="E4" s="371" t="s">
        <v>315</v>
      </c>
      <c r="F4" s="372" t="s">
        <v>9</v>
      </c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</row>
    <row r="5" spans="1:30" s="20" customFormat="1" ht="27.4" customHeight="1" x14ac:dyDescent="0.2">
      <c r="A5" s="369"/>
      <c r="B5" s="370"/>
      <c r="C5" s="371"/>
      <c r="D5" s="371"/>
      <c r="E5" s="371"/>
      <c r="F5" s="374" t="s">
        <v>231</v>
      </c>
      <c r="G5" s="374"/>
      <c r="H5" s="374"/>
      <c r="I5" s="374" t="s">
        <v>232</v>
      </c>
      <c r="J5" s="374"/>
      <c r="K5" s="374"/>
      <c r="L5" s="374" t="s">
        <v>233</v>
      </c>
      <c r="M5" s="374"/>
      <c r="N5" s="374"/>
      <c r="O5" s="374" t="s">
        <v>234</v>
      </c>
      <c r="P5" s="374"/>
      <c r="Q5" s="374"/>
      <c r="R5" s="374" t="s">
        <v>235</v>
      </c>
      <c r="S5" s="374"/>
      <c r="T5" s="374"/>
    </row>
    <row r="6" spans="1:30" s="20" customFormat="1" ht="64.150000000000006" customHeight="1" x14ac:dyDescent="0.2">
      <c r="A6" s="369"/>
      <c r="B6" s="370"/>
      <c r="C6" s="371"/>
      <c r="D6" s="371"/>
      <c r="E6" s="371"/>
      <c r="F6" s="75" t="s">
        <v>236</v>
      </c>
      <c r="G6" s="88" t="s">
        <v>38</v>
      </c>
      <c r="H6" s="88" t="s">
        <v>39</v>
      </c>
      <c r="I6" s="75" t="s">
        <v>236</v>
      </c>
      <c r="J6" s="88" t="s">
        <v>38</v>
      </c>
      <c r="K6" s="88" t="s">
        <v>39</v>
      </c>
      <c r="L6" s="75" t="s">
        <v>236</v>
      </c>
      <c r="M6" s="88" t="s">
        <v>38</v>
      </c>
      <c r="N6" s="88" t="s">
        <v>39</v>
      </c>
      <c r="O6" s="75" t="s">
        <v>236</v>
      </c>
      <c r="P6" s="88" t="s">
        <v>38</v>
      </c>
      <c r="Q6" s="88" t="s">
        <v>39</v>
      </c>
      <c r="R6" s="75" t="s">
        <v>236</v>
      </c>
      <c r="S6" s="88" t="s">
        <v>38</v>
      </c>
      <c r="T6" s="88" t="s">
        <v>39</v>
      </c>
    </row>
    <row r="7" spans="1:30" ht="22.35" customHeight="1" x14ac:dyDescent="0.2">
      <c r="A7" s="89">
        <v>1</v>
      </c>
      <c r="B7" s="79">
        <v>2</v>
      </c>
      <c r="C7" s="79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  <c r="S7" s="80">
        <v>19</v>
      </c>
      <c r="T7" s="80">
        <v>20</v>
      </c>
    </row>
    <row r="8" spans="1:30" ht="56.25" customHeight="1" x14ac:dyDescent="0.2">
      <c r="A8" s="153" t="s">
        <v>2</v>
      </c>
      <c r="B8" s="309" t="s">
        <v>346</v>
      </c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1"/>
    </row>
    <row r="9" spans="1:30" s="16" customFormat="1" ht="126.75" customHeight="1" x14ac:dyDescent="0.2">
      <c r="A9" s="210" t="s">
        <v>5</v>
      </c>
      <c r="B9" s="211" t="s">
        <v>238</v>
      </c>
      <c r="C9" s="212"/>
      <c r="D9" s="213"/>
      <c r="E9" s="214">
        <f t="shared" ref="E9:E22" si="0">F9+I9+L9+O9+R9</f>
        <v>37397</v>
      </c>
      <c r="F9" s="214">
        <f>G9+H9</f>
        <v>0</v>
      </c>
      <c r="G9" s="214">
        <f>SUM(G10:G13)</f>
        <v>0</v>
      </c>
      <c r="H9" s="214">
        <f>SUM(H10:H13)</f>
        <v>0</v>
      </c>
      <c r="I9" s="214">
        <f>J9+K9</f>
        <v>0</v>
      </c>
      <c r="J9" s="214">
        <f>SUM(J10:J13)</f>
        <v>0</v>
      </c>
      <c r="K9" s="214">
        <f>SUM(K10:K13)</f>
        <v>0</v>
      </c>
      <c r="L9" s="214">
        <f>M9+N9</f>
        <v>0</v>
      </c>
      <c r="M9" s="214">
        <f>SUM(M10:M13)</f>
        <v>0</v>
      </c>
      <c r="N9" s="214">
        <f>SUM(N10:N13)</f>
        <v>0</v>
      </c>
      <c r="O9" s="214">
        <f>P9+Q9</f>
        <v>37397</v>
      </c>
      <c r="P9" s="214">
        <f>SUM(P10:P13)</f>
        <v>37397</v>
      </c>
      <c r="Q9" s="214">
        <f>SUM(Q10:Q13)</f>
        <v>0</v>
      </c>
      <c r="R9" s="214">
        <f>S9+T9</f>
        <v>0</v>
      </c>
      <c r="S9" s="214">
        <f>SUM(S10:S13)</f>
        <v>0</v>
      </c>
      <c r="T9" s="214">
        <f>SUM(T10:T13)</f>
        <v>0</v>
      </c>
      <c r="U9" s="215"/>
      <c r="V9" s="215"/>
      <c r="W9" s="215"/>
      <c r="X9" s="215"/>
      <c r="Y9" s="215"/>
      <c r="Z9" s="215"/>
      <c r="AA9" s="215"/>
      <c r="AB9" s="215"/>
      <c r="AC9" s="215"/>
      <c r="AD9" s="215"/>
    </row>
    <row r="10" spans="1:30" s="16" customFormat="1" ht="142.5" customHeight="1" outlineLevel="1" x14ac:dyDescent="0.2">
      <c r="A10" s="216" t="s">
        <v>347</v>
      </c>
      <c r="B10" s="217" t="s">
        <v>239</v>
      </c>
      <c r="C10" s="218"/>
      <c r="D10" s="219"/>
      <c r="E10" s="109">
        <f t="shared" si="0"/>
        <v>8077</v>
      </c>
      <c r="F10" s="109">
        <f>G10+H10</f>
        <v>0</v>
      </c>
      <c r="G10" s="109"/>
      <c r="H10" s="109">
        <v>0</v>
      </c>
      <c r="I10" s="109">
        <f>SUM(J10:K10)</f>
        <v>0</v>
      </c>
      <c r="J10" s="220">
        <v>0</v>
      </c>
      <c r="K10" s="220">
        <f>7196-7196</f>
        <v>0</v>
      </c>
      <c r="L10" s="109">
        <f>+M10+N10</f>
        <v>0</v>
      </c>
      <c r="M10" s="220">
        <v>0</v>
      </c>
      <c r="N10" s="220">
        <f>6622-6622</f>
        <v>0</v>
      </c>
      <c r="O10" s="109">
        <f>P10+Q10</f>
        <v>8077</v>
      </c>
      <c r="P10" s="220">
        <v>8077</v>
      </c>
      <c r="Q10" s="220">
        <f>13606-13606</f>
        <v>0</v>
      </c>
      <c r="R10" s="109">
        <f>S10+T10</f>
        <v>0</v>
      </c>
      <c r="S10" s="220">
        <v>0</v>
      </c>
      <c r="T10" s="220">
        <v>0</v>
      </c>
      <c r="U10" s="109">
        <f>7180*1.04*1.04*1.04</f>
        <v>8076.5235200000006</v>
      </c>
      <c r="V10" s="215"/>
      <c r="W10" s="215"/>
      <c r="X10" s="215"/>
      <c r="Y10" s="215"/>
      <c r="Z10" s="215"/>
      <c r="AA10" s="215"/>
      <c r="AB10" s="215"/>
      <c r="AC10" s="215"/>
      <c r="AD10" s="215"/>
    </row>
    <row r="11" spans="1:30" s="16" customFormat="1" ht="117" customHeight="1" outlineLevel="1" x14ac:dyDescent="0.2">
      <c r="A11" s="216" t="s">
        <v>348</v>
      </c>
      <c r="B11" s="217" t="s">
        <v>242</v>
      </c>
      <c r="C11" s="221"/>
      <c r="D11" s="222"/>
      <c r="E11" s="109">
        <f t="shared" si="0"/>
        <v>8750</v>
      </c>
      <c r="F11" s="109">
        <f>G11+H11</f>
        <v>0</v>
      </c>
      <c r="G11" s="109"/>
      <c r="H11" s="109">
        <v>0</v>
      </c>
      <c r="I11" s="109">
        <f>SUM(J11:K11)</f>
        <v>0</v>
      </c>
      <c r="J11" s="109">
        <v>0</v>
      </c>
      <c r="K11" s="109">
        <v>0</v>
      </c>
      <c r="L11" s="109">
        <f t="shared" ref="L11" si="1">M11+N11</f>
        <v>0</v>
      </c>
      <c r="M11" s="109">
        <v>0</v>
      </c>
      <c r="N11" s="109">
        <v>0</v>
      </c>
      <c r="O11" s="109">
        <f t="shared" ref="O11" si="2">P11+Q11</f>
        <v>8750</v>
      </c>
      <c r="P11" s="109">
        <v>8750</v>
      </c>
      <c r="Q11" s="109">
        <v>0</v>
      </c>
      <c r="R11" s="109">
        <f t="shared" ref="R11" si="3">S11+T11</f>
        <v>0</v>
      </c>
      <c r="S11" s="109">
        <v>0</v>
      </c>
      <c r="T11" s="109">
        <v>0</v>
      </c>
      <c r="U11" s="215">
        <f>7779*1.04*1.04*1.04</f>
        <v>8750.3170559999999</v>
      </c>
      <c r="V11" s="215"/>
      <c r="W11" s="215"/>
      <c r="X11" s="215"/>
      <c r="Y11" s="215"/>
      <c r="Z11" s="215"/>
      <c r="AA11" s="215"/>
      <c r="AB11" s="215"/>
      <c r="AC11" s="215"/>
      <c r="AD11" s="215"/>
    </row>
    <row r="12" spans="1:30" s="16" customFormat="1" ht="111" customHeight="1" outlineLevel="1" x14ac:dyDescent="0.2">
      <c r="A12" s="216" t="s">
        <v>349</v>
      </c>
      <c r="B12" s="217" t="s">
        <v>240</v>
      </c>
      <c r="C12" s="218"/>
      <c r="D12" s="219"/>
      <c r="E12" s="109">
        <f t="shared" si="0"/>
        <v>14191</v>
      </c>
      <c r="F12" s="109">
        <f>G12+H12</f>
        <v>0</v>
      </c>
      <c r="G12" s="109">
        <v>0</v>
      </c>
      <c r="H12" s="109">
        <v>0</v>
      </c>
      <c r="I12" s="109">
        <f>SUM(J12:K12)</f>
        <v>0</v>
      </c>
      <c r="J12" s="220">
        <v>0</v>
      </c>
      <c r="K12" s="220">
        <v>0</v>
      </c>
      <c r="L12" s="109">
        <f>M12+N12</f>
        <v>0</v>
      </c>
      <c r="M12" s="220"/>
      <c r="N12" s="220">
        <v>0</v>
      </c>
      <c r="O12" s="109">
        <f>P12+Q12</f>
        <v>14191</v>
      </c>
      <c r="P12" s="220">
        <v>14191</v>
      </c>
      <c r="Q12" s="220">
        <f>1954-71-52-1831</f>
        <v>0</v>
      </c>
      <c r="R12" s="109">
        <f>S12+T12</f>
        <v>0</v>
      </c>
      <c r="S12" s="220">
        <v>0</v>
      </c>
      <c r="T12" s="220">
        <v>0</v>
      </c>
      <c r="U12" s="220">
        <f>13645*1.04</f>
        <v>14190.800000000001</v>
      </c>
      <c r="V12" s="215"/>
      <c r="W12" s="215"/>
      <c r="X12" s="215"/>
      <c r="Y12" s="215"/>
      <c r="Z12" s="215"/>
      <c r="AA12" s="215"/>
      <c r="AB12" s="215"/>
      <c r="AC12" s="215"/>
      <c r="AD12" s="215"/>
    </row>
    <row r="13" spans="1:30" s="16" customFormat="1" ht="129" customHeight="1" outlineLevel="1" x14ac:dyDescent="0.2">
      <c r="A13" s="216" t="s">
        <v>350</v>
      </c>
      <c r="B13" s="217" t="s">
        <v>241</v>
      </c>
      <c r="C13" s="218"/>
      <c r="D13" s="219"/>
      <c r="E13" s="109">
        <f t="shared" si="0"/>
        <v>6379</v>
      </c>
      <c r="F13" s="109">
        <v>0</v>
      </c>
      <c r="G13" s="109">
        <v>0</v>
      </c>
      <c r="H13" s="109">
        <v>0</v>
      </c>
      <c r="I13" s="109">
        <f>SUM(J13:K13)</f>
        <v>0</v>
      </c>
      <c r="J13" s="220">
        <v>0</v>
      </c>
      <c r="K13" s="220">
        <v>0</v>
      </c>
      <c r="L13" s="109">
        <f>M13+N13</f>
        <v>0</v>
      </c>
      <c r="M13" s="220"/>
      <c r="N13" s="220">
        <v>0</v>
      </c>
      <c r="O13" s="109">
        <f>P13+Q13</f>
        <v>6379</v>
      </c>
      <c r="P13" s="220">
        <v>6379</v>
      </c>
      <c r="Q13" s="220">
        <v>0</v>
      </c>
      <c r="R13" s="109">
        <f>S13+T13</f>
        <v>0</v>
      </c>
      <c r="S13" s="220">
        <v>0</v>
      </c>
      <c r="T13" s="220">
        <v>0</v>
      </c>
      <c r="U13" s="215">
        <f>5671*1.04*1.04*1.04</f>
        <v>6379.103744</v>
      </c>
      <c r="V13" s="215"/>
      <c r="W13" s="215"/>
      <c r="X13" s="215"/>
      <c r="Y13" s="215"/>
      <c r="Z13" s="215"/>
      <c r="AA13" s="215"/>
      <c r="AB13" s="215"/>
      <c r="AC13" s="215"/>
      <c r="AD13" s="215"/>
    </row>
    <row r="14" spans="1:30" s="16" customFormat="1" ht="105" customHeight="1" x14ac:dyDescent="0.2">
      <c r="A14" s="223" t="s">
        <v>16</v>
      </c>
      <c r="B14" s="212" t="s">
        <v>243</v>
      </c>
      <c r="C14" s="212"/>
      <c r="D14" s="213"/>
      <c r="E14" s="214">
        <f t="shared" si="0"/>
        <v>3831</v>
      </c>
      <c r="F14" s="214">
        <f>G14+H14</f>
        <v>0</v>
      </c>
      <c r="G14" s="214">
        <f>G15</f>
        <v>0</v>
      </c>
      <c r="H14" s="214">
        <f>H15</f>
        <v>0</v>
      </c>
      <c r="I14" s="214">
        <f>J14+K14</f>
        <v>0</v>
      </c>
      <c r="J14" s="214">
        <f>J15</f>
        <v>0</v>
      </c>
      <c r="K14" s="214">
        <f>K15</f>
        <v>0</v>
      </c>
      <c r="L14" s="214">
        <f>M14+N14</f>
        <v>0</v>
      </c>
      <c r="M14" s="214">
        <f>M15</f>
        <v>0</v>
      </c>
      <c r="N14" s="214">
        <f>N15</f>
        <v>0</v>
      </c>
      <c r="O14" s="214">
        <f>P14+Q14</f>
        <v>3831</v>
      </c>
      <c r="P14" s="214">
        <f>P15</f>
        <v>3831</v>
      </c>
      <c r="Q14" s="214">
        <f>Q15</f>
        <v>0</v>
      </c>
      <c r="R14" s="214">
        <f>S14+T14</f>
        <v>0</v>
      </c>
      <c r="S14" s="214">
        <f>S15</f>
        <v>0</v>
      </c>
      <c r="T14" s="214">
        <f>T15</f>
        <v>0</v>
      </c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</row>
    <row r="15" spans="1:30" s="16" customFormat="1" ht="86.25" customHeight="1" x14ac:dyDescent="0.2">
      <c r="A15" s="216" t="s">
        <v>351</v>
      </c>
      <c r="B15" s="142" t="s">
        <v>244</v>
      </c>
      <c r="C15" s="224"/>
      <c r="D15" s="222"/>
      <c r="E15" s="109">
        <f t="shared" si="0"/>
        <v>3831</v>
      </c>
      <c r="F15" s="109">
        <f>G15+H15</f>
        <v>0</v>
      </c>
      <c r="G15" s="109"/>
      <c r="H15" s="109">
        <v>0</v>
      </c>
      <c r="I15" s="109">
        <f>SUM(J15:K15)</f>
        <v>0</v>
      </c>
      <c r="J15" s="109">
        <v>0</v>
      </c>
      <c r="K15" s="109">
        <v>0</v>
      </c>
      <c r="L15" s="109">
        <f t="shared" ref="L15" si="4">M15+N15</f>
        <v>0</v>
      </c>
      <c r="M15" s="109">
        <v>0</v>
      </c>
      <c r="N15" s="109">
        <v>0</v>
      </c>
      <c r="O15" s="109">
        <f t="shared" ref="O15" si="5">P15+Q15</f>
        <v>3831</v>
      </c>
      <c r="P15" s="109">
        <v>3831</v>
      </c>
      <c r="Q15" s="109">
        <v>0</v>
      </c>
      <c r="R15" s="109">
        <f t="shared" ref="R15" si="6">S15+T15</f>
        <v>0</v>
      </c>
      <c r="S15" s="109">
        <v>0</v>
      </c>
      <c r="T15" s="109">
        <v>0</v>
      </c>
      <c r="U15" s="109">
        <f>3406*1.04*1.04*1.04</f>
        <v>3831.2867840000004</v>
      </c>
      <c r="V15" s="215"/>
      <c r="W15" s="215"/>
      <c r="X15" s="215"/>
      <c r="Y15" s="215"/>
      <c r="Z15" s="215"/>
      <c r="AA15" s="215"/>
      <c r="AB15" s="215"/>
      <c r="AC15" s="215"/>
      <c r="AD15" s="215"/>
    </row>
    <row r="16" spans="1:30" s="16" customFormat="1" ht="86.25" customHeight="1" x14ac:dyDescent="0.2">
      <c r="A16" s="223" t="s">
        <v>304</v>
      </c>
      <c r="B16" s="225" t="s">
        <v>312</v>
      </c>
      <c r="C16" s="224"/>
      <c r="D16" s="222"/>
      <c r="E16" s="214">
        <f t="shared" si="0"/>
        <v>49536</v>
      </c>
      <c r="F16" s="214">
        <f>G16+H16</f>
        <v>0</v>
      </c>
      <c r="G16" s="214">
        <f>G17</f>
        <v>0</v>
      </c>
      <c r="H16" s="214">
        <f>H17</f>
        <v>0</v>
      </c>
      <c r="I16" s="214">
        <f>J16+K16</f>
        <v>15687</v>
      </c>
      <c r="J16" s="214">
        <f>J17+J18+J19</f>
        <v>15687</v>
      </c>
      <c r="K16" s="214">
        <f>K17</f>
        <v>0</v>
      </c>
      <c r="L16" s="214">
        <f>M16+N16</f>
        <v>33849</v>
      </c>
      <c r="M16" s="214">
        <f>M17+M18+M19</f>
        <v>33849</v>
      </c>
      <c r="N16" s="214">
        <f>N17</f>
        <v>0</v>
      </c>
      <c r="O16" s="214">
        <f>P16+Q16</f>
        <v>0</v>
      </c>
      <c r="P16" s="214">
        <f>P17</f>
        <v>0</v>
      </c>
      <c r="Q16" s="214">
        <f>Q17</f>
        <v>0</v>
      </c>
      <c r="R16" s="214">
        <f>S16+T16</f>
        <v>0</v>
      </c>
      <c r="S16" s="214">
        <f>S17</f>
        <v>0</v>
      </c>
      <c r="T16" s="214">
        <f>T17</f>
        <v>0</v>
      </c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</row>
    <row r="17" spans="1:30" s="16" customFormat="1" ht="86.25" customHeight="1" x14ac:dyDescent="0.2">
      <c r="A17" s="216" t="s">
        <v>352</v>
      </c>
      <c r="B17" s="142" t="s">
        <v>305</v>
      </c>
      <c r="C17" s="224"/>
      <c r="D17" s="222"/>
      <c r="E17" s="109">
        <f t="shared" si="0"/>
        <v>27774</v>
      </c>
      <c r="F17" s="109">
        <f>G17+H17</f>
        <v>0</v>
      </c>
      <c r="G17" s="109">
        <v>0</v>
      </c>
      <c r="H17" s="109">
        <v>0</v>
      </c>
      <c r="I17" s="109">
        <f>SUM(J17:K17)</f>
        <v>0</v>
      </c>
      <c r="J17" s="109">
        <v>0</v>
      </c>
      <c r="K17" s="109">
        <v>0</v>
      </c>
      <c r="L17" s="109">
        <f t="shared" ref="L17:L18" si="7">M17+N17</f>
        <v>27774</v>
      </c>
      <c r="M17" s="109">
        <v>27774</v>
      </c>
      <c r="N17" s="109">
        <v>0</v>
      </c>
      <c r="O17" s="109">
        <f t="shared" ref="O17" si="8">P17+Q17</f>
        <v>0</v>
      </c>
      <c r="P17" s="109">
        <v>0</v>
      </c>
      <c r="Q17" s="109">
        <v>0</v>
      </c>
      <c r="R17" s="109">
        <f t="shared" ref="R17" si="9">S17+T17</f>
        <v>0</v>
      </c>
      <c r="S17" s="109">
        <v>0</v>
      </c>
      <c r="T17" s="109">
        <v>0</v>
      </c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</row>
    <row r="18" spans="1:30" s="16" customFormat="1" ht="86.25" customHeight="1" x14ac:dyDescent="0.2">
      <c r="A18" s="216" t="s">
        <v>409</v>
      </c>
      <c r="B18" s="142" t="s">
        <v>305</v>
      </c>
      <c r="C18" s="224"/>
      <c r="D18" s="222"/>
      <c r="E18" s="109">
        <f t="shared" si="0"/>
        <v>6075</v>
      </c>
      <c r="F18" s="109"/>
      <c r="G18" s="109"/>
      <c r="H18" s="109"/>
      <c r="I18" s="109"/>
      <c r="J18" s="109"/>
      <c r="K18" s="109"/>
      <c r="L18" s="109">
        <f t="shared" si="7"/>
        <v>6075</v>
      </c>
      <c r="M18" s="109">
        <v>6075</v>
      </c>
      <c r="N18" s="109"/>
      <c r="O18" s="109"/>
      <c r="P18" s="109"/>
      <c r="Q18" s="109"/>
      <c r="R18" s="109"/>
      <c r="S18" s="109"/>
      <c r="T18" s="109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</row>
    <row r="19" spans="1:30" s="16" customFormat="1" ht="80.25" customHeight="1" x14ac:dyDescent="0.2">
      <c r="A19" s="216" t="s">
        <v>410</v>
      </c>
      <c r="B19" s="142" t="s">
        <v>305</v>
      </c>
      <c r="C19" s="224"/>
      <c r="D19" s="222"/>
      <c r="E19" s="109">
        <f t="shared" si="0"/>
        <v>15687</v>
      </c>
      <c r="F19" s="109"/>
      <c r="G19" s="109"/>
      <c r="H19" s="109"/>
      <c r="I19" s="109">
        <f>J19</f>
        <v>15687</v>
      </c>
      <c r="J19" s="109">
        <v>15687</v>
      </c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</row>
    <row r="20" spans="1:30" s="16" customFormat="1" ht="84" customHeight="1" x14ac:dyDescent="0.2">
      <c r="A20" s="223" t="s">
        <v>411</v>
      </c>
      <c r="B20" s="225" t="s">
        <v>428</v>
      </c>
      <c r="C20" s="224"/>
      <c r="D20" s="222"/>
      <c r="E20" s="226">
        <f t="shared" si="0"/>
        <v>11660</v>
      </c>
      <c r="F20" s="226">
        <f>F21+F22</f>
        <v>11660</v>
      </c>
      <c r="G20" s="226">
        <f>G21+G22</f>
        <v>11660</v>
      </c>
      <c r="H20" s="226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</row>
    <row r="21" spans="1:30" s="16" customFormat="1" ht="84" customHeight="1" x14ac:dyDescent="0.2">
      <c r="A21" s="216" t="s">
        <v>413</v>
      </c>
      <c r="B21" s="142" t="s">
        <v>414</v>
      </c>
      <c r="C21" s="224"/>
      <c r="D21" s="222"/>
      <c r="E21" s="109">
        <f t="shared" si="0"/>
        <v>5866</v>
      </c>
      <c r="F21" s="109">
        <f>G21</f>
        <v>5866</v>
      </c>
      <c r="G21" s="109">
        <v>5866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</row>
    <row r="22" spans="1:30" s="16" customFormat="1" ht="80.25" customHeight="1" x14ac:dyDescent="0.2">
      <c r="A22" s="216" t="s">
        <v>415</v>
      </c>
      <c r="B22" s="142" t="s">
        <v>429</v>
      </c>
      <c r="C22" s="224"/>
      <c r="D22" s="222"/>
      <c r="E22" s="109">
        <f t="shared" si="0"/>
        <v>5794</v>
      </c>
      <c r="F22" s="109">
        <f>G22</f>
        <v>5794</v>
      </c>
      <c r="G22" s="109">
        <v>5794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</row>
    <row r="23" spans="1:30" ht="53.25" customHeight="1" x14ac:dyDescent="0.2">
      <c r="A23" s="153" t="s">
        <v>213</v>
      </c>
      <c r="B23" s="309" t="s">
        <v>338</v>
      </c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</row>
    <row r="24" spans="1:30" ht="78" customHeight="1" x14ac:dyDescent="0.2">
      <c r="A24" s="101" t="s">
        <v>214</v>
      </c>
      <c r="B24" s="211" t="s">
        <v>245</v>
      </c>
      <c r="C24" s="228"/>
      <c r="D24" s="229">
        <f>+SUM(D25:D30)</f>
        <v>4.1631800000000005</v>
      </c>
      <c r="E24" s="214">
        <f>SUM(E25:E30)</f>
        <v>1055420</v>
      </c>
      <c r="F24" s="214">
        <f>G24+H24</f>
        <v>3211</v>
      </c>
      <c r="G24" s="214">
        <f>SUM(G25:G30)</f>
        <v>3211</v>
      </c>
      <c r="H24" s="214">
        <f>SUM(H25:H30)</f>
        <v>0</v>
      </c>
      <c r="I24" s="214">
        <f>J24+K24</f>
        <v>0</v>
      </c>
      <c r="J24" s="214">
        <f>SUM(J25:J30)</f>
        <v>0</v>
      </c>
      <c r="K24" s="214">
        <f>SUM(K25:K30)</f>
        <v>0</v>
      </c>
      <c r="L24" s="214">
        <f t="shared" ref="L24:L29" si="10">M24+N24</f>
        <v>0</v>
      </c>
      <c r="M24" s="214">
        <f>SUM(M25:M30)</f>
        <v>0</v>
      </c>
      <c r="N24" s="214">
        <f>SUM(N25:N30)</f>
        <v>0</v>
      </c>
      <c r="O24" s="214">
        <f>P24+Q24</f>
        <v>536947</v>
      </c>
      <c r="P24" s="214">
        <f>SUM(P25:P30)</f>
        <v>30950</v>
      </c>
      <c r="Q24" s="214">
        <f>SUM(Q25:Q30)</f>
        <v>505997</v>
      </c>
      <c r="R24" s="214">
        <f>S24+T24</f>
        <v>515262</v>
      </c>
      <c r="S24" s="214">
        <f>SUM(S25:S30)</f>
        <v>37099</v>
      </c>
      <c r="T24" s="214">
        <f>SUM(T25:T30)</f>
        <v>478163</v>
      </c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</row>
    <row r="25" spans="1:30" ht="110.25" customHeight="1" x14ac:dyDescent="0.2">
      <c r="A25" s="102" t="s">
        <v>353</v>
      </c>
      <c r="B25" s="230" t="s">
        <v>246</v>
      </c>
      <c r="C25" s="231"/>
      <c r="D25" s="219">
        <v>0.56999999999999995</v>
      </c>
      <c r="E25" s="109">
        <f t="shared" ref="E25:E30" si="11">F25+I25+L25+O25+R25</f>
        <v>161468</v>
      </c>
      <c r="F25" s="109">
        <v>0</v>
      </c>
      <c r="G25" s="109">
        <v>0</v>
      </c>
      <c r="H25" s="109">
        <v>0</v>
      </c>
      <c r="I25" s="109">
        <f>SUM(J25:K25)</f>
        <v>0</v>
      </c>
      <c r="J25" s="109">
        <v>0</v>
      </c>
      <c r="K25" s="109">
        <v>0</v>
      </c>
      <c r="L25" s="109">
        <f t="shared" si="10"/>
        <v>0</v>
      </c>
      <c r="M25" s="109"/>
      <c r="N25" s="109"/>
      <c r="O25" s="109">
        <f t="shared" ref="O25:O29" si="12">P25+Q25</f>
        <v>161468</v>
      </c>
      <c r="P25" s="109">
        <v>1615</v>
      </c>
      <c r="Q25" s="109">
        <v>159853</v>
      </c>
      <c r="R25" s="109">
        <f t="shared" ref="R25:R29" si="13">S25+T25</f>
        <v>0</v>
      </c>
      <c r="S25" s="109">
        <v>0</v>
      </c>
      <c r="T25" s="109">
        <v>0</v>
      </c>
      <c r="U25" s="109">
        <f>(11179+144078)*1.04</f>
        <v>161467.28</v>
      </c>
      <c r="V25" s="109">
        <f>U25*99/100</f>
        <v>159852.6072</v>
      </c>
      <c r="W25" s="232">
        <f>U25-V25</f>
        <v>1614.6728000000003</v>
      </c>
      <c r="X25" s="227"/>
      <c r="Y25" s="227"/>
      <c r="Z25" s="227"/>
      <c r="AA25" s="227"/>
      <c r="AB25" s="227"/>
      <c r="AC25" s="227"/>
      <c r="AD25" s="227"/>
    </row>
    <row r="26" spans="1:30" s="16" customFormat="1" ht="96.75" customHeight="1" outlineLevel="1" x14ac:dyDescent="0.2">
      <c r="A26" s="102" t="s">
        <v>354</v>
      </c>
      <c r="B26" s="230" t="s">
        <v>247</v>
      </c>
      <c r="C26" s="233"/>
      <c r="D26" s="189">
        <v>8.9730000000000004E-2</v>
      </c>
      <c r="E26" s="109">
        <f t="shared" si="11"/>
        <v>12010</v>
      </c>
      <c r="F26" s="109">
        <v>0</v>
      </c>
      <c r="G26" s="109">
        <v>0</v>
      </c>
      <c r="H26" s="109">
        <v>0</v>
      </c>
      <c r="I26" s="109">
        <f>SUM(J26:K26)</f>
        <v>0</v>
      </c>
      <c r="J26" s="109">
        <v>0</v>
      </c>
      <c r="K26" s="109">
        <v>0</v>
      </c>
      <c r="L26" s="109">
        <f t="shared" si="10"/>
        <v>0</v>
      </c>
      <c r="M26" s="109"/>
      <c r="N26" s="109"/>
      <c r="O26" s="109">
        <f t="shared" si="12"/>
        <v>12010</v>
      </c>
      <c r="P26" s="109">
        <v>12010</v>
      </c>
      <c r="Q26" s="109">
        <v>0</v>
      </c>
      <c r="R26" s="109">
        <f t="shared" si="13"/>
        <v>0</v>
      </c>
      <c r="S26" s="109">
        <v>0</v>
      </c>
      <c r="T26" s="109">
        <v>0</v>
      </c>
      <c r="U26" s="215">
        <f>10676*1.04*1.04*1.04</f>
        <v>12009.048064000002</v>
      </c>
      <c r="V26" s="215"/>
      <c r="W26" s="215"/>
      <c r="X26" s="215"/>
      <c r="Y26" s="215"/>
      <c r="Z26" s="215"/>
      <c r="AA26" s="215"/>
      <c r="AB26" s="215"/>
      <c r="AC26" s="215"/>
      <c r="AD26" s="215"/>
    </row>
    <row r="27" spans="1:30" ht="96.75" customHeight="1" outlineLevel="1" x14ac:dyDescent="0.2">
      <c r="A27" s="102" t="s">
        <v>355</v>
      </c>
      <c r="B27" s="234" t="s">
        <v>248</v>
      </c>
      <c r="C27" s="231"/>
      <c r="D27" s="189">
        <v>0.30409999999999998</v>
      </c>
      <c r="E27" s="109">
        <f t="shared" si="11"/>
        <v>32207</v>
      </c>
      <c r="F27" s="109">
        <v>0</v>
      </c>
      <c r="G27" s="109">
        <v>0</v>
      </c>
      <c r="H27" s="109">
        <v>0</v>
      </c>
      <c r="I27" s="109">
        <f>SUM(J27:K27)</f>
        <v>0</v>
      </c>
      <c r="J27" s="109">
        <v>0</v>
      </c>
      <c r="K27" s="109">
        <v>0</v>
      </c>
      <c r="L27" s="109">
        <f t="shared" si="10"/>
        <v>0</v>
      </c>
      <c r="M27" s="109"/>
      <c r="N27" s="109"/>
      <c r="O27" s="109">
        <f t="shared" si="12"/>
        <v>32207</v>
      </c>
      <c r="P27" s="109">
        <v>322</v>
      </c>
      <c r="Q27" s="109">
        <v>31885</v>
      </c>
      <c r="R27" s="109">
        <f t="shared" si="13"/>
        <v>0</v>
      </c>
      <c r="S27" s="109">
        <v>0</v>
      </c>
      <c r="T27" s="109">
        <v>0</v>
      </c>
      <c r="U27" s="109">
        <f>(2230+28738)*1.04</f>
        <v>32206.720000000001</v>
      </c>
      <c r="V27" s="109">
        <f>U27*99/100</f>
        <v>31884.652800000003</v>
      </c>
      <c r="W27" s="232">
        <f>U27-V27</f>
        <v>322.06719999999768</v>
      </c>
      <c r="X27" s="227"/>
      <c r="Y27" s="227"/>
      <c r="Z27" s="227"/>
      <c r="AA27" s="227"/>
      <c r="AB27" s="227"/>
      <c r="AC27" s="227"/>
      <c r="AD27" s="227"/>
    </row>
    <row r="28" spans="1:30" s="16" customFormat="1" ht="71.25" customHeight="1" outlineLevel="1" x14ac:dyDescent="0.2">
      <c r="A28" s="102" t="s">
        <v>356</v>
      </c>
      <c r="B28" s="230" t="s">
        <v>249</v>
      </c>
      <c r="C28" s="233"/>
      <c r="D28" s="190">
        <v>0.76370000000000005</v>
      </c>
      <c r="E28" s="109">
        <f t="shared" si="11"/>
        <v>110435</v>
      </c>
      <c r="F28" s="109">
        <v>0</v>
      </c>
      <c r="G28" s="109">
        <v>0</v>
      </c>
      <c r="H28" s="109">
        <v>0</v>
      </c>
      <c r="I28" s="109">
        <f>SUM(J28:K28)</f>
        <v>0</v>
      </c>
      <c r="J28" s="109">
        <v>0</v>
      </c>
      <c r="K28" s="109">
        <v>0</v>
      </c>
      <c r="L28" s="109">
        <f t="shared" si="10"/>
        <v>0</v>
      </c>
      <c r="M28" s="109"/>
      <c r="N28" s="109"/>
      <c r="O28" s="109">
        <f t="shared" si="12"/>
        <v>110435</v>
      </c>
      <c r="P28" s="109">
        <v>1104</v>
      </c>
      <c r="Q28" s="109">
        <v>109331</v>
      </c>
      <c r="R28" s="109">
        <f t="shared" si="13"/>
        <v>0</v>
      </c>
      <c r="S28" s="109">
        <v>0</v>
      </c>
      <c r="T28" s="109">
        <v>0</v>
      </c>
      <c r="U28" s="109">
        <f>(7646+98542)*1.04</f>
        <v>110435.52</v>
      </c>
      <c r="V28" s="109">
        <f>U28*99/100</f>
        <v>109331.1648</v>
      </c>
      <c r="W28" s="232">
        <f>U28-V28</f>
        <v>1104.3552000000054</v>
      </c>
      <c r="X28" s="215"/>
      <c r="Y28" s="215"/>
      <c r="Z28" s="215"/>
      <c r="AA28" s="215"/>
      <c r="AB28" s="215"/>
      <c r="AC28" s="215"/>
      <c r="AD28" s="215"/>
    </row>
    <row r="29" spans="1:30" s="16" customFormat="1" ht="84.75" customHeight="1" outlineLevel="1" x14ac:dyDescent="0.2">
      <c r="A29" s="102" t="s">
        <v>357</v>
      </c>
      <c r="B29" s="230" t="s">
        <v>250</v>
      </c>
      <c r="C29" s="233"/>
      <c r="D29" s="190">
        <v>2.4163000000000001</v>
      </c>
      <c r="E29" s="109">
        <f t="shared" si="11"/>
        <v>736089</v>
      </c>
      <c r="F29" s="109">
        <v>0</v>
      </c>
      <c r="G29" s="109">
        <v>0</v>
      </c>
      <c r="H29" s="109">
        <v>0</v>
      </c>
      <c r="I29" s="109">
        <f>SUM(J29:K29)</f>
        <v>0</v>
      </c>
      <c r="J29" s="109">
        <v>0</v>
      </c>
      <c r="K29" s="109">
        <v>0</v>
      </c>
      <c r="L29" s="109">
        <f t="shared" si="10"/>
        <v>0</v>
      </c>
      <c r="M29" s="109">
        <v>0</v>
      </c>
      <c r="N29" s="109">
        <v>0</v>
      </c>
      <c r="O29" s="109">
        <f t="shared" si="12"/>
        <v>220827</v>
      </c>
      <c r="P29" s="109">
        <v>15899</v>
      </c>
      <c r="Q29" s="109">
        <v>204928</v>
      </c>
      <c r="R29" s="109">
        <f t="shared" si="13"/>
        <v>515262</v>
      </c>
      <c r="S29" s="109">
        <v>37099</v>
      </c>
      <c r="T29" s="109">
        <v>478163</v>
      </c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</row>
    <row r="30" spans="1:30" s="16" customFormat="1" ht="87" customHeight="1" outlineLevel="1" x14ac:dyDescent="0.2">
      <c r="A30" s="102" t="s">
        <v>430</v>
      </c>
      <c r="B30" s="230" t="s">
        <v>431</v>
      </c>
      <c r="C30" s="233"/>
      <c r="D30" s="189">
        <v>1.9349999999999999E-2</v>
      </c>
      <c r="E30" s="109">
        <f t="shared" si="11"/>
        <v>3211</v>
      </c>
      <c r="F30" s="109">
        <f>G30</f>
        <v>3211</v>
      </c>
      <c r="G30" s="109">
        <v>3211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</row>
    <row r="31" spans="1:30" ht="108" customHeight="1" outlineLevel="1" x14ac:dyDescent="0.2">
      <c r="A31" s="101" t="s">
        <v>221</v>
      </c>
      <c r="B31" s="211" t="s">
        <v>316</v>
      </c>
      <c r="C31" s="235"/>
      <c r="D31" s="236"/>
      <c r="E31" s="214">
        <f t="shared" ref="E31:E37" si="14">F31+I31+L31+O31+R31</f>
        <v>21031</v>
      </c>
      <c r="F31" s="214">
        <f>G31+H31</f>
        <v>68</v>
      </c>
      <c r="G31" s="214">
        <f>SUM(G32:G37)</f>
        <v>68</v>
      </c>
      <c r="H31" s="214">
        <f>SUM(H32:H37)</f>
        <v>0</v>
      </c>
      <c r="I31" s="214">
        <f>J31+K31</f>
        <v>0</v>
      </c>
      <c r="J31" s="214">
        <f>SUM(J32:J37)</f>
        <v>0</v>
      </c>
      <c r="K31" s="214">
        <f>SUM(K32:K37)</f>
        <v>0</v>
      </c>
      <c r="L31" s="214">
        <f>M31+N31</f>
        <v>0</v>
      </c>
      <c r="M31" s="214">
        <f>SUM(M32:M37)</f>
        <v>0</v>
      </c>
      <c r="N31" s="214">
        <f>SUM(N32:N37)</f>
        <v>0</v>
      </c>
      <c r="O31" s="214">
        <f>P31+Q31</f>
        <v>11018</v>
      </c>
      <c r="P31" s="214">
        <f>SUM(P32:P37)</f>
        <v>11018</v>
      </c>
      <c r="Q31" s="214">
        <f>SUM(Q32:Q37)</f>
        <v>0</v>
      </c>
      <c r="R31" s="214">
        <f>S31+T31</f>
        <v>9945</v>
      </c>
      <c r="S31" s="214">
        <f>SUM(S32:S37)</f>
        <v>9945</v>
      </c>
      <c r="T31" s="214">
        <f>SUM(T32:T37)</f>
        <v>0</v>
      </c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</row>
    <row r="32" spans="1:30" s="16" customFormat="1" ht="139.5" customHeight="1" outlineLevel="1" x14ac:dyDescent="0.2">
      <c r="A32" s="102" t="s">
        <v>397</v>
      </c>
      <c r="B32" s="132" t="s">
        <v>251</v>
      </c>
      <c r="C32" s="233"/>
      <c r="D32" s="237"/>
      <c r="E32" s="109">
        <f t="shared" si="14"/>
        <v>3456</v>
      </c>
      <c r="F32" s="109">
        <f>G32+H32</f>
        <v>0</v>
      </c>
      <c r="G32" s="109">
        <v>0</v>
      </c>
      <c r="H32" s="109">
        <v>0</v>
      </c>
      <c r="I32" s="109">
        <f>J32+K32</f>
        <v>0</v>
      </c>
      <c r="J32" s="109">
        <v>0</v>
      </c>
      <c r="K32" s="109">
        <v>0</v>
      </c>
      <c r="L32" s="109">
        <f>M32+N32</f>
        <v>0</v>
      </c>
      <c r="M32" s="109"/>
      <c r="N32" s="109">
        <v>0</v>
      </c>
      <c r="O32" s="109">
        <f t="shared" ref="O32:O36" si="15">P32+Q32</f>
        <v>3456</v>
      </c>
      <c r="P32" s="109">
        <v>3456</v>
      </c>
      <c r="Q32" s="109">
        <v>0</v>
      </c>
      <c r="R32" s="109">
        <f t="shared" ref="R32:R36" si="16">S32+T32</f>
        <v>0</v>
      </c>
      <c r="S32" s="109">
        <v>0</v>
      </c>
      <c r="T32" s="109">
        <v>0</v>
      </c>
      <c r="U32" s="109">
        <f>3323*1.04</f>
        <v>3455.92</v>
      </c>
      <c r="V32" s="215"/>
      <c r="W32" s="215"/>
      <c r="X32" s="215"/>
      <c r="Y32" s="215"/>
      <c r="Z32" s="215"/>
      <c r="AA32" s="215"/>
      <c r="AB32" s="215"/>
      <c r="AC32" s="215"/>
      <c r="AD32" s="215"/>
    </row>
    <row r="33" spans="1:30" s="16" customFormat="1" ht="132" customHeight="1" outlineLevel="1" x14ac:dyDescent="0.2">
      <c r="A33" s="102" t="s">
        <v>398</v>
      </c>
      <c r="B33" s="230" t="s">
        <v>252</v>
      </c>
      <c r="C33" s="233"/>
      <c r="D33" s="237"/>
      <c r="E33" s="109">
        <f t="shared" si="14"/>
        <v>246</v>
      </c>
      <c r="F33" s="109">
        <f t="shared" ref="F33:F37" si="17">G33+H33</f>
        <v>0</v>
      </c>
      <c r="G33" s="109">
        <v>0</v>
      </c>
      <c r="H33" s="109">
        <v>0</v>
      </c>
      <c r="I33" s="109">
        <f t="shared" ref="I33:I37" si="18">J33+K33</f>
        <v>0</v>
      </c>
      <c r="J33" s="109">
        <v>0</v>
      </c>
      <c r="K33" s="109">
        <v>0</v>
      </c>
      <c r="L33" s="109">
        <f t="shared" ref="L33:L36" si="19">M33+N33</f>
        <v>0</v>
      </c>
      <c r="M33" s="109"/>
      <c r="N33" s="109">
        <v>0</v>
      </c>
      <c r="O33" s="109">
        <f t="shared" si="15"/>
        <v>246</v>
      </c>
      <c r="P33" s="109">
        <v>246</v>
      </c>
      <c r="Q33" s="109">
        <v>0</v>
      </c>
      <c r="R33" s="109">
        <f t="shared" si="16"/>
        <v>0</v>
      </c>
      <c r="S33" s="109">
        <v>0</v>
      </c>
      <c r="T33" s="109">
        <v>0</v>
      </c>
      <c r="U33" s="109"/>
      <c r="V33" s="215"/>
      <c r="W33" s="215"/>
      <c r="X33" s="215"/>
      <c r="Y33" s="215"/>
      <c r="Z33" s="215"/>
      <c r="AA33" s="215"/>
      <c r="AB33" s="215"/>
      <c r="AC33" s="215"/>
      <c r="AD33" s="215"/>
    </row>
    <row r="34" spans="1:30" s="16" customFormat="1" ht="120.75" customHeight="1" outlineLevel="1" x14ac:dyDescent="0.2">
      <c r="A34" s="102" t="s">
        <v>399</v>
      </c>
      <c r="B34" s="234" t="s">
        <v>253</v>
      </c>
      <c r="C34" s="233"/>
      <c r="D34" s="237"/>
      <c r="E34" s="109">
        <f t="shared" si="14"/>
        <v>690</v>
      </c>
      <c r="F34" s="109">
        <f t="shared" si="17"/>
        <v>0</v>
      </c>
      <c r="G34" s="109">
        <v>0</v>
      </c>
      <c r="H34" s="109">
        <v>0</v>
      </c>
      <c r="I34" s="109">
        <f t="shared" si="18"/>
        <v>0</v>
      </c>
      <c r="J34" s="109">
        <v>0</v>
      </c>
      <c r="K34" s="109">
        <v>0</v>
      </c>
      <c r="L34" s="109">
        <f t="shared" si="19"/>
        <v>0</v>
      </c>
      <c r="M34" s="109"/>
      <c r="N34" s="109">
        <v>0</v>
      </c>
      <c r="O34" s="109">
        <f t="shared" si="15"/>
        <v>690</v>
      </c>
      <c r="P34" s="109">
        <v>690</v>
      </c>
      <c r="Q34" s="109">
        <v>0</v>
      </c>
      <c r="R34" s="109">
        <f t="shared" si="16"/>
        <v>0</v>
      </c>
      <c r="S34" s="109">
        <v>0</v>
      </c>
      <c r="T34" s="109">
        <v>0</v>
      </c>
      <c r="U34" s="109">
        <f>663*1.04</f>
        <v>689.52</v>
      </c>
      <c r="V34" s="215"/>
      <c r="W34" s="215"/>
      <c r="X34" s="215"/>
      <c r="Y34" s="215"/>
      <c r="Z34" s="215"/>
      <c r="AA34" s="215"/>
      <c r="AB34" s="215"/>
      <c r="AC34" s="215"/>
      <c r="AD34" s="215"/>
    </row>
    <row r="35" spans="1:30" s="16" customFormat="1" ht="101.25" customHeight="1" outlineLevel="1" x14ac:dyDescent="0.2">
      <c r="A35" s="102" t="s">
        <v>400</v>
      </c>
      <c r="B35" s="230" t="s">
        <v>254</v>
      </c>
      <c r="C35" s="233"/>
      <c r="D35" s="237"/>
      <c r="E35" s="109">
        <f t="shared" si="14"/>
        <v>2364</v>
      </c>
      <c r="F35" s="109">
        <f t="shared" si="17"/>
        <v>0</v>
      </c>
      <c r="G35" s="109">
        <v>0</v>
      </c>
      <c r="H35" s="109">
        <v>0</v>
      </c>
      <c r="I35" s="109">
        <f t="shared" si="18"/>
        <v>0</v>
      </c>
      <c r="J35" s="109">
        <v>0</v>
      </c>
      <c r="K35" s="109">
        <v>0</v>
      </c>
      <c r="L35" s="109">
        <f t="shared" si="19"/>
        <v>0</v>
      </c>
      <c r="M35" s="109"/>
      <c r="N35" s="109">
        <v>0</v>
      </c>
      <c r="O35" s="109">
        <f t="shared" si="15"/>
        <v>2364</v>
      </c>
      <c r="P35" s="109">
        <v>2364</v>
      </c>
      <c r="Q35" s="109">
        <v>0</v>
      </c>
      <c r="R35" s="109">
        <f t="shared" si="16"/>
        <v>0</v>
      </c>
      <c r="S35" s="109">
        <v>0</v>
      </c>
      <c r="T35" s="109">
        <v>0</v>
      </c>
      <c r="U35" s="109">
        <f>2273*1.04</f>
        <v>2363.92</v>
      </c>
      <c r="V35" s="215"/>
      <c r="W35" s="215"/>
      <c r="X35" s="215"/>
      <c r="Y35" s="215"/>
      <c r="Z35" s="215"/>
      <c r="AA35" s="215"/>
      <c r="AB35" s="215"/>
      <c r="AC35" s="215"/>
      <c r="AD35" s="215"/>
    </row>
    <row r="36" spans="1:30" s="16" customFormat="1" ht="109.5" customHeight="1" outlineLevel="1" x14ac:dyDescent="0.2">
      <c r="A36" s="102" t="s">
        <v>401</v>
      </c>
      <c r="B36" s="230" t="s">
        <v>255</v>
      </c>
      <c r="C36" s="231"/>
      <c r="D36" s="238"/>
      <c r="E36" s="109">
        <f t="shared" ref="E36" si="20">F36+I36+L36+O36+R36</f>
        <v>14207</v>
      </c>
      <c r="F36" s="109">
        <f t="shared" ref="F36" si="21">G36+H36</f>
        <v>0</v>
      </c>
      <c r="G36" s="109">
        <v>0</v>
      </c>
      <c r="H36" s="109">
        <v>0</v>
      </c>
      <c r="I36" s="109">
        <f t="shared" ref="I36" si="22">J36+K36</f>
        <v>0</v>
      </c>
      <c r="J36" s="109">
        <v>0</v>
      </c>
      <c r="K36" s="109">
        <v>0</v>
      </c>
      <c r="L36" s="109">
        <f t="shared" si="19"/>
        <v>0</v>
      </c>
      <c r="M36" s="109">
        <v>0</v>
      </c>
      <c r="N36" s="109">
        <v>0</v>
      </c>
      <c r="O36" s="109">
        <f t="shared" si="15"/>
        <v>4262</v>
      </c>
      <c r="P36" s="109">
        <v>4262</v>
      </c>
      <c r="Q36" s="109">
        <v>0</v>
      </c>
      <c r="R36" s="109">
        <f t="shared" si="16"/>
        <v>9945</v>
      </c>
      <c r="S36" s="109">
        <v>9945</v>
      </c>
      <c r="T36" s="109">
        <v>0</v>
      </c>
      <c r="U36" s="227"/>
      <c r="V36" s="215"/>
      <c r="W36" s="215"/>
      <c r="X36" s="215"/>
      <c r="Y36" s="215"/>
      <c r="Z36" s="215"/>
      <c r="AA36" s="215"/>
      <c r="AB36" s="215"/>
      <c r="AC36" s="215"/>
      <c r="AD36" s="215"/>
    </row>
    <row r="37" spans="1:30" ht="113.25" customHeight="1" outlineLevel="1" x14ac:dyDescent="0.2">
      <c r="A37" s="102" t="s">
        <v>416</v>
      </c>
      <c r="B37" s="230" t="s">
        <v>255</v>
      </c>
      <c r="C37" s="231"/>
      <c r="D37" s="238"/>
      <c r="E37" s="109">
        <f t="shared" si="14"/>
        <v>68</v>
      </c>
      <c r="F37" s="109">
        <f t="shared" si="17"/>
        <v>68</v>
      </c>
      <c r="G37" s="109">
        <v>68</v>
      </c>
      <c r="H37" s="109">
        <v>0</v>
      </c>
      <c r="I37" s="109">
        <f t="shared" si="18"/>
        <v>0</v>
      </c>
      <c r="J37" s="109">
        <v>0</v>
      </c>
      <c r="K37" s="109">
        <v>0</v>
      </c>
      <c r="L37" s="109">
        <f t="shared" ref="L37" si="23">M37+N37</f>
        <v>0</v>
      </c>
      <c r="M37" s="109">
        <v>0</v>
      </c>
      <c r="N37" s="109">
        <v>0</v>
      </c>
      <c r="O37" s="109">
        <f t="shared" ref="O37" si="24">P37+Q37</f>
        <v>0</v>
      </c>
      <c r="P37" s="109">
        <v>0</v>
      </c>
      <c r="Q37" s="109">
        <v>0</v>
      </c>
      <c r="R37" s="109">
        <f t="shared" ref="R37" si="25">S37+T37</f>
        <v>0</v>
      </c>
      <c r="S37" s="109">
        <v>0</v>
      </c>
      <c r="T37" s="109">
        <v>0</v>
      </c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</row>
    <row r="38" spans="1:30" ht="88.5" customHeight="1" outlineLevel="1" x14ac:dyDescent="0.2">
      <c r="A38" s="239" t="s">
        <v>329</v>
      </c>
      <c r="B38" s="228" t="s">
        <v>256</v>
      </c>
      <c r="C38" s="240">
        <f>C39</f>
        <v>22.279699999999998</v>
      </c>
      <c r="D38" s="238"/>
      <c r="E38" s="214">
        <f>F38+I38+L38+O38+R38</f>
        <v>188561</v>
      </c>
      <c r="F38" s="214">
        <f>G38+H38</f>
        <v>0</v>
      </c>
      <c r="G38" s="214">
        <f>G39</f>
        <v>0</v>
      </c>
      <c r="H38" s="214">
        <f>H39</f>
        <v>0</v>
      </c>
      <c r="I38" s="214">
        <f>J38+K38</f>
        <v>0</v>
      </c>
      <c r="J38" s="214">
        <f>J39</f>
        <v>0</v>
      </c>
      <c r="K38" s="214">
        <f>K39</f>
        <v>0</v>
      </c>
      <c r="L38" s="214">
        <f>M38+N38</f>
        <v>0</v>
      </c>
      <c r="M38" s="214">
        <f>M39</f>
        <v>0</v>
      </c>
      <c r="N38" s="214">
        <f>N39</f>
        <v>0</v>
      </c>
      <c r="O38" s="214">
        <f>P38+Q38</f>
        <v>188561</v>
      </c>
      <c r="P38" s="214">
        <f>P39</f>
        <v>1886</v>
      </c>
      <c r="Q38" s="214">
        <f>Q39</f>
        <v>186675</v>
      </c>
      <c r="R38" s="214">
        <f>S38+T38</f>
        <v>0</v>
      </c>
      <c r="S38" s="214">
        <f>S39</f>
        <v>0</v>
      </c>
      <c r="T38" s="214">
        <f>T39</f>
        <v>0</v>
      </c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</row>
    <row r="39" spans="1:30" ht="78.75" customHeight="1" outlineLevel="1" x14ac:dyDescent="0.2">
      <c r="A39" s="102" t="s">
        <v>417</v>
      </c>
      <c r="B39" s="132" t="s">
        <v>257</v>
      </c>
      <c r="C39" s="194">
        <v>22.279699999999998</v>
      </c>
      <c r="D39" s="237"/>
      <c r="E39" s="109">
        <f>F39+I39+L39+O39+R39</f>
        <v>188561</v>
      </c>
      <c r="F39" s="109">
        <f>G39+H39</f>
        <v>0</v>
      </c>
      <c r="G39" s="109">
        <v>0</v>
      </c>
      <c r="H39" s="109">
        <v>0</v>
      </c>
      <c r="I39" s="109">
        <f>SUM(J39:K39)</f>
        <v>0</v>
      </c>
      <c r="J39" s="109">
        <v>0</v>
      </c>
      <c r="K39" s="109">
        <v>0</v>
      </c>
      <c r="L39" s="109">
        <f t="shared" ref="L39" si="26">M39+N39</f>
        <v>0</v>
      </c>
      <c r="M39" s="109"/>
      <c r="N39" s="109"/>
      <c r="O39" s="109">
        <f t="shared" ref="O39" si="27">P39+Q39</f>
        <v>188561</v>
      </c>
      <c r="P39" s="109">
        <v>1886</v>
      </c>
      <c r="Q39" s="109">
        <v>186675</v>
      </c>
      <c r="R39" s="109">
        <f t="shared" ref="R39" si="28">S39+T39</f>
        <v>0</v>
      </c>
      <c r="S39" s="109">
        <v>0</v>
      </c>
      <c r="T39" s="109">
        <v>0</v>
      </c>
      <c r="U39" s="227">
        <f>181308*1.04</f>
        <v>188560.32</v>
      </c>
      <c r="V39" s="227">
        <f>U39*99/100</f>
        <v>186674.71679999999</v>
      </c>
      <c r="W39" s="227">
        <f>U39-V39</f>
        <v>1885.6032000000123</v>
      </c>
      <c r="X39" s="227"/>
      <c r="Y39" s="227"/>
      <c r="Z39" s="227"/>
      <c r="AA39" s="227"/>
      <c r="AB39" s="227"/>
      <c r="AC39" s="227"/>
      <c r="AD39" s="227"/>
    </row>
    <row r="40" spans="1:30" ht="101.25" customHeight="1" outlineLevel="1" x14ac:dyDescent="0.2">
      <c r="A40" s="239" t="s">
        <v>330</v>
      </c>
      <c r="B40" s="211" t="s">
        <v>226</v>
      </c>
      <c r="C40" s="194"/>
      <c r="D40" s="237"/>
      <c r="E40" s="214">
        <f>F40+I40+L40+O40+R40</f>
        <v>4035</v>
      </c>
      <c r="F40" s="214">
        <f>G40+H40</f>
        <v>0</v>
      </c>
      <c r="G40" s="214">
        <f>G41</f>
        <v>0</v>
      </c>
      <c r="H40" s="214">
        <f>H41</f>
        <v>0</v>
      </c>
      <c r="I40" s="214">
        <f>J40+K40</f>
        <v>0</v>
      </c>
      <c r="J40" s="214">
        <f>J41</f>
        <v>0</v>
      </c>
      <c r="K40" s="214">
        <f>K41</f>
        <v>0</v>
      </c>
      <c r="L40" s="214">
        <f>M40+N40</f>
        <v>0</v>
      </c>
      <c r="M40" s="214">
        <f>M41</f>
        <v>0</v>
      </c>
      <c r="N40" s="214">
        <f>N41</f>
        <v>0</v>
      </c>
      <c r="O40" s="214">
        <f>P40+Q40</f>
        <v>4035</v>
      </c>
      <c r="P40" s="214">
        <f>P41</f>
        <v>4035</v>
      </c>
      <c r="Q40" s="214">
        <f>Q41</f>
        <v>0</v>
      </c>
      <c r="R40" s="214">
        <f>S40+T40</f>
        <v>0</v>
      </c>
      <c r="S40" s="214">
        <f>S41</f>
        <v>0</v>
      </c>
      <c r="T40" s="214">
        <f>T41</f>
        <v>0</v>
      </c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</row>
    <row r="41" spans="1:30" ht="102" customHeight="1" outlineLevel="1" x14ac:dyDescent="0.2">
      <c r="A41" s="102" t="s">
        <v>432</v>
      </c>
      <c r="B41" s="132" t="s">
        <v>260</v>
      </c>
      <c r="C41" s="194"/>
      <c r="D41" s="237"/>
      <c r="E41" s="109">
        <f>F41+I41+L41+O41+R41</f>
        <v>4035</v>
      </c>
      <c r="F41" s="109">
        <f>G41+H41</f>
        <v>0</v>
      </c>
      <c r="G41" s="109">
        <v>0</v>
      </c>
      <c r="H41" s="109">
        <v>0</v>
      </c>
      <c r="I41" s="109">
        <f>SUM(J41:K41)</f>
        <v>0</v>
      </c>
      <c r="J41" s="109">
        <v>0</v>
      </c>
      <c r="K41" s="109">
        <v>0</v>
      </c>
      <c r="L41" s="109">
        <f t="shared" ref="L41" si="29">M41+N41</f>
        <v>0</v>
      </c>
      <c r="M41" s="109"/>
      <c r="N41" s="109">
        <v>0</v>
      </c>
      <c r="O41" s="109">
        <f t="shared" ref="O41" si="30">P41+Q41</f>
        <v>4035</v>
      </c>
      <c r="P41" s="109">
        <v>4035</v>
      </c>
      <c r="Q41" s="109">
        <v>0</v>
      </c>
      <c r="R41" s="109">
        <f t="shared" ref="R41" si="31">S41+T41</f>
        <v>0</v>
      </c>
      <c r="S41" s="109">
        <v>0</v>
      </c>
      <c r="T41" s="109">
        <v>0</v>
      </c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</row>
    <row r="42" spans="1:30" s="16" customFormat="1" ht="75.75" customHeight="1" outlineLevel="1" x14ac:dyDescent="0.2">
      <c r="A42" s="241" t="s">
        <v>331</v>
      </c>
      <c r="B42" s="211" t="s">
        <v>265</v>
      </c>
      <c r="C42" s="242"/>
      <c r="D42" s="243">
        <f>D43+D44</f>
        <v>2.9390000000000001</v>
      </c>
      <c r="E42" s="214">
        <f t="shared" ref="E42:E47" si="32">F42+I42+L42+R42+O42</f>
        <v>1097402</v>
      </c>
      <c r="F42" s="214">
        <f>G42+H42</f>
        <v>0</v>
      </c>
      <c r="G42" s="214">
        <f>SUM(G43:G44)</f>
        <v>0</v>
      </c>
      <c r="H42" s="214">
        <f>SUM(H43:H44)</f>
        <v>0</v>
      </c>
      <c r="I42" s="214">
        <f t="shared" ref="I42:I47" si="33">J42+K42</f>
        <v>0</v>
      </c>
      <c r="J42" s="214">
        <f>SUM(J43:J44)</f>
        <v>0</v>
      </c>
      <c r="K42" s="214">
        <f>SUM(K43:K44)</f>
        <v>0</v>
      </c>
      <c r="L42" s="214">
        <f>M42+N42</f>
        <v>0</v>
      </c>
      <c r="M42" s="214">
        <f>SUM(M43:M44)</f>
        <v>0</v>
      </c>
      <c r="N42" s="214">
        <f>SUM(N43:N44)</f>
        <v>0</v>
      </c>
      <c r="O42" s="214">
        <f t="shared" ref="O42:O47" si="34">P42+Q42</f>
        <v>565694</v>
      </c>
      <c r="P42" s="214">
        <f>SUM(P43:P44)</f>
        <v>5657</v>
      </c>
      <c r="Q42" s="214">
        <f>SUM(Q43:Q44)</f>
        <v>560037</v>
      </c>
      <c r="R42" s="214">
        <f>S42+T42</f>
        <v>531708</v>
      </c>
      <c r="S42" s="214">
        <f>SUM(S43:S44)</f>
        <v>5317</v>
      </c>
      <c r="T42" s="214">
        <f>SUM(T43:T44)</f>
        <v>526391</v>
      </c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</row>
    <row r="43" spans="1:30" s="16" customFormat="1" ht="70.5" customHeight="1" outlineLevel="1" x14ac:dyDescent="0.2">
      <c r="A43" s="244" t="s">
        <v>418</v>
      </c>
      <c r="B43" s="230" t="s">
        <v>266</v>
      </c>
      <c r="C43" s="242"/>
      <c r="D43" s="219">
        <v>2.2000000000000002</v>
      </c>
      <c r="E43" s="109">
        <f t="shared" si="32"/>
        <v>989426</v>
      </c>
      <c r="F43" s="220">
        <f>+G43+H43</f>
        <v>0</v>
      </c>
      <c r="G43" s="109">
        <v>0</v>
      </c>
      <c r="H43" s="109">
        <v>0</v>
      </c>
      <c r="I43" s="109">
        <f t="shared" si="33"/>
        <v>0</v>
      </c>
      <c r="J43" s="109">
        <v>0</v>
      </c>
      <c r="K43" s="109">
        <v>0</v>
      </c>
      <c r="L43" s="220">
        <f>N43+M43</f>
        <v>0</v>
      </c>
      <c r="M43" s="109"/>
      <c r="N43" s="109"/>
      <c r="O43" s="220">
        <f t="shared" si="34"/>
        <v>533301</v>
      </c>
      <c r="P43" s="109">
        <v>5333</v>
      </c>
      <c r="Q43" s="109">
        <v>527968</v>
      </c>
      <c r="R43" s="109">
        <f>T43+S43</f>
        <v>456125</v>
      </c>
      <c r="S43" s="109">
        <v>4561</v>
      </c>
      <c r="T43" s="109">
        <v>451564</v>
      </c>
      <c r="U43" s="215">
        <f>512789*1.04</f>
        <v>533300.56000000006</v>
      </c>
      <c r="V43" s="215">
        <f>U43*99/100</f>
        <v>527967.55440000002</v>
      </c>
      <c r="W43" s="215">
        <f>U43-V43</f>
        <v>5333.0056000000332</v>
      </c>
      <c r="X43" s="215">
        <f>438582*1.04</f>
        <v>456125.28</v>
      </c>
      <c r="Y43" s="215">
        <f>X43*99/100</f>
        <v>451564.02720000007</v>
      </c>
      <c r="Z43" s="215">
        <f>X43-Y43</f>
        <v>4561.2527999999584</v>
      </c>
      <c r="AA43" s="215"/>
      <c r="AB43" s="215"/>
      <c r="AC43" s="215"/>
      <c r="AD43" s="215"/>
    </row>
    <row r="44" spans="1:30" s="16" customFormat="1" ht="53.25" customHeight="1" outlineLevel="1" x14ac:dyDescent="0.2">
      <c r="A44" s="244" t="s">
        <v>419</v>
      </c>
      <c r="B44" s="217" t="s">
        <v>267</v>
      </c>
      <c r="C44" s="242"/>
      <c r="D44" s="245">
        <v>0.73899999999999999</v>
      </c>
      <c r="E44" s="109">
        <f t="shared" si="32"/>
        <v>107976</v>
      </c>
      <c r="F44" s="220">
        <f>G44+H44</f>
        <v>0</v>
      </c>
      <c r="G44" s="109">
        <v>0</v>
      </c>
      <c r="H44" s="109">
        <v>0</v>
      </c>
      <c r="I44" s="109">
        <f t="shared" si="33"/>
        <v>0</v>
      </c>
      <c r="J44" s="109">
        <v>0</v>
      </c>
      <c r="K44" s="109">
        <v>0</v>
      </c>
      <c r="L44" s="109">
        <f>M44+N44</f>
        <v>0</v>
      </c>
      <c r="M44" s="109"/>
      <c r="N44" s="109"/>
      <c r="O44" s="109">
        <f t="shared" si="34"/>
        <v>32393</v>
      </c>
      <c r="P44" s="109">
        <v>324</v>
      </c>
      <c r="Q44" s="109">
        <v>32069</v>
      </c>
      <c r="R44" s="109">
        <f>S44+T44</f>
        <v>75583</v>
      </c>
      <c r="S44" s="109">
        <v>756</v>
      </c>
      <c r="T44" s="109">
        <v>74827</v>
      </c>
      <c r="U44" s="215">
        <f>31147*1.04</f>
        <v>32392.880000000001</v>
      </c>
      <c r="V44" s="215">
        <f>U44*99/100</f>
        <v>32068.9512</v>
      </c>
      <c r="W44" s="215">
        <f>U44-V44</f>
        <v>323.9288000000015</v>
      </c>
      <c r="X44" s="215">
        <f>72676*1.04</f>
        <v>75583.040000000008</v>
      </c>
      <c r="Y44" s="215">
        <f>X44*99/100</f>
        <v>74827.209600000002</v>
      </c>
      <c r="Z44" s="215">
        <f>X44-Y44</f>
        <v>755.83040000000619</v>
      </c>
      <c r="AA44" s="215"/>
      <c r="AB44" s="215"/>
      <c r="AC44" s="215"/>
      <c r="AD44" s="215"/>
    </row>
    <row r="45" spans="1:30" s="16" customFormat="1" ht="105.75" customHeight="1" outlineLevel="1" x14ac:dyDescent="0.2">
      <c r="A45" s="241" t="s">
        <v>332</v>
      </c>
      <c r="B45" s="246" t="s">
        <v>313</v>
      </c>
      <c r="C45" s="242"/>
      <c r="D45" s="237"/>
      <c r="E45" s="214">
        <f t="shared" si="32"/>
        <v>21182</v>
      </c>
      <c r="F45" s="214">
        <f>G45+H45</f>
        <v>0</v>
      </c>
      <c r="G45" s="214">
        <f>SUM(G46:G47)</f>
        <v>0</v>
      </c>
      <c r="H45" s="214">
        <f>SUM(H46:H47)</f>
        <v>0</v>
      </c>
      <c r="I45" s="214">
        <f t="shared" si="33"/>
        <v>0</v>
      </c>
      <c r="J45" s="214">
        <f>SUM(J46:J47)</f>
        <v>0</v>
      </c>
      <c r="K45" s="214">
        <f>SUM(K46:K47)</f>
        <v>0</v>
      </c>
      <c r="L45" s="214">
        <f>M45+N45</f>
        <v>0</v>
      </c>
      <c r="M45" s="214">
        <f>SUM(M46:M47)</f>
        <v>0</v>
      </c>
      <c r="N45" s="214">
        <f>SUM(N46:N47)</f>
        <v>0</v>
      </c>
      <c r="O45" s="214">
        <f t="shared" si="34"/>
        <v>10919</v>
      </c>
      <c r="P45" s="214">
        <f>SUM(P46:P47)</f>
        <v>10919</v>
      </c>
      <c r="Q45" s="214">
        <f>SUM(Q46:Q47)</f>
        <v>0</v>
      </c>
      <c r="R45" s="214">
        <f>S45+T45</f>
        <v>10263</v>
      </c>
      <c r="S45" s="214">
        <f>SUM(S46:S47)</f>
        <v>10263</v>
      </c>
      <c r="T45" s="214">
        <f>SUM(T46:T47)</f>
        <v>0</v>
      </c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</row>
    <row r="46" spans="1:30" ht="102.75" customHeight="1" outlineLevel="1" x14ac:dyDescent="0.2">
      <c r="A46" s="244" t="s">
        <v>420</v>
      </c>
      <c r="B46" s="206" t="s">
        <v>268</v>
      </c>
      <c r="C46" s="247"/>
      <c r="D46" s="238"/>
      <c r="E46" s="109">
        <f t="shared" si="32"/>
        <v>19097</v>
      </c>
      <c r="F46" s="220">
        <f>+G46+H46</f>
        <v>0</v>
      </c>
      <c r="G46" s="109">
        <v>0</v>
      </c>
      <c r="H46" s="109">
        <v>0</v>
      </c>
      <c r="I46" s="109">
        <f t="shared" si="33"/>
        <v>0</v>
      </c>
      <c r="J46" s="109">
        <v>0</v>
      </c>
      <c r="K46" s="109">
        <v>0</v>
      </c>
      <c r="L46" s="220">
        <f>N46+M46</f>
        <v>0</v>
      </c>
      <c r="M46" s="109">
        <v>0</v>
      </c>
      <c r="N46" s="109">
        <v>0</v>
      </c>
      <c r="O46" s="220">
        <f t="shared" si="34"/>
        <v>10293</v>
      </c>
      <c r="P46" s="109">
        <v>10293</v>
      </c>
      <c r="Q46" s="109">
        <v>0</v>
      </c>
      <c r="R46" s="109">
        <f>T46+S46</f>
        <v>8804</v>
      </c>
      <c r="S46" s="109">
        <v>8804</v>
      </c>
      <c r="T46" s="109">
        <v>0</v>
      </c>
      <c r="U46" s="220"/>
      <c r="V46" s="109">
        <f>9897*1.04</f>
        <v>10292.880000000001</v>
      </c>
      <c r="W46" s="109"/>
      <c r="X46" s="220"/>
      <c r="Y46" s="109">
        <f>8465*1.04</f>
        <v>8803.6</v>
      </c>
      <c r="Z46" s="227"/>
      <c r="AA46" s="227"/>
      <c r="AB46" s="227"/>
      <c r="AC46" s="227"/>
      <c r="AD46" s="227"/>
    </row>
    <row r="47" spans="1:30" ht="75.75" customHeight="1" outlineLevel="1" x14ac:dyDescent="0.2">
      <c r="A47" s="244" t="s">
        <v>421</v>
      </c>
      <c r="B47" s="230" t="s">
        <v>269</v>
      </c>
      <c r="C47" s="247"/>
      <c r="D47" s="238"/>
      <c r="E47" s="109">
        <f t="shared" si="32"/>
        <v>2085</v>
      </c>
      <c r="F47" s="220">
        <f>G47+H47</f>
        <v>0</v>
      </c>
      <c r="G47" s="109">
        <v>0</v>
      </c>
      <c r="H47" s="109">
        <v>0</v>
      </c>
      <c r="I47" s="109">
        <f t="shared" si="33"/>
        <v>0</v>
      </c>
      <c r="J47" s="109">
        <v>0</v>
      </c>
      <c r="K47" s="109">
        <v>0</v>
      </c>
      <c r="L47" s="109">
        <f>M47+N47</f>
        <v>0</v>
      </c>
      <c r="M47" s="109">
        <v>0</v>
      </c>
      <c r="N47" s="109">
        <v>0</v>
      </c>
      <c r="O47" s="109">
        <f t="shared" si="34"/>
        <v>626</v>
      </c>
      <c r="P47" s="109">
        <v>626</v>
      </c>
      <c r="Q47" s="109">
        <v>0</v>
      </c>
      <c r="R47" s="109">
        <f>S47+T47</f>
        <v>1459</v>
      </c>
      <c r="S47" s="109">
        <v>1459</v>
      </c>
      <c r="T47" s="109">
        <v>0</v>
      </c>
      <c r="U47" s="109"/>
      <c r="V47" s="109">
        <f>602*1.04</f>
        <v>626.08000000000004</v>
      </c>
      <c r="W47" s="109"/>
      <c r="X47" s="109"/>
      <c r="Y47" s="109">
        <f>1403*1.04</f>
        <v>1459.1200000000001</v>
      </c>
      <c r="Z47" s="227"/>
      <c r="AA47" s="227"/>
      <c r="AB47" s="227"/>
      <c r="AC47" s="227"/>
      <c r="AD47" s="227"/>
    </row>
    <row r="48" spans="1:30" ht="51" customHeight="1" outlineLevel="1" x14ac:dyDescent="0.2">
      <c r="A48" s="248" t="s">
        <v>215</v>
      </c>
      <c r="B48" s="309" t="s">
        <v>339</v>
      </c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310"/>
      <c r="R48" s="310"/>
      <c r="S48" s="310"/>
      <c r="T48" s="311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</row>
    <row r="49" spans="1:30" s="42" customFormat="1" ht="98.25" customHeight="1" outlineLevel="1" x14ac:dyDescent="0.2">
      <c r="A49" s="249" t="s">
        <v>216</v>
      </c>
      <c r="B49" s="246" t="s">
        <v>293</v>
      </c>
      <c r="C49" s="250"/>
      <c r="D49" s="251">
        <f>D66</f>
        <v>0.65</v>
      </c>
      <c r="E49" s="249">
        <f>F49+I49+L49+O49+R49</f>
        <v>108622</v>
      </c>
      <c r="F49" s="252">
        <f>G49+H49</f>
        <v>54311</v>
      </c>
      <c r="G49" s="252">
        <f>G68</f>
        <v>54311</v>
      </c>
      <c r="H49" s="252">
        <f>H66</f>
        <v>0</v>
      </c>
      <c r="I49" s="252">
        <f>J49+K49</f>
        <v>54311</v>
      </c>
      <c r="J49" s="252">
        <f>J68</f>
        <v>54311</v>
      </c>
      <c r="K49" s="252">
        <f>K66</f>
        <v>0</v>
      </c>
      <c r="L49" s="252">
        <f>M49+N49</f>
        <v>0</v>
      </c>
      <c r="M49" s="252">
        <f>M66</f>
        <v>0</v>
      </c>
      <c r="N49" s="252">
        <f>N66</f>
        <v>0</v>
      </c>
      <c r="O49" s="252">
        <f>P49+Q49</f>
        <v>0</v>
      </c>
      <c r="P49" s="252">
        <f>P66</f>
        <v>0</v>
      </c>
      <c r="Q49" s="252">
        <f>Q66</f>
        <v>0</v>
      </c>
      <c r="R49" s="252">
        <f>S49+T49</f>
        <v>0</v>
      </c>
      <c r="S49" s="252">
        <f>S66</f>
        <v>0</v>
      </c>
      <c r="T49" s="252">
        <f>T66</f>
        <v>0</v>
      </c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</row>
    <row r="50" spans="1:30" s="43" customFormat="1" ht="26.25" customHeight="1" outlineLevel="1" x14ac:dyDescent="0.2">
      <c r="A50" s="375" t="s">
        <v>282</v>
      </c>
      <c r="B50" s="375"/>
      <c r="C50" s="375"/>
      <c r="D50" s="375"/>
      <c r="E50" s="375"/>
      <c r="F50" s="375"/>
      <c r="G50" s="375"/>
      <c r="H50" s="375"/>
      <c r="I50" s="375"/>
      <c r="J50" s="375"/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</row>
    <row r="51" spans="1:30" s="42" customFormat="1" ht="42" customHeight="1" outlineLevel="1" x14ac:dyDescent="0.2">
      <c r="A51" s="255" t="s">
        <v>361</v>
      </c>
      <c r="B51" s="256" t="s">
        <v>376</v>
      </c>
      <c r="C51" s="257"/>
      <c r="D51" s="258">
        <v>0.52400000000000002</v>
      </c>
      <c r="E51" s="259">
        <f t="shared" ref="E51:E62" si="35">F51+I51+L51+O51+R51</f>
        <v>2621</v>
      </c>
      <c r="F51" s="260">
        <f t="shared" ref="F51:F62" si="36">G51+H51</f>
        <v>2621</v>
      </c>
      <c r="G51" s="109">
        <v>2621</v>
      </c>
      <c r="H51" s="109">
        <v>0</v>
      </c>
      <c r="I51" s="260">
        <f t="shared" ref="I51:I55" si="37">J51+K51</f>
        <v>0</v>
      </c>
      <c r="J51" s="260">
        <v>0</v>
      </c>
      <c r="K51" s="260">
        <v>0</v>
      </c>
      <c r="L51" s="260">
        <f t="shared" ref="L51:L55" si="38">M51+N51</f>
        <v>0</v>
      </c>
      <c r="M51" s="260">
        <v>0</v>
      </c>
      <c r="N51" s="260">
        <v>0</v>
      </c>
      <c r="O51" s="260">
        <f t="shared" ref="O51:O55" si="39">P51+Q51</f>
        <v>0</v>
      </c>
      <c r="P51" s="260">
        <v>0</v>
      </c>
      <c r="Q51" s="260">
        <v>0</v>
      </c>
      <c r="R51" s="260">
        <f t="shared" ref="R51:R55" si="40">S51+T51</f>
        <v>0</v>
      </c>
      <c r="S51" s="260">
        <v>0</v>
      </c>
      <c r="T51" s="260">
        <v>0</v>
      </c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</row>
    <row r="52" spans="1:30" s="43" customFormat="1" ht="45" customHeight="1" outlineLevel="1" x14ac:dyDescent="0.2">
      <c r="A52" s="255" t="s">
        <v>362</v>
      </c>
      <c r="B52" s="261" t="s">
        <v>377</v>
      </c>
      <c r="C52" s="257"/>
      <c r="D52" s="262">
        <v>1.3560000000000001</v>
      </c>
      <c r="E52" s="259">
        <f t="shared" si="35"/>
        <v>4998</v>
      </c>
      <c r="F52" s="260">
        <f t="shared" si="36"/>
        <v>4998</v>
      </c>
      <c r="G52" s="109">
        <v>4998</v>
      </c>
      <c r="H52" s="109">
        <v>0</v>
      </c>
      <c r="I52" s="260">
        <f t="shared" si="37"/>
        <v>0</v>
      </c>
      <c r="J52" s="260">
        <v>0</v>
      </c>
      <c r="K52" s="260">
        <v>0</v>
      </c>
      <c r="L52" s="260">
        <f t="shared" si="38"/>
        <v>0</v>
      </c>
      <c r="M52" s="260">
        <v>0</v>
      </c>
      <c r="N52" s="260">
        <v>0</v>
      </c>
      <c r="O52" s="260">
        <f t="shared" si="39"/>
        <v>0</v>
      </c>
      <c r="P52" s="260">
        <v>0</v>
      </c>
      <c r="Q52" s="260">
        <v>0</v>
      </c>
      <c r="R52" s="260">
        <f t="shared" si="40"/>
        <v>0</v>
      </c>
      <c r="S52" s="260">
        <v>0</v>
      </c>
      <c r="T52" s="260">
        <v>0</v>
      </c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</row>
    <row r="53" spans="1:30" s="42" customFormat="1" ht="48.75" customHeight="1" outlineLevel="1" x14ac:dyDescent="0.2">
      <c r="A53" s="255" t="s">
        <v>363</v>
      </c>
      <c r="B53" s="261" t="s">
        <v>378</v>
      </c>
      <c r="C53" s="257"/>
      <c r="D53" s="262">
        <v>0.94099999999999995</v>
      </c>
      <c r="E53" s="259">
        <f t="shared" si="35"/>
        <v>5693</v>
      </c>
      <c r="F53" s="260">
        <f t="shared" si="36"/>
        <v>5693</v>
      </c>
      <c r="G53" s="109">
        <v>5693</v>
      </c>
      <c r="H53" s="109">
        <v>0</v>
      </c>
      <c r="I53" s="260">
        <f t="shared" si="37"/>
        <v>0</v>
      </c>
      <c r="J53" s="260">
        <v>0</v>
      </c>
      <c r="K53" s="260">
        <v>0</v>
      </c>
      <c r="L53" s="260">
        <f t="shared" si="38"/>
        <v>0</v>
      </c>
      <c r="M53" s="260">
        <v>0</v>
      </c>
      <c r="N53" s="260">
        <v>0</v>
      </c>
      <c r="O53" s="260">
        <f t="shared" si="39"/>
        <v>0</v>
      </c>
      <c r="P53" s="260">
        <v>0</v>
      </c>
      <c r="Q53" s="260">
        <v>0</v>
      </c>
      <c r="R53" s="260">
        <f t="shared" si="40"/>
        <v>0</v>
      </c>
      <c r="S53" s="260">
        <v>0</v>
      </c>
      <c r="T53" s="260">
        <v>0</v>
      </c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</row>
    <row r="54" spans="1:30" s="42" customFormat="1" ht="68.25" customHeight="1" outlineLevel="1" x14ac:dyDescent="0.2">
      <c r="A54" s="255" t="s">
        <v>364</v>
      </c>
      <c r="B54" s="261" t="s">
        <v>422</v>
      </c>
      <c r="C54" s="257"/>
      <c r="D54" s="262">
        <v>0.53500000000000003</v>
      </c>
      <c r="E54" s="259">
        <f t="shared" si="35"/>
        <v>2270</v>
      </c>
      <c r="F54" s="260">
        <f t="shared" si="36"/>
        <v>2270</v>
      </c>
      <c r="G54" s="109">
        <v>2270</v>
      </c>
      <c r="H54" s="109">
        <v>0</v>
      </c>
      <c r="I54" s="260">
        <f t="shared" si="37"/>
        <v>0</v>
      </c>
      <c r="J54" s="260">
        <v>0</v>
      </c>
      <c r="K54" s="260">
        <v>0</v>
      </c>
      <c r="L54" s="260">
        <f t="shared" si="38"/>
        <v>0</v>
      </c>
      <c r="M54" s="260">
        <v>0</v>
      </c>
      <c r="N54" s="260">
        <v>0</v>
      </c>
      <c r="O54" s="260">
        <f t="shared" si="39"/>
        <v>0</v>
      </c>
      <c r="P54" s="260">
        <v>0</v>
      </c>
      <c r="Q54" s="260">
        <v>0</v>
      </c>
      <c r="R54" s="260">
        <f t="shared" si="40"/>
        <v>0</v>
      </c>
      <c r="S54" s="260">
        <v>0</v>
      </c>
      <c r="T54" s="260">
        <v>0</v>
      </c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</row>
    <row r="55" spans="1:30" s="43" customFormat="1" ht="48.75" customHeight="1" outlineLevel="1" x14ac:dyDescent="0.2">
      <c r="A55" s="255" t="s">
        <v>365</v>
      </c>
      <c r="B55" s="261" t="s">
        <v>423</v>
      </c>
      <c r="C55" s="257"/>
      <c r="D55" s="262">
        <v>1.679</v>
      </c>
      <c r="E55" s="259">
        <f t="shared" si="35"/>
        <v>18000</v>
      </c>
      <c r="F55" s="260">
        <f t="shared" si="36"/>
        <v>18000</v>
      </c>
      <c r="G55" s="109">
        <v>18000</v>
      </c>
      <c r="H55" s="109">
        <v>0</v>
      </c>
      <c r="I55" s="260">
        <f t="shared" si="37"/>
        <v>0</v>
      </c>
      <c r="J55" s="260">
        <v>0</v>
      </c>
      <c r="K55" s="260">
        <v>0</v>
      </c>
      <c r="L55" s="260">
        <f t="shared" si="38"/>
        <v>0</v>
      </c>
      <c r="M55" s="260">
        <v>0</v>
      </c>
      <c r="N55" s="260">
        <v>0</v>
      </c>
      <c r="O55" s="260">
        <f t="shared" si="39"/>
        <v>0</v>
      </c>
      <c r="P55" s="260">
        <v>0</v>
      </c>
      <c r="Q55" s="260">
        <v>0</v>
      </c>
      <c r="R55" s="260">
        <f t="shared" si="40"/>
        <v>0</v>
      </c>
      <c r="S55" s="260">
        <v>0</v>
      </c>
      <c r="T55" s="260">
        <v>0</v>
      </c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</row>
    <row r="56" spans="1:30" s="43" customFormat="1" ht="48.75" customHeight="1" outlineLevel="1" x14ac:dyDescent="0.2">
      <c r="A56" s="255" t="s">
        <v>366</v>
      </c>
      <c r="B56" s="261" t="s">
        <v>379</v>
      </c>
      <c r="C56" s="250"/>
      <c r="D56" s="262">
        <v>0.86</v>
      </c>
      <c r="E56" s="259">
        <f t="shared" si="35"/>
        <v>3676</v>
      </c>
      <c r="F56" s="260">
        <f t="shared" si="36"/>
        <v>3676</v>
      </c>
      <c r="G56" s="109">
        <v>3676</v>
      </c>
      <c r="H56" s="109">
        <v>0</v>
      </c>
      <c r="I56" s="260">
        <f>J56+K56</f>
        <v>0</v>
      </c>
      <c r="J56" s="260">
        <v>0</v>
      </c>
      <c r="K56" s="260">
        <v>0</v>
      </c>
      <c r="L56" s="260">
        <f>M56+N56</f>
        <v>0</v>
      </c>
      <c r="M56" s="260">
        <v>0</v>
      </c>
      <c r="N56" s="260">
        <v>0</v>
      </c>
      <c r="O56" s="260">
        <f>P56+Q56</f>
        <v>0</v>
      </c>
      <c r="P56" s="260">
        <v>0</v>
      </c>
      <c r="Q56" s="260">
        <v>0</v>
      </c>
      <c r="R56" s="260">
        <f>S56+T56</f>
        <v>0</v>
      </c>
      <c r="S56" s="260">
        <v>0</v>
      </c>
      <c r="T56" s="260">
        <v>0</v>
      </c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</row>
    <row r="57" spans="1:30" s="43" customFormat="1" ht="48.75" customHeight="1" outlineLevel="1" x14ac:dyDescent="0.2">
      <c r="A57" s="255" t="s">
        <v>367</v>
      </c>
      <c r="B57" s="261" t="s">
        <v>380</v>
      </c>
      <c r="C57" s="263"/>
      <c r="D57" s="262">
        <v>1.5269999999999999</v>
      </c>
      <c r="E57" s="259">
        <f t="shared" si="35"/>
        <v>4872</v>
      </c>
      <c r="F57" s="260">
        <f t="shared" si="36"/>
        <v>4872</v>
      </c>
      <c r="G57" s="109">
        <v>4872</v>
      </c>
      <c r="H57" s="109">
        <v>0</v>
      </c>
      <c r="I57" s="260">
        <f t="shared" ref="I57:I62" si="41">J57+K57</f>
        <v>0</v>
      </c>
      <c r="J57" s="260">
        <v>0</v>
      </c>
      <c r="K57" s="260">
        <v>0</v>
      </c>
      <c r="L57" s="260">
        <f t="shared" ref="L57:L65" si="42">M57+N57</f>
        <v>0</v>
      </c>
      <c r="M57" s="260">
        <v>0</v>
      </c>
      <c r="N57" s="260">
        <v>0</v>
      </c>
      <c r="O57" s="260">
        <f t="shared" ref="O57:O65" si="43">P57+Q57</f>
        <v>0</v>
      </c>
      <c r="P57" s="260">
        <v>0</v>
      </c>
      <c r="Q57" s="260">
        <v>0</v>
      </c>
      <c r="R57" s="260">
        <f t="shared" ref="R57:R65" si="44">S57+T57</f>
        <v>0</v>
      </c>
      <c r="S57" s="260">
        <v>0</v>
      </c>
      <c r="T57" s="260">
        <v>0</v>
      </c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</row>
    <row r="58" spans="1:30" s="43" customFormat="1" ht="48.75" customHeight="1" outlineLevel="1" x14ac:dyDescent="0.2">
      <c r="A58" s="255" t="s">
        <v>368</v>
      </c>
      <c r="B58" s="261" t="s">
        <v>381</v>
      </c>
      <c r="C58" s="250"/>
      <c r="D58" s="262">
        <v>0.47199999999999998</v>
      </c>
      <c r="E58" s="259">
        <f t="shared" si="35"/>
        <v>1277</v>
      </c>
      <c r="F58" s="260">
        <f t="shared" si="36"/>
        <v>1277</v>
      </c>
      <c r="G58" s="109">
        <v>1277</v>
      </c>
      <c r="H58" s="109">
        <v>0</v>
      </c>
      <c r="I58" s="260">
        <f t="shared" si="41"/>
        <v>0</v>
      </c>
      <c r="J58" s="260">
        <v>0</v>
      </c>
      <c r="K58" s="260">
        <v>0</v>
      </c>
      <c r="L58" s="260">
        <f t="shared" si="42"/>
        <v>0</v>
      </c>
      <c r="M58" s="260">
        <v>0</v>
      </c>
      <c r="N58" s="260">
        <v>0</v>
      </c>
      <c r="O58" s="260">
        <f t="shared" si="43"/>
        <v>0</v>
      </c>
      <c r="P58" s="260">
        <v>0</v>
      </c>
      <c r="Q58" s="260">
        <v>0</v>
      </c>
      <c r="R58" s="260">
        <f t="shared" si="44"/>
        <v>0</v>
      </c>
      <c r="S58" s="260">
        <v>0</v>
      </c>
      <c r="T58" s="260">
        <v>0</v>
      </c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</row>
    <row r="59" spans="1:30" s="43" customFormat="1" ht="48.75" customHeight="1" outlineLevel="1" x14ac:dyDescent="0.2">
      <c r="A59" s="255" t="s">
        <v>369</v>
      </c>
      <c r="B59" s="261" t="s">
        <v>382</v>
      </c>
      <c r="C59" s="250"/>
      <c r="D59" s="262">
        <v>0.24199999999999999</v>
      </c>
      <c r="E59" s="259">
        <f t="shared" si="35"/>
        <v>716</v>
      </c>
      <c r="F59" s="260">
        <f t="shared" si="36"/>
        <v>716</v>
      </c>
      <c r="G59" s="109">
        <v>716</v>
      </c>
      <c r="H59" s="109">
        <v>0</v>
      </c>
      <c r="I59" s="260">
        <f t="shared" si="41"/>
        <v>0</v>
      </c>
      <c r="J59" s="260">
        <v>0</v>
      </c>
      <c r="K59" s="260">
        <v>0</v>
      </c>
      <c r="L59" s="260">
        <f t="shared" si="42"/>
        <v>0</v>
      </c>
      <c r="M59" s="260">
        <v>0</v>
      </c>
      <c r="N59" s="260">
        <v>0</v>
      </c>
      <c r="O59" s="260">
        <f t="shared" si="43"/>
        <v>0</v>
      </c>
      <c r="P59" s="260">
        <v>0</v>
      </c>
      <c r="Q59" s="260">
        <v>0</v>
      </c>
      <c r="R59" s="260">
        <f t="shared" si="44"/>
        <v>0</v>
      </c>
      <c r="S59" s="260">
        <v>0</v>
      </c>
      <c r="T59" s="260">
        <v>0</v>
      </c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</row>
    <row r="60" spans="1:30" s="43" customFormat="1" ht="48.75" customHeight="1" outlineLevel="1" x14ac:dyDescent="0.2">
      <c r="A60" s="255" t="s">
        <v>370</v>
      </c>
      <c r="B60" s="256" t="s">
        <v>383</v>
      </c>
      <c r="C60" s="263"/>
      <c r="D60" s="264">
        <v>0.307</v>
      </c>
      <c r="E60" s="259">
        <f t="shared" si="35"/>
        <v>1514</v>
      </c>
      <c r="F60" s="260">
        <f t="shared" si="36"/>
        <v>1514</v>
      </c>
      <c r="G60" s="265">
        <v>1514</v>
      </c>
      <c r="H60" s="109">
        <v>0</v>
      </c>
      <c r="I60" s="260">
        <f t="shared" si="41"/>
        <v>0</v>
      </c>
      <c r="J60" s="260">
        <v>0</v>
      </c>
      <c r="K60" s="260">
        <v>0</v>
      </c>
      <c r="L60" s="260">
        <f t="shared" si="42"/>
        <v>0</v>
      </c>
      <c r="M60" s="260">
        <v>0</v>
      </c>
      <c r="N60" s="260">
        <v>0</v>
      </c>
      <c r="O60" s="260">
        <f t="shared" si="43"/>
        <v>0</v>
      </c>
      <c r="P60" s="260">
        <v>0</v>
      </c>
      <c r="Q60" s="260">
        <v>0</v>
      </c>
      <c r="R60" s="260">
        <f t="shared" si="44"/>
        <v>0</v>
      </c>
      <c r="S60" s="260">
        <v>0</v>
      </c>
      <c r="T60" s="260">
        <v>0</v>
      </c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</row>
    <row r="61" spans="1:30" s="42" customFormat="1" ht="54.75" customHeight="1" outlineLevel="1" x14ac:dyDescent="0.2">
      <c r="A61" s="255" t="s">
        <v>371</v>
      </c>
      <c r="B61" s="256" t="s">
        <v>424</v>
      </c>
      <c r="C61" s="263"/>
      <c r="D61" s="262">
        <f>0.769+0.221</f>
        <v>0.99</v>
      </c>
      <c r="E61" s="259">
        <f t="shared" si="35"/>
        <v>4300</v>
      </c>
      <c r="F61" s="260">
        <f t="shared" si="36"/>
        <v>4300</v>
      </c>
      <c r="G61" s="265">
        <v>4300</v>
      </c>
      <c r="H61" s="260">
        <v>0</v>
      </c>
      <c r="I61" s="260">
        <f t="shared" si="41"/>
        <v>0</v>
      </c>
      <c r="J61" s="260">
        <v>0</v>
      </c>
      <c r="K61" s="260">
        <v>0</v>
      </c>
      <c r="L61" s="260">
        <f t="shared" si="42"/>
        <v>0</v>
      </c>
      <c r="M61" s="260">
        <v>0</v>
      </c>
      <c r="N61" s="260">
        <v>0</v>
      </c>
      <c r="O61" s="260">
        <f t="shared" si="43"/>
        <v>0</v>
      </c>
      <c r="P61" s="260">
        <v>0</v>
      </c>
      <c r="Q61" s="260">
        <v>0</v>
      </c>
      <c r="R61" s="260">
        <f t="shared" si="44"/>
        <v>0</v>
      </c>
      <c r="S61" s="260">
        <v>0</v>
      </c>
      <c r="T61" s="260">
        <v>0</v>
      </c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</row>
    <row r="62" spans="1:30" s="42" customFormat="1" ht="66" customHeight="1" outlineLevel="1" x14ac:dyDescent="0.2">
      <c r="A62" s="255" t="s">
        <v>372</v>
      </c>
      <c r="B62" s="256" t="s">
        <v>425</v>
      </c>
      <c r="C62" s="263"/>
      <c r="D62" s="262">
        <v>1.8169999999999999</v>
      </c>
      <c r="E62" s="259">
        <f t="shared" si="35"/>
        <v>4374</v>
      </c>
      <c r="F62" s="260">
        <f t="shared" si="36"/>
        <v>4374</v>
      </c>
      <c r="G62" s="265">
        <v>4374</v>
      </c>
      <c r="H62" s="260">
        <v>0</v>
      </c>
      <c r="I62" s="260">
        <f t="shared" si="41"/>
        <v>0</v>
      </c>
      <c r="J62" s="260">
        <v>0</v>
      </c>
      <c r="K62" s="260">
        <v>0</v>
      </c>
      <c r="L62" s="260">
        <f t="shared" si="42"/>
        <v>0</v>
      </c>
      <c r="M62" s="260">
        <v>0</v>
      </c>
      <c r="N62" s="260">
        <v>0</v>
      </c>
      <c r="O62" s="260">
        <f t="shared" si="43"/>
        <v>0</v>
      </c>
      <c r="P62" s="260">
        <v>0</v>
      </c>
      <c r="Q62" s="260">
        <v>0</v>
      </c>
      <c r="R62" s="260">
        <f t="shared" si="44"/>
        <v>0</v>
      </c>
      <c r="S62" s="260">
        <v>0</v>
      </c>
      <c r="T62" s="260">
        <v>0</v>
      </c>
      <c r="U62" s="253"/>
      <c r="V62" s="253"/>
      <c r="W62" s="253"/>
      <c r="X62" s="253"/>
      <c r="Y62" s="253"/>
      <c r="Z62" s="253"/>
      <c r="AA62" s="253"/>
      <c r="AB62" s="253"/>
      <c r="AC62" s="253"/>
      <c r="AD62" s="253"/>
    </row>
    <row r="63" spans="1:30" s="42" customFormat="1" ht="25.5" customHeight="1" outlineLevel="1" x14ac:dyDescent="0.2">
      <c r="A63" s="255" t="s">
        <v>373</v>
      </c>
      <c r="B63" s="266" t="s">
        <v>283</v>
      </c>
      <c r="C63" s="250"/>
      <c r="D63" s="187">
        <v>2.39</v>
      </c>
      <c r="E63" s="259">
        <f t="shared" ref="E63:E67" si="45">F63+I63+L63+O63+R63</f>
        <v>21112</v>
      </c>
      <c r="F63" s="260">
        <f>G63+H63</f>
        <v>0</v>
      </c>
      <c r="G63" s="260">
        <v>0</v>
      </c>
      <c r="H63" s="260">
        <v>0</v>
      </c>
      <c r="I63" s="260">
        <f t="shared" ref="I63:I69" si="46">J63+K63</f>
        <v>21112</v>
      </c>
      <c r="J63" s="260">
        <v>21112</v>
      </c>
      <c r="K63" s="260"/>
      <c r="L63" s="260">
        <f t="shared" si="42"/>
        <v>0</v>
      </c>
      <c r="M63" s="260">
        <v>0</v>
      </c>
      <c r="N63" s="260">
        <v>0</v>
      </c>
      <c r="O63" s="260">
        <f t="shared" si="43"/>
        <v>0</v>
      </c>
      <c r="P63" s="260">
        <v>0</v>
      </c>
      <c r="Q63" s="260">
        <v>0</v>
      </c>
      <c r="R63" s="260">
        <f t="shared" si="44"/>
        <v>0</v>
      </c>
      <c r="S63" s="260">
        <v>0</v>
      </c>
      <c r="T63" s="260">
        <v>0</v>
      </c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</row>
    <row r="64" spans="1:30" s="42" customFormat="1" ht="24" customHeight="1" outlineLevel="1" x14ac:dyDescent="0.2">
      <c r="A64" s="255" t="s">
        <v>374</v>
      </c>
      <c r="B64" s="266" t="s">
        <v>284</v>
      </c>
      <c r="C64" s="250"/>
      <c r="D64" s="187">
        <v>1.41</v>
      </c>
      <c r="E64" s="259">
        <f t="shared" si="45"/>
        <v>3574</v>
      </c>
      <c r="F64" s="260">
        <f t="shared" ref="F64:F67" si="47">G64+H64</f>
        <v>0</v>
      </c>
      <c r="G64" s="260">
        <v>0</v>
      </c>
      <c r="H64" s="260">
        <v>0</v>
      </c>
      <c r="I64" s="260">
        <f t="shared" si="46"/>
        <v>3574</v>
      </c>
      <c r="J64" s="260">
        <v>3574</v>
      </c>
      <c r="K64" s="260"/>
      <c r="L64" s="260">
        <f t="shared" si="42"/>
        <v>0</v>
      </c>
      <c r="M64" s="260">
        <v>0</v>
      </c>
      <c r="N64" s="260">
        <v>0</v>
      </c>
      <c r="O64" s="260">
        <f t="shared" si="43"/>
        <v>0</v>
      </c>
      <c r="P64" s="260">
        <v>0</v>
      </c>
      <c r="Q64" s="260">
        <v>0</v>
      </c>
      <c r="R64" s="260">
        <f t="shared" si="44"/>
        <v>0</v>
      </c>
      <c r="S64" s="260">
        <v>0</v>
      </c>
      <c r="T64" s="260">
        <v>0</v>
      </c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</row>
    <row r="65" spans="1:30" s="43" customFormat="1" ht="23.25" customHeight="1" outlineLevel="1" x14ac:dyDescent="0.2">
      <c r="A65" s="255" t="s">
        <v>375</v>
      </c>
      <c r="B65" s="266" t="s">
        <v>285</v>
      </c>
      <c r="C65" s="250"/>
      <c r="D65" s="187">
        <v>0.92</v>
      </c>
      <c r="E65" s="259">
        <f t="shared" si="45"/>
        <v>12810</v>
      </c>
      <c r="F65" s="260">
        <f t="shared" si="47"/>
        <v>0</v>
      </c>
      <c r="G65" s="260">
        <v>0</v>
      </c>
      <c r="H65" s="260">
        <v>0</v>
      </c>
      <c r="I65" s="260">
        <f t="shared" si="46"/>
        <v>12810</v>
      </c>
      <c r="J65" s="260">
        <v>12810</v>
      </c>
      <c r="K65" s="260"/>
      <c r="L65" s="260">
        <f t="shared" si="42"/>
        <v>0</v>
      </c>
      <c r="M65" s="260">
        <v>0</v>
      </c>
      <c r="N65" s="260">
        <v>0</v>
      </c>
      <c r="O65" s="260">
        <f t="shared" si="43"/>
        <v>0</v>
      </c>
      <c r="P65" s="260">
        <v>0</v>
      </c>
      <c r="Q65" s="260">
        <v>0</v>
      </c>
      <c r="R65" s="260">
        <f t="shared" si="44"/>
        <v>0</v>
      </c>
      <c r="S65" s="260">
        <v>0</v>
      </c>
      <c r="T65" s="260">
        <v>0</v>
      </c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</row>
    <row r="66" spans="1:30" s="45" customFormat="1" ht="28.5" customHeight="1" x14ac:dyDescent="0.2">
      <c r="A66" s="255" t="s">
        <v>426</v>
      </c>
      <c r="B66" s="266" t="s">
        <v>286</v>
      </c>
      <c r="C66" s="250"/>
      <c r="D66" s="187">
        <v>0.65</v>
      </c>
      <c r="E66" s="259">
        <f t="shared" si="45"/>
        <v>5836</v>
      </c>
      <c r="F66" s="260">
        <f t="shared" si="47"/>
        <v>0</v>
      </c>
      <c r="G66" s="260">
        <v>0</v>
      </c>
      <c r="H66" s="267">
        <f>SUM(H51:H65)</f>
        <v>0</v>
      </c>
      <c r="I66" s="267">
        <f t="shared" si="46"/>
        <v>5836</v>
      </c>
      <c r="J66" s="260">
        <v>5836</v>
      </c>
      <c r="K66" s="260"/>
      <c r="L66" s="267">
        <f>M66+N66</f>
        <v>0</v>
      </c>
      <c r="M66" s="267">
        <f>SUM(M51:M65)</f>
        <v>0</v>
      </c>
      <c r="N66" s="267">
        <f>SUM(N51:N65)</f>
        <v>0</v>
      </c>
      <c r="O66" s="267">
        <f>P66+Q66</f>
        <v>0</v>
      </c>
      <c r="P66" s="267">
        <f>SUM(P51:P65)</f>
        <v>0</v>
      </c>
      <c r="Q66" s="267">
        <f>SUM(Q51:Q65)</f>
        <v>0</v>
      </c>
      <c r="R66" s="267">
        <f>S66+T66</f>
        <v>0</v>
      </c>
      <c r="S66" s="267">
        <f>SUM(S51:S65)</f>
        <v>0</v>
      </c>
      <c r="T66" s="267">
        <f>SUM(T51:T65)</f>
        <v>0</v>
      </c>
      <c r="U66" s="268"/>
      <c r="V66" s="269"/>
      <c r="W66" s="269"/>
      <c r="X66" s="269"/>
      <c r="Y66" s="269"/>
      <c r="Z66" s="269"/>
      <c r="AA66" s="269"/>
      <c r="AB66" s="269"/>
      <c r="AC66" s="269"/>
      <c r="AD66" s="269"/>
    </row>
    <row r="67" spans="1:30" s="45" customFormat="1" ht="27" customHeight="1" x14ac:dyDescent="0.2">
      <c r="A67" s="255" t="s">
        <v>375</v>
      </c>
      <c r="B67" s="266" t="s">
        <v>287</v>
      </c>
      <c r="C67" s="263"/>
      <c r="D67" s="187">
        <v>1.93</v>
      </c>
      <c r="E67" s="259">
        <f t="shared" si="45"/>
        <v>10979</v>
      </c>
      <c r="F67" s="260">
        <f t="shared" si="47"/>
        <v>0</v>
      </c>
      <c r="G67" s="260">
        <v>0</v>
      </c>
      <c r="H67" s="270">
        <v>0</v>
      </c>
      <c r="I67" s="271">
        <f t="shared" si="46"/>
        <v>10979</v>
      </c>
      <c r="J67" s="260">
        <v>10979</v>
      </c>
      <c r="K67" s="260"/>
      <c r="L67" s="270">
        <f>M67+N67</f>
        <v>0</v>
      </c>
      <c r="M67" s="270">
        <v>0</v>
      </c>
      <c r="N67" s="270">
        <v>0</v>
      </c>
      <c r="O67" s="270">
        <f>P67+Q67</f>
        <v>0</v>
      </c>
      <c r="P67" s="270">
        <v>0</v>
      </c>
      <c r="Q67" s="270">
        <v>0</v>
      </c>
      <c r="R67" s="270">
        <f>S67+T67</f>
        <v>0</v>
      </c>
      <c r="S67" s="270">
        <v>0</v>
      </c>
      <c r="T67" s="270">
        <v>0</v>
      </c>
      <c r="U67" s="268"/>
      <c r="V67" s="269"/>
      <c r="W67" s="269"/>
      <c r="X67" s="269"/>
      <c r="Y67" s="269"/>
      <c r="Z67" s="269"/>
      <c r="AA67" s="269"/>
      <c r="AB67" s="269"/>
      <c r="AC67" s="269"/>
      <c r="AD67" s="269"/>
    </row>
    <row r="68" spans="1:30" s="45" customFormat="1" ht="108" customHeight="1" x14ac:dyDescent="0.2">
      <c r="A68" s="272"/>
      <c r="B68" s="273" t="s">
        <v>288</v>
      </c>
      <c r="C68" s="274"/>
      <c r="D68" s="275">
        <f>SUM(D51:D67)</f>
        <v>18.55</v>
      </c>
      <c r="E68" s="267">
        <f>SUM(E51:E67)</f>
        <v>108622</v>
      </c>
      <c r="F68" s="267">
        <f>G68+H68</f>
        <v>54311</v>
      </c>
      <c r="G68" s="267">
        <f>SUM(G51:G67)</f>
        <v>54311</v>
      </c>
      <c r="H68" s="267">
        <f>SUM(H51:H67)</f>
        <v>0</v>
      </c>
      <c r="I68" s="267">
        <f t="shared" si="46"/>
        <v>54311</v>
      </c>
      <c r="J68" s="267">
        <f>SUM(J51:J67)</f>
        <v>54311</v>
      </c>
      <c r="K68" s="267">
        <f>SUM(K51:K67)</f>
        <v>0</v>
      </c>
      <c r="L68" s="267">
        <f>M68+N68</f>
        <v>0</v>
      </c>
      <c r="M68" s="267">
        <f>SUM(M51:M67)</f>
        <v>0</v>
      </c>
      <c r="N68" s="267">
        <f>SUM(N51:N67)</f>
        <v>0</v>
      </c>
      <c r="O68" s="267">
        <f>P68+Q68</f>
        <v>0</v>
      </c>
      <c r="P68" s="267">
        <f>SUM(P51:P67)</f>
        <v>0</v>
      </c>
      <c r="Q68" s="267">
        <f>SUM(Q51:Q67)</f>
        <v>0</v>
      </c>
      <c r="R68" s="267">
        <f>S68+T68</f>
        <v>0</v>
      </c>
      <c r="S68" s="267">
        <f>SUM(S51:S67)</f>
        <v>0</v>
      </c>
      <c r="T68" s="267">
        <f>SUM(T51:T67)</f>
        <v>0</v>
      </c>
      <c r="U68" s="268"/>
      <c r="V68" s="269"/>
      <c r="W68" s="269"/>
      <c r="X68" s="269"/>
      <c r="Y68" s="269"/>
      <c r="Z68" s="269"/>
      <c r="AA68" s="269"/>
      <c r="AB68" s="269"/>
      <c r="AC68" s="269"/>
      <c r="AD68" s="269"/>
    </row>
    <row r="69" spans="1:30" s="45" customFormat="1" ht="171.75" customHeight="1" x14ac:dyDescent="0.2">
      <c r="A69" s="249" t="s">
        <v>224</v>
      </c>
      <c r="B69" s="211" t="s">
        <v>272</v>
      </c>
      <c r="C69" s="274"/>
      <c r="D69" s="276"/>
      <c r="E69" s="270">
        <f>F69+I69+L69+O69+R69</f>
        <v>8855</v>
      </c>
      <c r="F69" s="270">
        <f>G69+H69</f>
        <v>2062</v>
      </c>
      <c r="G69" s="270">
        <v>2062</v>
      </c>
      <c r="H69" s="270">
        <v>0</v>
      </c>
      <c r="I69" s="270">
        <f t="shared" si="46"/>
        <v>2062</v>
      </c>
      <c r="J69" s="270">
        <v>2062</v>
      </c>
      <c r="K69" s="270">
        <v>0</v>
      </c>
      <c r="L69" s="270">
        <f>M69+N69</f>
        <v>0</v>
      </c>
      <c r="M69" s="270">
        <v>0</v>
      </c>
      <c r="N69" s="270">
        <v>0</v>
      </c>
      <c r="O69" s="270">
        <f>P69+Q69</f>
        <v>2319</v>
      </c>
      <c r="P69" s="270">
        <v>2319</v>
      </c>
      <c r="Q69" s="270">
        <v>0</v>
      </c>
      <c r="R69" s="270">
        <f>S69+T69</f>
        <v>2412</v>
      </c>
      <c r="S69" s="270">
        <v>2412</v>
      </c>
      <c r="T69" s="270">
        <v>0</v>
      </c>
      <c r="U69" s="268"/>
      <c r="V69" s="269"/>
      <c r="W69" s="269"/>
      <c r="X69" s="269"/>
      <c r="Y69" s="269"/>
      <c r="Z69" s="269"/>
      <c r="AA69" s="269"/>
      <c r="AB69" s="269"/>
      <c r="AC69" s="269"/>
      <c r="AD69" s="269"/>
    </row>
    <row r="70" spans="1:30" s="45" customFormat="1" ht="210.75" customHeight="1" x14ac:dyDescent="0.2">
      <c r="A70" s="249" t="s">
        <v>340</v>
      </c>
      <c r="B70" s="211" t="s">
        <v>274</v>
      </c>
      <c r="C70" s="274"/>
      <c r="D70" s="276"/>
      <c r="E70" s="270">
        <f t="shared" ref="E70:E73" si="48">F70+I70+L70+O70+R70</f>
        <v>1104</v>
      </c>
      <c r="F70" s="270">
        <f t="shared" ref="F70:F73" si="49">G70+H70</f>
        <v>212</v>
      </c>
      <c r="G70" s="270">
        <v>212</v>
      </c>
      <c r="H70" s="270">
        <v>0</v>
      </c>
      <c r="I70" s="270">
        <f t="shared" ref="I70:I73" si="50">J70+K70</f>
        <v>221</v>
      </c>
      <c r="J70" s="270">
        <v>221</v>
      </c>
      <c r="K70" s="270">
        <v>0</v>
      </c>
      <c r="L70" s="270">
        <f t="shared" ref="L70:L73" si="51">M70+N70</f>
        <v>230</v>
      </c>
      <c r="M70" s="270">
        <v>230</v>
      </c>
      <c r="N70" s="270">
        <v>0</v>
      </c>
      <c r="O70" s="270">
        <f t="shared" ref="O70:O73" si="52">P70+Q70</f>
        <v>216</v>
      </c>
      <c r="P70" s="270">
        <v>216</v>
      </c>
      <c r="Q70" s="270">
        <v>0</v>
      </c>
      <c r="R70" s="270">
        <f t="shared" ref="R70:R73" si="53">S70+T70</f>
        <v>225</v>
      </c>
      <c r="S70" s="270">
        <v>225</v>
      </c>
      <c r="T70" s="270">
        <v>0</v>
      </c>
      <c r="U70" s="268"/>
      <c r="V70" s="269"/>
      <c r="W70" s="269"/>
      <c r="X70" s="269"/>
      <c r="Y70" s="269"/>
      <c r="Z70" s="269"/>
      <c r="AA70" s="269"/>
      <c r="AB70" s="269"/>
      <c r="AC70" s="269"/>
      <c r="AD70" s="269"/>
    </row>
    <row r="71" spans="1:30" s="45" customFormat="1" ht="103.5" customHeight="1" x14ac:dyDescent="0.2">
      <c r="A71" s="249" t="s">
        <v>341</v>
      </c>
      <c r="B71" s="211" t="s">
        <v>275</v>
      </c>
      <c r="C71" s="274"/>
      <c r="D71" s="276"/>
      <c r="E71" s="270">
        <f t="shared" si="48"/>
        <v>2604</v>
      </c>
      <c r="F71" s="270">
        <f t="shared" si="49"/>
        <v>500</v>
      </c>
      <c r="G71" s="270">
        <v>500</v>
      </c>
      <c r="H71" s="270">
        <v>0</v>
      </c>
      <c r="I71" s="270">
        <f t="shared" si="50"/>
        <v>500</v>
      </c>
      <c r="J71" s="270">
        <v>500</v>
      </c>
      <c r="K71" s="270">
        <v>0</v>
      </c>
      <c r="L71" s="270">
        <f t="shared" si="51"/>
        <v>500</v>
      </c>
      <c r="M71" s="270">
        <v>500</v>
      </c>
      <c r="N71" s="270">
        <v>0</v>
      </c>
      <c r="O71" s="270">
        <f t="shared" si="52"/>
        <v>541</v>
      </c>
      <c r="P71" s="270">
        <v>541</v>
      </c>
      <c r="Q71" s="270">
        <v>0</v>
      </c>
      <c r="R71" s="270">
        <f t="shared" si="53"/>
        <v>563</v>
      </c>
      <c r="S71" s="270">
        <v>563</v>
      </c>
      <c r="T71" s="270">
        <v>0</v>
      </c>
      <c r="U71" s="268"/>
      <c r="V71" s="269"/>
      <c r="W71" s="269"/>
      <c r="X71" s="269"/>
      <c r="Y71" s="269"/>
      <c r="Z71" s="269"/>
      <c r="AA71" s="269"/>
      <c r="AB71" s="269"/>
      <c r="AC71" s="269"/>
      <c r="AD71" s="269"/>
    </row>
    <row r="72" spans="1:30" s="45" customFormat="1" ht="68.25" customHeight="1" x14ac:dyDescent="0.2">
      <c r="A72" s="249" t="s">
        <v>342</v>
      </c>
      <c r="B72" s="277" t="s">
        <v>277</v>
      </c>
      <c r="C72" s="274"/>
      <c r="D72" s="276"/>
      <c r="E72" s="270">
        <f t="shared" si="48"/>
        <v>13703</v>
      </c>
      <c r="F72" s="270">
        <f t="shared" si="49"/>
        <v>1260</v>
      </c>
      <c r="G72" s="270">
        <v>1260</v>
      </c>
      <c r="H72" s="270">
        <v>0</v>
      </c>
      <c r="I72" s="270">
        <f t="shared" si="50"/>
        <v>5450</v>
      </c>
      <c r="J72" s="270">
        <v>5450</v>
      </c>
      <c r="K72" s="270">
        <v>0</v>
      </c>
      <c r="L72" s="270">
        <f t="shared" si="51"/>
        <v>0</v>
      </c>
      <c r="M72" s="270"/>
      <c r="N72" s="270">
        <v>0</v>
      </c>
      <c r="O72" s="270">
        <f t="shared" si="52"/>
        <v>3428</v>
      </c>
      <c r="P72" s="270">
        <v>3428</v>
      </c>
      <c r="Q72" s="270">
        <v>0</v>
      </c>
      <c r="R72" s="270">
        <f t="shared" si="53"/>
        <v>3565</v>
      </c>
      <c r="S72" s="270">
        <v>3565</v>
      </c>
      <c r="T72" s="270">
        <v>0</v>
      </c>
      <c r="U72" s="268"/>
      <c r="V72" s="269"/>
      <c r="W72" s="269"/>
      <c r="X72" s="269"/>
      <c r="Y72" s="269"/>
      <c r="Z72" s="269"/>
      <c r="AA72" s="269"/>
      <c r="AB72" s="269"/>
      <c r="AC72" s="269"/>
      <c r="AD72" s="269"/>
    </row>
    <row r="73" spans="1:30" s="45" customFormat="1" ht="78" customHeight="1" x14ac:dyDescent="0.2">
      <c r="A73" s="249" t="s">
        <v>343</v>
      </c>
      <c r="B73" s="277" t="s">
        <v>318</v>
      </c>
      <c r="C73" s="274"/>
      <c r="D73" s="276"/>
      <c r="E73" s="270">
        <f t="shared" si="48"/>
        <v>373000</v>
      </c>
      <c r="F73" s="270">
        <f t="shared" si="49"/>
        <v>110000</v>
      </c>
      <c r="G73" s="270">
        <v>110000</v>
      </c>
      <c r="H73" s="270">
        <v>0</v>
      </c>
      <c r="I73" s="270">
        <f t="shared" si="50"/>
        <v>0</v>
      </c>
      <c r="J73" s="270">
        <v>0</v>
      </c>
      <c r="K73" s="270">
        <v>0</v>
      </c>
      <c r="L73" s="270">
        <f t="shared" si="51"/>
        <v>0</v>
      </c>
      <c r="M73" s="270"/>
      <c r="N73" s="270">
        <v>0</v>
      </c>
      <c r="O73" s="270">
        <f t="shared" si="52"/>
        <v>129000</v>
      </c>
      <c r="P73" s="270">
        <v>129000</v>
      </c>
      <c r="Q73" s="270">
        <v>0</v>
      </c>
      <c r="R73" s="270">
        <f t="shared" si="53"/>
        <v>134000</v>
      </c>
      <c r="S73" s="270">
        <v>134000</v>
      </c>
      <c r="T73" s="270">
        <v>0</v>
      </c>
      <c r="U73" s="268"/>
      <c r="V73" s="269"/>
      <c r="W73" s="269"/>
      <c r="X73" s="269"/>
      <c r="Y73" s="269"/>
      <c r="Z73" s="269"/>
      <c r="AA73" s="269"/>
      <c r="AB73" s="269"/>
      <c r="AC73" s="269"/>
      <c r="AD73" s="269"/>
    </row>
    <row r="74" spans="1:30" s="44" customFormat="1" ht="42.75" customHeight="1" x14ac:dyDescent="0.2">
      <c r="A74" s="278" t="s">
        <v>217</v>
      </c>
      <c r="B74" s="309" t="s">
        <v>395</v>
      </c>
      <c r="C74" s="310"/>
      <c r="D74" s="310"/>
      <c r="E74" s="310"/>
      <c r="F74" s="310"/>
      <c r="G74" s="310"/>
      <c r="H74" s="310"/>
      <c r="I74" s="310"/>
      <c r="J74" s="310"/>
      <c r="K74" s="310"/>
      <c r="L74" s="310"/>
      <c r="M74" s="310"/>
      <c r="N74" s="310"/>
      <c r="O74" s="310"/>
      <c r="P74" s="310"/>
      <c r="Q74" s="310"/>
      <c r="R74" s="310"/>
      <c r="S74" s="310"/>
      <c r="T74" s="311"/>
      <c r="U74" s="279"/>
      <c r="V74" s="279"/>
      <c r="W74" s="279"/>
      <c r="X74" s="279"/>
      <c r="Y74" s="279"/>
      <c r="Z74" s="279"/>
      <c r="AA74" s="279"/>
      <c r="AB74" s="279"/>
      <c r="AC74" s="279"/>
      <c r="AD74" s="279"/>
    </row>
    <row r="75" spans="1:30" s="45" customFormat="1" ht="92.25" customHeight="1" outlineLevel="1" x14ac:dyDescent="0.2">
      <c r="A75" s="280" t="s">
        <v>218</v>
      </c>
      <c r="B75" s="246" t="s">
        <v>394</v>
      </c>
      <c r="C75" s="281"/>
      <c r="D75" s="282"/>
      <c r="E75" s="270">
        <f>F75+I75+L75+O75+R75</f>
        <v>13181</v>
      </c>
      <c r="F75" s="270">
        <f t="shared" ref="F75:F76" si="54">G75+H75</f>
        <v>4778</v>
      </c>
      <c r="G75" s="270">
        <v>4778</v>
      </c>
      <c r="H75" s="270">
        <v>0</v>
      </c>
      <c r="I75" s="270">
        <f t="shared" ref="I75:I76" si="55">J75+K75</f>
        <v>0</v>
      </c>
      <c r="J75" s="270">
        <v>0</v>
      </c>
      <c r="K75" s="270">
        <v>0</v>
      </c>
      <c r="L75" s="270">
        <f t="shared" ref="L75:L76" si="56">M75+N75</f>
        <v>0</v>
      </c>
      <c r="M75" s="270"/>
      <c r="N75" s="270">
        <v>0</v>
      </c>
      <c r="O75" s="270">
        <f t="shared" ref="O75:O76" si="57">P75+Q75</f>
        <v>4119</v>
      </c>
      <c r="P75" s="270">
        <v>4119</v>
      </c>
      <c r="Q75" s="270">
        <v>0</v>
      </c>
      <c r="R75" s="270">
        <f t="shared" ref="R75:R76" si="58">S75+T75</f>
        <v>4284</v>
      </c>
      <c r="S75" s="270">
        <v>4284</v>
      </c>
      <c r="T75" s="270">
        <v>0</v>
      </c>
      <c r="U75" s="269"/>
      <c r="V75" s="268"/>
      <c r="W75" s="269"/>
      <c r="X75" s="269"/>
      <c r="Y75" s="269"/>
      <c r="Z75" s="269"/>
      <c r="AA75" s="269"/>
      <c r="AB75" s="269"/>
      <c r="AC75" s="269"/>
      <c r="AD75" s="269"/>
    </row>
    <row r="76" spans="1:30" ht="47.25" customHeight="1" x14ac:dyDescent="0.2">
      <c r="A76" s="376" t="s">
        <v>358</v>
      </c>
      <c r="B76" s="376"/>
      <c r="C76" s="376"/>
      <c r="D76" s="376"/>
      <c r="E76" s="283">
        <f>F76+I76+L76+O76+R76</f>
        <v>3011124</v>
      </c>
      <c r="F76" s="283">
        <f t="shared" si="54"/>
        <v>188062</v>
      </c>
      <c r="G76" s="284">
        <f>G9+G14+G16+G20+G24+G31+G38+G40+G42+G45+G49+G69+G70+G71+G72+G73+G75</f>
        <v>188062</v>
      </c>
      <c r="H76" s="284">
        <f t="shared" ref="H76:T76" si="59">H9+H14+H16+H20+H24+H31+H38+H40+H42+H45+H49+H69+H70+H71+H72+H73+H75</f>
        <v>0</v>
      </c>
      <c r="I76" s="283">
        <f t="shared" si="55"/>
        <v>78231</v>
      </c>
      <c r="J76" s="284">
        <f t="shared" si="59"/>
        <v>78231</v>
      </c>
      <c r="K76" s="284">
        <f t="shared" si="59"/>
        <v>0</v>
      </c>
      <c r="L76" s="283">
        <f t="shared" si="56"/>
        <v>34579</v>
      </c>
      <c r="M76" s="284">
        <f t="shared" si="59"/>
        <v>34579</v>
      </c>
      <c r="N76" s="284">
        <f t="shared" si="59"/>
        <v>0</v>
      </c>
      <c r="O76" s="283">
        <f t="shared" si="57"/>
        <v>1498025</v>
      </c>
      <c r="P76" s="284">
        <f t="shared" si="59"/>
        <v>245316</v>
      </c>
      <c r="Q76" s="284">
        <f t="shared" si="59"/>
        <v>1252709</v>
      </c>
      <c r="R76" s="283">
        <f t="shared" si="58"/>
        <v>1212227</v>
      </c>
      <c r="S76" s="284">
        <f t="shared" si="59"/>
        <v>207673</v>
      </c>
      <c r="T76" s="284">
        <f t="shared" si="59"/>
        <v>1004554</v>
      </c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</row>
    <row r="77" spans="1:30" ht="24.75" customHeight="1" x14ac:dyDescent="0.2">
      <c r="A77" s="285"/>
      <c r="B77" s="285"/>
      <c r="C77" s="285"/>
      <c r="D77" s="285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</row>
    <row r="78" spans="1:30" ht="24.75" customHeight="1" x14ac:dyDescent="0.2">
      <c r="A78" s="285"/>
      <c r="B78" s="286"/>
      <c r="C78" s="286"/>
      <c r="D78" s="285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</row>
    <row r="79" spans="1:30" ht="18.75" customHeight="1" x14ac:dyDescent="0.2">
      <c r="D79" s="377"/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  <c r="P79" s="377"/>
      <c r="Q79" s="377"/>
      <c r="R79" s="377"/>
      <c r="S79" s="377"/>
      <c r="T79" s="377"/>
      <c r="U79" s="377"/>
    </row>
    <row r="80" spans="1:30" ht="37.5" customHeight="1" x14ac:dyDescent="0.2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0:12" x14ac:dyDescent="0.2">
      <c r="J81" s="93"/>
      <c r="K81" s="93"/>
      <c r="L81" s="94"/>
    </row>
  </sheetData>
  <mergeCells count="21">
    <mergeCell ref="B48:T48"/>
    <mergeCell ref="A50:T50"/>
    <mergeCell ref="B74:T74"/>
    <mergeCell ref="A76:D76"/>
    <mergeCell ref="D79:U79"/>
    <mergeCell ref="B23:T23"/>
    <mergeCell ref="R1:T1"/>
    <mergeCell ref="R2:T2"/>
    <mergeCell ref="A3:T3"/>
    <mergeCell ref="A4:A6"/>
    <mergeCell ref="B4:B6"/>
    <mergeCell ref="C4:C6"/>
    <mergeCell ref="D4:D6"/>
    <mergeCell ref="E4:E6"/>
    <mergeCell ref="F4:T4"/>
    <mergeCell ref="F5:H5"/>
    <mergeCell ref="I5:K5"/>
    <mergeCell ref="L5:N5"/>
    <mergeCell ref="O5:Q5"/>
    <mergeCell ref="R5:T5"/>
    <mergeCell ref="B8:AD8"/>
  </mergeCells>
  <printOptions horizontalCentered="1"/>
  <pageMargins left="0.19685039370078741" right="0.19685039370078741" top="0.59055118110236227" bottom="0.39370078740157483" header="0.19685039370078741" footer="0.19685039370078741"/>
  <pageSetup paperSize="9" scale="56" firstPageNumber="64" fitToHeight="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конеч.рез.</vt:lpstr>
      <vt:lpstr>1. Финансирование</vt:lpstr>
      <vt:lpstr>2. Показатели</vt:lpstr>
      <vt:lpstr>5. Перечень МРАД</vt:lpstr>
      <vt:lpstr>'1. Финансирование'!Заголовки_для_печати</vt:lpstr>
      <vt:lpstr>'2. Показатели'!Заголовки_для_печати</vt:lpstr>
      <vt:lpstr>'5. Перечень МРАД'!Заголовки_для_печати</vt:lpstr>
      <vt:lpstr>конеч.рез.!Заголовки_для_печати</vt:lpstr>
      <vt:lpstr>'1. Финансирование'!Область_печати</vt:lpstr>
      <vt:lpstr>'2. Показатели'!Область_печати</vt:lpstr>
      <vt:lpstr>'5. Перечень МРАД'!Область_печати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Тимофеев Георгий Аркадьевич</cp:lastModifiedBy>
  <cp:lastPrinted>2025-12-22T12:41:25Z</cp:lastPrinted>
  <dcterms:created xsi:type="dcterms:W3CDTF">2014-07-04T09:02:24Z</dcterms:created>
  <dcterms:modified xsi:type="dcterms:W3CDTF">2025-12-24T10:57:40Z</dcterms:modified>
</cp:coreProperties>
</file>