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360" windowHeight="7476" tabRatio="874" activeTab="0"/>
  </bookViews>
  <sheets>
    <sheet name="Прил.1(мероприятия)" sheetId="1" r:id="rId1"/>
  </sheets>
  <definedNames>
    <definedName name="_xlnm.Print_Titles" localSheetId="0">'Прил.1(мероприятия)'!$5:$8</definedName>
    <definedName name="_xlnm.Print_Area" localSheetId="0">'Прил.1(мероприятия)'!$A$1:$AD$86</definedName>
  </definedNames>
  <calcPr fullCalcOnLoad="1"/>
</workbook>
</file>

<file path=xl/sharedStrings.xml><?xml version="1.0" encoding="utf-8"?>
<sst xmlns="http://schemas.openxmlformats.org/spreadsheetml/2006/main" count="264" uniqueCount="148">
  <si>
    <t>1.1</t>
  </si>
  <si>
    <t>1.2</t>
  </si>
  <si>
    <t>1.3</t>
  </si>
  <si>
    <t>2.1</t>
  </si>
  <si>
    <t>4.1</t>
  </si>
  <si>
    <t>Сроки реализации</t>
  </si>
  <si>
    <t>ИТОГО</t>
  </si>
  <si>
    <t>Всего</t>
  </si>
  <si>
    <t>Местный бюджет</t>
  </si>
  <si>
    <t>Областной бюджет</t>
  </si>
  <si>
    <t>ДГХ</t>
  </si>
  <si>
    <t>Итого по задаче 1:</t>
  </si>
  <si>
    <t>Итого по задаче 2:</t>
  </si>
  <si>
    <t>Итого по задаче 3:</t>
  </si>
  <si>
    <t>4.2</t>
  </si>
  <si>
    <t>Итого по задаче 4:</t>
  </si>
  <si>
    <t>5.1</t>
  </si>
  <si>
    <t>4.3</t>
  </si>
  <si>
    <t>Текущее содержание дорог  в зимнее и летнее время</t>
  </si>
  <si>
    <t>Ликвидация несанкционированных свалок</t>
  </si>
  <si>
    <t>Обеспечение водоснабжения</t>
  </si>
  <si>
    <t>3.1</t>
  </si>
  <si>
    <t>3.2</t>
  </si>
  <si>
    <t>3.3</t>
  </si>
  <si>
    <t>3.4</t>
  </si>
  <si>
    <t>3.5</t>
  </si>
  <si>
    <t>3.6</t>
  </si>
  <si>
    <t>Федеральный бюджет</t>
  </si>
  <si>
    <t>Внебюджетные средства</t>
  </si>
  <si>
    <t>Удаление аварийно-опасных, сухостойных и упавших деревьев</t>
  </si>
  <si>
    <t>Обработка территорий пляжей</t>
  </si>
  <si>
    <t>Обработка территорий парков</t>
  </si>
  <si>
    <t>2.2</t>
  </si>
  <si>
    <t>2.3</t>
  </si>
  <si>
    <t>Обработка земельных участков общего пользования, расположенных в границах городского округа Тольятти</t>
  </si>
  <si>
    <t xml:space="preserve">Задача 3: Содержание мест погребения (мест захоронения) городского округа Тольятти </t>
  </si>
  <si>
    <t>3.7</t>
  </si>
  <si>
    <t xml:space="preserve"> ДГХ</t>
  </si>
  <si>
    <t xml:space="preserve"> ДГХ </t>
  </si>
  <si>
    <t>№ п/п</t>
  </si>
  <si>
    <t xml:space="preserve">Наименование целей, задач и мероприятий муниципальной программы  </t>
  </si>
  <si>
    <t>Ответсвенный исполнитель</t>
  </si>
  <si>
    <t>Финансовое обеспечение реализации муниципальной программы, тыс. руб.</t>
  </si>
  <si>
    <t>Подготовка мест проведения праздничных мероприятий</t>
  </si>
  <si>
    <t>2.4</t>
  </si>
  <si>
    <t>План на 2020 год</t>
  </si>
  <si>
    <t>План на 2021 год</t>
  </si>
  <si>
    <t>План на 2022 год</t>
  </si>
  <si>
    <t>План на 2023 год</t>
  </si>
  <si>
    <t>План на 2024 год</t>
  </si>
  <si>
    <t>2020-2024</t>
  </si>
  <si>
    <t>Содержание пляжа и прилегающей территории</t>
  </si>
  <si>
    <t xml:space="preserve">Предоставление субсидий на выплату ежемесячных доплат и компенсационных выплат матерям (или другим родственникам, фактически осуществляющим уход за ребенком), находящимся в отпуске </t>
  </si>
  <si>
    <t>Содержание  территории парков города</t>
  </si>
  <si>
    <t>Перечень мероприятий муниципальной программы "Тольятти - чистый город на 2020-2024 годы"</t>
  </si>
  <si>
    <t>Содержание  объектов озеленения</t>
  </si>
  <si>
    <t>Содержание автодорог</t>
  </si>
  <si>
    <t>Задача 1: Содержание территорий общего пользования, комплексное содержание жилых кварталов и объектов озеленения городского округа Тольятти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</si>
  <si>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</si>
  <si>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</si>
  <si>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</si>
  <si>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</si>
  <si>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</si>
  <si>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</si>
  <si>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</si>
  <si>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</si>
  <si>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</si>
  <si>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 xml:space="preserve">Содержание объектов благоустройства </t>
  </si>
  <si>
    <t>Задача 4: Праздничное оформление городских общественных пространств</t>
  </si>
  <si>
    <t>Задача 5: Обеспечение безопасности населения городского округа Тольятти от неблагоприятного воздействия животных без владельцев</t>
  </si>
  <si>
    <t>Цель: Обеспечение выполнения комплекса мероприятий по содержанию территории городского округа Тольятти, направленных на предупреждение потенциального экологического вреда и обеспечение соответствия городских общественных пространств высоким стандартам качества городской среды</t>
  </si>
  <si>
    <t>Санитарная очистка мест проведения праздничных мероприятий</t>
  </si>
  <si>
    <t>Обращение с твердыми коммунальными отходами</t>
  </si>
  <si>
    <t>Содержание территории берегоукрепления</t>
  </si>
  <si>
    <t>Текущий (ямочный)  ремонт асфальтобетонного покрытия дорог, тротуаров Автозаводского, Комсомольского и мкр. Поволжский</t>
  </si>
  <si>
    <t xml:space="preserve">Содержание тротуаров </t>
  </si>
  <si>
    <t xml:space="preserve">Содержание газонов </t>
  </si>
  <si>
    <t>1.13</t>
  </si>
  <si>
    <t>1.14</t>
  </si>
  <si>
    <t>Содержание катков и  кортов</t>
  </si>
  <si>
    <t>Текущий (ямочный) ремонт асфальтобетонного покрытия дорог, тротуаров в Центральном районе</t>
  </si>
  <si>
    <t>Содержание скверов и площадок семейного отдыха</t>
  </si>
  <si>
    <t>ДГХ (МБУ "Зеленстрой")</t>
  </si>
  <si>
    <t>3.8</t>
  </si>
  <si>
    <t>Захоронение смета</t>
  </si>
  <si>
    <t>Транспортные услуги по вывозу смета</t>
  </si>
  <si>
    <t>3.9</t>
  </si>
  <si>
    <t>3.10</t>
  </si>
  <si>
    <t>3.11</t>
  </si>
  <si>
    <t>Предоставление субсидий на иные цели, в том числе на реализацию мероприятий,  направленных на содержание мест погребения (мест захоронения)</t>
  </si>
  <si>
    <t>2021-2024</t>
  </si>
  <si>
    <t>Освобождение земельных участков и благоустройство после сноса (демонтаж сооружений)</t>
  </si>
  <si>
    <t>Дератизация территории кладбищ</t>
  </si>
  <si>
    <t>Ремонт территории воинских захоронений, захоронений участников Великой Отечественной войны</t>
  </si>
  <si>
    <t>Предоставление субсидий на иные цели, в том числе на приобретение, и (или) модернизацию, и (или) дооборудование, и (или) капитальный ремонт основных средств Учреждений, не              относящихся к объектам капитального                      строительства;</t>
  </si>
  <si>
    <t>6.1</t>
  </si>
  <si>
    <t>6.2</t>
  </si>
  <si>
    <t>6.3</t>
  </si>
  <si>
    <t>6.5</t>
  </si>
  <si>
    <t>6.4</t>
  </si>
  <si>
    <t>Задача 6: Проведение санитарной очистки территорий общего пользования городского округа Тольятти</t>
  </si>
  <si>
    <t>ДК</t>
  </si>
  <si>
    <t>ДО</t>
  </si>
  <si>
    <t>УФиС</t>
  </si>
  <si>
    <t>Х</t>
  </si>
  <si>
    <t>Уход за зелеными насаждениями</t>
  </si>
  <si>
    <t xml:space="preserve">Акарицидная обработка </t>
  </si>
  <si>
    <t>Итого по задаче 6 без учета оплаты ранее принятых обязательств:</t>
  </si>
  <si>
    <t xml:space="preserve">Дератизация набережной Комсомольского района и территорий общего пользования </t>
  </si>
  <si>
    <t>Инвентаризация захоронений</t>
  </si>
  <si>
    <t>3.12</t>
  </si>
  <si>
    <t>2021</t>
  </si>
  <si>
    <t>Обращение с твердыми коммунальными отходами, содержание контейнерных площадок</t>
  </si>
  <si>
    <t>Итого по Программе без учета оплаты ранее принятых обязательств:</t>
  </si>
  <si>
    <t>Оплата ранее принятых обязательств по Программе:</t>
  </si>
  <si>
    <t>Оплата ранее принятых обязательств по задаче 6:</t>
  </si>
  <si>
    <t>Итого по Программе  с учетом оплаты ранее принятых обязательств:</t>
  </si>
  <si>
    <t>Оплата ранее принятых обязательств</t>
  </si>
  <si>
    <t>2020</t>
  </si>
  <si>
    <t>Ремонт автомобильных дорог (текущий ремонт внутриквартальных проездов, тротуаров)</t>
  </si>
  <si>
    <t>1.15</t>
  </si>
  <si>
    <t>Ремонт покрытий проездов и пешеходных дорожек, ремонт автомобильных дорог (ремонт проездов, пешеходных дорожек)</t>
  </si>
  <si>
    <t>1.16</t>
  </si>
  <si>
    <t>Предоставление субсидий на иные цели в целях реализации мероприятий,  не включенных в муниципальное задание учреждений</t>
  </si>
  <si>
    <t xml:space="preserve">Итого по задаче 5 </t>
  </si>
  <si>
    <t>6.6</t>
  </si>
  <si>
    <t>Санитарная очистка территорий</t>
  </si>
  <si>
    <t>Организация мероприятий при осуществлении деятельности по обращению с животными без владельцев</t>
  </si>
  <si>
    <t>2146 переносится на 4.3</t>
  </si>
  <si>
    <t>Текущий ремонт памятных мест,  в том числе посадка и содержание зеленых насаждений</t>
  </si>
  <si>
    <t>2020, 2022</t>
  </si>
  <si>
    <t>2021, 2023, 2024</t>
  </si>
  <si>
    <t>2020-2021, 2023-2024</t>
  </si>
  <si>
    <t>2022-2024</t>
  </si>
  <si>
    <t>3.13</t>
  </si>
  <si>
    <t>ДГХ (МКУ "Ритуал")</t>
  </si>
  <si>
    <t>2023-2024</t>
  </si>
  <si>
    <t>Содержание МКУ "Ритуал"</t>
  </si>
  <si>
    <t>к постановлению администрации городского округа Тольятти                                     от _________________ № ______________</t>
  </si>
  <si>
    <t>Приложение № 1 к муниципальной программе                                "Тольятти - чистый город на 2020-2024 годы"</t>
  </si>
  <si>
    <t xml:space="preserve">Задача 2: Проведение акарицидной обработки и дератизации территорий общего пользования городского округа Тольятти                                  </t>
  </si>
  <si>
    <t>3.14</t>
  </si>
  <si>
    <t xml:space="preserve">Перевозка трупов и трупного материала автомобильным транспортом с экипажем в морг </t>
  </si>
  <si>
    <t xml:space="preserve">Приобретение мусоросборников, предназначенных для складирования ТКО (Государственная программа Самарской области "Совершенствование системы обращения с отходами, в том числе с 
твердыми коммунальными отходами, на территории Самарской области" на 2018 - 2030 годы")  </t>
  </si>
  <si>
    <t>2021, 2023</t>
  </si>
  <si>
    <t>2021- 2024</t>
  </si>
  <si>
    <t>2024</t>
  </si>
  <si>
    <t>Приложение 1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</si>
</sst>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_-* #,##0_р_._-;\-* #,##0_р_._-;_-* &quot;-&quot;??_р_._-;_-@_-"/>
    <numFmt numFmtId="182" formatCode="[$-F800]dddd\,\ mmmm\ dd\,\ yyyy"/>
    <numFmt numFmtId="183" formatCode="_-* #,##0.0_р_._-;\-* #,##0.0_р_._-;_-* &quot;-&quot;??_р_._-;_-@_-"/>
    <numFmt numFmtId="184" formatCode="[$-FC19]d\ mmmm\ yyyy\ &quot;г.&quot;"/>
    <numFmt numFmtId="185" formatCode="#,##0.00_ ;\-#,##0.00\ "/>
    <numFmt numFmtId="186" formatCode="#,##0.0"/>
    <numFmt numFmtId="187" formatCode="_-* #,##0.00_р_._-;\-* #,##0.00_р_._-;_-* \-??_р_._-;_-@_-"/>
    <numFmt numFmtId="188" formatCode="_-* #,##0_р_._-;\-* #,##0_р_._-;_-* \-??_р_._-;_-@_-"/>
    <numFmt numFmtId="189" formatCode="dddd&quot;, &quot;mmmm\ dd&quot;, &quot;yyyy"/>
    <numFmt numFmtId="190" formatCode="#,##0.00;[Red]#,##0.00"/>
    <numFmt numFmtId="191" formatCode="#,##0.000;[Red]#,##0.000"/>
    <numFmt numFmtId="192" formatCode="#,##0.0;[Red]#,##0.0"/>
    <numFmt numFmtId="193" formatCode="#,##0;[Red]#,##0"/>
    <numFmt numFmtId="194" formatCode="0.0;[Red]0.0"/>
    <numFmt numFmtId="195" formatCode="#,##0.000"/>
    <numFmt numFmtId="196" formatCode="#,##0.0000"/>
    <numFmt numFmtId="197" formatCode="#,##0.00000"/>
    <numFmt numFmtId="198" formatCode="#,##0.0000;[Red]#,##0.0000"/>
    <numFmt numFmtId="199" formatCode="#,##0.000000"/>
    <numFmt numFmtId="200" formatCode="0.00;[Red]0.00"/>
    <numFmt numFmtId="201" formatCode="0.000000"/>
    <numFmt numFmtId="202" formatCode="0.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0.000000000000000"/>
    <numFmt numFmtId="212" formatCode="#,##0.0000000"/>
    <numFmt numFmtId="213" formatCode="#\ ##0.0"/>
    <numFmt numFmtId="214" formatCode="#,##0.00000000"/>
    <numFmt numFmtId="215" formatCode="#,##0.000000000"/>
    <numFmt numFmtId="216" formatCode="#,##0.0000000000"/>
    <numFmt numFmtId="217" formatCode="#,##0.00000000000"/>
    <numFmt numFmtId="218" formatCode="_-* #,##0.000_р_._-;\-* #,##0.000_р_._-;_-* &quot;-&quot;??_р_._-;_-@_-"/>
    <numFmt numFmtId="219" formatCode="_-* #,##0.0_р_._-;\-* #,##0.0_р_._-;_-* &quot;-&quot;?_р_._-;_-@_-"/>
    <numFmt numFmtId="220" formatCode="_-* #,##0.0\ _₽_-;\-* #,##0.0\ _₽_-;_-* &quot;-&quot;?\ _₽_-;_-@_-"/>
    <numFmt numFmtId="221" formatCode="#,##0.00\ &quot;₽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0" fontId="55" fillId="31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6" fillId="32" borderId="0" xfId="0" applyFont="1" applyFill="1" applyAlignment="1">
      <alignment vertical="center" wrapText="1"/>
    </xf>
    <xf numFmtId="186" fontId="6" fillId="32" borderId="0" xfId="0" applyNumberFormat="1" applyFont="1" applyFill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186" fontId="11" fillId="32" borderId="0" xfId="0" applyNumberFormat="1" applyFont="1" applyFill="1" applyBorder="1" applyAlignment="1">
      <alignment vertical="center" wrapText="1"/>
    </xf>
    <xf numFmtId="186" fontId="6" fillId="32" borderId="0" xfId="0" applyNumberFormat="1" applyFont="1" applyFill="1" applyBorder="1" applyAlignment="1">
      <alignment vertical="center" wrapText="1"/>
    </xf>
    <xf numFmtId="49" fontId="6" fillId="32" borderId="0" xfId="0" applyNumberFormat="1" applyFont="1" applyFill="1" applyBorder="1" applyAlignment="1">
      <alignment vertical="center" wrapText="1"/>
    </xf>
    <xf numFmtId="180" fontId="6" fillId="32" borderId="0" xfId="0" applyNumberFormat="1" applyFont="1" applyFill="1" applyAlignment="1">
      <alignment vertical="center" wrapText="1"/>
    </xf>
    <xf numFmtId="186" fontId="8" fillId="32" borderId="0" xfId="0" applyNumberFormat="1" applyFont="1" applyFill="1" applyAlignment="1">
      <alignment vertical="center" wrapText="1"/>
    </xf>
    <xf numFmtId="0" fontId="8" fillId="32" borderId="0" xfId="0" applyFont="1" applyFill="1" applyAlignment="1">
      <alignment vertical="center" wrapText="1"/>
    </xf>
    <xf numFmtId="4" fontId="6" fillId="32" borderId="0" xfId="0" applyNumberFormat="1" applyFont="1" applyFill="1" applyAlignment="1">
      <alignment vertical="center" wrapText="1"/>
    </xf>
    <xf numFmtId="4" fontId="8" fillId="32" borderId="0" xfId="0" applyNumberFormat="1" applyFont="1" applyFill="1" applyAlignment="1">
      <alignment vertical="center" wrapText="1"/>
    </xf>
    <xf numFmtId="195" fontId="6" fillId="32" borderId="0" xfId="0" applyNumberFormat="1" applyFont="1" applyFill="1" applyAlignment="1">
      <alignment vertical="center" wrapText="1"/>
    </xf>
    <xf numFmtId="212" fontId="6" fillId="32" borderId="0" xfId="0" applyNumberFormat="1" applyFont="1" applyFill="1" applyAlignment="1">
      <alignment vertical="center" wrapText="1"/>
    </xf>
    <xf numFmtId="1" fontId="6" fillId="32" borderId="0" xfId="0" applyNumberFormat="1" applyFont="1" applyFill="1" applyBorder="1" applyAlignment="1">
      <alignment vertical="center" wrapText="1"/>
    </xf>
    <xf numFmtId="214" fontId="6" fillId="32" borderId="0" xfId="0" applyNumberFormat="1" applyFont="1" applyFill="1" applyAlignment="1">
      <alignment vertical="center" wrapText="1"/>
    </xf>
    <xf numFmtId="186" fontId="11" fillId="32" borderId="0" xfId="0" applyNumberFormat="1" applyFont="1" applyFill="1" applyAlignment="1">
      <alignment vertical="center" wrapText="1"/>
    </xf>
    <xf numFmtId="49" fontId="6" fillId="32" borderId="0" xfId="0" applyNumberFormat="1" applyFont="1" applyFill="1" applyAlignment="1">
      <alignment vertical="center" wrapText="1"/>
    </xf>
    <xf numFmtId="2" fontId="6" fillId="32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186" fontId="10" fillId="32" borderId="0" xfId="0" applyNumberFormat="1" applyFont="1" applyFill="1" applyBorder="1" applyAlignment="1">
      <alignment horizontal="center" vertical="center" wrapText="1"/>
    </xf>
    <xf numFmtId="186" fontId="9" fillId="32" borderId="0" xfId="0" applyNumberFormat="1" applyFont="1" applyFill="1" applyAlignment="1">
      <alignment vertical="center" wrapText="1"/>
    </xf>
    <xf numFmtId="2" fontId="8" fillId="32" borderId="0" xfId="0" applyNumberFormat="1" applyFont="1" applyFill="1" applyAlignment="1">
      <alignment vertical="center" wrapText="1"/>
    </xf>
    <xf numFmtId="2" fontId="4" fillId="32" borderId="0" xfId="0" applyNumberFormat="1" applyFont="1" applyFill="1" applyAlignment="1">
      <alignment vertical="center" wrapText="1"/>
    </xf>
    <xf numFmtId="2" fontId="8" fillId="32" borderId="0" xfId="0" applyNumberFormat="1" applyFont="1" applyFill="1" applyBorder="1" applyAlignment="1">
      <alignment vertical="center" wrapText="1"/>
    </xf>
    <xf numFmtId="220" fontId="6" fillId="32" borderId="0" xfId="0" applyNumberFormat="1" applyFont="1" applyFill="1" applyAlignment="1">
      <alignment vertical="center" wrapText="1"/>
    </xf>
    <xf numFmtId="186" fontId="10" fillId="32" borderId="10" xfId="0" applyNumberFormat="1" applyFont="1" applyFill="1" applyBorder="1" applyAlignment="1">
      <alignment horizontal="center" vertical="center" wrapText="1"/>
    </xf>
    <xf numFmtId="186" fontId="56" fillId="32" borderId="0" xfId="0" applyNumberFormat="1" applyFont="1" applyFill="1" applyAlignment="1">
      <alignment horizontal="center" vertical="center"/>
    </xf>
    <xf numFmtId="3" fontId="8" fillId="32" borderId="0" xfId="0" applyNumberFormat="1" applyFont="1" applyFill="1" applyAlignment="1">
      <alignment vertical="center" wrapText="1"/>
    </xf>
    <xf numFmtId="220" fontId="8" fillId="32" borderId="0" xfId="0" applyNumberFormat="1" applyFont="1" applyFill="1" applyAlignment="1">
      <alignment vertical="center" wrapText="1"/>
    </xf>
    <xf numFmtId="186" fontId="13" fillId="32" borderId="10" xfId="0" applyNumberFormat="1" applyFont="1" applyFill="1" applyBorder="1" applyAlignment="1">
      <alignment horizontal="center" vertical="center" wrapText="1"/>
    </xf>
    <xf numFmtId="220" fontId="6" fillId="32" borderId="0" xfId="0" applyNumberFormat="1" applyFont="1" applyFill="1" applyAlignment="1">
      <alignment horizontal="right" vertical="center" wrapText="1"/>
    </xf>
    <xf numFmtId="0" fontId="9" fillId="32" borderId="0" xfId="0" applyFont="1" applyFill="1" applyAlignment="1">
      <alignment vertical="center" wrapText="1"/>
    </xf>
    <xf numFmtId="2" fontId="9" fillId="32" borderId="0" xfId="0" applyNumberFormat="1" applyFont="1" applyFill="1" applyAlignment="1">
      <alignment vertical="center" wrapText="1"/>
    </xf>
    <xf numFmtId="49" fontId="6" fillId="32" borderId="0" xfId="0" applyNumberFormat="1" applyFont="1" applyFill="1" applyAlignment="1">
      <alignment horizontal="left" vertical="center" wrapText="1"/>
    </xf>
    <xf numFmtId="0" fontId="6" fillId="32" borderId="0" xfId="0" applyFont="1" applyFill="1" applyAlignment="1">
      <alignment horizontal="left" vertical="center" wrapText="1"/>
    </xf>
    <xf numFmtId="0" fontId="57" fillId="32" borderId="0" xfId="0" applyFont="1" applyFill="1" applyAlignment="1">
      <alignment/>
    </xf>
    <xf numFmtId="186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6" fontId="12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186" fontId="12" fillId="0" borderId="13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186" fontId="6" fillId="0" borderId="0" xfId="0" applyNumberFormat="1" applyFont="1" applyFill="1" applyAlignment="1">
      <alignment horizontal="left" vertical="center" wrapText="1"/>
    </xf>
    <xf numFmtId="186" fontId="11" fillId="0" borderId="0" xfId="0" applyNumberFormat="1" applyFont="1" applyFill="1" applyAlignment="1">
      <alignment vertical="center" wrapText="1"/>
    </xf>
    <xf numFmtId="186" fontId="6" fillId="32" borderId="0" xfId="0" applyNumberFormat="1" applyFont="1" applyFill="1" applyAlignment="1">
      <alignment horizontal="left" vertical="center" wrapText="1"/>
    </xf>
    <xf numFmtId="186" fontId="8" fillId="32" borderId="0" xfId="0" applyNumberFormat="1" applyFont="1" applyFill="1" applyAlignment="1">
      <alignment horizontal="left" vertical="center" wrapText="1"/>
    </xf>
    <xf numFmtId="178" fontId="6" fillId="32" borderId="0" xfId="0" applyNumberFormat="1" applyFont="1" applyFill="1" applyAlignment="1">
      <alignment horizontal="left" vertical="center" wrapText="1"/>
    </xf>
    <xf numFmtId="180" fontId="6" fillId="32" borderId="0" xfId="0" applyNumberFormat="1" applyFont="1" applyFill="1" applyAlignment="1">
      <alignment horizontal="left" vertical="center" wrapText="1"/>
    </xf>
    <xf numFmtId="195" fontId="6" fillId="32" borderId="0" xfId="0" applyNumberFormat="1" applyFont="1" applyFill="1" applyAlignment="1">
      <alignment horizontal="left" vertical="center" wrapText="1"/>
    </xf>
    <xf numFmtId="215" fontId="6" fillId="32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86" fontId="14" fillId="32" borderId="0" xfId="0" applyNumberFormat="1" applyFont="1" applyFill="1" applyAlignment="1">
      <alignment horizontal="left" vertical="center" wrapText="1"/>
    </xf>
    <xf numFmtId="186" fontId="15" fillId="32" borderId="0" xfId="0" applyNumberFormat="1" applyFont="1" applyFill="1" applyAlignment="1">
      <alignment horizontal="left" vertical="center" wrapText="1"/>
    </xf>
    <xf numFmtId="186" fontId="16" fillId="32" borderId="0" xfId="0" applyNumberFormat="1" applyFont="1" applyFill="1" applyBorder="1" applyAlignment="1">
      <alignment horizontal="left" vertical="center" wrapText="1"/>
    </xf>
    <xf numFmtId="186" fontId="17" fillId="32" borderId="0" xfId="0" applyNumberFormat="1" applyFont="1" applyFill="1" applyAlignment="1">
      <alignment horizontal="left" vertical="center" wrapText="1"/>
    </xf>
    <xf numFmtId="186" fontId="18" fillId="32" borderId="0" xfId="0" applyNumberFormat="1" applyFont="1" applyFill="1" applyAlignment="1">
      <alignment horizontal="left" vertical="center" wrapText="1"/>
    </xf>
    <xf numFmtId="186" fontId="18" fillId="32" borderId="0" xfId="0" applyNumberFormat="1" applyFont="1" applyFill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186" fontId="6" fillId="32" borderId="0" xfId="0" applyNumberFormat="1" applyFont="1" applyFill="1" applyAlignment="1">
      <alignment horizontal="left" vertical="center" wrapText="1"/>
    </xf>
    <xf numFmtId="186" fontId="6" fillId="32" borderId="0" xfId="0" applyNumberFormat="1" applyFont="1" applyFill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183" fontId="10" fillId="0" borderId="10" xfId="67" applyNumberFormat="1" applyFont="1" applyFill="1" applyBorder="1" applyAlignment="1">
      <alignment horizontal="center" vertical="center" wrapText="1"/>
    </xf>
    <xf numFmtId="186" fontId="56" fillId="0" borderId="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6" fontId="56" fillId="0" borderId="10" xfId="0" applyNumberFormat="1" applyFont="1" applyFill="1" applyBorder="1" applyAlignment="1">
      <alignment horizontal="center" vertical="center" wrapText="1"/>
    </xf>
    <xf numFmtId="186" fontId="59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6" fontId="56" fillId="0" borderId="10" xfId="0" applyNumberFormat="1" applyFont="1" applyFill="1" applyBorder="1" applyAlignment="1">
      <alignment horizontal="left" vertical="center" wrapText="1"/>
    </xf>
    <xf numFmtId="186" fontId="6" fillId="32" borderId="0" xfId="0" applyNumberFormat="1" applyFont="1" applyFill="1" applyAlignment="1">
      <alignment horizontal="left" vertical="center" wrapText="1"/>
    </xf>
    <xf numFmtId="186" fontId="8" fillId="33" borderId="0" xfId="0" applyNumberFormat="1" applyFont="1" applyFill="1" applyAlignment="1">
      <alignment horizontal="left" vertical="center" wrapText="1"/>
    </xf>
    <xf numFmtId="186" fontId="8" fillId="33" borderId="0" xfId="0" applyNumberFormat="1" applyFont="1" applyFill="1" applyAlignment="1">
      <alignment vertical="center" wrapText="1"/>
    </xf>
    <xf numFmtId="186" fontId="6" fillId="33" borderId="0" xfId="0" applyNumberFormat="1" applyFont="1" applyFill="1" applyAlignment="1">
      <alignment horizontal="left" vertical="center" wrapText="1"/>
    </xf>
    <xf numFmtId="186" fontId="6" fillId="33" borderId="0" xfId="0" applyNumberFormat="1" applyFont="1" applyFill="1" applyAlignment="1">
      <alignment vertical="center" wrapText="1"/>
    </xf>
    <xf numFmtId="186" fontId="6" fillId="32" borderId="0" xfId="0" applyNumberFormat="1" applyFont="1" applyFill="1" applyAlignment="1">
      <alignment horizontal="left" vertical="center" wrapText="1"/>
    </xf>
    <xf numFmtId="186" fontId="6" fillId="32" borderId="0" xfId="0" applyNumberFormat="1" applyFont="1" applyFill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196" fontId="6" fillId="32" borderId="0" xfId="0" applyNumberFormat="1" applyFont="1" applyFill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186" fontId="10" fillId="32" borderId="16" xfId="0" applyNumberFormat="1" applyFont="1" applyFill="1" applyBorder="1" applyAlignment="1">
      <alignment horizontal="center" vertical="center" wrapText="1"/>
    </xf>
    <xf numFmtId="183" fontId="10" fillId="32" borderId="10" xfId="67" applyNumberFormat="1" applyFont="1" applyFill="1" applyBorder="1" applyAlignment="1">
      <alignment horizontal="center" vertical="center" wrapText="1"/>
    </xf>
    <xf numFmtId="3" fontId="11" fillId="32" borderId="0" xfId="0" applyNumberFormat="1" applyFont="1" applyFill="1" applyBorder="1" applyAlignment="1">
      <alignment vertical="center" wrapText="1"/>
    </xf>
    <xf numFmtId="4" fontId="11" fillId="32" borderId="0" xfId="0" applyNumberFormat="1" applyFont="1" applyFill="1" applyBorder="1" applyAlignment="1">
      <alignment vertical="center" wrapText="1"/>
    </xf>
    <xf numFmtId="186" fontId="4" fillId="32" borderId="0" xfId="0" applyNumberFormat="1" applyFont="1" applyFill="1" applyAlignment="1">
      <alignment vertical="center" wrapText="1"/>
    </xf>
    <xf numFmtId="0" fontId="60" fillId="32" borderId="0" xfId="0" applyFont="1" applyFill="1" applyBorder="1" applyAlignment="1">
      <alignment vertical="center" wrapText="1"/>
    </xf>
    <xf numFmtId="186" fontId="60" fillId="33" borderId="0" xfId="0" applyNumberFormat="1" applyFont="1" applyFill="1" applyBorder="1" applyAlignment="1">
      <alignment vertical="center" wrapText="1"/>
    </xf>
    <xf numFmtId="2" fontId="6" fillId="32" borderId="0" xfId="0" applyNumberFormat="1" applyFont="1" applyFill="1" applyAlignment="1">
      <alignment horizontal="left" vertical="center" wrapText="1"/>
    </xf>
    <xf numFmtId="186" fontId="60" fillId="32" borderId="0" xfId="0" applyNumberFormat="1" applyFont="1" applyFill="1" applyBorder="1" applyAlignment="1">
      <alignment vertical="center"/>
    </xf>
    <xf numFmtId="186" fontId="6" fillId="32" borderId="0" xfId="0" applyNumberFormat="1" applyFont="1" applyFill="1" applyBorder="1" applyAlignment="1">
      <alignment vertical="center"/>
    </xf>
    <xf numFmtId="186" fontId="6" fillId="32" borderId="17" xfId="0" applyNumberFormat="1" applyFont="1" applyFill="1" applyBorder="1" applyAlignment="1">
      <alignment vertical="center" wrapText="1"/>
    </xf>
    <xf numFmtId="0" fontId="6" fillId="32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86" fontId="10" fillId="0" borderId="16" xfId="0" applyNumberFormat="1" applyFont="1" applyFill="1" applyBorder="1" applyAlignment="1">
      <alignment horizontal="center" vertical="center" wrapText="1"/>
    </xf>
    <xf numFmtId="186" fontId="12" fillId="0" borderId="18" xfId="0" applyNumberFormat="1" applyFont="1" applyFill="1" applyBorder="1" applyAlignment="1">
      <alignment horizontal="center" vertical="center" wrapText="1"/>
    </xf>
    <xf numFmtId="186" fontId="6" fillId="32" borderId="0" xfId="0" applyNumberFormat="1" applyFont="1" applyFill="1" applyAlignment="1">
      <alignment horizontal="left" vertical="center" wrapText="1"/>
    </xf>
    <xf numFmtId="186" fontId="60" fillId="32" borderId="0" xfId="0" applyNumberFormat="1" applyFont="1" applyFill="1" applyBorder="1" applyAlignment="1">
      <alignment vertical="center" wrapText="1"/>
    </xf>
    <xf numFmtId="186" fontId="12" fillId="0" borderId="16" xfId="0" applyNumberFormat="1" applyFont="1" applyFill="1" applyBorder="1" applyAlignment="1">
      <alignment horizontal="center" vertical="center" wrapText="1"/>
    </xf>
    <xf numFmtId="186" fontId="60" fillId="32" borderId="0" xfId="0" applyNumberFormat="1" applyFont="1" applyFill="1" applyBorder="1" applyAlignment="1">
      <alignment horizontal="left" vertical="center" wrapText="1"/>
    </xf>
    <xf numFmtId="186" fontId="60" fillId="32" borderId="0" xfId="0" applyNumberFormat="1" applyFont="1" applyFill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86" fontId="6" fillId="32" borderId="0" xfId="0" applyNumberFormat="1" applyFont="1" applyFill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2" fontId="60" fillId="32" borderId="0" xfId="0" applyNumberFormat="1" applyFont="1" applyFill="1" applyAlignment="1">
      <alignment horizontal="left" vertical="center" wrapText="1"/>
    </xf>
    <xf numFmtId="2" fontId="6" fillId="32" borderId="0" xfId="0" applyNumberFormat="1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60" fillId="32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60" fillId="32" borderId="0" xfId="0" applyFont="1" applyFill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49" fontId="10" fillId="0" borderId="20" xfId="0" applyNumberFormat="1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49" fontId="10" fillId="0" borderId="22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4" fontId="10" fillId="0" borderId="16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2" fontId="10" fillId="0" borderId="11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0" fillId="0" borderId="16" xfId="0" applyNumberFormat="1" applyFont="1" applyFill="1" applyBorder="1" applyAlignment="1">
      <alignment horizontal="left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4"/>
  <sheetViews>
    <sheetView tabSelected="1" view="pageBreakPreview" zoomScale="75" zoomScaleNormal="75" zoomScaleSheetLayoutView="75" zoomScalePageLayoutView="75" workbookViewId="0" topLeftCell="A1">
      <pane ySplit="8" topLeftCell="A21" activePane="bottomLeft" state="frozen"/>
      <selection pane="topLeft" activeCell="A1" sqref="A1"/>
      <selection pane="bottomLeft" activeCell="AI13" sqref="AI13"/>
    </sheetView>
  </sheetViews>
  <sheetFormatPr defaultColWidth="9.140625" defaultRowHeight="15"/>
  <cols>
    <col min="1" max="1" width="6.00390625" style="17" customWidth="1"/>
    <col min="2" max="2" width="20.140625" style="1" customWidth="1"/>
    <col min="3" max="3" width="11.8515625" style="1" customWidth="1"/>
    <col min="4" max="4" width="9.421875" style="17" customWidth="1"/>
    <col min="5" max="5" width="8.57421875" style="1" customWidth="1"/>
    <col min="6" max="6" width="9.57421875" style="1" customWidth="1"/>
    <col min="7" max="7" width="7.7109375" style="1" customWidth="1"/>
    <col min="8" max="8" width="7.421875" style="1" customWidth="1"/>
    <col min="9" max="9" width="6.7109375" style="1" customWidth="1"/>
    <col min="10" max="10" width="9.00390625" style="1" customWidth="1"/>
    <col min="11" max="11" width="9.140625" style="1" customWidth="1"/>
    <col min="12" max="12" width="7.421875" style="1" customWidth="1"/>
    <col min="13" max="13" width="4.8515625" style="1" customWidth="1"/>
    <col min="14" max="14" width="5.00390625" style="1" customWidth="1"/>
    <col min="15" max="16" width="9.00390625" style="20" customWidth="1"/>
    <col min="17" max="17" width="8.7109375" style="20" customWidth="1"/>
    <col min="18" max="18" width="4.421875" style="20" customWidth="1"/>
    <col min="19" max="19" width="4.28125" style="20" customWidth="1"/>
    <col min="20" max="20" width="9.421875" style="1" customWidth="1"/>
    <col min="21" max="21" width="9.57421875" style="1" customWidth="1"/>
    <col min="22" max="22" width="7.57421875" style="1" customWidth="1"/>
    <col min="23" max="23" width="6.00390625" style="1" customWidth="1"/>
    <col min="24" max="24" width="5.140625" style="1" customWidth="1"/>
    <col min="25" max="25" width="9.421875" style="1" customWidth="1"/>
    <col min="26" max="26" width="9.8515625" style="1" customWidth="1"/>
    <col min="27" max="27" width="7.28125" style="1" customWidth="1"/>
    <col min="28" max="28" width="4.28125" style="1" customWidth="1"/>
    <col min="29" max="29" width="5.00390625" style="1" customWidth="1"/>
    <col min="30" max="30" width="11.00390625" style="1" customWidth="1"/>
    <col min="31" max="31" width="52.421875" style="37" hidden="1" customWidth="1"/>
    <col min="32" max="32" width="19.00390625" style="1" hidden="1" customWidth="1"/>
    <col min="33" max="33" width="16.28125" style="1" hidden="1" customWidth="1"/>
    <col min="34" max="34" width="10.421875" style="1" hidden="1" customWidth="1"/>
    <col min="35" max="35" width="12.140625" style="18" customWidth="1"/>
    <col min="36" max="36" width="12.140625" style="1" customWidth="1"/>
    <col min="37" max="37" width="14.8515625" style="1" customWidth="1"/>
    <col min="38" max="38" width="14.00390625" style="1" customWidth="1"/>
    <col min="39" max="39" width="14.421875" style="1" customWidth="1"/>
    <col min="40" max="41" width="10.421875" style="1" customWidth="1"/>
    <col min="42" max="43" width="9.140625" style="1" customWidth="1"/>
    <col min="44" max="44" width="14.8515625" style="1" customWidth="1"/>
    <col min="45" max="45" width="14.00390625" style="1" customWidth="1"/>
    <col min="46" max="46" width="12.140625" style="1" customWidth="1"/>
    <col min="47" max="51" width="9.140625" style="1" customWidth="1"/>
    <col min="52" max="52" width="13.28125" style="1" customWidth="1"/>
    <col min="53" max="53" width="15.140625" style="1" customWidth="1"/>
    <col min="54" max="55" width="12.7109375" style="1" customWidth="1"/>
    <col min="56" max="56" width="12.8515625" style="1" customWidth="1"/>
    <col min="57" max="57" width="16.28125" style="1" customWidth="1"/>
    <col min="58" max="58" width="11.28125" style="1" customWidth="1"/>
    <col min="59" max="59" width="9.140625" style="1" customWidth="1"/>
    <col min="60" max="60" width="13.421875" style="1" customWidth="1"/>
    <col min="61" max="61" width="9.140625" style="1" customWidth="1"/>
    <col min="62" max="62" width="12.140625" style="1" bestFit="1" customWidth="1"/>
    <col min="63" max="64" width="9.140625" style="1" customWidth="1"/>
    <col min="65" max="65" width="10.57421875" style="1" bestFit="1" customWidth="1"/>
    <col min="66" max="16384" width="9.140625" style="1" customWidth="1"/>
  </cols>
  <sheetData>
    <row r="1" spans="23:30" ht="18.75" customHeight="1">
      <c r="W1" s="167" t="s">
        <v>147</v>
      </c>
      <c r="X1" s="167"/>
      <c r="Y1" s="167"/>
      <c r="Z1" s="167"/>
      <c r="AA1" s="167"/>
      <c r="AB1" s="167"/>
      <c r="AC1" s="167"/>
      <c r="AD1" s="167"/>
    </row>
    <row r="2" spans="23:30" ht="33.75" customHeight="1">
      <c r="W2" s="168" t="s">
        <v>138</v>
      </c>
      <c r="X2" s="168"/>
      <c r="Y2" s="168"/>
      <c r="Z2" s="168"/>
      <c r="AA2" s="168"/>
      <c r="AB2" s="168"/>
      <c r="AC2" s="168"/>
      <c r="AD2" s="168"/>
    </row>
    <row r="3" spans="23:30" ht="39.75" customHeight="1">
      <c r="W3" s="168" t="s">
        <v>139</v>
      </c>
      <c r="X3" s="168"/>
      <c r="Y3" s="168"/>
      <c r="Z3" s="168"/>
      <c r="AA3" s="168"/>
      <c r="AB3" s="168"/>
      <c r="AC3" s="168"/>
      <c r="AD3" s="168"/>
    </row>
    <row r="4" spans="1:30" ht="34.5" customHeight="1" thickBot="1">
      <c r="A4" s="159" t="s">
        <v>54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</row>
    <row r="5" spans="1:30" ht="15.75" customHeight="1">
      <c r="A5" s="149" t="s">
        <v>39</v>
      </c>
      <c r="B5" s="157" t="s">
        <v>40</v>
      </c>
      <c r="C5" s="157" t="s">
        <v>41</v>
      </c>
      <c r="D5" s="152" t="s">
        <v>5</v>
      </c>
      <c r="E5" s="154" t="s">
        <v>42</v>
      </c>
      <c r="F5" s="154"/>
      <c r="G5" s="154"/>
      <c r="H5" s="154"/>
      <c r="I5" s="154"/>
      <c r="J5" s="154"/>
      <c r="K5" s="154"/>
      <c r="L5" s="154"/>
      <c r="M5" s="154"/>
      <c r="N5" s="154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6"/>
    </row>
    <row r="6" spans="1:30" ht="15.75" customHeight="1">
      <c r="A6" s="150"/>
      <c r="B6" s="158"/>
      <c r="C6" s="158"/>
      <c r="D6" s="153"/>
      <c r="E6" s="151" t="s">
        <v>45</v>
      </c>
      <c r="F6" s="151"/>
      <c r="G6" s="151"/>
      <c r="H6" s="151"/>
      <c r="I6" s="151"/>
      <c r="J6" s="151" t="s">
        <v>46</v>
      </c>
      <c r="K6" s="151"/>
      <c r="L6" s="151"/>
      <c r="M6" s="151"/>
      <c r="N6" s="151"/>
      <c r="O6" s="151" t="s">
        <v>47</v>
      </c>
      <c r="P6" s="151"/>
      <c r="Q6" s="151"/>
      <c r="R6" s="151"/>
      <c r="S6" s="151"/>
      <c r="T6" s="127" t="s">
        <v>48</v>
      </c>
      <c r="U6" s="127"/>
      <c r="V6" s="127"/>
      <c r="W6" s="127"/>
      <c r="X6" s="127"/>
      <c r="Y6" s="127" t="s">
        <v>49</v>
      </c>
      <c r="Z6" s="127"/>
      <c r="AA6" s="127"/>
      <c r="AB6" s="127"/>
      <c r="AC6" s="127"/>
      <c r="AD6" s="166" t="s">
        <v>6</v>
      </c>
    </row>
    <row r="7" spans="1:45" ht="76.5" customHeight="1">
      <c r="A7" s="150"/>
      <c r="B7" s="158"/>
      <c r="C7" s="158"/>
      <c r="D7" s="153"/>
      <c r="E7" s="41" t="s">
        <v>7</v>
      </c>
      <c r="F7" s="41" t="s">
        <v>8</v>
      </c>
      <c r="G7" s="41" t="s">
        <v>9</v>
      </c>
      <c r="H7" s="41" t="s">
        <v>27</v>
      </c>
      <c r="I7" s="41" t="s">
        <v>28</v>
      </c>
      <c r="J7" s="41" t="s">
        <v>7</v>
      </c>
      <c r="K7" s="41" t="s">
        <v>8</v>
      </c>
      <c r="L7" s="41" t="s">
        <v>9</v>
      </c>
      <c r="M7" s="41" t="s">
        <v>27</v>
      </c>
      <c r="N7" s="41" t="s">
        <v>28</v>
      </c>
      <c r="O7" s="41" t="s">
        <v>7</v>
      </c>
      <c r="P7" s="41" t="s">
        <v>8</v>
      </c>
      <c r="Q7" s="41" t="s">
        <v>9</v>
      </c>
      <c r="R7" s="41" t="s">
        <v>27</v>
      </c>
      <c r="S7" s="41" t="s">
        <v>28</v>
      </c>
      <c r="T7" s="99" t="s">
        <v>7</v>
      </c>
      <c r="U7" s="99" t="s">
        <v>8</v>
      </c>
      <c r="V7" s="99" t="s">
        <v>9</v>
      </c>
      <c r="W7" s="99" t="s">
        <v>27</v>
      </c>
      <c r="X7" s="99" t="s">
        <v>28</v>
      </c>
      <c r="Y7" s="99" t="s">
        <v>7</v>
      </c>
      <c r="Z7" s="99" t="s">
        <v>8</v>
      </c>
      <c r="AA7" s="99" t="s">
        <v>9</v>
      </c>
      <c r="AB7" s="99" t="s">
        <v>27</v>
      </c>
      <c r="AC7" s="99" t="s">
        <v>28</v>
      </c>
      <c r="AD7" s="166"/>
      <c r="AF7" s="7"/>
      <c r="AS7" s="27"/>
    </row>
    <row r="8" spans="1:37" ht="21" customHeight="1">
      <c r="A8" s="42">
        <v>1</v>
      </c>
      <c r="B8" s="41">
        <v>2</v>
      </c>
      <c r="C8" s="41">
        <v>3</v>
      </c>
      <c r="D8" s="40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T8" s="99">
        <v>20</v>
      </c>
      <c r="U8" s="99">
        <v>21</v>
      </c>
      <c r="V8" s="99">
        <v>22</v>
      </c>
      <c r="W8" s="99">
        <v>23</v>
      </c>
      <c r="X8" s="99">
        <v>24</v>
      </c>
      <c r="Y8" s="99">
        <v>25</v>
      </c>
      <c r="Z8" s="99">
        <v>26</v>
      </c>
      <c r="AA8" s="99">
        <v>27</v>
      </c>
      <c r="AB8" s="99">
        <v>28</v>
      </c>
      <c r="AC8" s="99">
        <v>29</v>
      </c>
      <c r="AD8" s="100">
        <v>30</v>
      </c>
      <c r="AJ8" s="2"/>
      <c r="AK8" s="2"/>
    </row>
    <row r="9" spans="1:46" ht="28.5" customHeight="1">
      <c r="A9" s="162" t="s">
        <v>70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4"/>
      <c r="AE9" s="96">
        <f>AE11+4185</f>
        <v>325966</v>
      </c>
      <c r="AF9" s="2">
        <f>AE9+AG11</f>
        <v>567099</v>
      </c>
      <c r="AG9" s="2">
        <f>AE9-U54</f>
        <v>325966</v>
      </c>
      <c r="AK9" s="27"/>
      <c r="AR9" s="27"/>
      <c r="AT9" s="27"/>
    </row>
    <row r="10" spans="1:55" ht="26.25" customHeight="1">
      <c r="A10" s="137" t="s">
        <v>57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1"/>
      <c r="AE10" s="96">
        <f>AE11+AG11</f>
        <v>562914</v>
      </c>
      <c r="AM10" s="10"/>
      <c r="BC10" s="2"/>
    </row>
    <row r="11" spans="1:60" ht="30.75" customHeight="1">
      <c r="A11" s="165" t="s">
        <v>0</v>
      </c>
      <c r="B11" s="129" t="s">
        <v>75</v>
      </c>
      <c r="C11" s="41" t="s">
        <v>10</v>
      </c>
      <c r="D11" s="40" t="s">
        <v>50</v>
      </c>
      <c r="E11" s="39">
        <f aca="true" t="shared" si="0" ref="E11:E33">F11+G11+H11+I11</f>
        <v>45433.3</v>
      </c>
      <c r="F11" s="39">
        <v>45433.3</v>
      </c>
      <c r="G11" s="39">
        <v>0</v>
      </c>
      <c r="H11" s="39">
        <v>0</v>
      </c>
      <c r="I11" s="39">
        <v>0</v>
      </c>
      <c r="J11" s="39">
        <f>K11+L11+M11+N11</f>
        <v>50205.3</v>
      </c>
      <c r="K11" s="39">
        <f>45433.3+4772</f>
        <v>50205.3</v>
      </c>
      <c r="L11" s="39">
        <v>0</v>
      </c>
      <c r="M11" s="39">
        <v>0</v>
      </c>
      <c r="N11" s="39">
        <v>0</v>
      </c>
      <c r="O11" s="39">
        <f>P11+Q11+R11+S11</f>
        <v>49479</v>
      </c>
      <c r="P11" s="39">
        <f>45433.3+4045.7</f>
        <v>49479</v>
      </c>
      <c r="Q11" s="39">
        <v>0</v>
      </c>
      <c r="R11" s="39">
        <v>0</v>
      </c>
      <c r="S11" s="39">
        <v>0</v>
      </c>
      <c r="T11" s="39">
        <f>U11+V11+W11+X11</f>
        <v>63247.100000000006</v>
      </c>
      <c r="U11" s="39">
        <f>56405.3+4045.7+702.3+2729.8-36-600</f>
        <v>63247.100000000006</v>
      </c>
      <c r="V11" s="28">
        <v>0</v>
      </c>
      <c r="W11" s="28">
        <v>0</v>
      </c>
      <c r="X11" s="28">
        <v>0</v>
      </c>
      <c r="Y11" s="28">
        <f>Z11+AA11+AB11+AC11</f>
        <v>65020.200000000004</v>
      </c>
      <c r="Z11" s="28">
        <f>61153.3+3866.9</f>
        <v>65020.200000000004</v>
      </c>
      <c r="AA11" s="28">
        <v>0</v>
      </c>
      <c r="AB11" s="28">
        <v>0</v>
      </c>
      <c r="AC11" s="28">
        <v>0</v>
      </c>
      <c r="AD11" s="101">
        <f>Y11+T11+O11+J11+E11</f>
        <v>273384.9</v>
      </c>
      <c r="AE11" s="75">
        <f>U11+U13+U15+U17+U19+U21+U23+U24+U32+U39+U55+U57+U60+U67+U70+U79+U64</f>
        <v>321781</v>
      </c>
      <c r="AF11" s="90">
        <f>Y11+Y13+Y15+Y17+Y19+Y21+Y23+Y24+Y32+Y39+Y55+Y57+Y60+Y67+Y70+Y79+Y65</f>
        <v>375583.00000000006</v>
      </c>
      <c r="AG11" s="2">
        <f>U12+U14+U16+U18+U20+U22+U25+U26+U27+U28+U29+U30+U58+U59+U61+U68+U71+U78</f>
        <v>241133</v>
      </c>
      <c r="AH11" s="2">
        <f>AG11-214496</f>
        <v>26637</v>
      </c>
      <c r="AR11" s="2"/>
      <c r="AS11" s="2"/>
      <c r="BB11" s="2"/>
      <c r="BD11" s="28"/>
      <c r="BE11" s="2"/>
      <c r="BF11" s="2"/>
      <c r="BH11" s="2"/>
    </row>
    <row r="12" spans="1:63" ht="41.25" customHeight="1">
      <c r="A12" s="165"/>
      <c r="B12" s="129"/>
      <c r="C12" s="41" t="s">
        <v>82</v>
      </c>
      <c r="D12" s="40" t="s">
        <v>50</v>
      </c>
      <c r="E12" s="39">
        <f t="shared" si="0"/>
        <v>28059.5</v>
      </c>
      <c r="F12" s="39">
        <f>28059.5</f>
        <v>28059.5</v>
      </c>
      <c r="G12" s="39">
        <v>0</v>
      </c>
      <c r="H12" s="39">
        <v>0</v>
      </c>
      <c r="I12" s="39">
        <v>0</v>
      </c>
      <c r="J12" s="39">
        <f>K12+L12+M12+N12</f>
        <v>28355</v>
      </c>
      <c r="K12" s="39">
        <v>28355</v>
      </c>
      <c r="L12" s="39">
        <v>0</v>
      </c>
      <c r="M12" s="39">
        <v>0</v>
      </c>
      <c r="N12" s="39">
        <v>0</v>
      </c>
      <c r="O12" s="39">
        <f>P12+Q12+R12+S12</f>
        <v>32278</v>
      </c>
      <c r="P12" s="39">
        <f>32069+209</f>
        <v>32278</v>
      </c>
      <c r="Q12" s="39">
        <v>0</v>
      </c>
      <c r="R12" s="39">
        <v>0</v>
      </c>
      <c r="S12" s="39">
        <v>0</v>
      </c>
      <c r="T12" s="39">
        <f>U12+V12+W12+X12</f>
        <v>35808</v>
      </c>
      <c r="U12" s="39">
        <v>35808</v>
      </c>
      <c r="V12" s="28">
        <v>0</v>
      </c>
      <c r="W12" s="28">
        <v>0</v>
      </c>
      <c r="X12" s="28">
        <v>0</v>
      </c>
      <c r="Y12" s="28">
        <f>Z12+AA12+AB12+AC12</f>
        <v>36558</v>
      </c>
      <c r="Z12" s="28">
        <f>35808+750</f>
        <v>36558</v>
      </c>
      <c r="AA12" s="28">
        <v>0</v>
      </c>
      <c r="AB12" s="28">
        <v>0</v>
      </c>
      <c r="AC12" s="28">
        <v>0</v>
      </c>
      <c r="AD12" s="101">
        <f aca="true" t="shared" si="1" ref="AD12:AD32">Y12+T12+O12+J12+E12</f>
        <v>161058.5</v>
      </c>
      <c r="AE12" s="75">
        <v>311091</v>
      </c>
      <c r="AF12" s="2">
        <v>307768</v>
      </c>
      <c r="AG12" s="2">
        <f>AF11-Z54</f>
        <v>375083.00000000006</v>
      </c>
      <c r="AH12" s="2">
        <f>AG11-U30-U29</f>
        <v>220015</v>
      </c>
      <c r="AJ12" s="2"/>
      <c r="AM12" s="2"/>
      <c r="AR12" s="2"/>
      <c r="BA12" s="2"/>
      <c r="BB12" s="2"/>
      <c r="BD12" s="28"/>
      <c r="BE12" s="33"/>
      <c r="BF12" s="122"/>
      <c r="BG12" s="122"/>
      <c r="BH12" s="122"/>
      <c r="BI12" s="122"/>
      <c r="BJ12" s="122"/>
      <c r="BK12" s="122"/>
    </row>
    <row r="13" spans="1:63" ht="34.5" customHeight="1">
      <c r="A13" s="121" t="s">
        <v>1</v>
      </c>
      <c r="B13" s="129" t="s">
        <v>76</v>
      </c>
      <c r="C13" s="41" t="s">
        <v>10</v>
      </c>
      <c r="D13" s="40" t="s">
        <v>50</v>
      </c>
      <c r="E13" s="39">
        <f t="shared" si="0"/>
        <v>55397.7</v>
      </c>
      <c r="F13" s="39">
        <f>64141-8743.3</f>
        <v>55397.7</v>
      </c>
      <c r="G13" s="39">
        <v>0</v>
      </c>
      <c r="H13" s="39">
        <v>0</v>
      </c>
      <c r="I13" s="39">
        <v>0</v>
      </c>
      <c r="J13" s="39">
        <f>K13+L13+M13+N13</f>
        <v>64141</v>
      </c>
      <c r="K13" s="39">
        <v>64141</v>
      </c>
      <c r="L13" s="39">
        <v>0</v>
      </c>
      <c r="M13" s="39">
        <v>0</v>
      </c>
      <c r="N13" s="39">
        <v>0</v>
      </c>
      <c r="O13" s="39">
        <f>P13+Q13+R13+S13</f>
        <v>64141</v>
      </c>
      <c r="P13" s="39">
        <v>64141</v>
      </c>
      <c r="Q13" s="39">
        <v>0</v>
      </c>
      <c r="R13" s="39">
        <v>0</v>
      </c>
      <c r="S13" s="39">
        <v>0</v>
      </c>
      <c r="T13" s="39">
        <f>U13+V13+W13+X13</f>
        <v>73783.70000000001</v>
      </c>
      <c r="U13" s="39">
        <f>71141+3175.6-335.2-599.3+226.3+45+130.3</f>
        <v>73783.70000000001</v>
      </c>
      <c r="V13" s="28">
        <v>0</v>
      </c>
      <c r="W13" s="28">
        <v>0</v>
      </c>
      <c r="X13" s="28">
        <v>0</v>
      </c>
      <c r="Y13" s="28">
        <f>Z13+AA13+AB13+AC13</f>
        <v>75641.1</v>
      </c>
      <c r="Z13" s="28">
        <f>71141+4500.1</f>
        <v>75641.1</v>
      </c>
      <c r="AA13" s="28">
        <v>0</v>
      </c>
      <c r="AB13" s="28">
        <v>0</v>
      </c>
      <c r="AC13" s="28">
        <v>0</v>
      </c>
      <c r="AD13" s="101">
        <f t="shared" si="1"/>
        <v>333104.50000000006</v>
      </c>
      <c r="AE13" s="93">
        <f>AE12-AE11</f>
        <v>-10690</v>
      </c>
      <c r="AF13" s="94">
        <f>AF12-AF11</f>
        <v>-67815.00000000006</v>
      </c>
      <c r="AG13" s="2">
        <f>AF12+215578+4</f>
        <v>523350</v>
      </c>
      <c r="AM13" s="2"/>
      <c r="AR13" s="2"/>
      <c r="AT13" s="2"/>
      <c r="BA13" s="2"/>
      <c r="BB13" s="2"/>
      <c r="BD13" s="28"/>
      <c r="BE13" s="27"/>
      <c r="BF13" s="122"/>
      <c r="BG13" s="122"/>
      <c r="BH13" s="122"/>
      <c r="BI13" s="122"/>
      <c r="BJ13" s="122"/>
      <c r="BK13" s="122"/>
    </row>
    <row r="14" spans="1:63" ht="33.75" customHeight="1">
      <c r="A14" s="131"/>
      <c r="B14" s="129"/>
      <c r="C14" s="41" t="s">
        <v>82</v>
      </c>
      <c r="D14" s="40" t="s">
        <v>50</v>
      </c>
      <c r="E14" s="39">
        <f t="shared" si="0"/>
        <v>34261</v>
      </c>
      <c r="F14" s="39">
        <f>30000.4+4250-1076+921+165.6</f>
        <v>34261</v>
      </c>
      <c r="G14" s="39">
        <v>0</v>
      </c>
      <c r="H14" s="39">
        <v>0</v>
      </c>
      <c r="I14" s="39">
        <v>0</v>
      </c>
      <c r="J14" s="39">
        <f aca="true" t="shared" si="2" ref="J14:J24">K14+L14+M14+N14</f>
        <v>29106</v>
      </c>
      <c r="K14" s="39">
        <f>29086+20</f>
        <v>29106</v>
      </c>
      <c r="L14" s="39">
        <v>0</v>
      </c>
      <c r="M14" s="39">
        <v>0</v>
      </c>
      <c r="N14" s="39">
        <v>0</v>
      </c>
      <c r="O14" s="39">
        <f>P14+Q14+R14+S14</f>
        <v>35409</v>
      </c>
      <c r="P14" s="39">
        <f>35346+63</f>
        <v>35409</v>
      </c>
      <c r="Q14" s="39">
        <v>0</v>
      </c>
      <c r="R14" s="39">
        <v>0</v>
      </c>
      <c r="S14" s="39">
        <v>0</v>
      </c>
      <c r="T14" s="28">
        <f>U14+V14+W14+X14</f>
        <v>33846</v>
      </c>
      <c r="U14" s="28">
        <v>33846</v>
      </c>
      <c r="V14" s="28">
        <v>0</v>
      </c>
      <c r="W14" s="28">
        <v>0</v>
      </c>
      <c r="X14" s="28">
        <v>0</v>
      </c>
      <c r="Y14" s="28">
        <f>Z14+AA14+AB14+AC14</f>
        <v>33846</v>
      </c>
      <c r="Z14" s="28">
        <v>33846</v>
      </c>
      <c r="AA14" s="28">
        <v>0</v>
      </c>
      <c r="AB14" s="28">
        <v>0</v>
      </c>
      <c r="AC14" s="28">
        <v>0</v>
      </c>
      <c r="AD14" s="101">
        <f t="shared" si="1"/>
        <v>166468</v>
      </c>
      <c r="AE14" s="75">
        <f>U11+U13+U15+U17+U19+U21+U23+U24+U32</f>
        <v>252710.1</v>
      </c>
      <c r="AF14" s="2">
        <f>Y11+Y13+Y15+Y17+Y19+Y21+Y23+Y24+Y32</f>
        <v>302830.00000000006</v>
      </c>
      <c r="AK14" s="17"/>
      <c r="AM14" s="2"/>
      <c r="AR14" s="2"/>
      <c r="AS14" s="2"/>
      <c r="BA14" s="2"/>
      <c r="BB14" s="2"/>
      <c r="BD14" s="28"/>
      <c r="BE14" s="2"/>
      <c r="BF14" s="122"/>
      <c r="BG14" s="122"/>
      <c r="BH14" s="122"/>
      <c r="BI14" s="122"/>
      <c r="BJ14" s="122"/>
      <c r="BK14" s="122"/>
    </row>
    <row r="15" spans="1:63" s="9" customFormat="1" ht="24.75" customHeight="1">
      <c r="A15" s="132" t="s">
        <v>2</v>
      </c>
      <c r="B15" s="129" t="s">
        <v>56</v>
      </c>
      <c r="C15" s="41" t="s">
        <v>10</v>
      </c>
      <c r="D15" s="40" t="s">
        <v>50</v>
      </c>
      <c r="E15" s="39">
        <f t="shared" si="0"/>
        <v>34609.3</v>
      </c>
      <c r="F15" s="78">
        <v>34609.3</v>
      </c>
      <c r="G15" s="39">
        <v>0</v>
      </c>
      <c r="H15" s="39">
        <v>0</v>
      </c>
      <c r="I15" s="39">
        <v>0</v>
      </c>
      <c r="J15" s="39">
        <f t="shared" si="2"/>
        <v>43855</v>
      </c>
      <c r="K15" s="79">
        <f>34609.3+3176+6069.7</f>
        <v>43855</v>
      </c>
      <c r="L15" s="39">
        <v>0</v>
      </c>
      <c r="M15" s="39">
        <v>0</v>
      </c>
      <c r="N15" s="39">
        <v>0</v>
      </c>
      <c r="O15" s="39">
        <f>P15+G15+H15+I15</f>
        <v>36709.3</v>
      </c>
      <c r="P15" s="78">
        <f>34609.3+2100</f>
        <v>36709.3</v>
      </c>
      <c r="Q15" s="39">
        <v>0</v>
      </c>
      <c r="R15" s="39">
        <v>0</v>
      </c>
      <c r="S15" s="39">
        <v>0</v>
      </c>
      <c r="T15" s="28">
        <f>U15+L15+M15+N15</f>
        <v>49051</v>
      </c>
      <c r="U15" s="102">
        <f>44855+2100+2096</f>
        <v>49051</v>
      </c>
      <c r="V15" s="28">
        <v>0</v>
      </c>
      <c r="W15" s="28">
        <v>0</v>
      </c>
      <c r="X15" s="28">
        <v>0</v>
      </c>
      <c r="Y15" s="28">
        <f>Z15+Q15+R15+S15</f>
        <v>49925.8</v>
      </c>
      <c r="Z15" s="102">
        <f>46955+2970.8</f>
        <v>49925.8</v>
      </c>
      <c r="AA15" s="28">
        <v>0</v>
      </c>
      <c r="AB15" s="28">
        <v>0</v>
      </c>
      <c r="AC15" s="28">
        <v>0</v>
      </c>
      <c r="AD15" s="101">
        <f t="shared" si="1"/>
        <v>214150.40000000002</v>
      </c>
      <c r="AE15" s="91">
        <f>243812</f>
        <v>243812</v>
      </c>
      <c r="AF15" s="92">
        <f>AF12-AE16-4952</f>
        <v>235515</v>
      </c>
      <c r="AG15" s="8">
        <f>AF15-AF14</f>
        <v>-67315.00000000006</v>
      </c>
      <c r="AI15" s="18"/>
      <c r="AL15" s="1"/>
      <c r="AM15" s="11"/>
      <c r="BA15" s="8"/>
      <c r="BD15" s="29"/>
      <c r="BF15" s="122"/>
      <c r="BG15" s="122"/>
      <c r="BH15" s="122"/>
      <c r="BI15" s="122"/>
      <c r="BJ15" s="122"/>
      <c r="BK15" s="122"/>
    </row>
    <row r="16" spans="1:63" ht="32.25" customHeight="1">
      <c r="A16" s="133"/>
      <c r="B16" s="129"/>
      <c r="C16" s="41" t="s">
        <v>82</v>
      </c>
      <c r="D16" s="40" t="s">
        <v>50</v>
      </c>
      <c r="E16" s="39">
        <f>F16+G16+H16+I16</f>
        <v>8476</v>
      </c>
      <c r="F16" s="39">
        <f>8446.3+29.7</f>
        <v>8476</v>
      </c>
      <c r="G16" s="39">
        <v>0</v>
      </c>
      <c r="H16" s="39">
        <v>0</v>
      </c>
      <c r="I16" s="39">
        <v>0</v>
      </c>
      <c r="J16" s="39">
        <f t="shared" si="2"/>
        <v>8600</v>
      </c>
      <c r="K16" s="39">
        <f>8633-33</f>
        <v>8600</v>
      </c>
      <c r="L16" s="39">
        <v>0</v>
      </c>
      <c r="M16" s="39">
        <v>0</v>
      </c>
      <c r="N16" s="39">
        <v>0</v>
      </c>
      <c r="O16" s="39">
        <f>P16+Q16+R16+S16</f>
        <v>9185</v>
      </c>
      <c r="P16" s="39">
        <f>9168+17</f>
        <v>9185</v>
      </c>
      <c r="Q16" s="39">
        <v>0</v>
      </c>
      <c r="R16" s="39">
        <v>0</v>
      </c>
      <c r="S16" s="39">
        <v>0</v>
      </c>
      <c r="T16" s="28">
        <f>U16+V16+W16+X16</f>
        <v>10233</v>
      </c>
      <c r="U16" s="28">
        <v>10233</v>
      </c>
      <c r="V16" s="28">
        <v>0</v>
      </c>
      <c r="W16" s="28">
        <v>0</v>
      </c>
      <c r="X16" s="28">
        <v>0</v>
      </c>
      <c r="Y16" s="28">
        <f>Z16+AA16+AB16+AC16</f>
        <v>10565</v>
      </c>
      <c r="Z16" s="28">
        <f>10233+332</f>
        <v>10565</v>
      </c>
      <c r="AA16" s="28">
        <v>0</v>
      </c>
      <c r="AB16" s="28">
        <v>0</v>
      </c>
      <c r="AC16" s="28">
        <v>0</v>
      </c>
      <c r="AD16" s="101">
        <f t="shared" si="1"/>
        <v>47059</v>
      </c>
      <c r="AE16" s="63">
        <f>6771+941+39100+2519+17970</f>
        <v>67301</v>
      </c>
      <c r="AF16" s="2">
        <f>AF15+AE16+4952</f>
        <v>307768</v>
      </c>
      <c r="AJ16" s="2"/>
      <c r="AM16" s="10"/>
      <c r="BD16" s="28"/>
      <c r="BE16" s="2"/>
      <c r="BF16" s="122"/>
      <c r="BG16" s="122"/>
      <c r="BH16" s="122"/>
      <c r="BI16" s="122"/>
      <c r="BJ16" s="122"/>
      <c r="BK16" s="122"/>
    </row>
    <row r="17" spans="1:63" ht="24" customHeight="1">
      <c r="A17" s="121" t="s">
        <v>58</v>
      </c>
      <c r="B17" s="123" t="s">
        <v>55</v>
      </c>
      <c r="C17" s="41" t="s">
        <v>10</v>
      </c>
      <c r="D17" s="40" t="s">
        <v>50</v>
      </c>
      <c r="E17" s="39">
        <f t="shared" si="0"/>
        <v>12515.6</v>
      </c>
      <c r="F17" s="39">
        <v>12515.6</v>
      </c>
      <c r="G17" s="39">
        <v>0</v>
      </c>
      <c r="H17" s="39">
        <v>0</v>
      </c>
      <c r="I17" s="39">
        <v>0</v>
      </c>
      <c r="J17" s="39">
        <f t="shared" si="2"/>
        <v>12515.6</v>
      </c>
      <c r="K17" s="39">
        <v>12515.6</v>
      </c>
      <c r="L17" s="39">
        <v>0</v>
      </c>
      <c r="M17" s="39">
        <v>0</v>
      </c>
      <c r="N17" s="39">
        <v>0</v>
      </c>
      <c r="O17" s="39">
        <f>P17</f>
        <v>12515.6</v>
      </c>
      <c r="P17" s="39">
        <v>12515.6</v>
      </c>
      <c r="Q17" s="39">
        <v>0</v>
      </c>
      <c r="R17" s="39">
        <v>0</v>
      </c>
      <c r="S17" s="39">
        <v>0</v>
      </c>
      <c r="T17" s="39">
        <f>U17</f>
        <v>13074.300000000001</v>
      </c>
      <c r="U17" s="39">
        <f>12515.6+558.7</f>
        <v>13074.300000000001</v>
      </c>
      <c r="V17" s="28">
        <v>0</v>
      </c>
      <c r="W17" s="28">
        <v>0</v>
      </c>
      <c r="X17" s="28">
        <v>0</v>
      </c>
      <c r="Y17" s="39">
        <f>Z17</f>
        <v>66386.1</v>
      </c>
      <c r="Z17" s="39">
        <f>12515.6+793.5+53077</f>
        <v>66386.1</v>
      </c>
      <c r="AA17" s="39">
        <v>0</v>
      </c>
      <c r="AB17" s="39">
        <v>0</v>
      </c>
      <c r="AC17" s="39">
        <v>0</v>
      </c>
      <c r="AD17" s="114">
        <f t="shared" si="1"/>
        <v>117007.20000000003</v>
      </c>
      <c r="AE17" s="75">
        <f>AE15-AE14</f>
        <v>-8898.100000000006</v>
      </c>
      <c r="AI17" s="128"/>
      <c r="AJ17" s="128"/>
      <c r="AK17" s="18"/>
      <c r="AM17" s="10"/>
      <c r="BD17" s="28"/>
      <c r="BF17" s="122"/>
      <c r="BG17" s="122"/>
      <c r="BH17" s="122"/>
      <c r="BI17" s="122"/>
      <c r="BJ17" s="122"/>
      <c r="BK17" s="122"/>
    </row>
    <row r="18" spans="1:63" ht="35.25" customHeight="1">
      <c r="A18" s="121"/>
      <c r="B18" s="130"/>
      <c r="C18" s="41" t="s">
        <v>82</v>
      </c>
      <c r="D18" s="40" t="s">
        <v>50</v>
      </c>
      <c r="E18" s="39">
        <f t="shared" si="0"/>
        <v>24010</v>
      </c>
      <c r="F18" s="39">
        <f>19587+4632+77.3-631+344.7</f>
        <v>24010</v>
      </c>
      <c r="G18" s="39">
        <v>0</v>
      </c>
      <c r="H18" s="39">
        <v>0</v>
      </c>
      <c r="I18" s="39">
        <v>0</v>
      </c>
      <c r="J18" s="39">
        <f t="shared" si="2"/>
        <v>31864</v>
      </c>
      <c r="K18" s="39">
        <f>29500+2446-82</f>
        <v>31864</v>
      </c>
      <c r="L18" s="39">
        <v>0</v>
      </c>
      <c r="M18" s="39">
        <v>0</v>
      </c>
      <c r="N18" s="39">
        <v>0</v>
      </c>
      <c r="O18" s="39">
        <f>P18+Q18+R18+S18</f>
        <v>36805</v>
      </c>
      <c r="P18" s="39">
        <f>32828+2500+227+1250</f>
        <v>36805</v>
      </c>
      <c r="Q18" s="39">
        <v>0</v>
      </c>
      <c r="R18" s="39">
        <v>0</v>
      </c>
      <c r="S18" s="39">
        <v>0</v>
      </c>
      <c r="T18" s="28">
        <v>41180</v>
      </c>
      <c r="U18" s="28">
        <v>41180</v>
      </c>
      <c r="V18" s="28">
        <v>0</v>
      </c>
      <c r="W18" s="28">
        <v>0</v>
      </c>
      <c r="X18" s="28">
        <v>0</v>
      </c>
      <c r="Y18" s="28">
        <f>Z18+AA18+AB18+AC18</f>
        <v>31496</v>
      </c>
      <c r="Z18" s="28">
        <v>31496</v>
      </c>
      <c r="AA18" s="28">
        <v>0</v>
      </c>
      <c r="AB18" s="28">
        <v>0</v>
      </c>
      <c r="AC18" s="28">
        <v>0</v>
      </c>
      <c r="AD18" s="101">
        <f t="shared" si="1"/>
        <v>165355</v>
      </c>
      <c r="AE18" s="90">
        <f>Z12+Z14+Z16+Z18+Z20+Z22+Z25+Z27+Z28+Z58+Z59+Z61+Z68+Z71+Z78</f>
        <v>207582</v>
      </c>
      <c r="AG18" s="2"/>
      <c r="AJ18" s="17"/>
      <c r="AK18" s="2"/>
      <c r="BD18" s="28"/>
      <c r="BE18" s="2"/>
      <c r="BF18" s="122"/>
      <c r="BG18" s="122"/>
      <c r="BH18" s="122"/>
      <c r="BI18" s="122"/>
      <c r="BJ18" s="122"/>
      <c r="BK18" s="122"/>
    </row>
    <row r="19" spans="1:63" ht="28.5" customHeight="1">
      <c r="A19" s="121" t="s">
        <v>59</v>
      </c>
      <c r="B19" s="123" t="s">
        <v>79</v>
      </c>
      <c r="C19" s="41" t="s">
        <v>10</v>
      </c>
      <c r="D19" s="40" t="s">
        <v>50</v>
      </c>
      <c r="E19" s="39">
        <f t="shared" si="0"/>
        <v>9396.3</v>
      </c>
      <c r="F19" s="39">
        <v>9396.3</v>
      </c>
      <c r="G19" s="39">
        <v>0</v>
      </c>
      <c r="H19" s="39">
        <v>0</v>
      </c>
      <c r="I19" s="39">
        <v>0</v>
      </c>
      <c r="J19" s="39">
        <f t="shared" si="2"/>
        <v>9476.3</v>
      </c>
      <c r="K19" s="39">
        <f>9396.3+80</f>
        <v>9476.3</v>
      </c>
      <c r="L19" s="39">
        <v>0</v>
      </c>
      <c r="M19" s="39">
        <v>0</v>
      </c>
      <c r="N19" s="39">
        <v>0</v>
      </c>
      <c r="O19" s="39">
        <f>P19</f>
        <v>9396.3</v>
      </c>
      <c r="P19" s="39">
        <v>9396.3</v>
      </c>
      <c r="Q19" s="39">
        <v>0</v>
      </c>
      <c r="R19" s="39">
        <v>0</v>
      </c>
      <c r="S19" s="39">
        <v>0</v>
      </c>
      <c r="T19" s="28">
        <f>U19</f>
        <v>9815.8</v>
      </c>
      <c r="U19" s="28">
        <f>9396.3+419.5</f>
        <v>9815.8</v>
      </c>
      <c r="V19" s="28">
        <v>0</v>
      </c>
      <c r="W19" s="28">
        <v>0</v>
      </c>
      <c r="X19" s="28">
        <v>0</v>
      </c>
      <c r="Y19" s="28">
        <f>Z19</f>
        <v>9959</v>
      </c>
      <c r="Z19" s="28">
        <f>9363.3+595.7</f>
        <v>9959</v>
      </c>
      <c r="AA19" s="28">
        <v>0</v>
      </c>
      <c r="AB19" s="28">
        <v>0</v>
      </c>
      <c r="AC19" s="28">
        <v>0</v>
      </c>
      <c r="AD19" s="101">
        <f t="shared" si="1"/>
        <v>48043.7</v>
      </c>
      <c r="AE19" s="90">
        <f>AE15-U32</f>
        <v>231812</v>
      </c>
      <c r="AH19" s="12"/>
      <c r="AK19" s="98"/>
      <c r="BD19" s="28"/>
      <c r="BF19" s="122"/>
      <c r="BG19" s="122"/>
      <c r="BH19" s="122"/>
      <c r="BI19" s="122"/>
      <c r="BJ19" s="122"/>
      <c r="BK19" s="122"/>
    </row>
    <row r="20" spans="1:63" ht="33.75" customHeight="1">
      <c r="A20" s="121"/>
      <c r="B20" s="123"/>
      <c r="C20" s="41" t="s">
        <v>82</v>
      </c>
      <c r="D20" s="40" t="s">
        <v>50</v>
      </c>
      <c r="E20" s="39">
        <f t="shared" si="0"/>
        <v>2072.5</v>
      </c>
      <c r="F20" s="39">
        <f>2072.5</f>
        <v>2072.5</v>
      </c>
      <c r="G20" s="39">
        <v>0</v>
      </c>
      <c r="H20" s="39">
        <v>0</v>
      </c>
      <c r="I20" s="39">
        <v>0</v>
      </c>
      <c r="J20" s="39">
        <f t="shared" si="2"/>
        <v>2100</v>
      </c>
      <c r="K20" s="39">
        <v>2100</v>
      </c>
      <c r="L20" s="39">
        <v>0</v>
      </c>
      <c r="M20" s="39">
        <v>0</v>
      </c>
      <c r="N20" s="39">
        <v>0</v>
      </c>
      <c r="O20" s="39">
        <f aca="true" t="shared" si="3" ref="O20:O32">P20+Q20+R20+S20</f>
        <v>2975</v>
      </c>
      <c r="P20" s="39">
        <f>2966+9</f>
        <v>2975</v>
      </c>
      <c r="Q20" s="39">
        <v>0</v>
      </c>
      <c r="R20" s="39">
        <v>0</v>
      </c>
      <c r="S20" s="39">
        <v>0</v>
      </c>
      <c r="T20" s="28">
        <f aca="true" t="shared" si="4" ref="T20:T32">U20+V20+W20+X20</f>
        <v>3469</v>
      </c>
      <c r="U20" s="28">
        <v>3469</v>
      </c>
      <c r="V20" s="28">
        <v>0</v>
      </c>
      <c r="W20" s="28">
        <v>0</v>
      </c>
      <c r="X20" s="28">
        <v>0</v>
      </c>
      <c r="Y20" s="28">
        <f aca="true" t="shared" si="5" ref="Y20:Y32">Z20+AA20+AB20+AC20</f>
        <v>3469</v>
      </c>
      <c r="Z20" s="28">
        <v>3469</v>
      </c>
      <c r="AA20" s="28">
        <v>0</v>
      </c>
      <c r="AB20" s="28">
        <v>0</v>
      </c>
      <c r="AC20" s="28">
        <v>0</v>
      </c>
      <c r="AD20" s="101">
        <f t="shared" si="1"/>
        <v>14085.5</v>
      </c>
      <c r="AE20" s="75"/>
      <c r="AF20" s="2">
        <f>AF15-Z32</f>
        <v>231812</v>
      </c>
      <c r="AH20" s="12"/>
      <c r="AZ20" s="2"/>
      <c r="BD20" s="28"/>
      <c r="BE20" s="2"/>
      <c r="BF20" s="122"/>
      <c r="BG20" s="122"/>
      <c r="BH20" s="122"/>
      <c r="BI20" s="122"/>
      <c r="BJ20" s="122"/>
      <c r="BK20" s="122"/>
    </row>
    <row r="21" spans="1:63" ht="23.25" customHeight="1">
      <c r="A21" s="121" t="s">
        <v>60</v>
      </c>
      <c r="B21" s="123" t="s">
        <v>81</v>
      </c>
      <c r="C21" s="41" t="s">
        <v>10</v>
      </c>
      <c r="D21" s="40" t="s">
        <v>50</v>
      </c>
      <c r="E21" s="39">
        <f t="shared" si="0"/>
        <v>15536.8</v>
      </c>
      <c r="F21" s="39">
        <f>20242.8-4706</f>
        <v>15536.8</v>
      </c>
      <c r="G21" s="39">
        <v>0</v>
      </c>
      <c r="H21" s="39">
        <v>0</v>
      </c>
      <c r="I21" s="39">
        <v>0</v>
      </c>
      <c r="J21" s="39">
        <f t="shared" si="2"/>
        <v>22360.8</v>
      </c>
      <c r="K21" s="39">
        <f>20242.8+2118</f>
        <v>22360.8</v>
      </c>
      <c r="L21" s="39">
        <v>0</v>
      </c>
      <c r="M21" s="39">
        <v>0</v>
      </c>
      <c r="N21" s="39">
        <v>0</v>
      </c>
      <c r="O21" s="39">
        <f t="shared" si="3"/>
        <v>20242.8</v>
      </c>
      <c r="P21" s="39">
        <v>20242.8</v>
      </c>
      <c r="Q21" s="39">
        <v>0</v>
      </c>
      <c r="R21" s="39">
        <v>0</v>
      </c>
      <c r="S21" s="39">
        <v>0</v>
      </c>
      <c r="T21" s="28">
        <f t="shared" si="4"/>
        <v>25448.2</v>
      </c>
      <c r="U21" s="28">
        <f>24360.8+1087.4</f>
        <v>25448.2</v>
      </c>
      <c r="V21" s="28">
        <v>0</v>
      </c>
      <c r="W21" s="28">
        <v>0</v>
      </c>
      <c r="X21" s="28">
        <v>0</v>
      </c>
      <c r="Y21" s="28">
        <f t="shared" si="5"/>
        <v>25904.8</v>
      </c>
      <c r="Z21" s="28">
        <f>24360.8+1544</f>
        <v>25904.8</v>
      </c>
      <c r="AA21" s="28">
        <v>0</v>
      </c>
      <c r="AB21" s="28">
        <v>0</v>
      </c>
      <c r="AC21" s="28">
        <v>0</v>
      </c>
      <c r="AD21" s="101">
        <f t="shared" si="1"/>
        <v>109493.40000000001</v>
      </c>
      <c r="AE21" s="37">
        <f>878+2500+1180</f>
        <v>4558</v>
      </c>
      <c r="AG21" s="1">
        <f>AE21-2500</f>
        <v>2058</v>
      </c>
      <c r="AH21" s="12">
        <f>1180+878</f>
        <v>2058</v>
      </c>
      <c r="AR21" s="18"/>
      <c r="AS21" s="18"/>
      <c r="AZ21" s="2"/>
      <c r="BD21" s="28"/>
      <c r="BF21" s="122"/>
      <c r="BG21" s="122"/>
      <c r="BH21" s="122"/>
      <c r="BI21" s="122"/>
      <c r="BJ21" s="122"/>
      <c r="BK21" s="122"/>
    </row>
    <row r="22" spans="1:63" ht="35.25" customHeight="1">
      <c r="A22" s="121"/>
      <c r="B22" s="123"/>
      <c r="C22" s="41" t="s">
        <v>82</v>
      </c>
      <c r="D22" s="40" t="s">
        <v>50</v>
      </c>
      <c r="E22" s="39">
        <f t="shared" si="0"/>
        <v>11464.4</v>
      </c>
      <c r="F22" s="39">
        <f>6588.4+4876</f>
        <v>11464.4</v>
      </c>
      <c r="G22" s="39">
        <v>0</v>
      </c>
      <c r="H22" s="39">
        <v>0</v>
      </c>
      <c r="I22" s="39">
        <v>0</v>
      </c>
      <c r="J22" s="39">
        <f t="shared" si="2"/>
        <v>23521</v>
      </c>
      <c r="K22" s="39">
        <f>23333+188</f>
        <v>23521</v>
      </c>
      <c r="L22" s="39">
        <v>0</v>
      </c>
      <c r="M22" s="39">
        <v>0</v>
      </c>
      <c r="N22" s="39">
        <v>0</v>
      </c>
      <c r="O22" s="39">
        <f t="shared" si="3"/>
        <v>28403</v>
      </c>
      <c r="P22" s="39">
        <f>26981+242+1180</f>
        <v>28403</v>
      </c>
      <c r="Q22" s="39">
        <v>0</v>
      </c>
      <c r="R22" s="39">
        <v>0</v>
      </c>
      <c r="S22" s="39">
        <v>0</v>
      </c>
      <c r="T22" s="28">
        <v>29640</v>
      </c>
      <c r="U22" s="28">
        <v>29640</v>
      </c>
      <c r="V22" s="28">
        <v>0</v>
      </c>
      <c r="W22" s="28">
        <v>0</v>
      </c>
      <c r="X22" s="28">
        <v>0</v>
      </c>
      <c r="Y22" s="28">
        <f t="shared" si="5"/>
        <v>25619</v>
      </c>
      <c r="Z22" s="28">
        <v>25619</v>
      </c>
      <c r="AA22" s="28">
        <v>0</v>
      </c>
      <c r="AB22" s="28">
        <v>0</v>
      </c>
      <c r="AC22" s="28">
        <v>0</v>
      </c>
      <c r="AD22" s="101">
        <f t="shared" si="1"/>
        <v>118647.4</v>
      </c>
      <c r="AE22" s="37">
        <f>1180+242</f>
        <v>1422</v>
      </c>
      <c r="AH22" s="12"/>
      <c r="AM22" s="2"/>
      <c r="AZ22" s="2"/>
      <c r="BD22" s="28"/>
      <c r="BE22" s="2"/>
      <c r="BF22" s="122"/>
      <c r="BG22" s="122"/>
      <c r="BH22" s="122"/>
      <c r="BI22" s="122"/>
      <c r="BJ22" s="122"/>
      <c r="BK22" s="122"/>
    </row>
    <row r="23" spans="1:63" s="9" customFormat="1" ht="97.5" customHeight="1">
      <c r="A23" s="42" t="s">
        <v>61</v>
      </c>
      <c r="B23" s="44" t="s">
        <v>74</v>
      </c>
      <c r="C23" s="41" t="s">
        <v>10</v>
      </c>
      <c r="D23" s="40" t="s">
        <v>50</v>
      </c>
      <c r="E23" s="39">
        <f t="shared" si="0"/>
        <v>6327</v>
      </c>
      <c r="F23" s="39">
        <f>2500-238+4065</f>
        <v>6327</v>
      </c>
      <c r="G23" s="39">
        <v>0</v>
      </c>
      <c r="H23" s="39">
        <v>0</v>
      </c>
      <c r="I23" s="39">
        <v>0</v>
      </c>
      <c r="J23" s="39">
        <f t="shared" si="2"/>
        <v>6259</v>
      </c>
      <c r="K23" s="39">
        <f>4065+1297+2097-1200</f>
        <v>6259</v>
      </c>
      <c r="L23" s="39">
        <v>0</v>
      </c>
      <c r="M23" s="39">
        <v>0</v>
      </c>
      <c r="N23" s="39">
        <v>0</v>
      </c>
      <c r="O23" s="39">
        <f t="shared" si="3"/>
        <v>6259</v>
      </c>
      <c r="P23" s="39">
        <v>6259</v>
      </c>
      <c r="Q23" s="39">
        <v>0</v>
      </c>
      <c r="R23" s="39">
        <v>0</v>
      </c>
      <c r="S23" s="39">
        <v>0</v>
      </c>
      <c r="T23" s="28">
        <f t="shared" si="4"/>
        <v>6290</v>
      </c>
      <c r="U23" s="28">
        <v>6290</v>
      </c>
      <c r="V23" s="28">
        <v>0</v>
      </c>
      <c r="W23" s="28">
        <v>0</v>
      </c>
      <c r="X23" s="28">
        <v>0</v>
      </c>
      <c r="Y23" s="28">
        <f t="shared" si="5"/>
        <v>6290</v>
      </c>
      <c r="Z23" s="28">
        <f>U23</f>
        <v>6290</v>
      </c>
      <c r="AA23" s="28">
        <v>0</v>
      </c>
      <c r="AB23" s="28">
        <v>0</v>
      </c>
      <c r="AC23" s="28">
        <v>0</v>
      </c>
      <c r="AD23" s="101">
        <f>Y23+T23+O23+J23+E23</f>
        <v>31425</v>
      </c>
      <c r="AE23" s="62"/>
      <c r="AF23" s="8"/>
      <c r="AI23" s="18"/>
      <c r="AJ23" s="8"/>
      <c r="AK23" s="8"/>
      <c r="BD23" s="28"/>
      <c r="BF23" s="122"/>
      <c r="BG23" s="122"/>
      <c r="BH23" s="122"/>
      <c r="BI23" s="122"/>
      <c r="BJ23" s="122"/>
      <c r="BK23" s="122"/>
    </row>
    <row r="24" spans="1:63" s="9" customFormat="1" ht="77.25" customHeight="1">
      <c r="A24" s="42" t="s">
        <v>62</v>
      </c>
      <c r="B24" s="80" t="s">
        <v>80</v>
      </c>
      <c r="C24" s="41" t="s">
        <v>10</v>
      </c>
      <c r="D24" s="40" t="s">
        <v>118</v>
      </c>
      <c r="E24" s="39">
        <f t="shared" si="0"/>
        <v>732</v>
      </c>
      <c r="F24" s="81">
        <f>2006.7-18-1256.7</f>
        <v>732</v>
      </c>
      <c r="G24" s="81">
        <v>0</v>
      </c>
      <c r="H24" s="81">
        <v>0</v>
      </c>
      <c r="I24" s="81">
        <v>0</v>
      </c>
      <c r="J24" s="39">
        <f t="shared" si="2"/>
        <v>0</v>
      </c>
      <c r="K24" s="39">
        <f>800-800</f>
        <v>0</v>
      </c>
      <c r="L24" s="81">
        <v>0</v>
      </c>
      <c r="M24" s="81">
        <v>0</v>
      </c>
      <c r="N24" s="81">
        <v>0</v>
      </c>
      <c r="O24" s="39">
        <f t="shared" si="3"/>
        <v>0</v>
      </c>
      <c r="P24" s="39">
        <v>0</v>
      </c>
      <c r="Q24" s="39">
        <v>0</v>
      </c>
      <c r="R24" s="39">
        <v>0</v>
      </c>
      <c r="S24" s="39">
        <v>0</v>
      </c>
      <c r="T24" s="28">
        <f t="shared" si="4"/>
        <v>0</v>
      </c>
      <c r="U24" s="28">
        <v>0</v>
      </c>
      <c r="V24" s="28">
        <v>0</v>
      </c>
      <c r="W24" s="28">
        <v>0</v>
      </c>
      <c r="X24" s="28">
        <v>0</v>
      </c>
      <c r="Y24" s="28">
        <f t="shared" si="5"/>
        <v>0</v>
      </c>
      <c r="Z24" s="28">
        <v>0</v>
      </c>
      <c r="AA24" s="28">
        <v>0</v>
      </c>
      <c r="AB24" s="28">
        <v>0</v>
      </c>
      <c r="AC24" s="28">
        <v>0</v>
      </c>
      <c r="AD24" s="101">
        <f t="shared" si="1"/>
        <v>732</v>
      </c>
      <c r="AE24" s="62"/>
      <c r="AF24" s="8"/>
      <c r="AI24" s="18"/>
      <c r="AK24" s="8"/>
      <c r="BD24" s="28"/>
      <c r="BF24" s="122"/>
      <c r="BG24" s="122"/>
      <c r="BH24" s="122"/>
      <c r="BI24" s="122"/>
      <c r="BJ24" s="122"/>
      <c r="BK24" s="122"/>
    </row>
    <row r="25" spans="1:63" ht="40.5" customHeight="1">
      <c r="A25" s="42" t="s">
        <v>63</v>
      </c>
      <c r="B25" s="44" t="s">
        <v>67</v>
      </c>
      <c r="C25" s="41" t="s">
        <v>82</v>
      </c>
      <c r="D25" s="40" t="s">
        <v>50</v>
      </c>
      <c r="E25" s="39">
        <f t="shared" si="0"/>
        <v>2184.3</v>
      </c>
      <c r="F25" s="39">
        <f>2184.3</f>
        <v>2184.3</v>
      </c>
      <c r="G25" s="39">
        <v>0</v>
      </c>
      <c r="H25" s="39">
        <v>0</v>
      </c>
      <c r="I25" s="39">
        <v>0</v>
      </c>
      <c r="J25" s="39">
        <f aca="true" t="shared" si="6" ref="J25:J30">K25+L25+M25+N25</f>
        <v>3283</v>
      </c>
      <c r="K25" s="39">
        <f>3549-266</f>
        <v>3283</v>
      </c>
      <c r="L25" s="39">
        <v>0</v>
      </c>
      <c r="M25" s="39">
        <v>0</v>
      </c>
      <c r="N25" s="39">
        <v>0</v>
      </c>
      <c r="O25" s="39">
        <f t="shared" si="3"/>
        <v>3308</v>
      </c>
      <c r="P25" s="39">
        <v>3308</v>
      </c>
      <c r="Q25" s="39">
        <v>0</v>
      </c>
      <c r="R25" s="39">
        <v>0</v>
      </c>
      <c r="S25" s="39">
        <v>0</v>
      </c>
      <c r="T25" s="28">
        <f t="shared" si="4"/>
        <v>6821</v>
      </c>
      <c r="U25" s="28">
        <v>6821</v>
      </c>
      <c r="V25" s="28">
        <v>0</v>
      </c>
      <c r="W25" s="28">
        <v>0</v>
      </c>
      <c r="X25" s="28">
        <v>0</v>
      </c>
      <c r="Y25" s="28">
        <f t="shared" si="5"/>
        <v>3669</v>
      </c>
      <c r="Z25" s="28">
        <v>3669</v>
      </c>
      <c r="AA25" s="28">
        <v>0</v>
      </c>
      <c r="AB25" s="28">
        <v>0</v>
      </c>
      <c r="AC25" s="28">
        <v>0</v>
      </c>
      <c r="AD25" s="101">
        <f t="shared" si="1"/>
        <v>19265.3</v>
      </c>
      <c r="AE25" s="75"/>
      <c r="AM25" s="2"/>
      <c r="BD25" s="28"/>
      <c r="BE25" s="2"/>
      <c r="BF25" s="122"/>
      <c r="BG25" s="122"/>
      <c r="BH25" s="122"/>
      <c r="BI25" s="122"/>
      <c r="BJ25" s="122"/>
      <c r="BK25" s="122"/>
    </row>
    <row r="26" spans="1:63" ht="43.5" customHeight="1">
      <c r="A26" s="42" t="s">
        <v>64</v>
      </c>
      <c r="B26" s="44" t="s">
        <v>73</v>
      </c>
      <c r="C26" s="41" t="s">
        <v>82</v>
      </c>
      <c r="D26" s="40" t="s">
        <v>132</v>
      </c>
      <c r="E26" s="39">
        <f t="shared" si="0"/>
        <v>6718</v>
      </c>
      <c r="F26" s="39">
        <f>6718</f>
        <v>6718</v>
      </c>
      <c r="G26" s="39">
        <v>0</v>
      </c>
      <c r="H26" s="39">
        <v>0</v>
      </c>
      <c r="I26" s="39">
        <v>0</v>
      </c>
      <c r="J26" s="39">
        <f t="shared" si="6"/>
        <v>6917</v>
      </c>
      <c r="K26" s="39">
        <v>6917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28">
        <f t="shared" si="4"/>
        <v>7996</v>
      </c>
      <c r="U26" s="28">
        <v>7996</v>
      </c>
      <c r="V26" s="28">
        <v>0</v>
      </c>
      <c r="W26" s="28">
        <v>0</v>
      </c>
      <c r="X26" s="28">
        <v>0</v>
      </c>
      <c r="Y26" s="28">
        <f t="shared" si="5"/>
        <v>7996</v>
      </c>
      <c r="Z26" s="28">
        <v>7996</v>
      </c>
      <c r="AA26" s="28">
        <v>0</v>
      </c>
      <c r="AB26" s="28">
        <v>0</v>
      </c>
      <c r="AC26" s="28">
        <v>0</v>
      </c>
      <c r="AD26" s="101">
        <f t="shared" si="1"/>
        <v>29627</v>
      </c>
      <c r="AE26" s="75"/>
      <c r="AM26" s="2"/>
      <c r="AN26" s="2"/>
      <c r="BD26" s="28"/>
      <c r="BE26" s="2"/>
      <c r="BF26" s="122"/>
      <c r="BG26" s="122"/>
      <c r="BH26" s="122"/>
      <c r="BI26" s="122"/>
      <c r="BJ26" s="122"/>
      <c r="BK26" s="122"/>
    </row>
    <row r="27" spans="1:63" ht="36.75" customHeight="1">
      <c r="A27" s="42" t="s">
        <v>65</v>
      </c>
      <c r="B27" s="44" t="s">
        <v>53</v>
      </c>
      <c r="C27" s="41" t="s">
        <v>82</v>
      </c>
      <c r="D27" s="40" t="s">
        <v>50</v>
      </c>
      <c r="E27" s="39">
        <f t="shared" si="0"/>
        <v>25652.8</v>
      </c>
      <c r="F27" s="39">
        <f>25652.8</f>
        <v>25652.8</v>
      </c>
      <c r="G27" s="39">
        <v>0</v>
      </c>
      <c r="H27" s="39">
        <v>0</v>
      </c>
      <c r="I27" s="39">
        <v>0</v>
      </c>
      <c r="J27" s="39">
        <f t="shared" si="6"/>
        <v>26734</v>
      </c>
      <c r="K27" s="39">
        <v>26734</v>
      </c>
      <c r="L27" s="39">
        <v>0</v>
      </c>
      <c r="M27" s="39">
        <v>0</v>
      </c>
      <c r="N27" s="39">
        <v>0</v>
      </c>
      <c r="O27" s="39">
        <f t="shared" si="3"/>
        <v>30023</v>
      </c>
      <c r="P27" s="39">
        <f>29912+111</f>
        <v>30023</v>
      </c>
      <c r="Q27" s="39">
        <v>0</v>
      </c>
      <c r="R27" s="39">
        <v>0</v>
      </c>
      <c r="S27" s="39">
        <v>0</v>
      </c>
      <c r="T27" s="28">
        <f t="shared" si="4"/>
        <v>30095</v>
      </c>
      <c r="U27" s="28">
        <v>30095</v>
      </c>
      <c r="V27" s="28">
        <v>0</v>
      </c>
      <c r="W27" s="28">
        <v>0</v>
      </c>
      <c r="X27" s="28">
        <v>0</v>
      </c>
      <c r="Y27" s="28">
        <f t="shared" si="5"/>
        <v>30095</v>
      </c>
      <c r="Z27" s="28">
        <v>30095</v>
      </c>
      <c r="AA27" s="28">
        <v>0</v>
      </c>
      <c r="AB27" s="28">
        <v>0</v>
      </c>
      <c r="AC27" s="28">
        <v>0</v>
      </c>
      <c r="AD27" s="101">
        <f t="shared" si="1"/>
        <v>142599.8</v>
      </c>
      <c r="AE27" s="64"/>
      <c r="AM27" s="2"/>
      <c r="AN27" s="2"/>
      <c r="BD27" s="28"/>
      <c r="BE27" s="2"/>
      <c r="BF27" s="122"/>
      <c r="BG27" s="122"/>
      <c r="BH27" s="122"/>
      <c r="BI27" s="122"/>
      <c r="BJ27" s="122"/>
      <c r="BK27" s="122"/>
    </row>
    <row r="28" spans="1:64" ht="46.5" customHeight="1">
      <c r="A28" s="42" t="s">
        <v>66</v>
      </c>
      <c r="B28" s="44" t="s">
        <v>51</v>
      </c>
      <c r="C28" s="41" t="s">
        <v>82</v>
      </c>
      <c r="D28" s="40" t="s">
        <v>50</v>
      </c>
      <c r="E28" s="39">
        <f t="shared" si="0"/>
        <v>1660</v>
      </c>
      <c r="F28" s="39">
        <f>1660</f>
        <v>1660</v>
      </c>
      <c r="G28" s="39">
        <v>0</v>
      </c>
      <c r="H28" s="39">
        <v>0</v>
      </c>
      <c r="I28" s="39">
        <v>0</v>
      </c>
      <c r="J28" s="39">
        <f t="shared" si="6"/>
        <v>3757</v>
      </c>
      <c r="K28" s="39">
        <v>3757</v>
      </c>
      <c r="L28" s="39">
        <v>0</v>
      </c>
      <c r="M28" s="39">
        <v>0</v>
      </c>
      <c r="N28" s="39">
        <v>0</v>
      </c>
      <c r="O28" s="39">
        <f t="shared" si="3"/>
        <v>2931</v>
      </c>
      <c r="P28" s="39">
        <v>2931</v>
      </c>
      <c r="Q28" s="39">
        <v>0</v>
      </c>
      <c r="R28" s="39">
        <v>0</v>
      </c>
      <c r="S28" s="39">
        <v>0</v>
      </c>
      <c r="T28" s="28">
        <f t="shared" si="4"/>
        <v>3086</v>
      </c>
      <c r="U28" s="28">
        <f>15003-590-10881-446</f>
        <v>3086</v>
      </c>
      <c r="V28" s="28">
        <v>0</v>
      </c>
      <c r="W28" s="28">
        <v>0</v>
      </c>
      <c r="X28" s="28">
        <v>0</v>
      </c>
      <c r="Y28" s="28">
        <f t="shared" si="5"/>
        <v>15003</v>
      </c>
      <c r="Z28" s="28">
        <v>15003</v>
      </c>
      <c r="AA28" s="28">
        <v>0</v>
      </c>
      <c r="AB28" s="28">
        <v>0</v>
      </c>
      <c r="AC28" s="28">
        <v>0</v>
      </c>
      <c r="AD28" s="101">
        <f t="shared" si="1"/>
        <v>26437</v>
      </c>
      <c r="AE28" s="75"/>
      <c r="AM28" s="2"/>
      <c r="AN28" s="2"/>
      <c r="BD28" s="28"/>
      <c r="BE28" s="2"/>
      <c r="BF28" s="122"/>
      <c r="BG28" s="122"/>
      <c r="BH28" s="122"/>
      <c r="BI28" s="122"/>
      <c r="BJ28" s="122"/>
      <c r="BK28" s="122"/>
      <c r="BL28" s="2"/>
    </row>
    <row r="29" spans="1:56" ht="121.5" customHeight="1">
      <c r="A29" s="42" t="s">
        <v>77</v>
      </c>
      <c r="B29" s="44" t="s">
        <v>52</v>
      </c>
      <c r="C29" s="41" t="s">
        <v>82</v>
      </c>
      <c r="D29" s="40" t="s">
        <v>50</v>
      </c>
      <c r="E29" s="39">
        <f t="shared" si="0"/>
        <v>26</v>
      </c>
      <c r="F29" s="39">
        <f>24+2</f>
        <v>26</v>
      </c>
      <c r="G29" s="39">
        <v>0</v>
      </c>
      <c r="H29" s="39">
        <v>0</v>
      </c>
      <c r="I29" s="39">
        <v>0</v>
      </c>
      <c r="J29" s="39">
        <f t="shared" si="6"/>
        <v>8</v>
      </c>
      <c r="K29" s="39">
        <v>8</v>
      </c>
      <c r="L29" s="39">
        <v>0</v>
      </c>
      <c r="M29" s="39">
        <v>0</v>
      </c>
      <c r="N29" s="39">
        <v>0</v>
      </c>
      <c r="O29" s="39">
        <f t="shared" si="3"/>
        <v>9</v>
      </c>
      <c r="P29" s="39">
        <f>6+3</f>
        <v>9</v>
      </c>
      <c r="Q29" s="39">
        <v>0</v>
      </c>
      <c r="R29" s="39">
        <v>0</v>
      </c>
      <c r="S29" s="39">
        <v>0</v>
      </c>
      <c r="T29" s="28">
        <f t="shared" si="4"/>
        <v>4</v>
      </c>
      <c r="U29" s="28">
        <v>4</v>
      </c>
      <c r="V29" s="28">
        <v>0</v>
      </c>
      <c r="W29" s="28">
        <v>0</v>
      </c>
      <c r="X29" s="28">
        <v>0</v>
      </c>
      <c r="Y29" s="28">
        <f t="shared" si="5"/>
        <v>4</v>
      </c>
      <c r="Z29" s="28">
        <v>4</v>
      </c>
      <c r="AA29" s="28">
        <v>0</v>
      </c>
      <c r="AB29" s="28">
        <v>0</v>
      </c>
      <c r="AC29" s="28">
        <v>0</v>
      </c>
      <c r="AD29" s="101">
        <f t="shared" si="1"/>
        <v>51</v>
      </c>
      <c r="AE29" s="75"/>
      <c r="AM29" s="2"/>
      <c r="BA29" s="2"/>
      <c r="BD29" s="28"/>
    </row>
    <row r="30" spans="1:56" ht="138" customHeight="1">
      <c r="A30" s="42" t="s">
        <v>78</v>
      </c>
      <c r="B30" s="82" t="s">
        <v>94</v>
      </c>
      <c r="C30" s="45" t="s">
        <v>82</v>
      </c>
      <c r="D30" s="40" t="s">
        <v>130</v>
      </c>
      <c r="E30" s="39">
        <f t="shared" si="0"/>
        <v>3123</v>
      </c>
      <c r="F30" s="39">
        <v>3123</v>
      </c>
      <c r="G30" s="39">
        <v>0</v>
      </c>
      <c r="H30" s="39">
        <v>0</v>
      </c>
      <c r="I30" s="39">
        <v>0</v>
      </c>
      <c r="J30" s="39">
        <f t="shared" si="6"/>
        <v>0</v>
      </c>
      <c r="K30" s="39">
        <v>0</v>
      </c>
      <c r="L30" s="39">
        <v>0</v>
      </c>
      <c r="M30" s="39">
        <v>0</v>
      </c>
      <c r="N30" s="39">
        <v>0</v>
      </c>
      <c r="O30" s="39">
        <f t="shared" si="3"/>
        <v>0</v>
      </c>
      <c r="P30" s="39">
        <f>21965-21965</f>
        <v>0</v>
      </c>
      <c r="Q30" s="39">
        <v>0</v>
      </c>
      <c r="R30" s="39">
        <v>0</v>
      </c>
      <c r="S30" s="39">
        <v>0</v>
      </c>
      <c r="T30" s="39">
        <f t="shared" si="4"/>
        <v>21114</v>
      </c>
      <c r="U30" s="39">
        <f>5123+7797+5773+5469-1818-1230</f>
        <v>21114</v>
      </c>
      <c r="V30" s="39">
        <v>0</v>
      </c>
      <c r="W30" s="39">
        <v>0</v>
      </c>
      <c r="X30" s="39">
        <v>0</v>
      </c>
      <c r="Y30" s="39">
        <f>Z30+AA30+AB30+AC30</f>
        <v>25464</v>
      </c>
      <c r="Z30" s="39">
        <v>25464</v>
      </c>
      <c r="AA30" s="39">
        <v>0</v>
      </c>
      <c r="AB30" s="39">
        <v>0</v>
      </c>
      <c r="AC30" s="39">
        <v>0</v>
      </c>
      <c r="AD30" s="114">
        <f t="shared" si="1"/>
        <v>49701</v>
      </c>
      <c r="AE30" s="75"/>
      <c r="AF30" s="1">
        <v>2236450</v>
      </c>
      <c r="AI30" s="124"/>
      <c r="AJ30" s="124"/>
      <c r="AK30" s="124"/>
      <c r="AM30" s="2"/>
      <c r="BA30" s="2"/>
      <c r="BD30" s="28"/>
    </row>
    <row r="31" spans="1:56" ht="72" customHeight="1">
      <c r="A31" s="42" t="s">
        <v>120</v>
      </c>
      <c r="B31" s="82" t="s">
        <v>123</v>
      </c>
      <c r="C31" s="45" t="s">
        <v>82</v>
      </c>
      <c r="D31" s="40" t="s">
        <v>144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f>K31+L31+M31+N31</f>
        <v>600</v>
      </c>
      <c r="K31" s="39">
        <v>600</v>
      </c>
      <c r="L31" s="39">
        <v>0</v>
      </c>
      <c r="M31" s="39">
        <v>0</v>
      </c>
      <c r="N31" s="39">
        <v>0</v>
      </c>
      <c r="O31" s="39">
        <f>P31+Q31+R31+S31</f>
        <v>0</v>
      </c>
      <c r="P31" s="39">
        <v>0</v>
      </c>
      <c r="Q31" s="39">
        <v>0</v>
      </c>
      <c r="R31" s="39">
        <v>0</v>
      </c>
      <c r="S31" s="39">
        <v>0</v>
      </c>
      <c r="T31" s="28">
        <f t="shared" si="4"/>
        <v>51918</v>
      </c>
      <c r="U31" s="28">
        <f>57387-5469</f>
        <v>51918</v>
      </c>
      <c r="V31" s="28">
        <v>0</v>
      </c>
      <c r="W31" s="28">
        <v>0</v>
      </c>
      <c r="X31" s="28">
        <v>0</v>
      </c>
      <c r="Y31" s="28">
        <f t="shared" si="5"/>
        <v>0</v>
      </c>
      <c r="Z31" s="28">
        <v>0</v>
      </c>
      <c r="AA31" s="28">
        <v>0</v>
      </c>
      <c r="AB31" s="28">
        <v>0</v>
      </c>
      <c r="AC31" s="28">
        <v>0</v>
      </c>
      <c r="AD31" s="101">
        <f t="shared" si="1"/>
        <v>52518</v>
      </c>
      <c r="AE31" s="75"/>
      <c r="AF31" s="1">
        <f>145966+4405</f>
        <v>150371</v>
      </c>
      <c r="AG31" s="1">
        <f>2058+2500</f>
        <v>4558</v>
      </c>
      <c r="AM31" s="2"/>
      <c r="BA31" s="2"/>
      <c r="BD31" s="28"/>
    </row>
    <row r="32" spans="1:56" ht="54.75" customHeight="1">
      <c r="A32" s="42" t="s">
        <v>122</v>
      </c>
      <c r="B32" s="82" t="s">
        <v>119</v>
      </c>
      <c r="C32" s="45" t="s">
        <v>10</v>
      </c>
      <c r="D32" s="40" t="s">
        <v>145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f>K32+L32+M32+N32</f>
        <v>2000</v>
      </c>
      <c r="K32" s="39">
        <f>2000</f>
        <v>2000</v>
      </c>
      <c r="L32" s="39">
        <v>0</v>
      </c>
      <c r="M32" s="39">
        <v>0</v>
      </c>
      <c r="N32" s="39">
        <v>0</v>
      </c>
      <c r="O32" s="39">
        <f t="shared" si="3"/>
        <v>11383</v>
      </c>
      <c r="P32" s="39">
        <v>11383</v>
      </c>
      <c r="Q32" s="39">
        <v>0</v>
      </c>
      <c r="R32" s="39">
        <v>0</v>
      </c>
      <c r="S32" s="39">
        <v>0</v>
      </c>
      <c r="T32" s="28">
        <f t="shared" si="4"/>
        <v>12000</v>
      </c>
      <c r="U32" s="28">
        <v>12000</v>
      </c>
      <c r="V32" s="28">
        <v>0</v>
      </c>
      <c r="W32" s="28">
        <v>0</v>
      </c>
      <c r="X32" s="28">
        <v>0</v>
      </c>
      <c r="Y32" s="28">
        <f t="shared" si="5"/>
        <v>3703</v>
      </c>
      <c r="Z32" s="28">
        <v>3703</v>
      </c>
      <c r="AA32" s="28">
        <v>0</v>
      </c>
      <c r="AB32" s="28">
        <v>0</v>
      </c>
      <c r="AC32" s="28">
        <v>0</v>
      </c>
      <c r="AD32" s="101">
        <f t="shared" si="1"/>
        <v>29086</v>
      </c>
      <c r="AE32" s="75">
        <f>U11+U13+U15+U17+U19+U21+U23+U32</f>
        <v>252710.1</v>
      </c>
      <c r="AF32" s="1">
        <f>AF31+AF30</f>
        <v>2386821</v>
      </c>
      <c r="AM32" s="2"/>
      <c r="BA32" s="2"/>
      <c r="BD32" s="28"/>
    </row>
    <row r="33" spans="1:57" s="34" customFormat="1" ht="25.5" customHeight="1">
      <c r="A33" s="42"/>
      <c r="B33" s="44" t="s">
        <v>11</v>
      </c>
      <c r="C33" s="41"/>
      <c r="D33" s="40"/>
      <c r="E33" s="39">
        <f t="shared" si="0"/>
        <v>327655.5</v>
      </c>
      <c r="F33" s="39">
        <f>F30+F29+F28+F27+F26+F25+F24+F23+F22+F21+F20+F19+F18+F17+F16+F15+F14+F13+F12+F11</f>
        <v>327655.5</v>
      </c>
      <c r="G33" s="39">
        <f aca="true" t="shared" si="7" ref="G33:S33">G30+G29+G28+G27+G26+G25+G24+G23+G22+G21+G20+G19+G18+G17+G16+G15+G14+G13+G12+G11</f>
        <v>0</v>
      </c>
      <c r="H33" s="39">
        <f t="shared" si="7"/>
        <v>0</v>
      </c>
      <c r="I33" s="39">
        <f t="shared" si="7"/>
        <v>0</v>
      </c>
      <c r="J33" s="39">
        <f>J30+J29+J28+J27+J26+J25+J24+J23+J22+J21+J20+J19+J18+J17+J16+J15+J14+J13+J12+J11+J32+J31</f>
        <v>375658</v>
      </c>
      <c r="K33" s="39">
        <f>K30+K29+K28+K27+K26+K25+K24+K23+K22+K21+K20+K19+K18+K17+K16+K15+K14+K13+K12+K11+K32+K31</f>
        <v>375658</v>
      </c>
      <c r="L33" s="39">
        <f t="shared" si="7"/>
        <v>0</v>
      </c>
      <c r="M33" s="39">
        <f t="shared" si="7"/>
        <v>0</v>
      </c>
      <c r="N33" s="39">
        <f t="shared" si="7"/>
        <v>0</v>
      </c>
      <c r="O33" s="39">
        <f>O30+O29+O28+O27+O26+O25+O24+O23+O22+O21+O20+O19+O18+O17+O16+O15+O14+O13+O12+O11+O32</f>
        <v>391452</v>
      </c>
      <c r="P33" s="39">
        <f>P30+P29+P28+P27+P26+P25+P24+P23+P22+P21+P20+P19+P18+P17+P16+P15+P14+P13+P12+P11+P32</f>
        <v>391452</v>
      </c>
      <c r="Q33" s="39">
        <f t="shared" si="7"/>
        <v>0</v>
      </c>
      <c r="R33" s="39">
        <f t="shared" si="7"/>
        <v>0</v>
      </c>
      <c r="S33" s="39">
        <f t="shared" si="7"/>
        <v>0</v>
      </c>
      <c r="T33" s="39">
        <f>U33+V33+W33+X33</f>
        <v>527920.1</v>
      </c>
      <c r="U33" s="39">
        <f>U30+U29+U28+U27+U26+U25+U24+U23+U22+U21+U20+U19+U18+U17+U16+U15+U14+U13+U12+U11+U32+U31</f>
        <v>527920.1</v>
      </c>
      <c r="V33" s="39">
        <f aca="true" t="shared" si="8" ref="V33:AC33">V30+V29+V28+V27+V26+V25+V24+V23+V22+V21+V20+V19+V18+V17+V16+V15+V14+V13+V12+V11+V32</f>
        <v>0</v>
      </c>
      <c r="W33" s="39">
        <f t="shared" si="8"/>
        <v>0</v>
      </c>
      <c r="X33" s="39">
        <f t="shared" si="8"/>
        <v>0</v>
      </c>
      <c r="Y33" s="39">
        <f>Z33</f>
        <v>526614</v>
      </c>
      <c r="Z33" s="39">
        <f>Z30+Z29+Z28+Z27+Z26+Z25+Z24+Z23+Z22+Z21+Z20+Z19+Z18+Z17+Z16+Z15+Z14+Z13+Z12+Z11+Z32</f>
        <v>526614</v>
      </c>
      <c r="AA33" s="39">
        <f t="shared" si="8"/>
        <v>0</v>
      </c>
      <c r="AB33" s="39">
        <f t="shared" si="8"/>
        <v>0</v>
      </c>
      <c r="AC33" s="39">
        <f t="shared" si="8"/>
        <v>0</v>
      </c>
      <c r="AD33" s="114">
        <f>Y33+T33+O33+J33+E33</f>
        <v>2149299.6</v>
      </c>
      <c r="AE33" s="68">
        <f>AD11+AD12+AD13+AD14+AD15+AD16+AD17+AD18+AD19+AD20+AD21+AD22+AD23+AD24+AD25+AD26+AD27+AD28+AD29+AD30+AD31+AD32</f>
        <v>2149299.6</v>
      </c>
      <c r="AF33" s="23"/>
      <c r="AG33" s="23"/>
      <c r="AI33" s="35"/>
      <c r="AJ33" s="23"/>
      <c r="AM33" s="23"/>
      <c r="BD33" s="32"/>
      <c r="BE33" s="23"/>
    </row>
    <row r="34" spans="1:55" ht="24.75" customHeight="1">
      <c r="A34" s="143" t="s">
        <v>140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5"/>
      <c r="AE34" s="65"/>
      <c r="AF34" s="13">
        <v>387169</v>
      </c>
      <c r="AG34" s="2">
        <f>U33-AF34</f>
        <v>140751.09999999998</v>
      </c>
      <c r="AH34" s="2"/>
      <c r="AJ34" s="109"/>
      <c r="AK34" s="3"/>
      <c r="AL34" s="5"/>
      <c r="AM34" s="5"/>
      <c r="AN34" s="5"/>
      <c r="AO34" s="3"/>
      <c r="BA34" s="2"/>
      <c r="BB34" s="2"/>
      <c r="BC34" s="2"/>
    </row>
    <row r="35" spans="1:55" ht="30" customHeight="1">
      <c r="A35" s="42" t="s">
        <v>3</v>
      </c>
      <c r="B35" s="44" t="s">
        <v>30</v>
      </c>
      <c r="C35" s="41" t="s">
        <v>37</v>
      </c>
      <c r="D35" s="40" t="s">
        <v>50</v>
      </c>
      <c r="E35" s="39">
        <f>F35</f>
        <v>9</v>
      </c>
      <c r="F35" s="39">
        <f>43-34</f>
        <v>9</v>
      </c>
      <c r="G35" s="39">
        <v>0</v>
      </c>
      <c r="H35" s="39">
        <v>0</v>
      </c>
      <c r="I35" s="39">
        <v>0</v>
      </c>
      <c r="J35" s="39">
        <f>K35</f>
        <v>19</v>
      </c>
      <c r="K35" s="39">
        <v>19</v>
      </c>
      <c r="L35" s="39">
        <v>0</v>
      </c>
      <c r="M35" s="39">
        <v>0</v>
      </c>
      <c r="N35" s="39">
        <v>0</v>
      </c>
      <c r="O35" s="39">
        <f>P35</f>
        <v>8.499999999999996</v>
      </c>
      <c r="P35" s="39">
        <f>43-7.2-27.3</f>
        <v>8.499999999999996</v>
      </c>
      <c r="Q35" s="39">
        <v>0</v>
      </c>
      <c r="R35" s="39">
        <v>0</v>
      </c>
      <c r="S35" s="39">
        <v>0</v>
      </c>
      <c r="T35" s="39">
        <f>U35</f>
        <v>9.7</v>
      </c>
      <c r="U35" s="39">
        <f>43-33-0.3</f>
        <v>9.7</v>
      </c>
      <c r="V35" s="39">
        <v>0</v>
      </c>
      <c r="W35" s="39">
        <v>0</v>
      </c>
      <c r="X35" s="39">
        <v>0</v>
      </c>
      <c r="Y35" s="39">
        <f>Z35</f>
        <v>43</v>
      </c>
      <c r="Z35" s="39">
        <v>43</v>
      </c>
      <c r="AA35" s="39">
        <v>0</v>
      </c>
      <c r="AB35" s="39">
        <v>0</v>
      </c>
      <c r="AC35" s="39">
        <v>0</v>
      </c>
      <c r="AD35" s="114">
        <f>Y35+T35+O35+J35+E35</f>
        <v>89.2</v>
      </c>
      <c r="AE35" s="65"/>
      <c r="AF35" s="13"/>
      <c r="AG35" s="2">
        <f>Z33-AF34</f>
        <v>139445</v>
      </c>
      <c r="AH35" s="2"/>
      <c r="AJ35" s="109"/>
      <c r="AK35" s="3"/>
      <c r="AL35" s="5"/>
      <c r="AM35" s="5"/>
      <c r="AN35" s="5"/>
      <c r="AO35" s="3"/>
      <c r="BA35" s="2"/>
      <c r="BB35" s="2"/>
      <c r="BC35" s="2"/>
    </row>
    <row r="36" spans="1:55" ht="27" customHeight="1">
      <c r="A36" s="42" t="s">
        <v>32</v>
      </c>
      <c r="B36" s="44" t="s">
        <v>31</v>
      </c>
      <c r="C36" s="41" t="s">
        <v>38</v>
      </c>
      <c r="D36" s="40" t="s">
        <v>50</v>
      </c>
      <c r="E36" s="39">
        <f>F36</f>
        <v>13.5</v>
      </c>
      <c r="F36" s="39">
        <f>68-54.5</f>
        <v>13.5</v>
      </c>
      <c r="G36" s="39">
        <v>0</v>
      </c>
      <c r="H36" s="39">
        <v>0</v>
      </c>
      <c r="I36" s="39">
        <v>0</v>
      </c>
      <c r="J36" s="39">
        <f>K36</f>
        <v>30</v>
      </c>
      <c r="K36" s="39">
        <v>30</v>
      </c>
      <c r="L36" s="39">
        <v>0</v>
      </c>
      <c r="M36" s="39">
        <v>0</v>
      </c>
      <c r="N36" s="39">
        <v>0</v>
      </c>
      <c r="O36" s="39">
        <f>P36</f>
        <v>13.5</v>
      </c>
      <c r="P36" s="39">
        <f>68-12.2-42.3</f>
        <v>13.5</v>
      </c>
      <c r="Q36" s="39">
        <v>0</v>
      </c>
      <c r="R36" s="39">
        <v>0</v>
      </c>
      <c r="S36" s="39">
        <v>0</v>
      </c>
      <c r="T36" s="39">
        <f>U36</f>
        <v>15.1</v>
      </c>
      <c r="U36" s="39">
        <f>68-53+0.1</f>
        <v>15.1</v>
      </c>
      <c r="V36" s="39">
        <v>0</v>
      </c>
      <c r="W36" s="39">
        <v>0</v>
      </c>
      <c r="X36" s="39">
        <v>0</v>
      </c>
      <c r="Y36" s="39">
        <f>Z36</f>
        <v>68</v>
      </c>
      <c r="Z36" s="39">
        <v>68</v>
      </c>
      <c r="AA36" s="39">
        <v>0</v>
      </c>
      <c r="AB36" s="39">
        <v>0</v>
      </c>
      <c r="AC36" s="39">
        <v>0</v>
      </c>
      <c r="AD36" s="114">
        <f>Y36+T36+O36+J36+E36</f>
        <v>140.1</v>
      </c>
      <c r="AE36" s="65"/>
      <c r="AF36" s="13"/>
      <c r="AG36" s="2"/>
      <c r="AH36" s="2"/>
      <c r="AJ36" s="109"/>
      <c r="AK36" s="3"/>
      <c r="AL36" s="5"/>
      <c r="AM36" s="5"/>
      <c r="AN36" s="5"/>
      <c r="AO36" s="3"/>
      <c r="BA36" s="2"/>
      <c r="BB36" s="2"/>
      <c r="BC36" s="2"/>
    </row>
    <row r="37" spans="1:53" ht="77.25" customHeight="1">
      <c r="A37" s="42" t="s">
        <v>33</v>
      </c>
      <c r="B37" s="44" t="s">
        <v>34</v>
      </c>
      <c r="C37" s="41" t="s">
        <v>10</v>
      </c>
      <c r="D37" s="40" t="s">
        <v>50</v>
      </c>
      <c r="E37" s="39">
        <f>F37</f>
        <v>87.5</v>
      </c>
      <c r="F37" s="39">
        <f>442-354.5</f>
        <v>87.5</v>
      </c>
      <c r="G37" s="39">
        <v>0</v>
      </c>
      <c r="H37" s="39">
        <v>0</v>
      </c>
      <c r="I37" s="39">
        <v>0</v>
      </c>
      <c r="J37" s="39">
        <f>K37</f>
        <v>197</v>
      </c>
      <c r="K37" s="39">
        <v>197</v>
      </c>
      <c r="L37" s="39">
        <v>0</v>
      </c>
      <c r="M37" s="39">
        <v>0</v>
      </c>
      <c r="N37" s="39">
        <v>0</v>
      </c>
      <c r="O37" s="39">
        <f>P37</f>
        <v>102</v>
      </c>
      <c r="P37" s="39">
        <f>770-340.6-327.4</f>
        <v>102</v>
      </c>
      <c r="Q37" s="39">
        <v>0</v>
      </c>
      <c r="R37" s="39">
        <v>0</v>
      </c>
      <c r="S37" s="39">
        <v>0</v>
      </c>
      <c r="T37" s="39">
        <f>U37</f>
        <v>75.2</v>
      </c>
      <c r="U37" s="39">
        <f>770-282-118-164.7-130.3+0.2</f>
        <v>75.2</v>
      </c>
      <c r="V37" s="39">
        <v>0</v>
      </c>
      <c r="W37" s="39">
        <v>0</v>
      </c>
      <c r="X37" s="39">
        <v>0</v>
      </c>
      <c r="Y37" s="39">
        <f>Z37</f>
        <v>770</v>
      </c>
      <c r="Z37" s="39">
        <v>770</v>
      </c>
      <c r="AA37" s="39">
        <v>0</v>
      </c>
      <c r="AB37" s="39">
        <v>0</v>
      </c>
      <c r="AC37" s="39">
        <v>0</v>
      </c>
      <c r="AD37" s="114">
        <f>Y37+T37+O37+J37+E37</f>
        <v>1231.7</v>
      </c>
      <c r="AE37" s="66"/>
      <c r="AF37" s="2"/>
      <c r="AG37" s="2"/>
      <c r="AH37" s="2"/>
      <c r="AJ37" s="134"/>
      <c r="AK37" s="135"/>
      <c r="AL37" s="135"/>
      <c r="AM37" s="5"/>
      <c r="AN37" s="14"/>
      <c r="AO37" s="3"/>
      <c r="AQ37" s="2"/>
      <c r="BA37" s="2"/>
    </row>
    <row r="38" spans="1:53" ht="54" customHeight="1">
      <c r="A38" s="42" t="s">
        <v>44</v>
      </c>
      <c r="B38" s="44" t="s">
        <v>108</v>
      </c>
      <c r="C38" s="41" t="s">
        <v>10</v>
      </c>
      <c r="D38" s="40" t="s">
        <v>50</v>
      </c>
      <c r="E38" s="39">
        <f>F38+G38</f>
        <v>1008</v>
      </c>
      <c r="F38" s="39">
        <f>60-15</f>
        <v>45</v>
      </c>
      <c r="G38" s="39">
        <v>963</v>
      </c>
      <c r="H38" s="39">
        <v>0</v>
      </c>
      <c r="I38" s="39">
        <v>0</v>
      </c>
      <c r="J38" s="39">
        <f>K38</f>
        <v>15</v>
      </c>
      <c r="K38" s="39">
        <f>60-45</f>
        <v>15</v>
      </c>
      <c r="L38" s="39">
        <v>0</v>
      </c>
      <c r="M38" s="39">
        <v>0</v>
      </c>
      <c r="N38" s="39">
        <v>0</v>
      </c>
      <c r="O38" s="39">
        <f>P38</f>
        <v>60</v>
      </c>
      <c r="P38" s="39">
        <f>60</f>
        <v>60</v>
      </c>
      <c r="Q38" s="39">
        <v>0</v>
      </c>
      <c r="R38" s="39">
        <v>0</v>
      </c>
      <c r="S38" s="39">
        <v>0</v>
      </c>
      <c r="T38" s="39">
        <f>U38</f>
        <v>15</v>
      </c>
      <c r="U38" s="39">
        <f>60-45</f>
        <v>15</v>
      </c>
      <c r="V38" s="39">
        <v>0</v>
      </c>
      <c r="W38" s="39">
        <v>0</v>
      </c>
      <c r="X38" s="39">
        <v>0</v>
      </c>
      <c r="Y38" s="39">
        <f>Z38</f>
        <v>60</v>
      </c>
      <c r="Z38" s="39">
        <f>60</f>
        <v>60</v>
      </c>
      <c r="AA38" s="39">
        <v>0</v>
      </c>
      <c r="AB38" s="39">
        <v>0</v>
      </c>
      <c r="AC38" s="39">
        <v>0</v>
      </c>
      <c r="AD38" s="114">
        <f>Y38+T38+O38+J38+E38</f>
        <v>1158</v>
      </c>
      <c r="AE38" s="66"/>
      <c r="AF38" s="2"/>
      <c r="AG38" s="2"/>
      <c r="AH38" s="2"/>
      <c r="AJ38" s="109"/>
      <c r="AK38" s="3"/>
      <c r="AL38" s="5"/>
      <c r="AM38" s="5"/>
      <c r="AN38" s="14"/>
      <c r="AO38" s="3"/>
      <c r="AQ38" s="2"/>
      <c r="BA38" s="2"/>
    </row>
    <row r="39" spans="1:53" ht="27.75" customHeight="1">
      <c r="A39" s="42"/>
      <c r="B39" s="44" t="s">
        <v>12</v>
      </c>
      <c r="C39" s="41"/>
      <c r="D39" s="40"/>
      <c r="E39" s="39">
        <f>F39+G39</f>
        <v>1118</v>
      </c>
      <c r="F39" s="39">
        <f>F38+F37+F36+F35</f>
        <v>155</v>
      </c>
      <c r="G39" s="39">
        <f>G38</f>
        <v>963</v>
      </c>
      <c r="H39" s="39">
        <f>H35+H36+H37</f>
        <v>0</v>
      </c>
      <c r="I39" s="39">
        <f>I35+I36+I37</f>
        <v>0</v>
      </c>
      <c r="J39" s="39">
        <f>K39</f>
        <v>261</v>
      </c>
      <c r="K39" s="39">
        <f>K38+K37+K36+K35</f>
        <v>261</v>
      </c>
      <c r="L39" s="39">
        <f>L35+L36+L37</f>
        <v>0</v>
      </c>
      <c r="M39" s="39">
        <f>M35+M36+M37</f>
        <v>0</v>
      </c>
      <c r="N39" s="39">
        <f>N35+N36+N37</f>
        <v>0</v>
      </c>
      <c r="O39" s="39">
        <f>P39</f>
        <v>184</v>
      </c>
      <c r="P39" s="39">
        <f>P38+P37+P36+P35</f>
        <v>184</v>
      </c>
      <c r="Q39" s="39">
        <f>Q35+Q36+Q37</f>
        <v>0</v>
      </c>
      <c r="R39" s="39">
        <f>R35+R36+R37</f>
        <v>0</v>
      </c>
      <c r="S39" s="39">
        <f>S35+S36+S37</f>
        <v>0</v>
      </c>
      <c r="T39" s="39">
        <f>U39</f>
        <v>115</v>
      </c>
      <c r="U39" s="39">
        <f>U38+U37+U36+U35</f>
        <v>115</v>
      </c>
      <c r="V39" s="39">
        <f>V35+V36+V37</f>
        <v>0</v>
      </c>
      <c r="W39" s="39">
        <f>W35+W36+W37</f>
        <v>0</v>
      </c>
      <c r="X39" s="39">
        <f>X35+X36+X37</f>
        <v>0</v>
      </c>
      <c r="Y39" s="39">
        <f>Z39</f>
        <v>941</v>
      </c>
      <c r="Z39" s="39">
        <f>Z38+Z37+Z36+Z35</f>
        <v>941</v>
      </c>
      <c r="AA39" s="39">
        <f>AA35+AA36+AA37</f>
        <v>0</v>
      </c>
      <c r="AB39" s="39">
        <f>AB35+AB36+AB37</f>
        <v>0</v>
      </c>
      <c r="AC39" s="39">
        <f>AC35+AC36+AC37</f>
        <v>0</v>
      </c>
      <c r="AD39" s="114">
        <f>Y39+T39+O39+J39+E39</f>
        <v>2619</v>
      </c>
      <c r="AE39" s="69">
        <f>AD35+AD36+AD37+AD38</f>
        <v>2619</v>
      </c>
      <c r="AF39" s="2"/>
      <c r="AG39" s="2"/>
      <c r="AH39" s="2"/>
      <c r="AJ39" s="5"/>
      <c r="AK39" s="5"/>
      <c r="AL39" s="5"/>
      <c r="AM39" s="5"/>
      <c r="AN39" s="14"/>
      <c r="AO39" s="3"/>
      <c r="AQ39" s="2"/>
      <c r="BA39" s="2"/>
    </row>
    <row r="40" spans="1:53" ht="30.75" customHeight="1">
      <c r="A40" s="137" t="s">
        <v>35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9"/>
      <c r="AE40" s="66"/>
      <c r="AF40" s="2"/>
      <c r="AG40" s="2"/>
      <c r="AH40" s="2"/>
      <c r="AJ40" s="119"/>
      <c r="AK40" s="119"/>
      <c r="AL40" s="5"/>
      <c r="AM40" s="5"/>
      <c r="AN40" s="14"/>
      <c r="AO40" s="3"/>
      <c r="AQ40" s="2"/>
      <c r="BA40" s="2"/>
    </row>
    <row r="41" spans="1:53" ht="45" customHeight="1">
      <c r="A41" s="42" t="s">
        <v>21</v>
      </c>
      <c r="B41" s="44" t="s">
        <v>18</v>
      </c>
      <c r="C41" s="41" t="s">
        <v>10</v>
      </c>
      <c r="D41" s="40" t="s">
        <v>50</v>
      </c>
      <c r="E41" s="39">
        <f>F41+G41+H41+I41</f>
        <v>1679</v>
      </c>
      <c r="F41" s="39">
        <f>1908-229</f>
        <v>1679</v>
      </c>
      <c r="G41" s="39">
        <v>0</v>
      </c>
      <c r="H41" s="39">
        <v>0</v>
      </c>
      <c r="I41" s="39">
        <v>0</v>
      </c>
      <c r="J41" s="39">
        <f>K41+L41+M41+N41</f>
        <v>3676</v>
      </c>
      <c r="K41" s="39">
        <f>4069-10-383</f>
        <v>3676</v>
      </c>
      <c r="L41" s="39">
        <v>0</v>
      </c>
      <c r="M41" s="39">
        <v>0</v>
      </c>
      <c r="N41" s="39">
        <v>0</v>
      </c>
      <c r="O41" s="39">
        <f>P41+Q41+R41+S41</f>
        <v>4110</v>
      </c>
      <c r="P41" s="39">
        <v>4110</v>
      </c>
      <c r="Q41" s="39">
        <v>0</v>
      </c>
      <c r="R41" s="39">
        <v>0</v>
      </c>
      <c r="S41" s="39">
        <v>0</v>
      </c>
      <c r="T41" s="39">
        <f>U41+V41+W41+X41</f>
        <v>3548</v>
      </c>
      <c r="U41" s="39">
        <f>3845-318-460-319+1032-232</f>
        <v>3548</v>
      </c>
      <c r="V41" s="39">
        <v>0</v>
      </c>
      <c r="W41" s="39">
        <v>0</v>
      </c>
      <c r="X41" s="39">
        <v>0</v>
      </c>
      <c r="Y41" s="39">
        <f>Z41+AA41+AB41+AC41</f>
        <v>3845</v>
      </c>
      <c r="Z41" s="39">
        <v>3845</v>
      </c>
      <c r="AA41" s="39">
        <v>0</v>
      </c>
      <c r="AB41" s="39">
        <v>0</v>
      </c>
      <c r="AC41" s="39">
        <v>0</v>
      </c>
      <c r="AD41" s="114">
        <f>Y41+T41+O41+J41+E41</f>
        <v>16858</v>
      </c>
      <c r="AE41" s="75"/>
      <c r="AF41" s="15"/>
      <c r="AG41" s="2"/>
      <c r="AH41" s="2"/>
      <c r="AI41" s="25"/>
      <c r="AJ41" s="119"/>
      <c r="AK41" s="119"/>
      <c r="AL41" s="5"/>
      <c r="AM41" s="5"/>
      <c r="AN41" s="5"/>
      <c r="AO41" s="3"/>
      <c r="BA41" s="2"/>
    </row>
    <row r="42" spans="1:57" ht="45" customHeight="1">
      <c r="A42" s="42" t="s">
        <v>22</v>
      </c>
      <c r="B42" s="44" t="s">
        <v>72</v>
      </c>
      <c r="C42" s="41" t="s">
        <v>10</v>
      </c>
      <c r="D42" s="40" t="s">
        <v>50</v>
      </c>
      <c r="E42" s="39">
        <f>F42+G42+H42+I42</f>
        <v>8643</v>
      </c>
      <c r="F42" s="39">
        <f>10265-1622</f>
        <v>8643</v>
      </c>
      <c r="G42" s="39">
        <v>0</v>
      </c>
      <c r="H42" s="39">
        <v>0</v>
      </c>
      <c r="I42" s="39">
        <v>0</v>
      </c>
      <c r="J42" s="83">
        <f>K42+L42+M42+N42</f>
        <v>15090</v>
      </c>
      <c r="K42" s="39">
        <f>7337+5455+383+352+33+21+799+95+615</f>
        <v>15090</v>
      </c>
      <c r="L42" s="39">
        <v>0</v>
      </c>
      <c r="M42" s="39">
        <v>0</v>
      </c>
      <c r="N42" s="39">
        <v>0</v>
      </c>
      <c r="O42" s="39">
        <f>P42+Q42+R42+S42</f>
        <v>10994</v>
      </c>
      <c r="P42" s="39">
        <v>10994</v>
      </c>
      <c r="Q42" s="39">
        <v>0</v>
      </c>
      <c r="R42" s="39">
        <v>0</v>
      </c>
      <c r="S42" s="39">
        <v>0</v>
      </c>
      <c r="T42" s="39">
        <f>U42+V42+W42+X42</f>
        <v>16150</v>
      </c>
      <c r="U42" s="39">
        <f>10994+6328+13-1032-153</f>
        <v>16150</v>
      </c>
      <c r="V42" s="39">
        <v>0</v>
      </c>
      <c r="W42" s="39">
        <v>0</v>
      </c>
      <c r="X42" s="39">
        <v>0</v>
      </c>
      <c r="Y42" s="39">
        <f aca="true" t="shared" si="9" ref="Y42:Y54">Z42+AA42+AB42+AC42</f>
        <v>10994</v>
      </c>
      <c r="Z42" s="39">
        <v>10994</v>
      </c>
      <c r="AA42" s="39">
        <v>0</v>
      </c>
      <c r="AB42" s="39">
        <v>0</v>
      </c>
      <c r="AC42" s="39">
        <v>0</v>
      </c>
      <c r="AD42" s="114">
        <f aca="true" t="shared" si="10" ref="AD42:AD54">Y42+T42+O42+J42+E42</f>
        <v>61871</v>
      </c>
      <c r="AE42" s="75"/>
      <c r="AF42" s="15"/>
      <c r="AG42" s="2"/>
      <c r="AH42" s="2"/>
      <c r="AI42" s="25"/>
      <c r="AJ42" s="119"/>
      <c r="AK42" s="119"/>
      <c r="AL42" s="5"/>
      <c r="AM42" s="5"/>
      <c r="AN42" s="5"/>
      <c r="AO42" s="3"/>
      <c r="AP42" s="2"/>
      <c r="BA42" s="2"/>
      <c r="BE42" s="2"/>
    </row>
    <row r="43" spans="1:53" ht="44.25" customHeight="1">
      <c r="A43" s="42" t="s">
        <v>23</v>
      </c>
      <c r="B43" s="44" t="s">
        <v>29</v>
      </c>
      <c r="C43" s="41" t="s">
        <v>10</v>
      </c>
      <c r="D43" s="40" t="s">
        <v>50</v>
      </c>
      <c r="E43" s="39">
        <f>F43</f>
        <v>7188</v>
      </c>
      <c r="F43" s="39">
        <v>7188</v>
      </c>
      <c r="G43" s="39">
        <v>0</v>
      </c>
      <c r="H43" s="39">
        <v>0</v>
      </c>
      <c r="I43" s="39">
        <v>0</v>
      </c>
      <c r="J43" s="39">
        <f>K43</f>
        <v>3453</v>
      </c>
      <c r="K43" s="39">
        <v>3453</v>
      </c>
      <c r="L43" s="39">
        <v>0</v>
      </c>
      <c r="M43" s="39">
        <v>0</v>
      </c>
      <c r="N43" s="39">
        <v>0</v>
      </c>
      <c r="O43" s="39">
        <f>P43</f>
        <v>3544</v>
      </c>
      <c r="P43" s="39">
        <v>3544</v>
      </c>
      <c r="Q43" s="39">
        <v>0</v>
      </c>
      <c r="R43" s="39">
        <v>0</v>
      </c>
      <c r="S43" s="39">
        <v>0</v>
      </c>
      <c r="T43" s="39">
        <f>U43</f>
        <v>3279</v>
      </c>
      <c r="U43" s="39">
        <v>3279</v>
      </c>
      <c r="V43" s="39">
        <v>0</v>
      </c>
      <c r="W43" s="39">
        <v>0</v>
      </c>
      <c r="X43" s="39">
        <v>0</v>
      </c>
      <c r="Y43" s="39">
        <f t="shared" si="9"/>
        <v>3279</v>
      </c>
      <c r="Z43" s="39">
        <v>3279</v>
      </c>
      <c r="AA43" s="39">
        <v>0</v>
      </c>
      <c r="AB43" s="39">
        <v>0</v>
      </c>
      <c r="AC43" s="39">
        <v>0</v>
      </c>
      <c r="AD43" s="114">
        <f t="shared" si="10"/>
        <v>20743</v>
      </c>
      <c r="AE43" s="75"/>
      <c r="AF43" s="15"/>
      <c r="AG43" s="2"/>
      <c r="AH43" s="2"/>
      <c r="AI43" s="25"/>
      <c r="AJ43" s="5"/>
      <c r="AK43" s="3"/>
      <c r="AL43" s="5"/>
      <c r="AM43" s="5"/>
      <c r="AN43" s="5"/>
      <c r="AO43" s="5"/>
      <c r="BA43" s="2"/>
    </row>
    <row r="44" spans="1:53" ht="41.25" customHeight="1">
      <c r="A44" s="42" t="s">
        <v>24</v>
      </c>
      <c r="B44" s="44" t="s">
        <v>19</v>
      </c>
      <c r="C44" s="41" t="s">
        <v>10</v>
      </c>
      <c r="D44" s="40" t="s">
        <v>50</v>
      </c>
      <c r="E44" s="39">
        <f>F44+G44+H44+I44</f>
        <v>3078</v>
      </c>
      <c r="F44" s="39">
        <v>3078</v>
      </c>
      <c r="G44" s="39">
        <v>0</v>
      </c>
      <c r="H44" s="39">
        <v>0</v>
      </c>
      <c r="I44" s="39">
        <v>0</v>
      </c>
      <c r="J44" s="39">
        <f>K44+L44+M44+N44</f>
        <v>2955</v>
      </c>
      <c r="K44" s="39">
        <v>2955</v>
      </c>
      <c r="L44" s="39">
        <v>0</v>
      </c>
      <c r="M44" s="39">
        <v>0</v>
      </c>
      <c r="N44" s="39">
        <v>0</v>
      </c>
      <c r="O44" s="39">
        <f>P44+Q44+R44+S44</f>
        <v>3161</v>
      </c>
      <c r="P44" s="39">
        <v>3161</v>
      </c>
      <c r="Q44" s="39">
        <v>0</v>
      </c>
      <c r="R44" s="39">
        <v>0</v>
      </c>
      <c r="S44" s="39">
        <v>0</v>
      </c>
      <c r="T44" s="39">
        <f>U44+V44+W44+X44</f>
        <v>9194</v>
      </c>
      <c r="U44" s="39">
        <f>6490+2206+462+36</f>
        <v>9194</v>
      </c>
      <c r="V44" s="39">
        <v>0</v>
      </c>
      <c r="W44" s="39">
        <v>0</v>
      </c>
      <c r="X44" s="39">
        <v>0</v>
      </c>
      <c r="Y44" s="39">
        <f t="shared" si="9"/>
        <v>6490</v>
      </c>
      <c r="Z44" s="39">
        <v>6490</v>
      </c>
      <c r="AA44" s="39">
        <v>0</v>
      </c>
      <c r="AB44" s="39">
        <v>0</v>
      </c>
      <c r="AC44" s="39">
        <v>0</v>
      </c>
      <c r="AD44" s="114">
        <f t="shared" si="10"/>
        <v>24878</v>
      </c>
      <c r="AE44" s="75"/>
      <c r="AF44" s="15"/>
      <c r="AG44" s="2"/>
      <c r="AH44" s="2"/>
      <c r="AI44" s="25"/>
      <c r="AJ44" s="5"/>
      <c r="AK44" s="3"/>
      <c r="AL44" s="5"/>
      <c r="AM44" s="3"/>
      <c r="AN44" s="5"/>
      <c r="AO44" s="3"/>
      <c r="BA44" s="2"/>
    </row>
    <row r="45" spans="1:53" ht="30" customHeight="1">
      <c r="A45" s="42" t="s">
        <v>25</v>
      </c>
      <c r="B45" s="82" t="s">
        <v>105</v>
      </c>
      <c r="C45" s="84" t="s">
        <v>10</v>
      </c>
      <c r="D45" s="85" t="s">
        <v>90</v>
      </c>
      <c r="E45" s="86">
        <f>F45+G45+H45</f>
        <v>0</v>
      </c>
      <c r="F45" s="86">
        <v>0</v>
      </c>
      <c r="G45" s="87">
        <v>0</v>
      </c>
      <c r="H45" s="87">
        <v>0</v>
      </c>
      <c r="I45" s="39">
        <v>0</v>
      </c>
      <c r="J45" s="39">
        <f>K45+L45+M45+N45</f>
        <v>1995</v>
      </c>
      <c r="K45" s="39">
        <f>7318-1776-2009-1538</f>
        <v>1995</v>
      </c>
      <c r="L45" s="39">
        <v>0</v>
      </c>
      <c r="M45" s="39">
        <v>0</v>
      </c>
      <c r="N45" s="39">
        <v>0</v>
      </c>
      <c r="O45" s="39">
        <f>P45+Q45+R45+S45</f>
        <v>7661</v>
      </c>
      <c r="P45" s="39">
        <f>8733-622-450</f>
        <v>7661</v>
      </c>
      <c r="Q45" s="39">
        <v>0</v>
      </c>
      <c r="R45" s="39">
        <v>0</v>
      </c>
      <c r="S45" s="39">
        <v>0</v>
      </c>
      <c r="T45" s="39">
        <f>U45+V45+W45+X45</f>
        <v>776</v>
      </c>
      <c r="U45" s="39">
        <f>4135-1679-1-1679</f>
        <v>776</v>
      </c>
      <c r="V45" s="39">
        <v>0</v>
      </c>
      <c r="W45" s="39">
        <v>0</v>
      </c>
      <c r="X45" s="39">
        <v>0</v>
      </c>
      <c r="Y45" s="39">
        <f t="shared" si="9"/>
        <v>4135</v>
      </c>
      <c r="Z45" s="39">
        <v>4135</v>
      </c>
      <c r="AA45" s="39">
        <v>0</v>
      </c>
      <c r="AB45" s="39">
        <v>0</v>
      </c>
      <c r="AC45" s="39">
        <v>0</v>
      </c>
      <c r="AD45" s="114">
        <f t="shared" si="10"/>
        <v>14567</v>
      </c>
      <c r="AE45" s="75"/>
      <c r="AF45" s="15"/>
      <c r="AG45" s="2"/>
      <c r="AH45" s="2"/>
      <c r="AI45" s="25"/>
      <c r="AJ45" s="109"/>
      <c r="AK45" s="106"/>
      <c r="AL45" s="5"/>
      <c r="AM45" s="3"/>
      <c r="AN45" s="5"/>
      <c r="AO45" s="3"/>
      <c r="BA45" s="2"/>
    </row>
    <row r="46" spans="1:53" ht="30" customHeight="1">
      <c r="A46" s="42" t="s">
        <v>26</v>
      </c>
      <c r="B46" s="44" t="s">
        <v>20</v>
      </c>
      <c r="C46" s="41" t="s">
        <v>10</v>
      </c>
      <c r="D46" s="40" t="s">
        <v>50</v>
      </c>
      <c r="E46" s="39">
        <f aca="true" t="shared" si="11" ref="E46:E55">F46+G46+H46+I46</f>
        <v>626</v>
      </c>
      <c r="F46" s="39">
        <f>629-3</f>
        <v>626</v>
      </c>
      <c r="G46" s="39">
        <v>0</v>
      </c>
      <c r="H46" s="39">
        <v>0</v>
      </c>
      <c r="I46" s="39">
        <v>0</v>
      </c>
      <c r="J46" s="39">
        <f aca="true" t="shared" si="12" ref="J46:J55">K46+L46+M46+N46</f>
        <v>798</v>
      </c>
      <c r="K46" s="39">
        <v>798</v>
      </c>
      <c r="L46" s="39">
        <v>0</v>
      </c>
      <c r="M46" s="39">
        <v>0</v>
      </c>
      <c r="N46" s="39">
        <v>0</v>
      </c>
      <c r="O46" s="39">
        <f aca="true" t="shared" si="13" ref="O46:O52">P46+Q46+R46+S46</f>
        <v>830</v>
      </c>
      <c r="P46" s="39">
        <v>830</v>
      </c>
      <c r="Q46" s="39">
        <v>0</v>
      </c>
      <c r="R46" s="39">
        <v>0</v>
      </c>
      <c r="S46" s="39">
        <v>0</v>
      </c>
      <c r="T46" s="39">
        <f aca="true" t="shared" si="14" ref="T46:T54">U46+V46+W46+X46</f>
        <v>830</v>
      </c>
      <c r="U46" s="39">
        <v>830</v>
      </c>
      <c r="V46" s="39">
        <v>0</v>
      </c>
      <c r="W46" s="39">
        <v>0</v>
      </c>
      <c r="X46" s="39">
        <v>0</v>
      </c>
      <c r="Y46" s="39">
        <f t="shared" si="9"/>
        <v>830</v>
      </c>
      <c r="Z46" s="39">
        <v>830</v>
      </c>
      <c r="AA46" s="39">
        <v>0</v>
      </c>
      <c r="AB46" s="39">
        <v>0</v>
      </c>
      <c r="AC46" s="39">
        <v>0</v>
      </c>
      <c r="AD46" s="114">
        <f t="shared" si="10"/>
        <v>3914</v>
      </c>
      <c r="AE46" s="75"/>
      <c r="AF46" s="15"/>
      <c r="AG46" s="2"/>
      <c r="AH46" s="2"/>
      <c r="AI46" s="25"/>
      <c r="AJ46" s="110"/>
      <c r="AK46" s="3"/>
      <c r="AL46" s="5"/>
      <c r="AM46" s="3"/>
      <c r="AN46" s="5"/>
      <c r="AO46" s="3"/>
      <c r="BA46" s="2"/>
    </row>
    <row r="47" spans="1:53" ht="30" customHeight="1">
      <c r="A47" s="42" t="s">
        <v>36</v>
      </c>
      <c r="B47" s="44" t="s">
        <v>106</v>
      </c>
      <c r="C47" s="41" t="s">
        <v>10</v>
      </c>
      <c r="D47" s="40" t="s">
        <v>50</v>
      </c>
      <c r="E47" s="39">
        <f t="shared" si="11"/>
        <v>218</v>
      </c>
      <c r="F47" s="39">
        <f>911-692-1</f>
        <v>218</v>
      </c>
      <c r="G47" s="39">
        <v>0</v>
      </c>
      <c r="H47" s="39">
        <v>0</v>
      </c>
      <c r="I47" s="39">
        <v>0</v>
      </c>
      <c r="J47" s="39">
        <f t="shared" si="12"/>
        <v>83</v>
      </c>
      <c r="K47" s="39">
        <f>476-393</f>
        <v>83</v>
      </c>
      <c r="L47" s="39">
        <v>0</v>
      </c>
      <c r="M47" s="39">
        <v>0</v>
      </c>
      <c r="N47" s="39">
        <v>0</v>
      </c>
      <c r="O47" s="39">
        <f t="shared" si="13"/>
        <v>100</v>
      </c>
      <c r="P47" s="39">
        <f>994-440-454</f>
        <v>100</v>
      </c>
      <c r="Q47" s="39">
        <v>0</v>
      </c>
      <c r="R47" s="39">
        <v>0</v>
      </c>
      <c r="S47" s="39">
        <v>0</v>
      </c>
      <c r="T47" s="39">
        <f t="shared" si="14"/>
        <v>95</v>
      </c>
      <c r="U47" s="39">
        <f>989-447-447</f>
        <v>95</v>
      </c>
      <c r="V47" s="39">
        <v>0</v>
      </c>
      <c r="W47" s="39">
        <v>0</v>
      </c>
      <c r="X47" s="39">
        <v>0</v>
      </c>
      <c r="Y47" s="39">
        <f t="shared" si="9"/>
        <v>989</v>
      </c>
      <c r="Z47" s="39">
        <v>989</v>
      </c>
      <c r="AA47" s="39">
        <v>0</v>
      </c>
      <c r="AB47" s="39">
        <v>0</v>
      </c>
      <c r="AC47" s="39">
        <v>0</v>
      </c>
      <c r="AD47" s="114">
        <f t="shared" si="10"/>
        <v>1485</v>
      </c>
      <c r="AE47" s="75"/>
      <c r="AF47" s="15"/>
      <c r="AG47" s="2"/>
      <c r="AH47" s="2"/>
      <c r="AI47" s="25"/>
      <c r="AJ47" s="109"/>
      <c r="AK47" s="106"/>
      <c r="AL47" s="5"/>
      <c r="AM47" s="3"/>
      <c r="AN47" s="5"/>
      <c r="AO47" s="3"/>
      <c r="BA47" s="2"/>
    </row>
    <row r="48" spans="1:53" ht="67.5" customHeight="1">
      <c r="A48" s="42" t="s">
        <v>83</v>
      </c>
      <c r="B48" s="44" t="s">
        <v>93</v>
      </c>
      <c r="C48" s="41" t="s">
        <v>10</v>
      </c>
      <c r="D48" s="40">
        <v>2020</v>
      </c>
      <c r="E48" s="39">
        <f t="shared" si="11"/>
        <v>4091</v>
      </c>
      <c r="F48" s="39">
        <f>4162+5-353</f>
        <v>3814</v>
      </c>
      <c r="G48" s="39">
        <v>277</v>
      </c>
      <c r="H48" s="39">
        <v>0</v>
      </c>
      <c r="I48" s="39">
        <v>0</v>
      </c>
      <c r="J48" s="39">
        <f t="shared" si="12"/>
        <v>0</v>
      </c>
      <c r="K48" s="39">
        <v>0</v>
      </c>
      <c r="L48" s="39">
        <v>0</v>
      </c>
      <c r="M48" s="39">
        <v>0</v>
      </c>
      <c r="N48" s="39">
        <v>0</v>
      </c>
      <c r="O48" s="39">
        <f t="shared" si="13"/>
        <v>0</v>
      </c>
      <c r="P48" s="39">
        <v>0</v>
      </c>
      <c r="Q48" s="39">
        <v>0</v>
      </c>
      <c r="R48" s="39">
        <v>0</v>
      </c>
      <c r="S48" s="39">
        <v>0</v>
      </c>
      <c r="T48" s="39">
        <f t="shared" si="14"/>
        <v>0</v>
      </c>
      <c r="U48" s="39">
        <v>0</v>
      </c>
      <c r="V48" s="39">
        <v>0</v>
      </c>
      <c r="W48" s="39">
        <v>0</v>
      </c>
      <c r="X48" s="39">
        <v>0</v>
      </c>
      <c r="Y48" s="39">
        <f t="shared" si="9"/>
        <v>0</v>
      </c>
      <c r="Z48" s="39">
        <v>0</v>
      </c>
      <c r="AA48" s="39">
        <v>0</v>
      </c>
      <c r="AB48" s="39">
        <v>0</v>
      </c>
      <c r="AC48" s="39">
        <v>0</v>
      </c>
      <c r="AD48" s="114">
        <f t="shared" si="10"/>
        <v>4091</v>
      </c>
      <c r="AE48" s="75"/>
      <c r="AF48" s="15"/>
      <c r="AG48" s="2"/>
      <c r="AH48" s="2"/>
      <c r="AI48" s="25"/>
      <c r="AJ48" s="5"/>
      <c r="AK48" s="5"/>
      <c r="AL48" s="5"/>
      <c r="AM48" s="3"/>
      <c r="AN48" s="5"/>
      <c r="AO48" s="3"/>
      <c r="BA48" s="2"/>
    </row>
    <row r="49" spans="1:53" ht="81.75" customHeight="1">
      <c r="A49" s="42" t="s">
        <v>86</v>
      </c>
      <c r="B49" s="82" t="s">
        <v>121</v>
      </c>
      <c r="C49" s="88" t="s">
        <v>10</v>
      </c>
      <c r="D49" s="40" t="s">
        <v>131</v>
      </c>
      <c r="E49" s="39">
        <f t="shared" si="11"/>
        <v>0</v>
      </c>
      <c r="F49" s="39">
        <f>6203-3597+326-2932</f>
        <v>0</v>
      </c>
      <c r="G49" s="39">
        <v>0</v>
      </c>
      <c r="H49" s="39">
        <v>0</v>
      </c>
      <c r="I49" s="39">
        <v>0</v>
      </c>
      <c r="J49" s="39">
        <f t="shared" si="12"/>
        <v>7425</v>
      </c>
      <c r="K49" s="39">
        <f>6709+393+2009-922-33-731</f>
        <v>7425</v>
      </c>
      <c r="L49" s="39">
        <v>0</v>
      </c>
      <c r="M49" s="39">
        <v>0</v>
      </c>
      <c r="N49" s="39">
        <v>0</v>
      </c>
      <c r="O49" s="39">
        <f t="shared" si="13"/>
        <v>0</v>
      </c>
      <c r="P49" s="39">
        <v>0</v>
      </c>
      <c r="Q49" s="39">
        <v>0</v>
      </c>
      <c r="R49" s="39">
        <v>0</v>
      </c>
      <c r="S49" s="39">
        <v>0</v>
      </c>
      <c r="T49" s="39">
        <f t="shared" si="14"/>
        <v>502</v>
      </c>
      <c r="U49" s="39">
        <f>2735-2207-26</f>
        <v>502</v>
      </c>
      <c r="V49" s="39">
        <v>0</v>
      </c>
      <c r="W49" s="39">
        <v>0</v>
      </c>
      <c r="X49" s="39">
        <v>0</v>
      </c>
      <c r="Y49" s="39">
        <f t="shared" si="9"/>
        <v>5999</v>
      </c>
      <c r="Z49" s="39">
        <v>5999</v>
      </c>
      <c r="AA49" s="39">
        <v>0</v>
      </c>
      <c r="AB49" s="39">
        <v>0</v>
      </c>
      <c r="AC49" s="39">
        <v>0</v>
      </c>
      <c r="AD49" s="114">
        <f t="shared" si="10"/>
        <v>13926</v>
      </c>
      <c r="AE49" s="75"/>
      <c r="AF49" s="15"/>
      <c r="AG49" s="2"/>
      <c r="AH49" s="2"/>
      <c r="AJ49" s="5"/>
      <c r="AK49" s="5"/>
      <c r="AL49" s="5"/>
      <c r="AM49" s="5"/>
      <c r="AN49" s="5"/>
      <c r="AO49" s="3"/>
      <c r="BA49" s="2"/>
    </row>
    <row r="50" spans="1:53" ht="31.5" customHeight="1">
      <c r="A50" s="42" t="s">
        <v>87</v>
      </c>
      <c r="B50" s="89" t="s">
        <v>92</v>
      </c>
      <c r="C50" s="88" t="s">
        <v>10</v>
      </c>
      <c r="D50" s="40" t="s">
        <v>50</v>
      </c>
      <c r="E50" s="39">
        <f t="shared" si="11"/>
        <v>882</v>
      </c>
      <c r="F50" s="39">
        <f>1243-1086-1+15</f>
        <v>171</v>
      </c>
      <c r="G50" s="39">
        <v>711</v>
      </c>
      <c r="H50" s="39">
        <v>0</v>
      </c>
      <c r="I50" s="39">
        <v>0</v>
      </c>
      <c r="J50" s="39">
        <f t="shared" si="12"/>
        <v>49</v>
      </c>
      <c r="K50" s="39">
        <f>1284-1235</f>
        <v>49</v>
      </c>
      <c r="L50" s="39">
        <v>0</v>
      </c>
      <c r="M50" s="39">
        <v>0</v>
      </c>
      <c r="N50" s="39">
        <v>0</v>
      </c>
      <c r="O50" s="39">
        <f t="shared" si="13"/>
        <v>163</v>
      </c>
      <c r="P50" s="39">
        <f>2650-2487</f>
        <v>163</v>
      </c>
      <c r="Q50" s="39">
        <v>0</v>
      </c>
      <c r="R50" s="39">
        <v>0</v>
      </c>
      <c r="S50" s="39">
        <v>0</v>
      </c>
      <c r="T50" s="39">
        <f t="shared" si="14"/>
        <v>73</v>
      </c>
      <c r="U50" s="39">
        <f>2539-1233-1233</f>
        <v>73</v>
      </c>
      <c r="V50" s="39">
        <v>0</v>
      </c>
      <c r="W50" s="39">
        <v>0</v>
      </c>
      <c r="X50" s="39">
        <v>0</v>
      </c>
      <c r="Y50" s="39">
        <f t="shared" si="9"/>
        <v>2539</v>
      </c>
      <c r="Z50" s="39">
        <v>2539</v>
      </c>
      <c r="AA50" s="39">
        <v>0</v>
      </c>
      <c r="AB50" s="39">
        <v>0</v>
      </c>
      <c r="AC50" s="39">
        <v>0</v>
      </c>
      <c r="AD50" s="114">
        <f t="shared" si="10"/>
        <v>3706</v>
      </c>
      <c r="AE50" s="75"/>
      <c r="AF50" s="15"/>
      <c r="AG50" s="2"/>
      <c r="AH50" s="2"/>
      <c r="AJ50" s="109"/>
      <c r="AK50" s="107"/>
      <c r="AL50" s="5"/>
      <c r="AM50" s="3"/>
      <c r="AN50" s="5"/>
      <c r="AO50" s="3"/>
      <c r="BA50" s="2"/>
    </row>
    <row r="51" spans="1:53" ht="105.75" customHeight="1">
      <c r="A51" s="42" t="s">
        <v>88</v>
      </c>
      <c r="B51" s="82" t="s">
        <v>89</v>
      </c>
      <c r="C51" s="45" t="s">
        <v>82</v>
      </c>
      <c r="D51" s="40">
        <v>2020</v>
      </c>
      <c r="E51" s="39">
        <f t="shared" si="11"/>
        <v>9140</v>
      </c>
      <c r="F51" s="39">
        <f>9551-411</f>
        <v>9140</v>
      </c>
      <c r="G51" s="39">
        <v>0</v>
      </c>
      <c r="H51" s="39">
        <v>0</v>
      </c>
      <c r="I51" s="39">
        <v>0</v>
      </c>
      <c r="J51" s="39">
        <f t="shared" si="12"/>
        <v>0</v>
      </c>
      <c r="K51" s="39">
        <v>0</v>
      </c>
      <c r="L51" s="39">
        <v>0</v>
      </c>
      <c r="M51" s="39">
        <v>0</v>
      </c>
      <c r="N51" s="39">
        <v>0</v>
      </c>
      <c r="O51" s="39">
        <f t="shared" si="13"/>
        <v>0</v>
      </c>
      <c r="P51" s="39">
        <v>0</v>
      </c>
      <c r="Q51" s="39">
        <v>0</v>
      </c>
      <c r="R51" s="39">
        <v>0</v>
      </c>
      <c r="S51" s="39">
        <v>0</v>
      </c>
      <c r="T51" s="39">
        <f t="shared" si="14"/>
        <v>0</v>
      </c>
      <c r="U51" s="39">
        <v>0</v>
      </c>
      <c r="V51" s="39">
        <v>0</v>
      </c>
      <c r="W51" s="39">
        <v>0</v>
      </c>
      <c r="X51" s="39">
        <v>0</v>
      </c>
      <c r="Y51" s="39">
        <f t="shared" si="9"/>
        <v>0</v>
      </c>
      <c r="Z51" s="39">
        <v>0</v>
      </c>
      <c r="AA51" s="39">
        <v>0</v>
      </c>
      <c r="AB51" s="39">
        <v>0</v>
      </c>
      <c r="AC51" s="39">
        <v>0</v>
      </c>
      <c r="AD51" s="114">
        <f t="shared" si="10"/>
        <v>9140</v>
      </c>
      <c r="AE51" s="75"/>
      <c r="AF51" s="15"/>
      <c r="AG51" s="2"/>
      <c r="AH51" s="2"/>
      <c r="AJ51" s="5"/>
      <c r="AK51" s="3"/>
      <c r="AL51" s="5"/>
      <c r="AM51" s="3"/>
      <c r="AN51" s="5"/>
      <c r="AO51" s="3"/>
      <c r="BA51" s="2"/>
    </row>
    <row r="52" spans="1:53" ht="31.5" customHeight="1">
      <c r="A52" s="42" t="s">
        <v>110</v>
      </c>
      <c r="B52" s="82" t="s">
        <v>109</v>
      </c>
      <c r="C52" s="45" t="s">
        <v>10</v>
      </c>
      <c r="D52" s="40" t="s">
        <v>90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f t="shared" si="12"/>
        <v>200</v>
      </c>
      <c r="K52" s="39">
        <f>221-21</f>
        <v>200</v>
      </c>
      <c r="L52" s="39">
        <v>0</v>
      </c>
      <c r="M52" s="39">
        <v>0</v>
      </c>
      <c r="N52" s="39">
        <v>0</v>
      </c>
      <c r="O52" s="39">
        <f t="shared" si="13"/>
        <v>1564</v>
      </c>
      <c r="P52" s="39">
        <v>1564</v>
      </c>
      <c r="Q52" s="39">
        <v>0</v>
      </c>
      <c r="R52" s="39">
        <v>0</v>
      </c>
      <c r="S52" s="39">
        <v>0</v>
      </c>
      <c r="T52" s="39">
        <f t="shared" si="14"/>
        <v>0</v>
      </c>
      <c r="U52" s="39">
        <v>0</v>
      </c>
      <c r="V52" s="39">
        <v>0</v>
      </c>
      <c r="W52" s="39">
        <v>0</v>
      </c>
      <c r="X52" s="39">
        <v>0</v>
      </c>
      <c r="Y52" s="39">
        <f t="shared" si="9"/>
        <v>0</v>
      </c>
      <c r="Z52" s="39">
        <v>0</v>
      </c>
      <c r="AA52" s="39">
        <v>0</v>
      </c>
      <c r="AB52" s="39">
        <v>0</v>
      </c>
      <c r="AC52" s="39">
        <v>0</v>
      </c>
      <c r="AD52" s="114">
        <f t="shared" si="10"/>
        <v>1764</v>
      </c>
      <c r="AE52" s="75"/>
      <c r="AF52" s="15"/>
      <c r="AG52" s="2"/>
      <c r="AH52" s="2"/>
      <c r="AJ52" s="5"/>
      <c r="AK52" s="3"/>
      <c r="AL52" s="5"/>
      <c r="AM52" s="3"/>
      <c r="AN52" s="5"/>
      <c r="AO52" s="3"/>
      <c r="BA52" s="2"/>
    </row>
    <row r="53" spans="1:53" ht="42.75" customHeight="1">
      <c r="A53" s="42" t="s">
        <v>134</v>
      </c>
      <c r="B53" s="82" t="s">
        <v>137</v>
      </c>
      <c r="C53" s="45" t="s">
        <v>135</v>
      </c>
      <c r="D53" s="40" t="s">
        <v>136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f>U53+V53+W53+X53</f>
        <v>3730</v>
      </c>
      <c r="U53" s="39">
        <f>5071+141-1482</f>
        <v>3730</v>
      </c>
      <c r="V53" s="39">
        <v>0</v>
      </c>
      <c r="W53" s="39">
        <v>0</v>
      </c>
      <c r="X53" s="39">
        <v>0</v>
      </c>
      <c r="Y53" s="39">
        <f>Z53+AA53+AB53+AC53</f>
        <v>4952</v>
      </c>
      <c r="Z53" s="39">
        <f>4952</f>
        <v>4952</v>
      </c>
      <c r="AA53" s="39">
        <v>0</v>
      </c>
      <c r="AB53" s="39">
        <v>0</v>
      </c>
      <c r="AC53" s="39">
        <v>0</v>
      </c>
      <c r="AD53" s="114">
        <f>Y53+T53+O53+J53+E53</f>
        <v>8682</v>
      </c>
      <c r="AE53" s="116">
        <v>41580</v>
      </c>
      <c r="AF53" s="2">
        <f>U54-AE53</f>
        <v>-41580</v>
      </c>
      <c r="AG53" s="2">
        <f>Y54-AE53</f>
        <v>-41080</v>
      </c>
      <c r="AH53" s="2"/>
      <c r="AJ53" s="117"/>
      <c r="AK53" s="3"/>
      <c r="AL53" s="5"/>
      <c r="AM53" s="3"/>
      <c r="AN53" s="5"/>
      <c r="AO53" s="3"/>
      <c r="BA53" s="2"/>
    </row>
    <row r="54" spans="1:53" ht="61.5" customHeight="1">
      <c r="A54" s="42" t="s">
        <v>141</v>
      </c>
      <c r="B54" s="82" t="s">
        <v>142</v>
      </c>
      <c r="C54" s="45" t="s">
        <v>135</v>
      </c>
      <c r="D54" s="40" t="s">
        <v>146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f t="shared" si="14"/>
        <v>0</v>
      </c>
      <c r="U54" s="39">
        <f>0</f>
        <v>0</v>
      </c>
      <c r="V54" s="39">
        <v>0</v>
      </c>
      <c r="W54" s="39">
        <v>0</v>
      </c>
      <c r="X54" s="39">
        <v>0</v>
      </c>
      <c r="Y54" s="39">
        <f t="shared" si="9"/>
        <v>500</v>
      </c>
      <c r="Z54" s="39">
        <f>500</f>
        <v>500</v>
      </c>
      <c r="AA54" s="39">
        <v>0</v>
      </c>
      <c r="AB54" s="39">
        <v>0</v>
      </c>
      <c r="AC54" s="39">
        <v>0</v>
      </c>
      <c r="AD54" s="114">
        <f t="shared" si="10"/>
        <v>500</v>
      </c>
      <c r="AE54" s="90">
        <v>41580</v>
      </c>
      <c r="AF54" s="2">
        <f>U55-AE54</f>
        <v>-3403</v>
      </c>
      <c r="AG54" s="2">
        <f>Y55-AE54</f>
        <v>2972</v>
      </c>
      <c r="AH54" s="2"/>
      <c r="AJ54" s="117"/>
      <c r="AK54" s="3"/>
      <c r="AL54" s="5"/>
      <c r="AM54" s="3"/>
      <c r="AN54" s="5"/>
      <c r="AO54" s="3"/>
      <c r="BA54" s="2"/>
    </row>
    <row r="55" spans="1:59" s="9" customFormat="1" ht="32.25" customHeight="1">
      <c r="A55" s="42"/>
      <c r="B55" s="44" t="s">
        <v>13</v>
      </c>
      <c r="C55" s="39"/>
      <c r="D55" s="40"/>
      <c r="E55" s="39">
        <f t="shared" si="11"/>
        <v>35545</v>
      </c>
      <c r="F55" s="39">
        <f>F41+F42+F43+F44+F46+F47+F48+F49+F50+F51+F45</f>
        <v>34557</v>
      </c>
      <c r="G55" s="39">
        <f>G48+G50</f>
        <v>988</v>
      </c>
      <c r="H55" s="39">
        <f>H48</f>
        <v>0</v>
      </c>
      <c r="I55" s="39">
        <f>I48</f>
        <v>0</v>
      </c>
      <c r="J55" s="39">
        <f t="shared" si="12"/>
        <v>35724</v>
      </c>
      <c r="K55" s="39">
        <f>K41+K42+K43+K44+K45+K46+K47+K48+K49+K50+K51+K52</f>
        <v>35724</v>
      </c>
      <c r="L55" s="39">
        <f>L41+L42+L43+L44+L45+L46+L47+L48+L49+L50+L51+L52</f>
        <v>0</v>
      </c>
      <c r="M55" s="39">
        <f>M41+M42+M43+M44+M45+M46+M47+M48+M49+M50+M51+M52</f>
        <v>0</v>
      </c>
      <c r="N55" s="39">
        <f>N41+N42+N43+N44+N45+N46+N47+N48+N49+N50+N51+N52</f>
        <v>0</v>
      </c>
      <c r="O55" s="39">
        <f>P55+Q55+R55+S55</f>
        <v>32127</v>
      </c>
      <c r="P55" s="39">
        <f>P41+P42+P43+P44+P45+P46+P47+P48+P49+P50+P51+P52</f>
        <v>32127</v>
      </c>
      <c r="Q55" s="39">
        <f>Q41+Q42+Q43+Q44+Q45+Q46+Q47+Q48+Q49+Q50+Q51+Q52</f>
        <v>0</v>
      </c>
      <c r="R55" s="39">
        <f>R41+R42+R43+R44+R45+R46+R47+R48+R49+R50+R51+R52</f>
        <v>0</v>
      </c>
      <c r="S55" s="39">
        <f>S41+S42+S43+S44+S45+S46+S47+S48+S49+S50+S51+S52</f>
        <v>0</v>
      </c>
      <c r="T55" s="39">
        <f>U55+V55+W55+X55</f>
        <v>38177</v>
      </c>
      <c r="U55" s="39">
        <f>U41+U42+U43+U44+U45+U46+U47+U48+U49+U50+U51+U52+U53+U54</f>
        <v>38177</v>
      </c>
      <c r="V55" s="39">
        <f>V41+V42+V43+V44+V45+V46+V47+V48+V49+V50+V51+V52</f>
        <v>0</v>
      </c>
      <c r="W55" s="39">
        <f>W41+W42+W43+W44+W45+W46+W47+W48+W49+W50+W51+W52</f>
        <v>0</v>
      </c>
      <c r="X55" s="39">
        <f>X41+X42+X43+X44+X45+X46+X47+X48+X49+X50+X51+X52</f>
        <v>0</v>
      </c>
      <c r="Y55" s="39">
        <f>Z55+AA55+AB55+AC55</f>
        <v>44552</v>
      </c>
      <c r="Z55" s="39">
        <f>Z47+Z46+Z45+Z44+Z43+Z42+Z41+Z48+Z49+Z50+Z51+Z52+Z53+Z54</f>
        <v>44552</v>
      </c>
      <c r="AA55" s="39">
        <f>SUM(AA41:AA46)</f>
        <v>0</v>
      </c>
      <c r="AB55" s="39">
        <f>SUM(AB41:AB46)</f>
        <v>0</v>
      </c>
      <c r="AC55" s="39">
        <f>SUM(AC41:AC46)</f>
        <v>0</v>
      </c>
      <c r="AD55" s="114">
        <f>Y55+T55+O55+J55+E55</f>
        <v>186125</v>
      </c>
      <c r="AE55" s="69">
        <f>AD41+AD42+AD43+AD44+AD45+AD46+AD47+AD48+AD49+AD50+AD51+AD52+AD54</f>
        <v>177443</v>
      </c>
      <c r="AF55" s="8"/>
      <c r="AG55" s="8"/>
      <c r="AH55" s="8"/>
      <c r="AI55" s="18"/>
      <c r="AK55" s="8"/>
      <c r="AM55" s="8"/>
      <c r="BA55" s="8"/>
      <c r="BD55" s="8"/>
      <c r="BE55" s="8"/>
      <c r="BG55" s="8"/>
    </row>
    <row r="56" spans="1:39" ht="28.5" customHeight="1">
      <c r="A56" s="140" t="s">
        <v>68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2"/>
      <c r="AF56" s="2"/>
      <c r="AJ56" s="2"/>
      <c r="AM56" s="2"/>
    </row>
    <row r="57" spans="1:33" ht="36" customHeight="1">
      <c r="A57" s="121" t="s">
        <v>4</v>
      </c>
      <c r="B57" s="123" t="s">
        <v>129</v>
      </c>
      <c r="C57" s="41" t="s">
        <v>10</v>
      </c>
      <c r="D57" s="40" t="s">
        <v>132</v>
      </c>
      <c r="E57" s="39">
        <f>F57+G57+H57+I57</f>
        <v>5943</v>
      </c>
      <c r="F57" s="39">
        <f>3830+170+192-3638+129+1622</f>
        <v>2305</v>
      </c>
      <c r="G57" s="39">
        <f>3638</f>
        <v>3638</v>
      </c>
      <c r="H57" s="39">
        <v>0</v>
      </c>
      <c r="I57" s="39">
        <v>0</v>
      </c>
      <c r="J57" s="39">
        <f>K57+L57+M57+N57</f>
        <v>730</v>
      </c>
      <c r="K57" s="39">
        <f>902-172</f>
        <v>730</v>
      </c>
      <c r="L57" s="39">
        <v>0</v>
      </c>
      <c r="M57" s="39">
        <v>0</v>
      </c>
      <c r="N57" s="39">
        <v>0</v>
      </c>
      <c r="O57" s="39">
        <f>P57+Q57+R57+S57</f>
        <v>0</v>
      </c>
      <c r="P57" s="39">
        <f>2146-2146</f>
        <v>0</v>
      </c>
      <c r="Q57" s="39">
        <v>0</v>
      </c>
      <c r="R57" s="39">
        <v>0</v>
      </c>
      <c r="S57" s="39">
        <v>0</v>
      </c>
      <c r="T57" s="28">
        <f>U57+V57+W57+X57</f>
        <v>892</v>
      </c>
      <c r="U57" s="39">
        <f>2390-1498</f>
        <v>892</v>
      </c>
      <c r="V57" s="28">
        <v>0</v>
      </c>
      <c r="W57" s="28">
        <v>0</v>
      </c>
      <c r="X57" s="28">
        <v>0</v>
      </c>
      <c r="Y57" s="28">
        <f>Z57</f>
        <v>2390</v>
      </c>
      <c r="Z57" s="28">
        <v>2390</v>
      </c>
      <c r="AA57" s="28">
        <v>0</v>
      </c>
      <c r="AB57" s="28">
        <v>0</v>
      </c>
      <c r="AC57" s="28">
        <v>0</v>
      </c>
      <c r="AD57" s="101">
        <f aca="true" t="shared" si="15" ref="AD57:AD62">Y57+T57+O57+J57+E57</f>
        <v>9955</v>
      </c>
      <c r="AE57" s="37" t="s">
        <v>128</v>
      </c>
      <c r="AF57" s="1">
        <v>2146</v>
      </c>
      <c r="AG57" s="2">
        <f aca="true" t="shared" si="16" ref="AG57:AG62">T57-AF57</f>
        <v>-1254</v>
      </c>
    </row>
    <row r="58" spans="1:63" ht="35.25" customHeight="1">
      <c r="A58" s="121"/>
      <c r="B58" s="123"/>
      <c r="C58" s="41" t="s">
        <v>82</v>
      </c>
      <c r="D58" s="40" t="s">
        <v>50</v>
      </c>
      <c r="E58" s="39">
        <f>F58</f>
        <v>362.1</v>
      </c>
      <c r="F58" s="39">
        <v>362.1</v>
      </c>
      <c r="G58" s="39">
        <v>0</v>
      </c>
      <c r="H58" s="39">
        <v>0</v>
      </c>
      <c r="I58" s="39">
        <v>0</v>
      </c>
      <c r="J58" s="39">
        <f>K58+L58+M58+N58</f>
        <v>356</v>
      </c>
      <c r="K58" s="39">
        <v>356</v>
      </c>
      <c r="L58" s="39">
        <v>0</v>
      </c>
      <c r="M58" s="39">
        <v>0</v>
      </c>
      <c r="N58" s="39">
        <v>0</v>
      </c>
      <c r="O58" s="39">
        <f>P58+Q58+R58+S58</f>
        <v>393</v>
      </c>
      <c r="P58" s="39">
        <v>393</v>
      </c>
      <c r="Q58" s="39">
        <v>0</v>
      </c>
      <c r="R58" s="39">
        <v>0</v>
      </c>
      <c r="S58" s="39">
        <v>0</v>
      </c>
      <c r="T58" s="28">
        <f>U58+V58+W58+X58</f>
        <v>230</v>
      </c>
      <c r="U58" s="28">
        <v>230</v>
      </c>
      <c r="V58" s="28">
        <v>0</v>
      </c>
      <c r="W58" s="28">
        <v>0</v>
      </c>
      <c r="X58" s="28">
        <v>0</v>
      </c>
      <c r="Y58" s="28">
        <f>Z58</f>
        <v>230</v>
      </c>
      <c r="Z58" s="28">
        <v>230</v>
      </c>
      <c r="AA58" s="28">
        <v>0</v>
      </c>
      <c r="AB58" s="28">
        <v>0</v>
      </c>
      <c r="AC58" s="28">
        <v>0</v>
      </c>
      <c r="AD58" s="101">
        <f t="shared" si="15"/>
        <v>1571.1</v>
      </c>
      <c r="AG58" s="2">
        <f t="shared" si="16"/>
        <v>230</v>
      </c>
      <c r="BE58" s="2"/>
      <c r="BF58" s="122"/>
      <c r="BG58" s="122"/>
      <c r="BH58" s="122"/>
      <c r="BI58" s="122"/>
      <c r="BJ58" s="122"/>
      <c r="BK58" s="122"/>
    </row>
    <row r="59" spans="1:63" s="20" customFormat="1" ht="45.75" customHeight="1">
      <c r="A59" s="97" t="s">
        <v>14</v>
      </c>
      <c r="B59" s="77" t="s">
        <v>71</v>
      </c>
      <c r="C59" s="41" t="s">
        <v>82</v>
      </c>
      <c r="D59" s="40" t="s">
        <v>111</v>
      </c>
      <c r="E59" s="39">
        <f>F59</f>
        <v>0</v>
      </c>
      <c r="F59" s="39">
        <f>1000-129-871</f>
        <v>0</v>
      </c>
      <c r="G59" s="39">
        <v>0</v>
      </c>
      <c r="H59" s="39">
        <v>0</v>
      </c>
      <c r="I59" s="39">
        <v>0</v>
      </c>
      <c r="J59" s="39">
        <f>K59+L59+M59+N59</f>
        <v>306</v>
      </c>
      <c r="K59" s="39">
        <v>306</v>
      </c>
      <c r="L59" s="39">
        <v>0</v>
      </c>
      <c r="M59" s="39">
        <v>0</v>
      </c>
      <c r="N59" s="39">
        <v>0</v>
      </c>
      <c r="O59" s="39">
        <f>P59+Q59+R59+S59</f>
        <v>0</v>
      </c>
      <c r="P59" s="39">
        <v>0</v>
      </c>
      <c r="Q59" s="39">
        <v>0</v>
      </c>
      <c r="R59" s="39">
        <v>0</v>
      </c>
      <c r="S59" s="39">
        <v>0</v>
      </c>
      <c r="T59" s="28">
        <f>U59</f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101">
        <f t="shared" si="15"/>
        <v>306</v>
      </c>
      <c r="AE59" s="59"/>
      <c r="AG59" s="2">
        <f t="shared" si="16"/>
        <v>0</v>
      </c>
      <c r="AI59" s="58"/>
      <c r="BA59" s="57"/>
      <c r="BB59" s="57"/>
      <c r="BE59" s="57"/>
      <c r="BF59" s="59"/>
      <c r="BG59" s="59"/>
      <c r="BH59" s="59"/>
      <c r="BI59" s="59"/>
      <c r="BJ59" s="59"/>
      <c r="BK59" s="59"/>
    </row>
    <row r="60" spans="1:63" ht="39.75" customHeight="1">
      <c r="A60" s="121" t="s">
        <v>17</v>
      </c>
      <c r="B60" s="123" t="s">
        <v>43</v>
      </c>
      <c r="C60" s="41" t="s">
        <v>10</v>
      </c>
      <c r="D60" s="40" t="s">
        <v>50</v>
      </c>
      <c r="E60" s="39">
        <f>F60</f>
        <v>9323</v>
      </c>
      <c r="F60" s="39">
        <f>2469+300+996+2719+2100-132+871</f>
        <v>9323</v>
      </c>
      <c r="G60" s="39">
        <v>0</v>
      </c>
      <c r="H60" s="39">
        <v>0</v>
      </c>
      <c r="I60" s="39">
        <v>0</v>
      </c>
      <c r="J60" s="39">
        <f>K60+L60+M60+N60</f>
        <v>19398</v>
      </c>
      <c r="K60" s="39">
        <f>3946+1709+10000-39+110+25+515+172+2960</f>
        <v>19398</v>
      </c>
      <c r="L60" s="39">
        <v>0</v>
      </c>
      <c r="M60" s="39">
        <v>0</v>
      </c>
      <c r="N60" s="39">
        <v>0</v>
      </c>
      <c r="O60" s="39">
        <f>P60+Q60+R60+S60</f>
        <v>18294</v>
      </c>
      <c r="P60" s="39">
        <f>7884+8400-136+2146</f>
        <v>18294</v>
      </c>
      <c r="Q60" s="39">
        <v>0</v>
      </c>
      <c r="R60" s="39">
        <v>0</v>
      </c>
      <c r="S60" s="39">
        <v>0</v>
      </c>
      <c r="T60" s="39">
        <f>U60+V60+W60+X60</f>
        <v>13625.2</v>
      </c>
      <c r="U60" s="39">
        <f>10487-20+164.7+600+335.2+599.3+1498-39</f>
        <v>13625.2</v>
      </c>
      <c r="V60" s="39">
        <v>0</v>
      </c>
      <c r="W60" s="39">
        <v>0</v>
      </c>
      <c r="X60" s="39">
        <v>0</v>
      </c>
      <c r="Y60" s="39">
        <f>Z60</f>
        <v>15580</v>
      </c>
      <c r="Z60" s="39">
        <v>15580</v>
      </c>
      <c r="AA60" s="39">
        <v>0</v>
      </c>
      <c r="AB60" s="39">
        <v>0</v>
      </c>
      <c r="AC60" s="39">
        <v>0</v>
      </c>
      <c r="AD60" s="114">
        <f t="shared" si="15"/>
        <v>76220.2</v>
      </c>
      <c r="AE60" s="61"/>
      <c r="AF60" s="2">
        <v>7884</v>
      </c>
      <c r="AG60" s="2">
        <f t="shared" si="16"/>
        <v>5741.200000000001</v>
      </c>
      <c r="AH60" s="2"/>
      <c r="AI60" s="124"/>
      <c r="AJ60" s="126"/>
      <c r="AK60" s="126"/>
      <c r="AL60" s="108"/>
      <c r="AM60" s="108"/>
      <c r="AN60" s="108"/>
      <c r="AO60" s="108"/>
      <c r="AP60" s="108"/>
      <c r="AQ60" s="108"/>
      <c r="AR60" s="108"/>
      <c r="AS60" s="2"/>
      <c r="BA60" s="2"/>
      <c r="BE60" s="2"/>
      <c r="BF60" s="122"/>
      <c r="BG60" s="122"/>
      <c r="BH60" s="122"/>
      <c r="BI60" s="122"/>
      <c r="BJ60" s="122"/>
      <c r="BK60" s="122"/>
    </row>
    <row r="61" spans="1:63" ht="35.25" customHeight="1">
      <c r="A61" s="121"/>
      <c r="B61" s="123"/>
      <c r="C61" s="41" t="s">
        <v>82</v>
      </c>
      <c r="D61" s="40" t="s">
        <v>50</v>
      </c>
      <c r="E61" s="39">
        <f>F61+G61+H61+I61</f>
        <v>2397.9</v>
      </c>
      <c r="F61" s="39">
        <f>1927.2-32+502.7</f>
        <v>2397.9</v>
      </c>
      <c r="G61" s="39">
        <v>0</v>
      </c>
      <c r="H61" s="39">
        <v>0</v>
      </c>
      <c r="I61" s="39">
        <v>0</v>
      </c>
      <c r="J61" s="39">
        <f>K61+L61+M61+N61</f>
        <v>1979</v>
      </c>
      <c r="K61" s="39">
        <f>2059-80</f>
        <v>1979</v>
      </c>
      <c r="L61" s="39">
        <v>0</v>
      </c>
      <c r="M61" s="39">
        <v>0</v>
      </c>
      <c r="N61" s="39">
        <v>0</v>
      </c>
      <c r="O61" s="39">
        <f>P61+Q61+R61+S61</f>
        <v>1623</v>
      </c>
      <c r="P61" s="39">
        <v>1623</v>
      </c>
      <c r="Q61" s="39">
        <v>0</v>
      </c>
      <c r="R61" s="39">
        <v>0</v>
      </c>
      <c r="S61" s="39">
        <v>0</v>
      </c>
      <c r="T61" s="39">
        <f>U61+V61+W61+X61</f>
        <v>3035</v>
      </c>
      <c r="U61" s="39">
        <v>3035</v>
      </c>
      <c r="V61" s="39">
        <v>0</v>
      </c>
      <c r="W61" s="39">
        <v>0</v>
      </c>
      <c r="X61" s="39">
        <v>0</v>
      </c>
      <c r="Y61" s="39">
        <f>Z61+AA61+AB61+AC61</f>
        <v>2456</v>
      </c>
      <c r="Z61" s="39">
        <v>2456</v>
      </c>
      <c r="AA61" s="39">
        <v>0</v>
      </c>
      <c r="AB61" s="39">
        <v>0</v>
      </c>
      <c r="AC61" s="39">
        <v>0</v>
      </c>
      <c r="AD61" s="114">
        <f t="shared" si="15"/>
        <v>11490.9</v>
      </c>
      <c r="AE61" s="61">
        <f>U57+U60</f>
        <v>14517.2</v>
      </c>
      <c r="AF61" s="2"/>
      <c r="AG61" s="2">
        <f t="shared" si="16"/>
        <v>3035</v>
      </c>
      <c r="AI61" s="125"/>
      <c r="AJ61" s="125"/>
      <c r="AK61" s="125"/>
      <c r="AL61" s="36"/>
      <c r="AM61" s="37"/>
      <c r="AN61" s="37"/>
      <c r="AO61" s="37"/>
      <c r="AP61" s="37"/>
      <c r="AQ61" s="37"/>
      <c r="AR61" s="37"/>
      <c r="AS61" s="2"/>
      <c r="BA61" s="2"/>
      <c r="BE61" s="2"/>
      <c r="BF61" s="122"/>
      <c r="BG61" s="122"/>
      <c r="BH61" s="122"/>
      <c r="BI61" s="122"/>
      <c r="BJ61" s="122"/>
      <c r="BK61" s="122"/>
    </row>
    <row r="62" spans="1:57" s="9" customFormat="1" ht="36.75" customHeight="1">
      <c r="A62" s="42"/>
      <c r="B62" s="44" t="s">
        <v>15</v>
      </c>
      <c r="C62" s="41"/>
      <c r="D62" s="40"/>
      <c r="E62" s="39">
        <f>F62+G62+H62+I62</f>
        <v>18026</v>
      </c>
      <c r="F62" s="39">
        <f>F57+F60+F61+F58</f>
        <v>14388</v>
      </c>
      <c r="G62" s="39">
        <f aca="true" t="shared" si="17" ref="G62:AC62">G57+G60+G61+G58</f>
        <v>3638</v>
      </c>
      <c r="H62" s="39">
        <f t="shared" si="17"/>
        <v>0</v>
      </c>
      <c r="I62" s="39">
        <f t="shared" si="17"/>
        <v>0</v>
      </c>
      <c r="J62" s="39">
        <f>J57+J60+J61+J58+J59</f>
        <v>22769</v>
      </c>
      <c r="K62" s="39">
        <f>K57+K58+K59+K60+K61</f>
        <v>22769</v>
      </c>
      <c r="L62" s="39">
        <f t="shared" si="17"/>
        <v>0</v>
      </c>
      <c r="M62" s="39">
        <f t="shared" si="17"/>
        <v>0</v>
      </c>
      <c r="N62" s="39">
        <f t="shared" si="17"/>
        <v>0</v>
      </c>
      <c r="O62" s="39">
        <f t="shared" si="17"/>
        <v>20310</v>
      </c>
      <c r="P62" s="39">
        <f t="shared" si="17"/>
        <v>20310</v>
      </c>
      <c r="Q62" s="39">
        <f t="shared" si="17"/>
        <v>0</v>
      </c>
      <c r="R62" s="39">
        <f t="shared" si="17"/>
        <v>0</v>
      </c>
      <c r="S62" s="39">
        <f t="shared" si="17"/>
        <v>0</v>
      </c>
      <c r="T62" s="39">
        <f t="shared" si="17"/>
        <v>17782.2</v>
      </c>
      <c r="U62" s="39">
        <f t="shared" si="17"/>
        <v>17782.2</v>
      </c>
      <c r="V62" s="39">
        <f t="shared" si="17"/>
        <v>0</v>
      </c>
      <c r="W62" s="39">
        <f t="shared" si="17"/>
        <v>0</v>
      </c>
      <c r="X62" s="39">
        <f t="shared" si="17"/>
        <v>0</v>
      </c>
      <c r="Y62" s="39">
        <f t="shared" si="17"/>
        <v>20656</v>
      </c>
      <c r="Z62" s="39">
        <f t="shared" si="17"/>
        <v>20656</v>
      </c>
      <c r="AA62" s="39">
        <f t="shared" si="17"/>
        <v>0</v>
      </c>
      <c r="AB62" s="39">
        <f t="shared" si="17"/>
        <v>0</v>
      </c>
      <c r="AC62" s="39">
        <f t="shared" si="17"/>
        <v>0</v>
      </c>
      <c r="AD62" s="114">
        <f t="shared" si="15"/>
        <v>99543.2</v>
      </c>
      <c r="AE62" s="70">
        <f>AD57+AD58+AD59+AD60+AD61</f>
        <v>99543.2</v>
      </c>
      <c r="AF62" s="22">
        <v>11837</v>
      </c>
      <c r="AG62" s="2">
        <f t="shared" si="16"/>
        <v>5945.200000000001</v>
      </c>
      <c r="AH62" s="22"/>
      <c r="AI62" s="26"/>
      <c r="AJ62" s="8"/>
      <c r="AL62" s="8"/>
      <c r="AS62" s="8"/>
      <c r="BA62" s="8"/>
      <c r="BB62" s="8"/>
      <c r="BE62" s="2"/>
    </row>
    <row r="63" spans="1:38" s="9" customFormat="1" ht="30.75" customHeight="1">
      <c r="A63" s="137" t="s">
        <v>69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9"/>
      <c r="AE63" s="62"/>
      <c r="AI63" s="24"/>
      <c r="AJ63" s="8"/>
      <c r="AL63" s="38"/>
    </row>
    <row r="64" spans="1:56" s="9" customFormat="1" ht="78" customHeight="1">
      <c r="A64" s="42" t="s">
        <v>16</v>
      </c>
      <c r="B64" s="44" t="s">
        <v>127</v>
      </c>
      <c r="C64" s="41" t="s">
        <v>10</v>
      </c>
      <c r="D64" s="40" t="s">
        <v>50</v>
      </c>
      <c r="E64" s="39">
        <f>F64+G64+H64+I64</f>
        <v>3575</v>
      </c>
      <c r="F64" s="39">
        <v>1723</v>
      </c>
      <c r="G64" s="39">
        <v>1852</v>
      </c>
      <c r="H64" s="39">
        <v>0</v>
      </c>
      <c r="I64" s="39">
        <v>0</v>
      </c>
      <c r="J64" s="39">
        <f>K64+L64+M64+N64</f>
        <v>6160</v>
      </c>
      <c r="K64" s="39">
        <f>1721</f>
        <v>1721</v>
      </c>
      <c r="L64" s="39">
        <f>2679+1760</f>
        <v>4439</v>
      </c>
      <c r="M64" s="39">
        <v>0</v>
      </c>
      <c r="N64" s="39">
        <v>0</v>
      </c>
      <c r="O64" s="39">
        <f>P64+Q64+R64+S64</f>
        <v>14799</v>
      </c>
      <c r="P64" s="39">
        <f>1178+1060</f>
        <v>2238</v>
      </c>
      <c r="Q64" s="39">
        <f>3279+4061+5221</f>
        <v>12561</v>
      </c>
      <c r="R64" s="39">
        <v>0</v>
      </c>
      <c r="S64" s="39">
        <v>0</v>
      </c>
      <c r="T64" s="39">
        <f>U64+V64+W64+X64</f>
        <v>22415</v>
      </c>
      <c r="U64" s="39">
        <f>2519+600+2760+3883</f>
        <v>9762</v>
      </c>
      <c r="V64" s="39">
        <f>4185+8468</f>
        <v>12653</v>
      </c>
      <c r="W64" s="39">
        <v>0</v>
      </c>
      <c r="X64" s="39">
        <v>0</v>
      </c>
      <c r="Y64" s="39">
        <f>Z64+AA64+AB64+AC64</f>
        <v>2519</v>
      </c>
      <c r="Z64" s="39">
        <v>2519</v>
      </c>
      <c r="AA64" s="39">
        <v>0</v>
      </c>
      <c r="AB64" s="39">
        <v>0</v>
      </c>
      <c r="AC64" s="39">
        <v>0</v>
      </c>
      <c r="AD64" s="114">
        <f>E64+J64+O64+T64+Y64</f>
        <v>49468</v>
      </c>
      <c r="AE64" s="62"/>
      <c r="AI64" s="120"/>
      <c r="AJ64" s="120"/>
      <c r="AK64" s="120"/>
      <c r="AL64" s="120"/>
      <c r="AR64" s="8"/>
      <c r="BD64" s="8"/>
    </row>
    <row r="65" spans="1:56" s="9" customFormat="1" ht="37.5" customHeight="1">
      <c r="A65" s="42"/>
      <c r="B65" s="44" t="s">
        <v>124</v>
      </c>
      <c r="C65" s="41"/>
      <c r="D65" s="40"/>
      <c r="E65" s="39">
        <f aca="true" t="shared" si="18" ref="E65:N65">E64</f>
        <v>3575</v>
      </c>
      <c r="F65" s="39">
        <f t="shared" si="18"/>
        <v>1723</v>
      </c>
      <c r="G65" s="39">
        <f t="shared" si="18"/>
        <v>1852</v>
      </c>
      <c r="H65" s="39">
        <f t="shared" si="18"/>
        <v>0</v>
      </c>
      <c r="I65" s="39">
        <f t="shared" si="18"/>
        <v>0</v>
      </c>
      <c r="J65" s="39">
        <f t="shared" si="18"/>
        <v>6160</v>
      </c>
      <c r="K65" s="39">
        <f t="shared" si="18"/>
        <v>1721</v>
      </c>
      <c r="L65" s="39">
        <f t="shared" si="18"/>
        <v>4439</v>
      </c>
      <c r="M65" s="39">
        <f t="shared" si="18"/>
        <v>0</v>
      </c>
      <c r="N65" s="39">
        <f t="shared" si="18"/>
        <v>0</v>
      </c>
      <c r="O65" s="39">
        <f>P65+Q65+R65+S65</f>
        <v>14799</v>
      </c>
      <c r="P65" s="39">
        <f aca="true" t="shared" si="19" ref="P65:AD65">P64</f>
        <v>2238</v>
      </c>
      <c r="Q65" s="39">
        <f t="shared" si="19"/>
        <v>12561</v>
      </c>
      <c r="R65" s="39">
        <f t="shared" si="19"/>
        <v>0</v>
      </c>
      <c r="S65" s="39">
        <f t="shared" si="19"/>
        <v>0</v>
      </c>
      <c r="T65" s="39">
        <f t="shared" si="19"/>
        <v>22415</v>
      </c>
      <c r="U65" s="39">
        <f t="shared" si="19"/>
        <v>9762</v>
      </c>
      <c r="V65" s="39">
        <f t="shared" si="19"/>
        <v>12653</v>
      </c>
      <c r="W65" s="39">
        <f t="shared" si="19"/>
        <v>0</v>
      </c>
      <c r="X65" s="39">
        <f t="shared" si="19"/>
        <v>0</v>
      </c>
      <c r="Y65" s="39">
        <f>Z65+AA65+AB65+AC65</f>
        <v>2519</v>
      </c>
      <c r="Z65" s="39">
        <f t="shared" si="19"/>
        <v>2519</v>
      </c>
      <c r="AA65" s="39">
        <f t="shared" si="19"/>
        <v>0</v>
      </c>
      <c r="AB65" s="39">
        <f t="shared" si="19"/>
        <v>0</v>
      </c>
      <c r="AC65" s="39">
        <f t="shared" si="19"/>
        <v>0</v>
      </c>
      <c r="AD65" s="114">
        <f t="shared" si="19"/>
        <v>49468</v>
      </c>
      <c r="AE65" s="71">
        <f>AD64</f>
        <v>49468</v>
      </c>
      <c r="AI65" s="24"/>
      <c r="AJ65" s="8"/>
      <c r="AR65" s="8"/>
      <c r="BD65" s="8"/>
    </row>
    <row r="66" spans="1:44" ht="30" customHeight="1">
      <c r="A66" s="137" t="s">
        <v>100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9"/>
      <c r="AR66" s="2"/>
    </row>
    <row r="67" spans="1:32" ht="44.25" customHeight="1">
      <c r="A67" s="121" t="s">
        <v>95</v>
      </c>
      <c r="B67" s="123" t="s">
        <v>112</v>
      </c>
      <c r="C67" s="41" t="s">
        <v>10</v>
      </c>
      <c r="D67" s="40" t="s">
        <v>50</v>
      </c>
      <c r="E67" s="39">
        <f aca="true" t="shared" si="20" ref="E67:E84">F67+G67+H67+I67</f>
        <v>7262</v>
      </c>
      <c r="F67" s="39">
        <f>1500+238+5524</f>
        <v>7262</v>
      </c>
      <c r="G67" s="39">
        <v>0</v>
      </c>
      <c r="H67" s="39">
        <v>0</v>
      </c>
      <c r="I67" s="39">
        <v>0</v>
      </c>
      <c r="J67" s="39">
        <f>K67</f>
        <v>1606</v>
      </c>
      <c r="K67" s="39">
        <f>2484+516-799-515-80</f>
        <v>1606</v>
      </c>
      <c r="L67" s="39">
        <v>0</v>
      </c>
      <c r="M67" s="39">
        <v>0</v>
      </c>
      <c r="N67" s="39">
        <v>0</v>
      </c>
      <c r="O67" s="39">
        <f aca="true" t="shared" si="21" ref="O67:O79">P67+Q67+R67+S67</f>
        <v>4004</v>
      </c>
      <c r="P67" s="39">
        <f>4004</f>
        <v>4004</v>
      </c>
      <c r="Q67" s="39">
        <v>0</v>
      </c>
      <c r="R67" s="39">
        <v>0</v>
      </c>
      <c r="S67" s="39">
        <v>0</v>
      </c>
      <c r="T67" s="39">
        <f aca="true" t="shared" si="22" ref="T67:T79">U67+V67+W67+X67</f>
        <v>4726.7</v>
      </c>
      <c r="U67" s="39">
        <f>4953-226.3</f>
        <v>4726.7</v>
      </c>
      <c r="V67" s="28">
        <v>0</v>
      </c>
      <c r="W67" s="28">
        <v>0</v>
      </c>
      <c r="X67" s="28">
        <v>0</v>
      </c>
      <c r="Y67" s="28">
        <f>Z67+AA67+AB67+AC67</f>
        <v>4953</v>
      </c>
      <c r="Z67" s="28">
        <v>4953</v>
      </c>
      <c r="AA67" s="28">
        <v>0</v>
      </c>
      <c r="AB67" s="28">
        <v>0</v>
      </c>
      <c r="AC67" s="28">
        <v>0</v>
      </c>
      <c r="AD67" s="101">
        <f>Y67+T67+O67+J67+E67</f>
        <v>22551.7</v>
      </c>
      <c r="AE67" s="61">
        <v>4004</v>
      </c>
      <c r="AF67" s="2">
        <f>U67-AE67</f>
        <v>722.6999999999998</v>
      </c>
    </row>
    <row r="68" spans="1:63" ht="47.25" customHeight="1">
      <c r="A68" s="121"/>
      <c r="B68" s="123"/>
      <c r="C68" s="41" t="s">
        <v>82</v>
      </c>
      <c r="D68" s="40" t="s">
        <v>50</v>
      </c>
      <c r="E68" s="39">
        <f t="shared" si="20"/>
        <v>78</v>
      </c>
      <c r="F68" s="39">
        <v>78</v>
      </c>
      <c r="G68" s="39">
        <v>0</v>
      </c>
      <c r="H68" s="39">
        <v>0</v>
      </c>
      <c r="I68" s="39">
        <v>0</v>
      </c>
      <c r="J68" s="39">
        <f aca="true" t="shared" si="23" ref="J68:J77">K68+L68+M68+N68</f>
        <v>263</v>
      </c>
      <c r="K68" s="39">
        <v>263</v>
      </c>
      <c r="L68" s="39">
        <v>0</v>
      </c>
      <c r="M68" s="39">
        <v>0</v>
      </c>
      <c r="N68" s="39">
        <v>0</v>
      </c>
      <c r="O68" s="39">
        <f t="shared" si="21"/>
        <v>280</v>
      </c>
      <c r="P68" s="39">
        <v>280</v>
      </c>
      <c r="Q68" s="39">
        <v>0</v>
      </c>
      <c r="R68" s="39">
        <v>0</v>
      </c>
      <c r="S68" s="39">
        <v>0</v>
      </c>
      <c r="T68" s="28">
        <f t="shared" si="22"/>
        <v>715</v>
      </c>
      <c r="U68" s="28">
        <v>715</v>
      </c>
      <c r="V68" s="28">
        <v>0</v>
      </c>
      <c r="W68" s="28">
        <v>0</v>
      </c>
      <c r="X68" s="28">
        <v>0</v>
      </c>
      <c r="Y68" s="28">
        <f>Z68+AA68+AB68+AC68</f>
        <v>286</v>
      </c>
      <c r="Z68" s="28">
        <v>286</v>
      </c>
      <c r="AA68" s="28">
        <v>0</v>
      </c>
      <c r="AB68" s="28">
        <v>0</v>
      </c>
      <c r="AC68" s="28">
        <v>0</v>
      </c>
      <c r="AD68" s="101">
        <f aca="true" t="shared" si="24" ref="AD68:AD79">Y68+T68+O68+J68+E68</f>
        <v>1622</v>
      </c>
      <c r="AF68" s="2">
        <f>U68-AE68</f>
        <v>715</v>
      </c>
      <c r="BE68" s="2"/>
      <c r="BF68" s="122"/>
      <c r="BG68" s="122"/>
      <c r="BH68" s="122"/>
      <c r="BI68" s="122"/>
      <c r="BJ68" s="122"/>
      <c r="BK68" s="122"/>
    </row>
    <row r="69" spans="1:38" ht="40.5" customHeight="1">
      <c r="A69" s="42" t="s">
        <v>96</v>
      </c>
      <c r="B69" s="44" t="s">
        <v>84</v>
      </c>
      <c r="C69" s="41" t="s">
        <v>10</v>
      </c>
      <c r="D69" s="40" t="s">
        <v>118</v>
      </c>
      <c r="E69" s="39">
        <f t="shared" si="20"/>
        <v>550</v>
      </c>
      <c r="F69" s="39">
        <f>1500-950</f>
        <v>550</v>
      </c>
      <c r="G69" s="39">
        <v>0</v>
      </c>
      <c r="H69" s="39">
        <v>0</v>
      </c>
      <c r="I69" s="39">
        <v>0</v>
      </c>
      <c r="J69" s="39">
        <f t="shared" si="23"/>
        <v>0</v>
      </c>
      <c r="K69" s="39">
        <v>0</v>
      </c>
      <c r="L69" s="39">
        <v>0</v>
      </c>
      <c r="M69" s="39">
        <v>0</v>
      </c>
      <c r="N69" s="39">
        <v>0</v>
      </c>
      <c r="O69" s="39">
        <f t="shared" si="21"/>
        <v>0</v>
      </c>
      <c r="P69" s="39">
        <v>0</v>
      </c>
      <c r="Q69" s="39">
        <v>0</v>
      </c>
      <c r="R69" s="39">
        <v>0</v>
      </c>
      <c r="S69" s="39">
        <v>0</v>
      </c>
      <c r="T69" s="28">
        <f t="shared" si="22"/>
        <v>0</v>
      </c>
      <c r="U69" s="28">
        <v>0</v>
      </c>
      <c r="V69" s="28">
        <v>0</v>
      </c>
      <c r="W69" s="28">
        <v>0</v>
      </c>
      <c r="X69" s="28">
        <v>0</v>
      </c>
      <c r="Y69" s="28">
        <f>Z69+AA69+AB69+AC69</f>
        <v>0</v>
      </c>
      <c r="Z69" s="28">
        <v>0</v>
      </c>
      <c r="AA69" s="28">
        <v>0</v>
      </c>
      <c r="AB69" s="28">
        <v>0</v>
      </c>
      <c r="AC69" s="28">
        <v>0</v>
      </c>
      <c r="AD69" s="101">
        <f t="shared" si="24"/>
        <v>550</v>
      </c>
      <c r="AF69" s="2">
        <f>U69-AE69</f>
        <v>0</v>
      </c>
      <c r="AI69" s="125"/>
      <c r="AJ69" s="125"/>
      <c r="AK69" s="125"/>
      <c r="AL69" s="125"/>
    </row>
    <row r="70" spans="1:32" ht="45.75" customHeight="1">
      <c r="A70" s="42" t="s">
        <v>97</v>
      </c>
      <c r="B70" s="44" t="s">
        <v>85</v>
      </c>
      <c r="C70" s="41" t="s">
        <v>10</v>
      </c>
      <c r="D70" s="40" t="s">
        <v>50</v>
      </c>
      <c r="E70" s="39">
        <f t="shared" si="20"/>
        <v>577</v>
      </c>
      <c r="F70" s="39">
        <f>620-43</f>
        <v>577</v>
      </c>
      <c r="G70" s="39">
        <v>0</v>
      </c>
      <c r="H70" s="39">
        <v>0</v>
      </c>
      <c r="I70" s="39">
        <v>0</v>
      </c>
      <c r="J70" s="39">
        <f t="shared" si="23"/>
        <v>500</v>
      </c>
      <c r="K70" s="39">
        <f>620-95-25</f>
        <v>500</v>
      </c>
      <c r="L70" s="39">
        <v>0</v>
      </c>
      <c r="M70" s="39">
        <v>0</v>
      </c>
      <c r="N70" s="39">
        <v>0</v>
      </c>
      <c r="O70" s="39">
        <f t="shared" si="21"/>
        <v>780</v>
      </c>
      <c r="P70" s="39">
        <v>780</v>
      </c>
      <c r="Q70" s="39">
        <v>0</v>
      </c>
      <c r="R70" s="39">
        <v>0</v>
      </c>
      <c r="S70" s="39">
        <v>0</v>
      </c>
      <c r="T70" s="28">
        <f t="shared" si="22"/>
        <v>823</v>
      </c>
      <c r="U70" s="28">
        <v>823</v>
      </c>
      <c r="V70" s="28">
        <v>0</v>
      </c>
      <c r="W70" s="28">
        <v>0</v>
      </c>
      <c r="X70" s="28">
        <v>0</v>
      </c>
      <c r="Y70" s="28">
        <f>Z70+AA70+AB70+AC70</f>
        <v>823</v>
      </c>
      <c r="Z70" s="28">
        <v>823</v>
      </c>
      <c r="AA70" s="28">
        <v>0</v>
      </c>
      <c r="AB70" s="28">
        <v>0</v>
      </c>
      <c r="AC70" s="28">
        <v>0</v>
      </c>
      <c r="AD70" s="101">
        <f t="shared" si="24"/>
        <v>3503</v>
      </c>
      <c r="AE70" s="37">
        <v>780</v>
      </c>
      <c r="AF70" s="2">
        <f>U70-AE70</f>
        <v>43</v>
      </c>
    </row>
    <row r="71" spans="1:31" ht="72.75" customHeight="1">
      <c r="A71" s="42" t="s">
        <v>99</v>
      </c>
      <c r="B71" s="43" t="s">
        <v>91</v>
      </c>
      <c r="C71" s="45" t="s">
        <v>82</v>
      </c>
      <c r="D71" s="40" t="s">
        <v>50</v>
      </c>
      <c r="E71" s="39">
        <f t="shared" si="20"/>
        <v>1703.5</v>
      </c>
      <c r="F71" s="39">
        <f>1700+203.5-200</f>
        <v>1703.5</v>
      </c>
      <c r="G71" s="39">
        <v>0</v>
      </c>
      <c r="H71" s="39">
        <v>0</v>
      </c>
      <c r="I71" s="39">
        <v>0</v>
      </c>
      <c r="J71" s="39">
        <f t="shared" si="23"/>
        <v>9221</v>
      </c>
      <c r="K71" s="39">
        <f>1700+547+7280-306</f>
        <v>9221</v>
      </c>
      <c r="L71" s="39">
        <v>0</v>
      </c>
      <c r="M71" s="39">
        <v>0</v>
      </c>
      <c r="N71" s="39">
        <v>0</v>
      </c>
      <c r="O71" s="39">
        <f t="shared" si="21"/>
        <v>11234</v>
      </c>
      <c r="P71" s="39">
        <v>11234</v>
      </c>
      <c r="Q71" s="39">
        <v>0</v>
      </c>
      <c r="R71" s="39">
        <v>0</v>
      </c>
      <c r="S71" s="39">
        <v>0</v>
      </c>
      <c r="T71" s="28">
        <f t="shared" si="22"/>
        <v>9886</v>
      </c>
      <c r="U71" s="28">
        <v>9886</v>
      </c>
      <c r="V71" s="28">
        <v>0</v>
      </c>
      <c r="W71" s="28">
        <v>0</v>
      </c>
      <c r="X71" s="28">
        <v>0</v>
      </c>
      <c r="Y71" s="28">
        <f>Z71+AA71+AB71+AC71</f>
        <v>10210</v>
      </c>
      <c r="Z71" s="28">
        <v>10210</v>
      </c>
      <c r="AA71" s="28">
        <v>0</v>
      </c>
      <c r="AB71" s="28">
        <v>0</v>
      </c>
      <c r="AC71" s="28">
        <v>0</v>
      </c>
      <c r="AD71" s="101">
        <f t="shared" si="24"/>
        <v>42254.5</v>
      </c>
      <c r="AE71" s="95">
        <f>U71-Z71</f>
        <v>-324</v>
      </c>
    </row>
    <row r="72" spans="1:35" s="20" customFormat="1" ht="64.5" customHeight="1">
      <c r="A72" s="132" t="s">
        <v>98</v>
      </c>
      <c r="B72" s="146" t="s">
        <v>143</v>
      </c>
      <c r="C72" s="41" t="s">
        <v>10</v>
      </c>
      <c r="D72" s="40" t="s">
        <v>130</v>
      </c>
      <c r="E72" s="39">
        <f t="shared" si="20"/>
        <v>73</v>
      </c>
      <c r="F72" s="39">
        <v>4</v>
      </c>
      <c r="G72" s="39">
        <v>69</v>
      </c>
      <c r="H72" s="39">
        <v>0</v>
      </c>
      <c r="I72" s="39">
        <v>0</v>
      </c>
      <c r="J72" s="39">
        <f t="shared" si="23"/>
        <v>0</v>
      </c>
      <c r="K72" s="39">
        <f>615-615</f>
        <v>0</v>
      </c>
      <c r="L72" s="39">
        <v>0</v>
      </c>
      <c r="M72" s="39">
        <v>0</v>
      </c>
      <c r="N72" s="39">
        <v>0</v>
      </c>
      <c r="O72" s="39">
        <f t="shared" si="21"/>
        <v>1111</v>
      </c>
      <c r="P72" s="39">
        <v>56</v>
      </c>
      <c r="Q72" s="39">
        <v>1055</v>
      </c>
      <c r="R72" s="39">
        <v>0</v>
      </c>
      <c r="S72" s="39">
        <v>0</v>
      </c>
      <c r="T72" s="28">
        <f t="shared" si="22"/>
        <v>0</v>
      </c>
      <c r="U72" s="28">
        <v>0</v>
      </c>
      <c r="V72" s="28">
        <v>0</v>
      </c>
      <c r="W72" s="28">
        <v>0</v>
      </c>
      <c r="X72" s="28">
        <v>0</v>
      </c>
      <c r="Y72" s="28">
        <f aca="true" t="shared" si="25" ref="Y72:Y79">Z72+AA72+AB72+AC72</f>
        <v>0</v>
      </c>
      <c r="Z72" s="28">
        <v>0</v>
      </c>
      <c r="AA72" s="28">
        <v>0</v>
      </c>
      <c r="AB72" s="28">
        <v>0</v>
      </c>
      <c r="AC72" s="28">
        <v>0</v>
      </c>
      <c r="AD72" s="101">
        <f t="shared" si="24"/>
        <v>1184</v>
      </c>
      <c r="AE72" s="67"/>
      <c r="AI72" s="58"/>
    </row>
    <row r="73" spans="1:35" s="20" customFormat="1" ht="63" customHeight="1">
      <c r="A73" s="169"/>
      <c r="B73" s="147"/>
      <c r="C73" s="74" t="s">
        <v>101</v>
      </c>
      <c r="D73" s="40" t="s">
        <v>111</v>
      </c>
      <c r="E73" s="39">
        <f t="shared" si="20"/>
        <v>0</v>
      </c>
      <c r="F73" s="39">
        <v>0</v>
      </c>
      <c r="G73" s="39">
        <v>0</v>
      </c>
      <c r="H73" s="39">
        <v>0</v>
      </c>
      <c r="I73" s="39">
        <v>0</v>
      </c>
      <c r="J73" s="39">
        <f t="shared" si="23"/>
        <v>238</v>
      </c>
      <c r="K73" s="39">
        <f>295-57</f>
        <v>238</v>
      </c>
      <c r="L73" s="39">
        <v>0</v>
      </c>
      <c r="M73" s="39">
        <v>0</v>
      </c>
      <c r="N73" s="39">
        <v>0</v>
      </c>
      <c r="O73" s="39">
        <f>P73+Q73+R73+S73</f>
        <v>0</v>
      </c>
      <c r="P73" s="39">
        <v>0</v>
      </c>
      <c r="Q73" s="39">
        <v>0</v>
      </c>
      <c r="R73" s="39">
        <v>0</v>
      </c>
      <c r="S73" s="39">
        <v>0</v>
      </c>
      <c r="T73" s="28">
        <f>U73+V73+W73+X73</f>
        <v>0</v>
      </c>
      <c r="U73" s="28">
        <v>0</v>
      </c>
      <c r="V73" s="28">
        <v>0</v>
      </c>
      <c r="W73" s="28">
        <v>0</v>
      </c>
      <c r="X73" s="28">
        <v>0</v>
      </c>
      <c r="Y73" s="28">
        <f t="shared" si="25"/>
        <v>0</v>
      </c>
      <c r="Z73" s="28">
        <v>0</v>
      </c>
      <c r="AA73" s="28">
        <v>0</v>
      </c>
      <c r="AB73" s="28">
        <v>0</v>
      </c>
      <c r="AC73" s="28">
        <v>0</v>
      </c>
      <c r="AD73" s="101">
        <f t="shared" si="24"/>
        <v>238</v>
      </c>
      <c r="AE73" s="67"/>
      <c r="AI73" s="58"/>
    </row>
    <row r="74" spans="1:35" s="20" customFormat="1" ht="66" customHeight="1">
      <c r="A74" s="169"/>
      <c r="B74" s="148"/>
      <c r="C74" s="41" t="s">
        <v>103</v>
      </c>
      <c r="D74" s="40" t="s">
        <v>111</v>
      </c>
      <c r="E74" s="39">
        <f t="shared" si="20"/>
        <v>0</v>
      </c>
      <c r="F74" s="39">
        <v>0</v>
      </c>
      <c r="G74" s="39">
        <v>0</v>
      </c>
      <c r="H74" s="39">
        <v>0</v>
      </c>
      <c r="I74" s="39">
        <v>0</v>
      </c>
      <c r="J74" s="39">
        <f t="shared" si="23"/>
        <v>348</v>
      </c>
      <c r="K74" s="39">
        <v>348</v>
      </c>
      <c r="L74" s="39">
        <v>0</v>
      </c>
      <c r="M74" s="39">
        <v>0</v>
      </c>
      <c r="N74" s="39">
        <v>0</v>
      </c>
      <c r="O74" s="39">
        <f>P74+Q74+R74+S74</f>
        <v>0</v>
      </c>
      <c r="P74" s="39">
        <v>0</v>
      </c>
      <c r="Q74" s="39">
        <v>0</v>
      </c>
      <c r="R74" s="39">
        <v>0</v>
      </c>
      <c r="S74" s="39">
        <v>0</v>
      </c>
      <c r="T74" s="28">
        <f>U74+V74+W74+X74</f>
        <v>0</v>
      </c>
      <c r="U74" s="28">
        <v>0</v>
      </c>
      <c r="V74" s="28">
        <v>0</v>
      </c>
      <c r="W74" s="28">
        <v>0</v>
      </c>
      <c r="X74" s="28">
        <v>0</v>
      </c>
      <c r="Y74" s="28">
        <f t="shared" si="25"/>
        <v>0</v>
      </c>
      <c r="Z74" s="28">
        <v>0</v>
      </c>
      <c r="AA74" s="28">
        <v>0</v>
      </c>
      <c r="AB74" s="28">
        <v>0</v>
      </c>
      <c r="AC74" s="28">
        <v>0</v>
      </c>
      <c r="AD74" s="101">
        <f t="shared" si="24"/>
        <v>348</v>
      </c>
      <c r="AE74" s="67"/>
      <c r="AI74" s="58"/>
    </row>
    <row r="75" spans="1:35" s="20" customFormat="1" ht="30.75" customHeight="1">
      <c r="A75" s="169"/>
      <c r="B75" s="146" t="s">
        <v>117</v>
      </c>
      <c r="C75" s="74" t="s">
        <v>101</v>
      </c>
      <c r="D75" s="40" t="s">
        <v>118</v>
      </c>
      <c r="E75" s="39">
        <f t="shared" si="20"/>
        <v>227.1</v>
      </c>
      <c r="F75" s="39">
        <v>0</v>
      </c>
      <c r="G75" s="39">
        <v>227.1</v>
      </c>
      <c r="H75" s="39">
        <v>0</v>
      </c>
      <c r="I75" s="39">
        <v>0</v>
      </c>
      <c r="J75" s="39">
        <f t="shared" si="23"/>
        <v>0</v>
      </c>
      <c r="K75" s="39">
        <v>0</v>
      </c>
      <c r="L75" s="39">
        <v>0</v>
      </c>
      <c r="M75" s="39">
        <v>0</v>
      </c>
      <c r="N75" s="39">
        <v>0</v>
      </c>
      <c r="O75" s="39">
        <f t="shared" si="21"/>
        <v>0</v>
      </c>
      <c r="P75" s="39">
        <v>0</v>
      </c>
      <c r="Q75" s="39">
        <v>0</v>
      </c>
      <c r="R75" s="39">
        <v>0</v>
      </c>
      <c r="S75" s="39">
        <v>0</v>
      </c>
      <c r="T75" s="28">
        <f t="shared" si="22"/>
        <v>0</v>
      </c>
      <c r="U75" s="28">
        <v>0</v>
      </c>
      <c r="V75" s="28">
        <v>0</v>
      </c>
      <c r="W75" s="28">
        <v>0</v>
      </c>
      <c r="X75" s="28">
        <v>0</v>
      </c>
      <c r="Y75" s="28">
        <f t="shared" si="25"/>
        <v>0</v>
      </c>
      <c r="Z75" s="28">
        <v>0</v>
      </c>
      <c r="AA75" s="28">
        <v>0</v>
      </c>
      <c r="AB75" s="28">
        <v>0</v>
      </c>
      <c r="AC75" s="28">
        <v>0</v>
      </c>
      <c r="AD75" s="101">
        <f t="shared" si="24"/>
        <v>227.1</v>
      </c>
      <c r="AE75" s="67"/>
      <c r="AI75" s="58"/>
    </row>
    <row r="76" spans="1:35" s="20" customFormat="1" ht="24" customHeight="1">
      <c r="A76" s="169"/>
      <c r="B76" s="147"/>
      <c r="C76" s="41" t="s">
        <v>102</v>
      </c>
      <c r="D76" s="40" t="s">
        <v>118</v>
      </c>
      <c r="E76" s="39">
        <f t="shared" si="20"/>
        <v>383.2</v>
      </c>
      <c r="F76" s="39">
        <v>0</v>
      </c>
      <c r="G76" s="39">
        <v>383.2</v>
      </c>
      <c r="H76" s="39">
        <v>0</v>
      </c>
      <c r="I76" s="39">
        <v>0</v>
      </c>
      <c r="J76" s="39">
        <f t="shared" si="23"/>
        <v>0</v>
      </c>
      <c r="K76" s="39">
        <v>0</v>
      </c>
      <c r="L76" s="39">
        <v>0</v>
      </c>
      <c r="M76" s="39">
        <v>0</v>
      </c>
      <c r="N76" s="39">
        <v>0</v>
      </c>
      <c r="O76" s="39">
        <f t="shared" si="21"/>
        <v>0</v>
      </c>
      <c r="P76" s="39">
        <v>0</v>
      </c>
      <c r="Q76" s="39">
        <v>0</v>
      </c>
      <c r="R76" s="39">
        <v>0</v>
      </c>
      <c r="S76" s="39">
        <v>0</v>
      </c>
      <c r="T76" s="28">
        <f t="shared" si="22"/>
        <v>0</v>
      </c>
      <c r="U76" s="28">
        <v>0</v>
      </c>
      <c r="V76" s="28">
        <v>0</v>
      </c>
      <c r="W76" s="28">
        <v>0</v>
      </c>
      <c r="X76" s="28">
        <v>0</v>
      </c>
      <c r="Y76" s="28">
        <f t="shared" si="25"/>
        <v>0</v>
      </c>
      <c r="Z76" s="28">
        <v>0</v>
      </c>
      <c r="AA76" s="28">
        <v>0</v>
      </c>
      <c r="AB76" s="28">
        <v>0</v>
      </c>
      <c r="AC76" s="28">
        <v>0</v>
      </c>
      <c r="AD76" s="101">
        <f t="shared" si="24"/>
        <v>383.2</v>
      </c>
      <c r="AE76" s="67"/>
      <c r="AI76" s="58"/>
    </row>
    <row r="77" spans="1:35" s="20" customFormat="1" ht="25.5" customHeight="1">
      <c r="A77" s="169"/>
      <c r="B77" s="148"/>
      <c r="C77" s="41" t="s">
        <v>103</v>
      </c>
      <c r="D77" s="40" t="s">
        <v>118</v>
      </c>
      <c r="E77" s="39">
        <f t="shared" si="20"/>
        <v>176.1</v>
      </c>
      <c r="F77" s="39">
        <v>0</v>
      </c>
      <c r="G77" s="39">
        <v>176.1</v>
      </c>
      <c r="H77" s="39">
        <v>0</v>
      </c>
      <c r="I77" s="39">
        <v>0</v>
      </c>
      <c r="J77" s="39">
        <f t="shared" si="23"/>
        <v>0</v>
      </c>
      <c r="K77" s="39">
        <v>0</v>
      </c>
      <c r="L77" s="39">
        <v>0</v>
      </c>
      <c r="M77" s="39">
        <v>0</v>
      </c>
      <c r="N77" s="39">
        <v>0</v>
      </c>
      <c r="O77" s="39">
        <f t="shared" si="21"/>
        <v>0</v>
      </c>
      <c r="P77" s="39">
        <v>0</v>
      </c>
      <c r="Q77" s="39">
        <v>0</v>
      </c>
      <c r="R77" s="39">
        <v>0</v>
      </c>
      <c r="S77" s="39">
        <v>0</v>
      </c>
      <c r="T77" s="28">
        <f t="shared" si="22"/>
        <v>0</v>
      </c>
      <c r="U77" s="28">
        <v>0</v>
      </c>
      <c r="V77" s="28">
        <v>0</v>
      </c>
      <c r="W77" s="28">
        <v>0</v>
      </c>
      <c r="X77" s="28">
        <v>0</v>
      </c>
      <c r="Y77" s="28">
        <f t="shared" si="25"/>
        <v>0</v>
      </c>
      <c r="Z77" s="28">
        <v>0</v>
      </c>
      <c r="AA77" s="28">
        <v>0</v>
      </c>
      <c r="AB77" s="28">
        <v>0</v>
      </c>
      <c r="AC77" s="28">
        <v>0</v>
      </c>
      <c r="AD77" s="101">
        <f t="shared" si="24"/>
        <v>176.1</v>
      </c>
      <c r="AE77" s="67"/>
      <c r="AI77" s="58"/>
    </row>
    <row r="78" spans="1:34" ht="40.5" customHeight="1">
      <c r="A78" s="132" t="s">
        <v>125</v>
      </c>
      <c r="B78" s="146" t="s">
        <v>126</v>
      </c>
      <c r="C78" s="41" t="s">
        <v>82</v>
      </c>
      <c r="D78" s="40" t="s">
        <v>133</v>
      </c>
      <c r="E78" s="39">
        <f t="shared" si="20"/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f t="shared" si="21"/>
        <v>2580</v>
      </c>
      <c r="P78" s="39">
        <f>5080-2500</f>
        <v>2580</v>
      </c>
      <c r="Q78" s="39">
        <v>0</v>
      </c>
      <c r="R78" s="39">
        <v>0</v>
      </c>
      <c r="S78" s="39">
        <v>0</v>
      </c>
      <c r="T78" s="28">
        <f t="shared" si="22"/>
        <v>3975</v>
      </c>
      <c r="U78" s="28">
        <v>3975</v>
      </c>
      <c r="V78" s="28">
        <v>0</v>
      </c>
      <c r="W78" s="28">
        <v>0</v>
      </c>
      <c r="X78" s="28">
        <v>0</v>
      </c>
      <c r="Y78" s="28">
        <f t="shared" si="25"/>
        <v>4080</v>
      </c>
      <c r="Z78" s="28">
        <v>4080</v>
      </c>
      <c r="AA78" s="28">
        <v>0</v>
      </c>
      <c r="AB78" s="28">
        <v>0</v>
      </c>
      <c r="AC78" s="28">
        <v>0</v>
      </c>
      <c r="AD78" s="101">
        <f t="shared" si="24"/>
        <v>10635</v>
      </c>
      <c r="AE78" s="95">
        <f>Z78-U78</f>
        <v>105</v>
      </c>
      <c r="AF78" s="1">
        <v>181017</v>
      </c>
      <c r="AG78" s="1">
        <v>210091</v>
      </c>
      <c r="AH78" s="1">
        <f>AG78-AF78</f>
        <v>29074</v>
      </c>
    </row>
    <row r="79" spans="1:31" ht="36.75" customHeight="1">
      <c r="A79" s="133"/>
      <c r="B79" s="148"/>
      <c r="C79" s="41" t="s">
        <v>10</v>
      </c>
      <c r="D79" s="40" t="s">
        <v>133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f t="shared" si="21"/>
        <v>800</v>
      </c>
      <c r="P79" s="39">
        <v>800</v>
      </c>
      <c r="Q79" s="39">
        <v>0</v>
      </c>
      <c r="R79" s="39">
        <v>0</v>
      </c>
      <c r="S79" s="39">
        <v>0</v>
      </c>
      <c r="T79" s="39">
        <f t="shared" si="22"/>
        <v>950</v>
      </c>
      <c r="U79" s="39">
        <f>995-45</f>
        <v>950</v>
      </c>
      <c r="V79" s="28">
        <v>0</v>
      </c>
      <c r="W79" s="28">
        <v>0</v>
      </c>
      <c r="X79" s="28">
        <v>0</v>
      </c>
      <c r="Y79" s="28">
        <f t="shared" si="25"/>
        <v>995</v>
      </c>
      <c r="Z79" s="28">
        <v>995</v>
      </c>
      <c r="AA79" s="28">
        <v>0</v>
      </c>
      <c r="AB79" s="28">
        <v>0</v>
      </c>
      <c r="AC79" s="28">
        <v>0</v>
      </c>
      <c r="AD79" s="101">
        <f t="shared" si="24"/>
        <v>2745</v>
      </c>
      <c r="AE79" s="90">
        <f>T79+T70+T67</f>
        <v>6499.7</v>
      </c>
    </row>
    <row r="80" spans="1:57" ht="49.5" customHeight="1">
      <c r="A80" s="42"/>
      <c r="B80" s="44" t="s">
        <v>107</v>
      </c>
      <c r="C80" s="41"/>
      <c r="D80" s="40"/>
      <c r="E80" s="39">
        <f t="shared" si="20"/>
        <v>10243.5</v>
      </c>
      <c r="F80" s="39">
        <f>F72+F71+F70+F69+F68+F67+F75+F76+F77</f>
        <v>10174.5</v>
      </c>
      <c r="G80" s="39">
        <f>G72+G71+G70+G69+G68+G67</f>
        <v>69</v>
      </c>
      <c r="H80" s="39">
        <f>H72+H71+H70+H69+H68+H67+H75+H76+H77</f>
        <v>0</v>
      </c>
      <c r="I80" s="39">
        <f>I72+I71+I70+I69+I68+I67+I75+I76+I77</f>
        <v>0</v>
      </c>
      <c r="J80" s="39">
        <f>K80+L80+M80+N80</f>
        <v>12176</v>
      </c>
      <c r="K80" s="39">
        <f>K72+K71+K70+K69+K68+K67+K73+K74</f>
        <v>12176</v>
      </c>
      <c r="L80" s="39">
        <f>L72+L71+L70+L69+L68+L67+L73+L74</f>
        <v>0</v>
      </c>
      <c r="M80" s="39">
        <f>M72+M71+M70+M69+M68+M67+M73+M74</f>
        <v>0</v>
      </c>
      <c r="N80" s="39">
        <f>N72+N71+N70+N69+N68+N67+N73+N74</f>
        <v>0</v>
      </c>
      <c r="O80" s="39">
        <f>P80+Q80+R80+S80</f>
        <v>20789</v>
      </c>
      <c r="P80" s="39">
        <f>P72+P71+P70+P69+P68+P67+P73+P74+P78+P79</f>
        <v>19734</v>
      </c>
      <c r="Q80" s="39">
        <f>Q72+Q71+Q70+Q69+Q68+Q67+Q75+Q76+Q77</f>
        <v>1055</v>
      </c>
      <c r="R80" s="39">
        <f>R72+R71+R70+R69+R68+R67+R75+R76+R77</f>
        <v>0</v>
      </c>
      <c r="S80" s="39">
        <f>S72+S71+S70+S69+S68+S67+S75+S76+S77</f>
        <v>0</v>
      </c>
      <c r="T80" s="28">
        <f>U80+V80+W80+X80</f>
        <v>21075.7</v>
      </c>
      <c r="U80" s="39">
        <f>U72+U71+U70+U69+U68+U67+U75+U76+U77+U78+U79</f>
        <v>21075.7</v>
      </c>
      <c r="V80" s="28">
        <f aca="true" t="shared" si="26" ref="V80:AC80">V72+V71+V70+V69+V68+V67+V75+V76+V77+V78</f>
        <v>0</v>
      </c>
      <c r="W80" s="28">
        <f t="shared" si="26"/>
        <v>0</v>
      </c>
      <c r="X80" s="28">
        <f t="shared" si="26"/>
        <v>0</v>
      </c>
      <c r="Y80" s="28">
        <f>Z80</f>
        <v>21347</v>
      </c>
      <c r="Z80" s="28">
        <f>Z72+Z71+Z70+Z69+Z68+Z67+Z75+Z76+Z77+Z78+Z79</f>
        <v>21347</v>
      </c>
      <c r="AA80" s="28">
        <f t="shared" si="26"/>
        <v>0</v>
      </c>
      <c r="AB80" s="28">
        <f t="shared" si="26"/>
        <v>0</v>
      </c>
      <c r="AC80" s="28">
        <f t="shared" si="26"/>
        <v>0</v>
      </c>
      <c r="AD80" s="101">
        <f>Y80+T80+O80+J80+E80</f>
        <v>85631.2</v>
      </c>
      <c r="AE80" s="71">
        <f>AD67+AD68+AD69+AD70+AD71+AD72+AD73+AD74+AD78+AD79</f>
        <v>85631.2</v>
      </c>
      <c r="AF80" s="2">
        <v>12412</v>
      </c>
      <c r="AG80" s="2">
        <f>U80-AF80</f>
        <v>8663.7</v>
      </c>
      <c r="BE80" s="2"/>
    </row>
    <row r="81" spans="1:56" ht="43.5" customHeight="1">
      <c r="A81" s="42"/>
      <c r="B81" s="44" t="s">
        <v>115</v>
      </c>
      <c r="C81" s="41"/>
      <c r="D81" s="40"/>
      <c r="E81" s="39">
        <f>F81+G81+H81+I81</f>
        <v>786.4</v>
      </c>
      <c r="F81" s="39">
        <f>0</f>
        <v>0</v>
      </c>
      <c r="G81" s="39">
        <f>G77+G76+G75</f>
        <v>786.4</v>
      </c>
      <c r="H81" s="39">
        <f>H77+H76+H75</f>
        <v>0</v>
      </c>
      <c r="I81" s="39">
        <f>I77+I76+I75</f>
        <v>0</v>
      </c>
      <c r="J81" s="39">
        <f>K81+L81+M81+N81</f>
        <v>0</v>
      </c>
      <c r="K81" s="39">
        <f aca="true" t="shared" si="27" ref="K81:AC81">K75+K76+K77</f>
        <v>0</v>
      </c>
      <c r="L81" s="39">
        <f t="shared" si="27"/>
        <v>0</v>
      </c>
      <c r="M81" s="39">
        <f t="shared" si="27"/>
        <v>0</v>
      </c>
      <c r="N81" s="39">
        <f t="shared" si="27"/>
        <v>0</v>
      </c>
      <c r="O81" s="39">
        <f t="shared" si="27"/>
        <v>0</v>
      </c>
      <c r="P81" s="39">
        <f t="shared" si="27"/>
        <v>0</v>
      </c>
      <c r="Q81" s="39">
        <f t="shared" si="27"/>
        <v>0</v>
      </c>
      <c r="R81" s="39">
        <f t="shared" si="27"/>
        <v>0</v>
      </c>
      <c r="S81" s="39">
        <f t="shared" si="27"/>
        <v>0</v>
      </c>
      <c r="T81" s="28">
        <f t="shared" si="27"/>
        <v>0</v>
      </c>
      <c r="U81" s="28">
        <f t="shared" si="27"/>
        <v>0</v>
      </c>
      <c r="V81" s="28">
        <f t="shared" si="27"/>
        <v>0</v>
      </c>
      <c r="W81" s="28">
        <f t="shared" si="27"/>
        <v>0</v>
      </c>
      <c r="X81" s="28">
        <f t="shared" si="27"/>
        <v>0</v>
      </c>
      <c r="Y81" s="28">
        <f t="shared" si="27"/>
        <v>0</v>
      </c>
      <c r="Z81" s="28">
        <f t="shared" si="27"/>
        <v>0</v>
      </c>
      <c r="AA81" s="28">
        <f t="shared" si="27"/>
        <v>0</v>
      </c>
      <c r="AB81" s="28">
        <f t="shared" si="27"/>
        <v>0</v>
      </c>
      <c r="AC81" s="28">
        <f t="shared" si="27"/>
        <v>0</v>
      </c>
      <c r="AD81" s="101">
        <f>AD77+AD76+AD75</f>
        <v>786.4</v>
      </c>
      <c r="BD81" s="2"/>
    </row>
    <row r="82" spans="1:65" s="9" customFormat="1" ht="60" customHeight="1">
      <c r="A82" s="46"/>
      <c r="B82" s="47" t="s">
        <v>113</v>
      </c>
      <c r="C82" s="48"/>
      <c r="D82" s="49"/>
      <c r="E82" s="50">
        <f>F82+G82+H82+I82</f>
        <v>396163</v>
      </c>
      <c r="F82" s="50">
        <f aca="true" t="shared" si="28" ref="F82:AC82">F80+F65+F62+F55+F39+F33</f>
        <v>388653</v>
      </c>
      <c r="G82" s="50">
        <f t="shared" si="28"/>
        <v>7510</v>
      </c>
      <c r="H82" s="50">
        <f t="shared" si="28"/>
        <v>0</v>
      </c>
      <c r="I82" s="50">
        <f t="shared" si="28"/>
        <v>0</v>
      </c>
      <c r="J82" s="50">
        <f>J80+J65+J62+J55+J39+J33</f>
        <v>452748</v>
      </c>
      <c r="K82" s="50">
        <f t="shared" si="28"/>
        <v>448309</v>
      </c>
      <c r="L82" s="50">
        <f t="shared" si="28"/>
        <v>4439</v>
      </c>
      <c r="M82" s="50">
        <f t="shared" si="28"/>
        <v>0</v>
      </c>
      <c r="N82" s="50">
        <f t="shared" si="28"/>
        <v>0</v>
      </c>
      <c r="O82" s="50">
        <f>O80+O65+O62+O55+O39+O33</f>
        <v>479661</v>
      </c>
      <c r="P82" s="50">
        <f t="shared" si="28"/>
        <v>466045</v>
      </c>
      <c r="Q82" s="50">
        <f t="shared" si="28"/>
        <v>13616</v>
      </c>
      <c r="R82" s="50">
        <f t="shared" si="28"/>
        <v>0</v>
      </c>
      <c r="S82" s="50">
        <f t="shared" si="28"/>
        <v>0</v>
      </c>
      <c r="T82" s="50">
        <f t="shared" si="28"/>
        <v>627485</v>
      </c>
      <c r="U82" s="50">
        <f t="shared" si="28"/>
        <v>614832</v>
      </c>
      <c r="V82" s="50">
        <f t="shared" si="28"/>
        <v>12653</v>
      </c>
      <c r="W82" s="50">
        <f t="shared" si="28"/>
        <v>0</v>
      </c>
      <c r="X82" s="50">
        <f t="shared" si="28"/>
        <v>0</v>
      </c>
      <c r="Y82" s="50">
        <f>Y80+Y65+Y62+Y55+Y39+Y33</f>
        <v>616629</v>
      </c>
      <c r="Z82" s="50">
        <f>Z80+Z65+Z62+Z55+Z39+Z33</f>
        <v>616629</v>
      </c>
      <c r="AA82" s="50">
        <f t="shared" si="28"/>
        <v>0</v>
      </c>
      <c r="AB82" s="50">
        <f t="shared" si="28"/>
        <v>0</v>
      </c>
      <c r="AC82" s="50">
        <f t="shared" si="28"/>
        <v>0</v>
      </c>
      <c r="AD82" s="118">
        <f>AD80+AD65+AD62+AD55+AD39+AD33</f>
        <v>2572686</v>
      </c>
      <c r="AE82" s="72">
        <f>F82+K82+P82+U82+Z82</f>
        <v>2534468</v>
      </c>
      <c r="AF82" s="73">
        <f>G82+L82+Q82+V82+AA82</f>
        <v>38218</v>
      </c>
      <c r="AG82" s="73">
        <f>AE82+AF82</f>
        <v>2572686</v>
      </c>
      <c r="AH82" s="8"/>
      <c r="AI82" s="24"/>
      <c r="AJ82" s="8"/>
      <c r="AK82" s="8"/>
      <c r="AL82" s="8"/>
      <c r="AR82" s="8"/>
      <c r="AS82" s="30"/>
      <c r="AT82" s="8"/>
      <c r="BD82" s="8"/>
      <c r="BE82" s="8"/>
      <c r="BF82" s="8"/>
      <c r="BH82" s="8"/>
      <c r="BK82" s="8"/>
      <c r="BM82" s="31"/>
    </row>
    <row r="83" spans="1:61" ht="48" customHeight="1">
      <c r="A83" s="42"/>
      <c r="B83" s="51" t="s">
        <v>114</v>
      </c>
      <c r="C83" s="41"/>
      <c r="D83" s="40"/>
      <c r="E83" s="39">
        <f>F83+G83+H83+I83</f>
        <v>786.4</v>
      </c>
      <c r="F83" s="39">
        <f>F77+F76+F75</f>
        <v>0</v>
      </c>
      <c r="G83" s="39">
        <f>G77+G76+G75</f>
        <v>786.4</v>
      </c>
      <c r="H83" s="39">
        <f>H77+H76+H75</f>
        <v>0</v>
      </c>
      <c r="I83" s="39">
        <f>I77+I76+I75</f>
        <v>0</v>
      </c>
      <c r="J83" s="39">
        <f>J77+J76+J75</f>
        <v>0</v>
      </c>
      <c r="K83" s="39">
        <v>0</v>
      </c>
      <c r="L83" s="39">
        <f aca="true" t="shared" si="29" ref="L83:AC83">L77+L76+L75</f>
        <v>0</v>
      </c>
      <c r="M83" s="39">
        <f t="shared" si="29"/>
        <v>0</v>
      </c>
      <c r="N83" s="39">
        <f t="shared" si="29"/>
        <v>0</v>
      </c>
      <c r="O83" s="39">
        <f t="shared" si="29"/>
        <v>0</v>
      </c>
      <c r="P83" s="39">
        <f t="shared" si="29"/>
        <v>0</v>
      </c>
      <c r="Q83" s="39">
        <f t="shared" si="29"/>
        <v>0</v>
      </c>
      <c r="R83" s="39">
        <f t="shared" si="29"/>
        <v>0</v>
      </c>
      <c r="S83" s="39">
        <f t="shared" si="29"/>
        <v>0</v>
      </c>
      <c r="T83" s="39">
        <f t="shared" si="29"/>
        <v>0</v>
      </c>
      <c r="U83" s="39">
        <f t="shared" si="29"/>
        <v>0</v>
      </c>
      <c r="V83" s="39">
        <f t="shared" si="29"/>
        <v>0</v>
      </c>
      <c r="W83" s="39">
        <f t="shared" si="29"/>
        <v>0</v>
      </c>
      <c r="X83" s="39">
        <f t="shared" si="29"/>
        <v>0</v>
      </c>
      <c r="Y83" s="39">
        <f t="shared" si="29"/>
        <v>0</v>
      </c>
      <c r="Z83" s="39">
        <f t="shared" si="29"/>
        <v>0</v>
      </c>
      <c r="AA83" s="39">
        <f t="shared" si="29"/>
        <v>0</v>
      </c>
      <c r="AB83" s="39">
        <f t="shared" si="29"/>
        <v>0</v>
      </c>
      <c r="AC83" s="39">
        <f t="shared" si="29"/>
        <v>0</v>
      </c>
      <c r="AD83" s="114">
        <f>AD77+AD76+AD75+K83</f>
        <v>786.4</v>
      </c>
      <c r="AE83" s="61">
        <f>E82+J82+O82+T82+Y82</f>
        <v>2572686</v>
      </c>
      <c r="AF83" s="2"/>
      <c r="AG83" s="10">
        <f>AF82-AI82</f>
        <v>38218</v>
      </c>
      <c r="AJ83" s="2"/>
      <c r="AR83" s="2"/>
      <c r="BE83" s="2"/>
      <c r="BF83" s="2"/>
      <c r="BH83" s="2"/>
      <c r="BI83" s="2"/>
    </row>
    <row r="84" spans="1:56" s="9" customFormat="1" ht="64.5" customHeight="1" thickBot="1">
      <c r="A84" s="52"/>
      <c r="B84" s="53" t="s">
        <v>116</v>
      </c>
      <c r="C84" s="54"/>
      <c r="D84" s="55"/>
      <c r="E84" s="56">
        <f t="shared" si="20"/>
        <v>396949.4</v>
      </c>
      <c r="F84" s="56">
        <f>F83+F82</f>
        <v>388653</v>
      </c>
      <c r="G84" s="56">
        <f aca="true" t="shared" si="30" ref="G84:S84">G83+G82</f>
        <v>8296.4</v>
      </c>
      <c r="H84" s="56">
        <f t="shared" si="30"/>
        <v>0</v>
      </c>
      <c r="I84" s="56">
        <f t="shared" si="30"/>
        <v>0</v>
      </c>
      <c r="J84" s="56">
        <f t="shared" si="30"/>
        <v>452748</v>
      </c>
      <c r="K84" s="56">
        <f>K83+K82</f>
        <v>448309</v>
      </c>
      <c r="L84" s="56">
        <f t="shared" si="30"/>
        <v>4439</v>
      </c>
      <c r="M84" s="56">
        <f t="shared" si="30"/>
        <v>0</v>
      </c>
      <c r="N84" s="56">
        <f t="shared" si="30"/>
        <v>0</v>
      </c>
      <c r="O84" s="56">
        <f>O83+O82</f>
        <v>479661</v>
      </c>
      <c r="P84" s="56">
        <f t="shared" si="30"/>
        <v>466045</v>
      </c>
      <c r="Q84" s="56">
        <f t="shared" si="30"/>
        <v>13616</v>
      </c>
      <c r="R84" s="56">
        <f t="shared" si="30"/>
        <v>0</v>
      </c>
      <c r="S84" s="56">
        <f t="shared" si="30"/>
        <v>0</v>
      </c>
      <c r="T84" s="56">
        <f>U84+V84+W84+X84</f>
        <v>627484.9999999999</v>
      </c>
      <c r="U84" s="56">
        <f>U62+U33+U55+U39+U65+U80+U83</f>
        <v>614831.9999999999</v>
      </c>
      <c r="V84" s="56">
        <f>V62+V33+V55+V39+V65+V80+V83</f>
        <v>12653</v>
      </c>
      <c r="W84" s="56">
        <f>W65</f>
        <v>0</v>
      </c>
      <c r="X84" s="56">
        <f>X65</f>
        <v>0</v>
      </c>
      <c r="Y84" s="56">
        <f>Z84+AA84+AB84+AC84</f>
        <v>616629</v>
      </c>
      <c r="Z84" s="56">
        <f>Z62+Z33+Z55+Z39+Z65+Z80</f>
        <v>616629</v>
      </c>
      <c r="AA84" s="56">
        <v>0</v>
      </c>
      <c r="AB84" s="56">
        <f>AB65</f>
        <v>0</v>
      </c>
      <c r="AC84" s="56">
        <f>AC65</f>
        <v>0</v>
      </c>
      <c r="AD84" s="115" t="s">
        <v>104</v>
      </c>
      <c r="AE84" s="62">
        <f>E82+J82+O82+T88+Y88</f>
        <v>2382416</v>
      </c>
      <c r="AF84" s="8">
        <f>F82+K82+P82+T88+Y88</f>
        <v>2356851</v>
      </c>
      <c r="AG84" s="9">
        <v>2236450</v>
      </c>
      <c r="AH84" s="8">
        <f>AD88-AG84</f>
        <v>145966</v>
      </c>
      <c r="AI84" s="24"/>
      <c r="AJ84" s="24"/>
      <c r="AL84" s="8"/>
      <c r="AR84" s="8"/>
      <c r="AT84" s="8"/>
      <c r="BD84" s="8"/>
    </row>
    <row r="85" spans="1:45" ht="26.25" customHeight="1">
      <c r="A85" s="21"/>
      <c r="B85" s="136"/>
      <c r="C85" s="136"/>
      <c r="D85" s="136"/>
      <c r="E85" s="136"/>
      <c r="F85" s="136"/>
      <c r="G85" s="136"/>
      <c r="H85" s="136"/>
      <c r="I85" s="136"/>
      <c r="J85" s="136"/>
      <c r="K85" s="19"/>
      <c r="L85" s="19"/>
      <c r="M85" s="19"/>
      <c r="N85" s="19"/>
      <c r="O85" s="19"/>
      <c r="P85" s="19"/>
      <c r="Q85" s="19"/>
      <c r="R85" s="19"/>
      <c r="S85" s="19"/>
      <c r="T85" s="3"/>
      <c r="U85" s="4"/>
      <c r="V85" s="3"/>
      <c r="W85" s="3"/>
      <c r="X85" s="3"/>
      <c r="Y85" s="3"/>
      <c r="Z85" s="3"/>
      <c r="AA85" s="3"/>
      <c r="AB85" s="3"/>
      <c r="AC85" s="3"/>
      <c r="AD85" s="4"/>
      <c r="AE85" s="61">
        <f>G82+L82+Q82+V82</f>
        <v>38218</v>
      </c>
      <c r="AJ85" s="2"/>
      <c r="AK85" s="18"/>
      <c r="AL85" s="2"/>
      <c r="AS85" s="2"/>
    </row>
    <row r="86" spans="1:31" ht="13.5">
      <c r="A86" s="6"/>
      <c r="B86" s="3"/>
      <c r="C86" s="3"/>
      <c r="D86" s="6"/>
      <c r="E86" s="3"/>
      <c r="F86" s="4"/>
      <c r="G86" s="4"/>
      <c r="H86" s="3"/>
      <c r="I86" s="5"/>
      <c r="J86" s="3"/>
      <c r="K86" s="111"/>
      <c r="L86" s="112"/>
      <c r="M86" s="112"/>
      <c r="N86" s="112"/>
      <c r="O86" s="113"/>
      <c r="P86" s="113"/>
      <c r="Q86" s="113"/>
      <c r="R86" s="19"/>
      <c r="S86" s="19"/>
      <c r="T86" s="4"/>
      <c r="U86" s="103"/>
      <c r="V86" s="104"/>
      <c r="W86" s="3"/>
      <c r="X86" s="3"/>
      <c r="Y86" s="4"/>
      <c r="Z86" s="6"/>
      <c r="AA86" s="3"/>
      <c r="AB86" s="3"/>
      <c r="AC86" s="3"/>
      <c r="AD86" s="4"/>
      <c r="AE86" s="61"/>
    </row>
    <row r="87" ht="13.5">
      <c r="AA87" s="16"/>
    </row>
    <row r="88" spans="10:32" ht="13.5" hidden="1">
      <c r="J88" s="16"/>
      <c r="L88" s="2"/>
      <c r="P88" s="60">
        <v>480848</v>
      </c>
      <c r="T88" s="1">
        <v>530494</v>
      </c>
      <c r="Y88" s="1">
        <v>523350</v>
      </c>
      <c r="AD88" s="105">
        <f>E82+J82+O82+T88+Y88</f>
        <v>2382416</v>
      </c>
      <c r="AE88" s="76">
        <f>F82+K82+P82+T89+Y88</f>
        <v>2352666</v>
      </c>
      <c r="AF88" s="2">
        <f>AD88-AD82</f>
        <v>-190270</v>
      </c>
    </row>
    <row r="89" spans="10:21" ht="13.5" hidden="1">
      <c r="J89" s="16"/>
      <c r="K89" s="16">
        <f>K82+L82</f>
        <v>452748</v>
      </c>
      <c r="P89" s="57">
        <f>P82-P88</f>
        <v>-14803</v>
      </c>
      <c r="T89" s="1">
        <f>T88-4185</f>
        <v>526309</v>
      </c>
      <c r="U89" s="2">
        <f>T89-U82</f>
        <v>-88523</v>
      </c>
    </row>
    <row r="90" spans="10:31" ht="13.5" hidden="1">
      <c r="J90" s="16"/>
      <c r="O90" s="60">
        <f>P82+Q82</f>
        <v>479661</v>
      </c>
      <c r="T90" s="1">
        <f>T89+4405</f>
        <v>530714</v>
      </c>
      <c r="Y90" s="2">
        <f>Y88-Y82</f>
        <v>-93279</v>
      </c>
      <c r="AE90" s="76">
        <f>AD88-AE88</f>
        <v>29750</v>
      </c>
    </row>
    <row r="91" spans="11:21" ht="13.5" hidden="1">
      <c r="K91" s="2"/>
      <c r="T91" s="105">
        <v>453939</v>
      </c>
      <c r="U91" s="16"/>
    </row>
    <row r="92" ht="13.5" hidden="1"/>
    <row r="93" spans="10:31" ht="13.5" hidden="1">
      <c r="J93" s="2"/>
      <c r="P93" s="60"/>
      <c r="T93" s="2">
        <f>T88-T91</f>
        <v>76555</v>
      </c>
      <c r="Y93" s="2">
        <f>Y88-T91</f>
        <v>69411</v>
      </c>
      <c r="AE93" s="76">
        <f>G82+L82+Q82</f>
        <v>25565</v>
      </c>
    </row>
    <row r="94" ht="13.5" hidden="1">
      <c r="P94" s="60">
        <f>P82+21965-1250</f>
        <v>486760</v>
      </c>
    </row>
    <row r="95" ht="13.5" hidden="1">
      <c r="T95" s="2">
        <f>T89-T91</f>
        <v>72370</v>
      </c>
    </row>
    <row r="96" ht="13.5" hidden="1">
      <c r="Y96" s="16">
        <f>T93+Y93</f>
        <v>145966</v>
      </c>
    </row>
    <row r="97" ht="13.5" hidden="1">
      <c r="Y97" s="2">
        <f>Y96-AH84</f>
        <v>0</v>
      </c>
    </row>
    <row r="98" spans="20:21" ht="13.5" hidden="1">
      <c r="T98" s="16">
        <f>T82-214496</f>
        <v>412989</v>
      </c>
      <c r="U98" s="16">
        <f>T98-U29-U30</f>
        <v>391871</v>
      </c>
    </row>
    <row r="99" ht="13.5" hidden="1">
      <c r="U99" s="16">
        <f>U98-U54</f>
        <v>391871</v>
      </c>
    </row>
    <row r="100" ht="13.5" hidden="1"/>
    <row r="101" ht="13.5" hidden="1"/>
    <row r="102" ht="13.5" hidden="1"/>
    <row r="104" spans="20:21" ht="13.5">
      <c r="T104" s="16"/>
      <c r="U104" s="23"/>
    </row>
  </sheetData>
  <sheetProtection/>
  <mergeCells count="76">
    <mergeCell ref="W1:AD1"/>
    <mergeCell ref="W2:AD2"/>
    <mergeCell ref="W3:AD3"/>
    <mergeCell ref="A72:A77"/>
    <mergeCell ref="B67:B68"/>
    <mergeCell ref="B21:B22"/>
    <mergeCell ref="A19:A20"/>
    <mergeCell ref="A66:AD66"/>
    <mergeCell ref="B60:B61"/>
    <mergeCell ref="A63:AD63"/>
    <mergeCell ref="A67:A68"/>
    <mergeCell ref="A4:AD4"/>
    <mergeCell ref="J6:N6"/>
    <mergeCell ref="B11:B12"/>
    <mergeCell ref="A10:AD10"/>
    <mergeCell ref="T6:X6"/>
    <mergeCell ref="A17:A18"/>
    <mergeCell ref="A9:AD9"/>
    <mergeCell ref="A11:A12"/>
    <mergeCell ref="AD6:AD7"/>
    <mergeCell ref="B78:B79"/>
    <mergeCell ref="A78:A79"/>
    <mergeCell ref="A57:A58"/>
    <mergeCell ref="A5:A7"/>
    <mergeCell ref="O6:S6"/>
    <mergeCell ref="E6:I6"/>
    <mergeCell ref="D5:D7"/>
    <mergeCell ref="E5:AD5"/>
    <mergeCell ref="B5:B7"/>
    <mergeCell ref="C5:C7"/>
    <mergeCell ref="A15:A16"/>
    <mergeCell ref="AJ37:AL37"/>
    <mergeCell ref="B15:B16"/>
    <mergeCell ref="B85:J85"/>
    <mergeCell ref="A40:AD40"/>
    <mergeCell ref="A56:AD56"/>
    <mergeCell ref="A21:A22"/>
    <mergeCell ref="A34:AD34"/>
    <mergeCell ref="B72:B74"/>
    <mergeCell ref="B75:B77"/>
    <mergeCell ref="BF24:BK24"/>
    <mergeCell ref="BF25:BK25"/>
    <mergeCell ref="B13:B14"/>
    <mergeCell ref="B19:B20"/>
    <mergeCell ref="B17:B18"/>
    <mergeCell ref="A13:A14"/>
    <mergeCell ref="BF20:BK20"/>
    <mergeCell ref="BF21:BK21"/>
    <mergeCell ref="BF23:BK23"/>
    <mergeCell ref="BF16:BK16"/>
    <mergeCell ref="Y6:AC6"/>
    <mergeCell ref="BF22:BK22"/>
    <mergeCell ref="BF12:BK12"/>
    <mergeCell ref="BF13:BK13"/>
    <mergeCell ref="BF14:BK14"/>
    <mergeCell ref="BF15:BK15"/>
    <mergeCell ref="BF17:BK17"/>
    <mergeCell ref="AI17:AJ17"/>
    <mergeCell ref="BF18:BK19"/>
    <mergeCell ref="AJ41:AK41"/>
    <mergeCell ref="BF68:BK68"/>
    <mergeCell ref="AI69:AL69"/>
    <mergeCell ref="BF61:BK61"/>
    <mergeCell ref="AI60:AK60"/>
    <mergeCell ref="AI61:AK61"/>
    <mergeCell ref="BF58:BK58"/>
    <mergeCell ref="AJ40:AK40"/>
    <mergeCell ref="AI64:AL64"/>
    <mergeCell ref="A60:A61"/>
    <mergeCell ref="BF26:BK26"/>
    <mergeCell ref="BF27:BK27"/>
    <mergeCell ref="BF28:BK28"/>
    <mergeCell ref="BF60:BK60"/>
    <mergeCell ref="B57:B58"/>
    <mergeCell ref="AI30:AK30"/>
    <mergeCell ref="AJ42:AK42"/>
  </mergeCells>
  <printOptions horizontalCentered="1" verticalCentered="1"/>
  <pageMargins left="0.2362204724409449" right="0.2362204724409449" top="0.5905511811023623" bottom="0.31496062992125984" header="0.11811023622047245" footer="0.2362204724409449"/>
  <pageSetup firstPageNumber="3" useFirstPageNumber="1" horizontalDpi="600" verticalDpi="600" orientation="landscape" pageOrder="overThenDown" paperSize="9" scale="57" r:id="rId1"/>
  <headerFooter>
    <oddHeader>&amp;C&amp;"Times New Roman,обычный"&amp;12&amp;P</oddHeader>
    <firstHeader>&amp;C&amp;"Times New Roman,обычный"&amp;12&amp;P&amp;R&amp;"Times New Roman,обычный"Приложение к постановлению 
администрации городского округа Тольятти
от__________№_________
Приложение № 1 к муниципальной программе
 "Тольятти - чистый город на 2020-2024 годы"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cityhall</dc:creator>
  <cp:keywords/>
  <dc:description/>
  <cp:lastModifiedBy>Пользователь</cp:lastModifiedBy>
  <cp:lastPrinted>2024-01-26T05:12:23Z</cp:lastPrinted>
  <dcterms:created xsi:type="dcterms:W3CDTF">2009-09-03T06:56:12Z</dcterms:created>
  <dcterms:modified xsi:type="dcterms:W3CDTF">2024-01-26T05:16:17Z</dcterms:modified>
  <cp:category/>
  <cp:version/>
  <cp:contentType/>
  <cp:contentStatus/>
</cp:coreProperties>
</file>