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</sheets>
  <definedNames>
    <definedName name="_xlnm.Print_Titles" localSheetId="0">'Прил.1 (мероприятия) '!$9:$9</definedName>
    <definedName name="_xlnm.Print_Area" localSheetId="0">'Прил.1 (мероприятия) '!$A$1:$AD$57</definedName>
  </definedNames>
  <calcPr fullCalcOnLoad="1"/>
</workbook>
</file>

<file path=xl/sharedStrings.xml><?xml version="1.0" encoding="utf-8"?>
<sst xmlns="http://schemas.openxmlformats.org/spreadsheetml/2006/main" count="416" uniqueCount="144">
  <si>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</si>
  <si>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</si>
  <si>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</si>
  <si>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</si>
  <si>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</si>
  <si>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</si>
  <si>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</si>
  <si>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</si>
  <si>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</si>
  <si>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</si>
  <si>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</si>
  <si>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</si>
  <si>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</si>
  <si>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</si>
  <si>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</si>
  <si>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</si>
  <si>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</si>
  <si>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</si>
  <si>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</si>
  <si>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</si>
  <si>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</si>
  <si>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</si>
  <si>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</si>
  <si>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</si>
  <si>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</si>
  <si>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</si>
  <si>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</si>
  <si>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</si>
  <si>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</si>
  <si>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</si>
  <si>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</si>
  <si>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</si>
  <si>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</si>
  <si>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</si>
  <si>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</si>
  <si>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</si>
  <si>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</si>
  <si>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</si>
  <si>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</si>
  <si>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</si>
  <si>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</si>
  <si>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</si>
  <si>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</si>
  <si>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</si>
  <si>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</si>
  <si>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</si>
  <si>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</si>
  <si>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</si>
  <si>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</si>
  <si>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</si>
  <si>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</si>
  <si>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</si>
  <si>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</si>
  <si>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</si>
  <si>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</si>
  <si>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</si>
  <si>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</si>
  <si>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</si>
  <si>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</si>
  <si>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</si>
  <si>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</si>
  <si>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</si>
  <si>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</si>
  <si>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</si>
  <si>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</si>
  <si>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</si>
  <si>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</si>
  <si>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</si>
  <si>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</si>
  <si>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</si>
  <si>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</si>
  <si>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</si>
  <si>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</si>
  <si>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</si>
  <si>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</si>
  <si>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</si>
  <si>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</si>
  <si>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</si>
  <si>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</si>
  <si>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</si>
  <si>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</si>
  <si>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</si>
  <si>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</si>
  <si>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</si>
  <si>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</si>
  <si>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</si>
  <si>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</si>
  <si>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</si>
  <si>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</si>
  <si>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</si>
  <si>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</si>
  <si>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</si>
  <si>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</si>
  <si>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</si>
  <si>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</si>
  <si>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</si>
  <si>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</si>
  <si>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</si>
  <si>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</si>
  <si>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</si>
  <si>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ДГХ,                           МКУ "Тольяттинское лесничество" </t>
  </si>
  <si>
    <t>всего</t>
  </si>
  <si>
    <t>1.8</t>
  </si>
  <si>
    <t xml:space="preserve"> 1.8</t>
  </si>
  <si>
    <t>МБУ Зеленстрой</t>
  </si>
  <si>
    <t xml:space="preserve"> 1.1</t>
  </si>
  <si>
    <t xml:space="preserve"> 2.2</t>
  </si>
  <si>
    <t xml:space="preserve"> 2.3</t>
  </si>
  <si>
    <t xml:space="preserve"> МКУ Тольяттинское лесничество</t>
  </si>
  <si>
    <t>ИТОГО по ПРОГРАММЕ</t>
  </si>
  <si>
    <t>2021-2023</t>
  </si>
  <si>
    <t>2022-2023</t>
  </si>
  <si>
    <t>2020-2022</t>
  </si>
  <si>
    <t>Устройство, прочистка и обновление противопожарных минерализованных полос</t>
  </si>
  <si>
    <t>2.7</t>
  </si>
  <si>
    <t xml:space="preserve">Приложение </t>
  </si>
  <si>
    <r>
      <t xml:space="preserve">Расчистка неликвидных лесных участков, пострадавших в результате засухи и последствий лесных пожаров                                   </t>
    </r>
    <r>
      <rPr>
        <i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</si>
  <si>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</si>
  <si>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Обработка почвы под лесные культуры                                                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</si>
  <si>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Подготовка лесных участков для создания лесных культур               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</si>
  <si>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Лесовосстановление                                                  </t>
    </r>
    <r>
      <rPr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</si>
  <si>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Проведение агротехнического ухода за лесными культурами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  <r>
      <rPr>
        <i/>
        <sz val="13"/>
        <color indexed="8"/>
        <rFont val="Times New Roman"/>
        <family val="1"/>
      </rPr>
      <t xml:space="preserve"> </t>
    </r>
  </si>
  <si>
    <r>
      <t xml:space="preserve">Дополнение лесных культур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</si>
  <si>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Приобретение основных средств учреждений, не относящихся к объектам капитального  строительства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</si>
  <si>
    <t>2021, 2023</t>
  </si>
  <si>
    <r>
      <t xml:space="preserve">Прокладка, прочистка и обновление просек, содержание противопожарных разрывов                                                                                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</si>
  <si>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t>2022, 2023</t>
  </si>
  <si>
    <t>1.2+2.7+5.1</t>
  </si>
  <si>
    <t>2.5 (с соф-м)</t>
  </si>
  <si>
    <t>задача 3</t>
  </si>
  <si>
    <t>задача 6</t>
  </si>
  <si>
    <t xml:space="preserve"> 1.4</t>
  </si>
  <si>
    <t xml:space="preserve"> 1.6</t>
  </si>
  <si>
    <t xml:space="preserve"> 4.1</t>
  </si>
  <si>
    <t>3008+2 (налоги)</t>
  </si>
  <si>
    <t xml:space="preserve"> +1153 тр (в связи с увеличением объемов работ ручным способом: 15 га - механизированным, 61,1 га - ручным) в соответствии с МЗ</t>
  </si>
  <si>
    <t xml:space="preserve"> + 259тр увеличение финансового обеспечения по причине удорожания посадочного материала (в соответствии с МЗ)</t>
  </si>
  <si>
    <t xml:space="preserve"> - 2 тр в соответствии с МЗ : 1085+3(налоги) </t>
  </si>
  <si>
    <t xml:space="preserve"> - 818тр перераспределение финансового обеспечения по причине увеличения доли руного труда по мероприятию 2.7 (в соответствии с МЗ)</t>
  </si>
  <si>
    <t xml:space="preserve"> - 1 тр в соответствии с МК и сметой МКУ от 24.10.23 на 4.1</t>
  </si>
  <si>
    <t xml:space="preserve">  - 4 тр в соответствии с МК и сметой МКУ от 24.10.23 на 4.1</t>
  </si>
  <si>
    <t xml:space="preserve"> + 106 тр в соответствии с МК и сметой МКУ от 24.10.23 с 1.1+1.7+1.8</t>
  </si>
  <si>
    <t xml:space="preserve"> - 101 тр в соответствии с МК и сметой МКУ от 24.10.23 на 4.1</t>
  </si>
  <si>
    <t xml:space="preserve"> - 592тр перераспределение финансового обеспечения по причине удорожания посадочного материала для посадки деревьев в дендропарке, увеличения доли ручных работ по 2.7 (в соответствии с МЗ)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</si>
</sst>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72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72" fillId="33" borderId="0" xfId="0" applyNumberFormat="1" applyFont="1" applyFill="1" applyAlignment="1">
      <alignment vertical="center" wrapText="1"/>
    </xf>
    <xf numFmtId="0" fontId="73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75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74" fillId="33" borderId="10" xfId="0" applyNumberFormat="1" applyFont="1" applyFill="1" applyBorder="1" applyAlignment="1">
      <alignment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76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16" fontId="5" fillId="33" borderId="0" xfId="0" applyNumberFormat="1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 wrapText="1"/>
    </xf>
    <xf numFmtId="3" fontId="14" fillId="33" borderId="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16" fontId="5" fillId="33" borderId="0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" fontId="5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10" fillId="33" borderId="10" xfId="42" applyFont="1" applyFill="1" applyBorder="1" applyAlignment="1">
      <alignment horizontal="right" vertical="center" wrapText="1"/>
    </xf>
    <xf numFmtId="0" fontId="77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3" fontId="79" fillId="33" borderId="11" xfId="0" applyNumberFormat="1" applyFont="1" applyFill="1" applyBorder="1" applyAlignment="1">
      <alignment horizontal="left" vertical="center" wrapText="1"/>
    </xf>
    <xf numFmtId="3" fontId="79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81" fillId="33" borderId="16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83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7" xfId="57"/>
    <cellStyle name="Обычный 3" xfId="58"/>
    <cellStyle name="Обычный 3 2" xfId="59"/>
    <cellStyle name="Обычный 3 3" xfId="60"/>
    <cellStyle name="Обычный 4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3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687425" y="123825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tabSelected="1" view="pageBreakPreview" zoomScale="50" zoomScaleNormal="60" zoomScaleSheetLayoutView="50" zoomScalePageLayoutView="40" workbookViewId="0" topLeftCell="A1">
      <pane xSplit="3" ySplit="11" topLeftCell="F3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E11" sqref="AE10:AE11"/>
    </sheetView>
  </sheetViews>
  <sheetFormatPr defaultColWidth="9.140625" defaultRowHeight="15"/>
  <cols>
    <col min="1" max="1" width="8.7109375" style="16" customWidth="1"/>
    <col min="2" max="2" width="42.710937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63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4"/>
      <c r="Y1" s="100" t="s">
        <v>115</v>
      </c>
      <c r="Z1" s="100"/>
      <c r="AA1" s="100"/>
      <c r="AB1" s="100"/>
      <c r="AC1" s="100"/>
      <c r="AD1" s="100"/>
      <c r="AE1" s="28"/>
    </row>
    <row r="2" spans="1:31" s="2" customFormat="1" ht="34.5" customHeight="1">
      <c r="A2" s="14"/>
      <c r="B2" s="104"/>
      <c r="C2" s="104"/>
      <c r="E2" s="99"/>
      <c r="F2" s="99"/>
      <c r="G2" s="99"/>
      <c r="H2" s="99"/>
      <c r="I2" s="99"/>
      <c r="W2" s="15"/>
      <c r="Y2" s="100" t="s">
        <v>36</v>
      </c>
      <c r="Z2" s="100"/>
      <c r="AA2" s="100"/>
      <c r="AB2" s="100"/>
      <c r="AC2" s="100"/>
      <c r="AD2" s="100"/>
      <c r="AE2" s="28"/>
    </row>
    <row r="3" spans="6:30" ht="24.75" customHeight="1">
      <c r="F3" s="17"/>
      <c r="W3" s="17"/>
      <c r="Y3" s="101" t="s">
        <v>37</v>
      </c>
      <c r="Z3" s="101"/>
      <c r="AA3" s="101"/>
      <c r="AB3" s="101"/>
      <c r="AC3" s="101"/>
      <c r="AD3" s="101"/>
    </row>
    <row r="4" spans="2:30" ht="56.25" customHeight="1">
      <c r="B4" s="105"/>
      <c r="C4" s="105"/>
      <c r="F4" s="17"/>
      <c r="X4" s="17"/>
      <c r="Y4" s="100" t="s">
        <v>44</v>
      </c>
      <c r="Z4" s="100"/>
      <c r="AA4" s="100"/>
      <c r="AB4" s="100"/>
      <c r="AC4" s="100"/>
      <c r="AD4" s="100"/>
    </row>
    <row r="5" spans="1:30" ht="68.25" customHeight="1">
      <c r="A5" s="102" t="s">
        <v>43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ht="31.5" customHeight="1">
      <c r="A6" s="103" t="s">
        <v>25</v>
      </c>
      <c r="B6" s="91" t="s">
        <v>26</v>
      </c>
      <c r="C6" s="91" t="s">
        <v>27</v>
      </c>
      <c r="D6" s="91" t="s">
        <v>1</v>
      </c>
      <c r="E6" s="91" t="s">
        <v>9</v>
      </c>
      <c r="F6" s="91"/>
      <c r="G6" s="91"/>
      <c r="H6" s="91"/>
      <c r="I6" s="91"/>
      <c r="J6" s="91"/>
      <c r="K6" s="91"/>
      <c r="L6" s="91"/>
      <c r="M6" s="91"/>
      <c r="N6" s="91"/>
      <c r="O6" s="91" t="s">
        <v>9</v>
      </c>
      <c r="P6" s="91"/>
      <c r="Q6" s="91"/>
      <c r="R6" s="91"/>
      <c r="S6" s="91"/>
      <c r="T6" s="91"/>
      <c r="U6" s="91"/>
      <c r="V6" s="91"/>
      <c r="W6" s="91"/>
      <c r="X6" s="91"/>
      <c r="Y6" s="91" t="s">
        <v>9</v>
      </c>
      <c r="Z6" s="91"/>
      <c r="AA6" s="91"/>
      <c r="AB6" s="91"/>
      <c r="AC6" s="91"/>
      <c r="AD6" s="91"/>
    </row>
    <row r="7" spans="1:30" ht="31.5" customHeight="1">
      <c r="A7" s="103"/>
      <c r="B7" s="91"/>
      <c r="C7" s="91"/>
      <c r="D7" s="91"/>
      <c r="E7" s="92" t="s">
        <v>38</v>
      </c>
      <c r="F7" s="92"/>
      <c r="G7" s="92"/>
      <c r="H7" s="92"/>
      <c r="I7" s="92"/>
      <c r="J7" s="92" t="s">
        <v>39</v>
      </c>
      <c r="K7" s="92"/>
      <c r="L7" s="92"/>
      <c r="M7" s="92"/>
      <c r="N7" s="92"/>
      <c r="O7" s="92" t="s">
        <v>40</v>
      </c>
      <c r="P7" s="92"/>
      <c r="Q7" s="92"/>
      <c r="R7" s="92"/>
      <c r="S7" s="92"/>
      <c r="T7" s="92" t="s">
        <v>41</v>
      </c>
      <c r="U7" s="92"/>
      <c r="V7" s="92"/>
      <c r="W7" s="92"/>
      <c r="X7" s="92"/>
      <c r="Y7" s="92" t="s">
        <v>42</v>
      </c>
      <c r="Z7" s="92"/>
      <c r="AA7" s="92"/>
      <c r="AB7" s="92"/>
      <c r="AC7" s="92"/>
      <c r="AD7" s="91" t="s">
        <v>2</v>
      </c>
    </row>
    <row r="8" spans="1:30" ht="54.75" customHeight="1">
      <c r="A8" s="103"/>
      <c r="B8" s="91"/>
      <c r="C8" s="91"/>
      <c r="D8" s="91"/>
      <c r="E8" s="61" t="s">
        <v>3</v>
      </c>
      <c r="F8" s="61" t="s">
        <v>0</v>
      </c>
      <c r="G8" s="61" t="s">
        <v>10</v>
      </c>
      <c r="H8" s="61" t="s">
        <v>28</v>
      </c>
      <c r="I8" s="61" t="s">
        <v>29</v>
      </c>
      <c r="J8" s="61" t="s">
        <v>3</v>
      </c>
      <c r="K8" s="61" t="s">
        <v>0</v>
      </c>
      <c r="L8" s="61" t="s">
        <v>10</v>
      </c>
      <c r="M8" s="61" t="s">
        <v>28</v>
      </c>
      <c r="N8" s="61" t="s">
        <v>29</v>
      </c>
      <c r="O8" s="61" t="s">
        <v>3</v>
      </c>
      <c r="P8" s="61" t="s">
        <v>0</v>
      </c>
      <c r="Q8" s="61" t="s">
        <v>10</v>
      </c>
      <c r="R8" s="61" t="s">
        <v>28</v>
      </c>
      <c r="S8" s="61" t="s">
        <v>29</v>
      </c>
      <c r="T8" s="61" t="s">
        <v>3</v>
      </c>
      <c r="U8" s="61" t="s">
        <v>0</v>
      </c>
      <c r="V8" s="61" t="s">
        <v>10</v>
      </c>
      <c r="W8" s="61" t="s">
        <v>28</v>
      </c>
      <c r="X8" s="61" t="s">
        <v>29</v>
      </c>
      <c r="Y8" s="67" t="s">
        <v>3</v>
      </c>
      <c r="Z8" s="67" t="s">
        <v>0</v>
      </c>
      <c r="AA8" s="67" t="s">
        <v>10</v>
      </c>
      <c r="AB8" s="67" t="s">
        <v>28</v>
      </c>
      <c r="AC8" s="67" t="s">
        <v>29</v>
      </c>
      <c r="AD8" s="91"/>
    </row>
    <row r="9" spans="1:30" ht="23.25" customHeight="1">
      <c r="A9" s="18">
        <v>1</v>
      </c>
      <c r="B9" s="61">
        <v>2</v>
      </c>
      <c r="C9" s="61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61">
        <v>17</v>
      </c>
      <c r="R9" s="61">
        <v>18</v>
      </c>
      <c r="S9" s="61">
        <v>19</v>
      </c>
      <c r="T9" s="61">
        <v>20</v>
      </c>
      <c r="U9" s="61">
        <v>21</v>
      </c>
      <c r="V9" s="61">
        <v>22</v>
      </c>
      <c r="W9" s="61">
        <v>23</v>
      </c>
      <c r="X9" s="61">
        <v>24</v>
      </c>
      <c r="Y9" s="67">
        <v>25</v>
      </c>
      <c r="Z9" s="67">
        <v>26</v>
      </c>
      <c r="AA9" s="67">
        <v>27</v>
      </c>
      <c r="AB9" s="67">
        <v>28</v>
      </c>
      <c r="AC9" s="67">
        <v>29</v>
      </c>
      <c r="AD9" s="67">
        <v>30</v>
      </c>
    </row>
    <row r="10" spans="1:31" ht="44.25" customHeight="1">
      <c r="A10" s="84" t="s">
        <v>60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29"/>
    </row>
    <row r="11" spans="1:30" ht="35.25" customHeight="1">
      <c r="A11" s="85" t="s">
        <v>49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1" ht="84" customHeight="1">
      <c r="A12" s="53" t="s">
        <v>4</v>
      </c>
      <c r="B12" s="57" t="s">
        <v>117</v>
      </c>
      <c r="C12" s="40" t="s">
        <v>100</v>
      </c>
      <c r="D12" s="10" t="s">
        <v>110</v>
      </c>
      <c r="E12" s="5">
        <f>F12+G12+H12+I12</f>
        <v>0</v>
      </c>
      <c r="F12" s="58">
        <v>0</v>
      </c>
      <c r="G12" s="58">
        <v>0</v>
      </c>
      <c r="H12" s="58">
        <v>0</v>
      </c>
      <c r="I12" s="58">
        <v>0</v>
      </c>
      <c r="J12" s="5">
        <f>K12+L12+M12+N12</f>
        <v>0</v>
      </c>
      <c r="K12" s="58">
        <v>0</v>
      </c>
      <c r="L12" s="58">
        <v>0</v>
      </c>
      <c r="M12" s="58">
        <v>0</v>
      </c>
      <c r="N12" s="58">
        <v>0</v>
      </c>
      <c r="O12" s="5">
        <f>P12+Q12+R12+S12</f>
        <v>599</v>
      </c>
      <c r="P12" s="58">
        <f>0+599</f>
        <v>599</v>
      </c>
      <c r="Q12" s="58">
        <v>0</v>
      </c>
      <c r="R12" s="58">
        <v>0</v>
      </c>
      <c r="S12" s="58">
        <v>0</v>
      </c>
      <c r="T12" s="5">
        <f>U12+V12+W12+X12</f>
        <v>2957</v>
      </c>
      <c r="U12" s="58">
        <f>62+563-62+2394</f>
        <v>2957</v>
      </c>
      <c r="V12" s="58">
        <f>501-501</f>
        <v>0</v>
      </c>
      <c r="W12" s="58">
        <v>0</v>
      </c>
      <c r="X12" s="58">
        <v>0</v>
      </c>
      <c r="Y12" s="5">
        <f>Z12+AA12+AB12+AC12</f>
        <v>1042</v>
      </c>
      <c r="Z12" s="70">
        <f>1213-390+413-193-1</f>
        <v>1042</v>
      </c>
      <c r="AA12" s="70">
        <v>0</v>
      </c>
      <c r="AB12" s="70">
        <v>0</v>
      </c>
      <c r="AC12" s="70">
        <v>0</v>
      </c>
      <c r="AD12" s="5">
        <f>E12+J12+O12+T12+Y12</f>
        <v>4598</v>
      </c>
      <c r="AE12" s="106" t="s">
        <v>139</v>
      </c>
    </row>
    <row r="13" spans="1:31" ht="69" customHeight="1">
      <c r="A13" s="53" t="s">
        <v>5</v>
      </c>
      <c r="B13" s="9" t="s">
        <v>113</v>
      </c>
      <c r="C13" s="8" t="s">
        <v>69</v>
      </c>
      <c r="D13" s="10" t="s">
        <v>45</v>
      </c>
      <c r="E13" s="5">
        <f aca="true" t="shared" si="0" ref="E13:E22">F13+G13+H13+I13</f>
        <v>166</v>
      </c>
      <c r="F13" s="58">
        <v>166</v>
      </c>
      <c r="G13" s="58">
        <v>0</v>
      </c>
      <c r="H13" s="58">
        <v>0</v>
      </c>
      <c r="I13" s="58">
        <v>0</v>
      </c>
      <c r="J13" s="5">
        <f aca="true" t="shared" si="1" ref="J13:J22">K13+L13+M13+N13</f>
        <v>166</v>
      </c>
      <c r="K13" s="58">
        <v>166</v>
      </c>
      <c r="L13" s="58">
        <v>0</v>
      </c>
      <c r="M13" s="58">
        <v>0</v>
      </c>
      <c r="N13" s="58">
        <v>0</v>
      </c>
      <c r="O13" s="5">
        <f aca="true" t="shared" si="2" ref="O13:O22">P13+Q13+R13+S13</f>
        <v>221</v>
      </c>
      <c r="P13" s="58">
        <v>221</v>
      </c>
      <c r="Q13" s="58">
        <v>0</v>
      </c>
      <c r="R13" s="58">
        <v>0</v>
      </c>
      <c r="S13" s="58">
        <v>0</v>
      </c>
      <c r="T13" s="5">
        <f aca="true" t="shared" si="3" ref="T13:T22">U13+V13+W13+X13</f>
        <v>654</v>
      </c>
      <c r="U13" s="58">
        <f>968-314</f>
        <v>654</v>
      </c>
      <c r="V13" s="58">
        <v>0</v>
      </c>
      <c r="W13" s="58">
        <v>0</v>
      </c>
      <c r="X13" s="58">
        <v>0</v>
      </c>
      <c r="Y13" s="5">
        <f aca="true" t="shared" si="4" ref="Y13:Y22">Z13+AA13+AB13+AC13</f>
        <v>1088</v>
      </c>
      <c r="Z13" s="70">
        <f>1090-2</f>
        <v>1088</v>
      </c>
      <c r="AA13" s="70">
        <v>0</v>
      </c>
      <c r="AB13" s="70">
        <v>0</v>
      </c>
      <c r="AC13" s="70">
        <v>0</v>
      </c>
      <c r="AD13" s="5">
        <f>E13+J13+O13+T13+Y13</f>
        <v>2295</v>
      </c>
      <c r="AE13" s="106" t="s">
        <v>137</v>
      </c>
    </row>
    <row r="14" spans="1:33" ht="57.75" customHeight="1">
      <c r="A14" s="53" t="s">
        <v>6</v>
      </c>
      <c r="B14" s="9" t="s">
        <v>30</v>
      </c>
      <c r="C14" s="8" t="s">
        <v>68</v>
      </c>
      <c r="D14" s="10" t="s">
        <v>65</v>
      </c>
      <c r="E14" s="5">
        <f t="shared" si="0"/>
        <v>0</v>
      </c>
      <c r="F14" s="58">
        <v>0</v>
      </c>
      <c r="G14" s="58">
        <v>0</v>
      </c>
      <c r="H14" s="58">
        <v>0</v>
      </c>
      <c r="I14" s="58">
        <v>0</v>
      </c>
      <c r="J14" s="86" t="s">
        <v>66</v>
      </c>
      <c r="K14" s="86"/>
      <c r="L14" s="86"/>
      <c r="M14" s="86"/>
      <c r="N14" s="86"/>
      <c r="O14" s="86" t="s">
        <v>66</v>
      </c>
      <c r="P14" s="86"/>
      <c r="Q14" s="86"/>
      <c r="R14" s="86"/>
      <c r="S14" s="86"/>
      <c r="T14" s="86" t="s">
        <v>66</v>
      </c>
      <c r="U14" s="86"/>
      <c r="V14" s="86"/>
      <c r="W14" s="86"/>
      <c r="X14" s="86"/>
      <c r="Y14" s="86" t="s">
        <v>66</v>
      </c>
      <c r="Z14" s="86"/>
      <c r="AA14" s="86"/>
      <c r="AB14" s="86"/>
      <c r="AC14" s="86"/>
      <c r="AD14" s="5">
        <f>E14</f>
        <v>0</v>
      </c>
      <c r="AE14" s="30"/>
      <c r="AF14" s="6"/>
      <c r="AG14" s="6"/>
    </row>
    <row r="15" spans="1:35" ht="57.75" customHeight="1">
      <c r="A15" s="53" t="s">
        <v>7</v>
      </c>
      <c r="B15" s="9" t="s">
        <v>88</v>
      </c>
      <c r="C15" s="8" t="s">
        <v>68</v>
      </c>
      <c r="D15" s="10" t="s">
        <v>124</v>
      </c>
      <c r="E15" s="5">
        <f t="shared" si="0"/>
        <v>0</v>
      </c>
      <c r="F15" s="58">
        <v>0</v>
      </c>
      <c r="G15" s="58">
        <v>0</v>
      </c>
      <c r="H15" s="58">
        <v>0</v>
      </c>
      <c r="I15" s="58">
        <v>0</v>
      </c>
      <c r="J15" s="5">
        <f t="shared" si="1"/>
        <v>0</v>
      </c>
      <c r="K15" s="58">
        <v>0</v>
      </c>
      <c r="L15" s="58">
        <v>0</v>
      </c>
      <c r="M15" s="58">
        <v>0</v>
      </c>
      <c r="N15" s="58">
        <v>0</v>
      </c>
      <c r="O15" s="5">
        <f t="shared" si="2"/>
        <v>1037</v>
      </c>
      <c r="P15" s="58">
        <f>0+1384-169-178</f>
        <v>1037</v>
      </c>
      <c r="Q15" s="58">
        <v>0</v>
      </c>
      <c r="R15" s="58">
        <v>0</v>
      </c>
      <c r="S15" s="58">
        <v>0</v>
      </c>
      <c r="T15" s="5">
        <f t="shared" si="3"/>
        <v>0</v>
      </c>
      <c r="U15" s="58">
        <f>588-588</f>
        <v>0</v>
      </c>
      <c r="V15" s="58">
        <v>0</v>
      </c>
      <c r="W15" s="58">
        <v>0</v>
      </c>
      <c r="X15" s="58">
        <v>0</v>
      </c>
      <c r="Y15" s="5">
        <f t="shared" si="4"/>
        <v>260</v>
      </c>
      <c r="Z15" s="65">
        <f>1263-986-17</f>
        <v>260</v>
      </c>
      <c r="AA15" s="65">
        <v>0</v>
      </c>
      <c r="AB15" s="65">
        <v>0</v>
      </c>
      <c r="AC15" s="65">
        <v>0</v>
      </c>
      <c r="AD15" s="5">
        <f>E15+J15+O15+T15+Y15</f>
        <v>1297</v>
      </c>
      <c r="AE15" s="96"/>
      <c r="AF15" s="97"/>
      <c r="AG15" s="97"/>
      <c r="AH15" s="97"/>
      <c r="AI15" s="97"/>
    </row>
    <row r="16" spans="1:30" ht="57.75" customHeight="1">
      <c r="A16" s="53" t="s">
        <v>8</v>
      </c>
      <c r="B16" s="9" t="s">
        <v>12</v>
      </c>
      <c r="C16" s="8" t="s">
        <v>68</v>
      </c>
      <c r="D16" s="10"/>
      <c r="E16" s="5">
        <f t="shared" si="0"/>
        <v>0</v>
      </c>
      <c r="F16" s="58">
        <v>0</v>
      </c>
      <c r="G16" s="58">
        <v>0</v>
      </c>
      <c r="H16" s="58">
        <v>0</v>
      </c>
      <c r="I16" s="58">
        <v>0</v>
      </c>
      <c r="J16" s="5">
        <f t="shared" si="1"/>
        <v>0</v>
      </c>
      <c r="K16" s="58">
        <v>0</v>
      </c>
      <c r="L16" s="58">
        <v>0</v>
      </c>
      <c r="M16" s="58">
        <v>0</v>
      </c>
      <c r="N16" s="58">
        <v>0</v>
      </c>
      <c r="O16" s="5">
        <f t="shared" si="2"/>
        <v>0</v>
      </c>
      <c r="P16" s="58">
        <v>0</v>
      </c>
      <c r="Q16" s="58">
        <v>0</v>
      </c>
      <c r="R16" s="58">
        <v>0</v>
      </c>
      <c r="S16" s="58">
        <v>0</v>
      </c>
      <c r="T16" s="5">
        <f t="shared" si="3"/>
        <v>0</v>
      </c>
      <c r="U16" s="58">
        <f>100-100</f>
        <v>0</v>
      </c>
      <c r="V16" s="58">
        <v>0</v>
      </c>
      <c r="W16" s="58">
        <v>0</v>
      </c>
      <c r="X16" s="58">
        <v>0</v>
      </c>
      <c r="Y16" s="5">
        <f t="shared" si="4"/>
        <v>0</v>
      </c>
      <c r="Z16" s="65">
        <f>100-100</f>
        <v>0</v>
      </c>
      <c r="AA16" s="65">
        <v>0</v>
      </c>
      <c r="AB16" s="65">
        <v>0</v>
      </c>
      <c r="AC16" s="65">
        <v>0</v>
      </c>
      <c r="AD16" s="5">
        <f>E16+J16+O16+T16+Y16</f>
        <v>0</v>
      </c>
    </row>
    <row r="17" spans="1:30" ht="67.5" customHeight="1">
      <c r="A17" s="76" t="s">
        <v>56</v>
      </c>
      <c r="B17" s="77" t="s">
        <v>82</v>
      </c>
      <c r="C17" s="8" t="s">
        <v>67</v>
      </c>
      <c r="D17" s="10" t="s">
        <v>48</v>
      </c>
      <c r="E17" s="5">
        <f t="shared" si="0"/>
        <v>51</v>
      </c>
      <c r="F17" s="58">
        <v>51</v>
      </c>
      <c r="G17" s="58">
        <v>0</v>
      </c>
      <c r="H17" s="58">
        <v>0</v>
      </c>
      <c r="I17" s="58">
        <v>0</v>
      </c>
      <c r="J17" s="5">
        <f t="shared" si="1"/>
        <v>51</v>
      </c>
      <c r="K17" s="58">
        <f>0+51+172-172</f>
        <v>51</v>
      </c>
      <c r="L17" s="58">
        <f>0+1389-1389</f>
        <v>0</v>
      </c>
      <c r="M17" s="58">
        <v>0</v>
      </c>
      <c r="N17" s="58">
        <v>0</v>
      </c>
      <c r="O17" s="5">
        <f t="shared" si="2"/>
        <v>52</v>
      </c>
      <c r="P17" s="58">
        <f>0+51+1</f>
        <v>52</v>
      </c>
      <c r="Q17" s="58">
        <v>0</v>
      </c>
      <c r="R17" s="58">
        <v>0</v>
      </c>
      <c r="S17" s="58">
        <v>0</v>
      </c>
      <c r="T17" s="5">
        <f t="shared" si="3"/>
        <v>113</v>
      </c>
      <c r="U17" s="58">
        <v>113</v>
      </c>
      <c r="V17" s="58">
        <v>0</v>
      </c>
      <c r="W17" s="58">
        <v>0</v>
      </c>
      <c r="X17" s="58">
        <v>0</v>
      </c>
      <c r="Y17" s="5">
        <f t="shared" si="4"/>
        <v>0</v>
      </c>
      <c r="Z17" s="65">
        <v>0</v>
      </c>
      <c r="AA17" s="65">
        <v>0</v>
      </c>
      <c r="AB17" s="65">
        <v>0</v>
      </c>
      <c r="AC17" s="65">
        <v>0</v>
      </c>
      <c r="AD17" s="5">
        <f>E17+J17+O17+T17+Y17</f>
        <v>267</v>
      </c>
    </row>
    <row r="18" spans="1:30" ht="41.25" customHeight="1">
      <c r="A18" s="76"/>
      <c r="B18" s="77"/>
      <c r="C18" s="8" t="s">
        <v>68</v>
      </c>
      <c r="D18" s="10">
        <v>2023</v>
      </c>
      <c r="E18" s="5" t="s">
        <v>35</v>
      </c>
      <c r="F18" s="58" t="s">
        <v>35</v>
      </c>
      <c r="G18" s="58" t="s">
        <v>35</v>
      </c>
      <c r="H18" s="58" t="s">
        <v>35</v>
      </c>
      <c r="I18" s="58" t="s">
        <v>35</v>
      </c>
      <c r="J18" s="5" t="s">
        <v>35</v>
      </c>
      <c r="K18" s="58" t="s">
        <v>35</v>
      </c>
      <c r="L18" s="58" t="s">
        <v>35</v>
      </c>
      <c r="M18" s="58" t="s">
        <v>35</v>
      </c>
      <c r="N18" s="58" t="s">
        <v>35</v>
      </c>
      <c r="O18" s="5" t="s">
        <v>35</v>
      </c>
      <c r="P18" s="58" t="s">
        <v>35</v>
      </c>
      <c r="Q18" s="58" t="s">
        <v>35</v>
      </c>
      <c r="R18" s="58" t="s">
        <v>35</v>
      </c>
      <c r="S18" s="58" t="s">
        <v>35</v>
      </c>
      <c r="T18" s="5" t="s">
        <v>35</v>
      </c>
      <c r="U18" s="58" t="s">
        <v>35</v>
      </c>
      <c r="V18" s="58" t="s">
        <v>35</v>
      </c>
      <c r="W18" s="58" t="s">
        <v>35</v>
      </c>
      <c r="X18" s="58" t="s">
        <v>35</v>
      </c>
      <c r="Y18" s="5">
        <f t="shared" si="4"/>
        <v>156</v>
      </c>
      <c r="Z18" s="65">
        <v>156</v>
      </c>
      <c r="AA18" s="65">
        <v>0</v>
      </c>
      <c r="AB18" s="65">
        <v>0</v>
      </c>
      <c r="AC18" s="65">
        <v>0</v>
      </c>
      <c r="AD18" s="5">
        <f>Y18</f>
        <v>156</v>
      </c>
    </row>
    <row r="19" spans="1:31" ht="155.25" customHeight="1">
      <c r="A19" s="53" t="s">
        <v>93</v>
      </c>
      <c r="B19" s="9" t="s">
        <v>99</v>
      </c>
      <c r="C19" s="8" t="s">
        <v>68</v>
      </c>
      <c r="D19" s="10">
        <v>2022</v>
      </c>
      <c r="E19" s="5" t="s">
        <v>35</v>
      </c>
      <c r="F19" s="58" t="s">
        <v>35</v>
      </c>
      <c r="G19" s="58" t="s">
        <v>35</v>
      </c>
      <c r="H19" s="58" t="s">
        <v>35</v>
      </c>
      <c r="I19" s="58" t="s">
        <v>35</v>
      </c>
      <c r="J19" s="5" t="s">
        <v>35</v>
      </c>
      <c r="K19" s="58" t="s">
        <v>35</v>
      </c>
      <c r="L19" s="58" t="s">
        <v>35</v>
      </c>
      <c r="M19" s="58" t="s">
        <v>35</v>
      </c>
      <c r="N19" s="58" t="s">
        <v>35</v>
      </c>
      <c r="O19" s="5" t="s">
        <v>35</v>
      </c>
      <c r="P19" s="58" t="s">
        <v>35</v>
      </c>
      <c r="Q19" s="58" t="s">
        <v>35</v>
      </c>
      <c r="R19" s="58" t="s">
        <v>35</v>
      </c>
      <c r="S19" s="58" t="s">
        <v>35</v>
      </c>
      <c r="T19" s="5">
        <f t="shared" si="3"/>
        <v>1848</v>
      </c>
      <c r="U19" s="58">
        <v>1848</v>
      </c>
      <c r="V19" s="58">
        <v>0</v>
      </c>
      <c r="W19" s="58">
        <v>0</v>
      </c>
      <c r="X19" s="58">
        <v>0</v>
      </c>
      <c r="Y19" s="5">
        <f>Z19+AA19+AB19+AC19</f>
        <v>499</v>
      </c>
      <c r="Z19" s="70">
        <f>600-101</f>
        <v>499</v>
      </c>
      <c r="AA19" s="70">
        <v>0</v>
      </c>
      <c r="AB19" s="70">
        <v>0</v>
      </c>
      <c r="AC19" s="70">
        <v>0</v>
      </c>
      <c r="AD19" s="5">
        <f>T19+Y19</f>
        <v>2347</v>
      </c>
      <c r="AE19" s="106" t="s">
        <v>142</v>
      </c>
    </row>
    <row r="20" spans="1:31" ht="51.75" customHeight="1">
      <c r="A20" s="76" t="s">
        <v>102</v>
      </c>
      <c r="B20" s="77" t="s">
        <v>125</v>
      </c>
      <c r="C20" s="8" t="s">
        <v>96</v>
      </c>
      <c r="D20" s="10"/>
      <c r="E20" s="5" t="s">
        <v>35</v>
      </c>
      <c r="F20" s="58" t="s">
        <v>35</v>
      </c>
      <c r="G20" s="58" t="s">
        <v>35</v>
      </c>
      <c r="H20" s="58" t="s">
        <v>35</v>
      </c>
      <c r="I20" s="58" t="s">
        <v>35</v>
      </c>
      <c r="J20" s="5" t="s">
        <v>35</v>
      </c>
      <c r="K20" s="58" t="s">
        <v>35</v>
      </c>
      <c r="L20" s="58" t="s">
        <v>35</v>
      </c>
      <c r="M20" s="58" t="s">
        <v>35</v>
      </c>
      <c r="N20" s="58" t="s">
        <v>35</v>
      </c>
      <c r="O20" s="5" t="s">
        <v>35</v>
      </c>
      <c r="P20" s="58" t="s">
        <v>35</v>
      </c>
      <c r="Q20" s="58" t="s">
        <v>35</v>
      </c>
      <c r="R20" s="58" t="s">
        <v>35</v>
      </c>
      <c r="S20" s="58" t="s">
        <v>35</v>
      </c>
      <c r="T20" s="5" t="s">
        <v>35</v>
      </c>
      <c r="U20" s="58" t="s">
        <v>35</v>
      </c>
      <c r="V20" s="58" t="s">
        <v>35</v>
      </c>
      <c r="W20" s="58" t="s">
        <v>35</v>
      </c>
      <c r="X20" s="58" t="s">
        <v>35</v>
      </c>
      <c r="Y20" s="5">
        <f>Z20+AA20+AB20+AC20</f>
        <v>0</v>
      </c>
      <c r="Z20" s="70">
        <v>0</v>
      </c>
      <c r="AA20" s="70">
        <v>0</v>
      </c>
      <c r="AB20" s="70">
        <v>0</v>
      </c>
      <c r="AC20" s="70">
        <v>0</v>
      </c>
      <c r="AD20" s="5">
        <f>Y20</f>
        <v>0</v>
      </c>
      <c r="AE20" s="69"/>
    </row>
    <row r="21" spans="1:31" ht="65.25" customHeight="1">
      <c r="A21" s="76"/>
      <c r="B21" s="77"/>
      <c r="C21" s="8" t="s">
        <v>68</v>
      </c>
      <c r="D21" s="10" t="s">
        <v>111</v>
      </c>
      <c r="E21" s="5" t="s">
        <v>35</v>
      </c>
      <c r="F21" s="58" t="s">
        <v>35</v>
      </c>
      <c r="G21" s="58" t="s">
        <v>35</v>
      </c>
      <c r="H21" s="58" t="s">
        <v>35</v>
      </c>
      <c r="I21" s="58" t="s">
        <v>35</v>
      </c>
      <c r="J21" s="5" t="s">
        <v>35</v>
      </c>
      <c r="K21" s="58" t="s">
        <v>35</v>
      </c>
      <c r="L21" s="58" t="s">
        <v>35</v>
      </c>
      <c r="M21" s="58" t="s">
        <v>35</v>
      </c>
      <c r="N21" s="58" t="s">
        <v>35</v>
      </c>
      <c r="O21" s="5" t="s">
        <v>35</v>
      </c>
      <c r="P21" s="58" t="s">
        <v>35</v>
      </c>
      <c r="Q21" s="58" t="s">
        <v>35</v>
      </c>
      <c r="R21" s="58" t="s">
        <v>35</v>
      </c>
      <c r="S21" s="58" t="s">
        <v>35</v>
      </c>
      <c r="T21" s="5">
        <f t="shared" si="3"/>
        <v>291</v>
      </c>
      <c r="U21" s="58">
        <v>291</v>
      </c>
      <c r="V21" s="58">
        <v>0</v>
      </c>
      <c r="W21" s="58">
        <v>0</v>
      </c>
      <c r="X21" s="58">
        <v>0</v>
      </c>
      <c r="Y21" s="5">
        <f>Z21+AA21+AB21+AC21</f>
        <v>329</v>
      </c>
      <c r="Z21" s="70">
        <f>347-14-4</f>
        <v>329</v>
      </c>
      <c r="AA21" s="70">
        <v>0</v>
      </c>
      <c r="AB21" s="70">
        <v>0</v>
      </c>
      <c r="AC21" s="70">
        <v>0</v>
      </c>
      <c r="AD21" s="5">
        <f>T21+Y21</f>
        <v>620</v>
      </c>
      <c r="AE21" s="106" t="s">
        <v>140</v>
      </c>
    </row>
    <row r="22" spans="1:31" s="3" customFormat="1" ht="42.75" customHeight="1">
      <c r="A22" s="89" t="s">
        <v>13</v>
      </c>
      <c r="B22" s="89"/>
      <c r="C22" s="36"/>
      <c r="D22" s="37"/>
      <c r="E22" s="5">
        <f t="shared" si="0"/>
        <v>217</v>
      </c>
      <c r="F22" s="5">
        <f>SUM(F12:F17)</f>
        <v>217</v>
      </c>
      <c r="G22" s="5">
        <f>SUM(G12:G17)</f>
        <v>0</v>
      </c>
      <c r="H22" s="5">
        <f>SUM(H12:H17)</f>
        <v>0</v>
      </c>
      <c r="I22" s="5">
        <f>SUM(I12:I17)</f>
        <v>0</v>
      </c>
      <c r="J22" s="5">
        <f t="shared" si="1"/>
        <v>217</v>
      </c>
      <c r="K22" s="5">
        <f>SUM(K12:K17)</f>
        <v>217</v>
      </c>
      <c r="L22" s="5">
        <f>SUM(L12:L17)</f>
        <v>0</v>
      </c>
      <c r="M22" s="5">
        <f>SUM(M12:M17)</f>
        <v>0</v>
      </c>
      <c r="N22" s="5">
        <f>SUM(N12:N17)</f>
        <v>0</v>
      </c>
      <c r="O22" s="5">
        <f t="shared" si="2"/>
        <v>1909</v>
      </c>
      <c r="P22" s="5">
        <f>P12+P13+P15+P17</f>
        <v>1909</v>
      </c>
      <c r="Q22" s="5">
        <f>SUM(Q12:Q17)</f>
        <v>0</v>
      </c>
      <c r="R22" s="5">
        <f>SUM(R12:R17)</f>
        <v>0</v>
      </c>
      <c r="S22" s="5">
        <f>SUM(S12:S17)</f>
        <v>0</v>
      </c>
      <c r="T22" s="5">
        <f t="shared" si="3"/>
        <v>5863</v>
      </c>
      <c r="U22" s="5">
        <f>SUM(U12:U21)</f>
        <v>5863</v>
      </c>
      <c r="V22" s="5">
        <f>SUM(V12:V21)</f>
        <v>0</v>
      </c>
      <c r="W22" s="5">
        <f>SUM(W12:W21)</f>
        <v>0</v>
      </c>
      <c r="X22" s="5">
        <f>SUM(X12:X21)</f>
        <v>0</v>
      </c>
      <c r="Y22" s="5">
        <f t="shared" si="4"/>
        <v>3374</v>
      </c>
      <c r="Z22" s="5">
        <f>SUM(Z12:Z21)</f>
        <v>3374</v>
      </c>
      <c r="AA22" s="5">
        <f>SUM(AA12:AA21)</f>
        <v>0</v>
      </c>
      <c r="AB22" s="5">
        <f>SUM(AB12:AB17)</f>
        <v>0</v>
      </c>
      <c r="AC22" s="5">
        <f>SUM(AC12:AC17)</f>
        <v>0</v>
      </c>
      <c r="AD22" s="5">
        <f>SUM(AD12:AD21)</f>
        <v>11580</v>
      </c>
      <c r="AE22" s="32">
        <f>E22+J22+O22+T22+Y22</f>
        <v>11580</v>
      </c>
    </row>
    <row r="23" spans="1:30" ht="51" customHeight="1">
      <c r="A23" s="85" t="s">
        <v>50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4" ht="84.75" customHeight="1">
      <c r="A24" s="53" t="s">
        <v>14</v>
      </c>
      <c r="B24" s="9" t="s">
        <v>16</v>
      </c>
      <c r="C24" s="8" t="s">
        <v>11</v>
      </c>
      <c r="D24" s="10">
        <v>2019</v>
      </c>
      <c r="E24" s="5">
        <f>F24+G24+H24+I24</f>
        <v>847</v>
      </c>
      <c r="F24" s="58">
        <f>1292-187-187-71</f>
        <v>847</v>
      </c>
      <c r="G24" s="58">
        <v>0</v>
      </c>
      <c r="H24" s="58">
        <v>0</v>
      </c>
      <c r="I24" s="58">
        <v>0</v>
      </c>
      <c r="J24" s="5">
        <f>K24+L24+M24+N24</f>
        <v>0</v>
      </c>
      <c r="K24" s="58">
        <f>1338-1338</f>
        <v>0</v>
      </c>
      <c r="L24" s="58">
        <v>0</v>
      </c>
      <c r="M24" s="58">
        <v>0</v>
      </c>
      <c r="N24" s="58">
        <v>0</v>
      </c>
      <c r="O24" s="5">
        <f>P24+Q24+R24+S24</f>
        <v>0</v>
      </c>
      <c r="P24" s="58">
        <f>1338-1338</f>
        <v>0</v>
      </c>
      <c r="Q24" s="58">
        <v>0</v>
      </c>
      <c r="R24" s="58">
        <v>0</v>
      </c>
      <c r="S24" s="58">
        <v>0</v>
      </c>
      <c r="T24" s="5">
        <f>U24+V24+W24+X24</f>
        <v>0</v>
      </c>
      <c r="U24" s="58">
        <f>3058-3058</f>
        <v>0</v>
      </c>
      <c r="V24" s="58">
        <v>0</v>
      </c>
      <c r="W24" s="58">
        <v>0</v>
      </c>
      <c r="X24" s="58">
        <v>0</v>
      </c>
      <c r="Y24" s="5">
        <f>Z24+AA24+AB24+AC24</f>
        <v>0</v>
      </c>
      <c r="Z24" s="65">
        <f>3058-3058</f>
        <v>0</v>
      </c>
      <c r="AA24" s="65">
        <v>0</v>
      </c>
      <c r="AB24" s="65">
        <v>0</v>
      </c>
      <c r="AC24" s="65">
        <v>0</v>
      </c>
      <c r="AD24" s="5">
        <f aca="true" t="shared" si="5" ref="AD24:AD30">E24+J24+O24+T24+Y24</f>
        <v>847</v>
      </c>
      <c r="AE24" s="30"/>
      <c r="AF24" s="7"/>
      <c r="AG24" s="7"/>
      <c r="AH24" s="6"/>
    </row>
    <row r="25" spans="1:30" ht="47.25" customHeight="1">
      <c r="A25" s="53" t="s">
        <v>15</v>
      </c>
      <c r="B25" s="9" t="s">
        <v>57</v>
      </c>
      <c r="C25" s="8" t="s">
        <v>68</v>
      </c>
      <c r="D25" s="10" t="s">
        <v>45</v>
      </c>
      <c r="E25" s="5">
        <f aca="true" t="shared" si="6" ref="E25:E32">F25+G25+H25+I25</f>
        <v>1468</v>
      </c>
      <c r="F25" s="58">
        <v>1468</v>
      </c>
      <c r="G25" s="58">
        <v>0</v>
      </c>
      <c r="H25" s="58">
        <v>0</v>
      </c>
      <c r="I25" s="58">
        <v>0</v>
      </c>
      <c r="J25" s="5">
        <f aca="true" t="shared" si="7" ref="J25:J32">K25+L25+M25+N25</f>
        <v>1102</v>
      </c>
      <c r="K25" s="58">
        <f>977+491-366</f>
        <v>1102</v>
      </c>
      <c r="L25" s="58">
        <v>0</v>
      </c>
      <c r="M25" s="58">
        <v>0</v>
      </c>
      <c r="N25" s="58">
        <v>0</v>
      </c>
      <c r="O25" s="5">
        <f aca="true" t="shared" si="8" ref="O25:O32">P25+Q25+R25+S25</f>
        <v>672</v>
      </c>
      <c r="P25" s="58">
        <f>1183-255-256</f>
        <v>672</v>
      </c>
      <c r="Q25" s="58">
        <v>0</v>
      </c>
      <c r="R25" s="58">
        <v>0</v>
      </c>
      <c r="S25" s="58">
        <v>0</v>
      </c>
      <c r="T25" s="5">
        <f aca="true" t="shared" si="9" ref="T25:T32">U25+V25+W25+X25</f>
        <v>1468</v>
      </c>
      <c r="U25" s="58">
        <f>1468</f>
        <v>1468</v>
      </c>
      <c r="V25" s="58">
        <v>0</v>
      </c>
      <c r="W25" s="58">
        <v>0</v>
      </c>
      <c r="X25" s="58">
        <v>0</v>
      </c>
      <c r="Y25" s="5">
        <f aca="true" t="shared" si="10" ref="Y25:Y32">Z25+AA25+AB25+AC25</f>
        <v>1468</v>
      </c>
      <c r="Z25" s="65">
        <v>1468</v>
      </c>
      <c r="AA25" s="65">
        <v>0</v>
      </c>
      <c r="AB25" s="65">
        <v>0</v>
      </c>
      <c r="AC25" s="65">
        <v>0</v>
      </c>
      <c r="AD25" s="5">
        <f t="shared" si="5"/>
        <v>6178</v>
      </c>
    </row>
    <row r="26" spans="1:30" ht="54.75" customHeight="1">
      <c r="A26" s="53" t="s">
        <v>17</v>
      </c>
      <c r="B26" s="9" t="s">
        <v>32</v>
      </c>
      <c r="C26" s="8" t="s">
        <v>68</v>
      </c>
      <c r="D26" s="10" t="s">
        <v>45</v>
      </c>
      <c r="E26" s="5">
        <f t="shared" si="6"/>
        <v>932</v>
      </c>
      <c r="F26" s="58">
        <f>1053-60-61</f>
        <v>932</v>
      </c>
      <c r="G26" s="58">
        <v>0</v>
      </c>
      <c r="H26" s="58">
        <v>0</v>
      </c>
      <c r="I26" s="58">
        <v>0</v>
      </c>
      <c r="J26" s="5">
        <f t="shared" si="7"/>
        <v>395</v>
      </c>
      <c r="K26" s="58">
        <f>1053-658</f>
        <v>395</v>
      </c>
      <c r="L26" s="58">
        <v>0</v>
      </c>
      <c r="M26" s="58">
        <v>0</v>
      </c>
      <c r="N26" s="58">
        <v>0</v>
      </c>
      <c r="O26" s="5">
        <f t="shared" si="8"/>
        <v>704</v>
      </c>
      <c r="P26" s="58">
        <f>1053-349</f>
        <v>704</v>
      </c>
      <c r="Q26" s="58">
        <v>0</v>
      </c>
      <c r="R26" s="58">
        <v>0</v>
      </c>
      <c r="S26" s="58">
        <v>0</v>
      </c>
      <c r="T26" s="5">
        <f t="shared" si="9"/>
        <v>1053</v>
      </c>
      <c r="U26" s="58">
        <f>1553-500</f>
        <v>1053</v>
      </c>
      <c r="V26" s="58">
        <v>0</v>
      </c>
      <c r="W26" s="58">
        <v>0</v>
      </c>
      <c r="X26" s="58">
        <v>0</v>
      </c>
      <c r="Y26" s="5">
        <f t="shared" si="10"/>
        <v>1250</v>
      </c>
      <c r="Z26" s="65">
        <v>1250</v>
      </c>
      <c r="AA26" s="65">
        <v>0</v>
      </c>
      <c r="AB26" s="65">
        <v>0</v>
      </c>
      <c r="AC26" s="65">
        <v>0</v>
      </c>
      <c r="AD26" s="5">
        <f t="shared" si="5"/>
        <v>4334</v>
      </c>
    </row>
    <row r="27" spans="1:30" ht="63" customHeight="1">
      <c r="A27" s="53" t="s">
        <v>18</v>
      </c>
      <c r="B27" s="54" t="s">
        <v>33</v>
      </c>
      <c r="C27" s="8" t="s">
        <v>68</v>
      </c>
      <c r="D27" s="10" t="s">
        <v>45</v>
      </c>
      <c r="E27" s="5">
        <f t="shared" si="6"/>
        <v>1661</v>
      </c>
      <c r="F27" s="58">
        <v>1661</v>
      </c>
      <c r="G27" s="58">
        <v>0</v>
      </c>
      <c r="H27" s="58">
        <v>0</v>
      </c>
      <c r="I27" s="58">
        <v>0</v>
      </c>
      <c r="J27" s="86" t="s">
        <v>66</v>
      </c>
      <c r="K27" s="86"/>
      <c r="L27" s="86"/>
      <c r="M27" s="86"/>
      <c r="N27" s="86"/>
      <c r="O27" s="86" t="s">
        <v>66</v>
      </c>
      <c r="P27" s="86"/>
      <c r="Q27" s="86"/>
      <c r="R27" s="86"/>
      <c r="S27" s="86"/>
      <c r="T27" s="86" t="s">
        <v>66</v>
      </c>
      <c r="U27" s="86"/>
      <c r="V27" s="86"/>
      <c r="W27" s="86"/>
      <c r="X27" s="86"/>
      <c r="Y27" s="86" t="s">
        <v>66</v>
      </c>
      <c r="Z27" s="86"/>
      <c r="AA27" s="86"/>
      <c r="AB27" s="86"/>
      <c r="AC27" s="86"/>
      <c r="AD27" s="5">
        <f>E27</f>
        <v>1661</v>
      </c>
    </row>
    <row r="28" spans="1:34" ht="59.25" customHeight="1">
      <c r="A28" s="76" t="s">
        <v>31</v>
      </c>
      <c r="B28" s="77" t="s">
        <v>116</v>
      </c>
      <c r="C28" s="8" t="s">
        <v>74</v>
      </c>
      <c r="D28" s="10" t="s">
        <v>45</v>
      </c>
      <c r="E28" s="5">
        <f t="shared" si="6"/>
        <v>578</v>
      </c>
      <c r="F28" s="58">
        <v>87</v>
      </c>
      <c r="G28" s="58">
        <v>491</v>
      </c>
      <c r="H28" s="58">
        <v>0</v>
      </c>
      <c r="I28" s="58">
        <v>0</v>
      </c>
      <c r="J28" s="5">
        <f t="shared" si="7"/>
        <v>7309</v>
      </c>
      <c r="K28" s="58">
        <f>0+1338+698-377</f>
        <v>1659</v>
      </c>
      <c r="L28" s="58">
        <f>0+5650</f>
        <v>5650</v>
      </c>
      <c r="M28" s="58">
        <v>0</v>
      </c>
      <c r="N28" s="58">
        <v>0</v>
      </c>
      <c r="O28" s="5">
        <f t="shared" si="8"/>
        <v>921</v>
      </c>
      <c r="P28" s="58">
        <f>795+126</f>
        <v>921</v>
      </c>
      <c r="Q28" s="58">
        <v>0</v>
      </c>
      <c r="R28" s="58">
        <v>0</v>
      </c>
      <c r="S28" s="58">
        <v>0</v>
      </c>
      <c r="T28" s="5">
        <f t="shared" si="9"/>
        <v>783</v>
      </c>
      <c r="U28" s="58">
        <f>403+783-403</f>
        <v>783</v>
      </c>
      <c r="V28" s="58">
        <f>0+3260-3260</f>
        <v>0</v>
      </c>
      <c r="W28" s="58">
        <v>0</v>
      </c>
      <c r="X28" s="58">
        <v>0</v>
      </c>
      <c r="Y28" s="5">
        <f t="shared" si="10"/>
        <v>10910</v>
      </c>
      <c r="Z28" s="65">
        <v>1200</v>
      </c>
      <c r="AA28" s="65">
        <v>9710</v>
      </c>
      <c r="AB28" s="65">
        <v>0</v>
      </c>
      <c r="AC28" s="65">
        <v>0</v>
      </c>
      <c r="AD28" s="5">
        <f t="shared" si="5"/>
        <v>20501</v>
      </c>
      <c r="AE28" s="7"/>
      <c r="AF28" s="44"/>
      <c r="AG28" s="7"/>
      <c r="AH28" s="6"/>
    </row>
    <row r="29" spans="1:34" ht="45" customHeight="1">
      <c r="A29" s="76"/>
      <c r="B29" s="77"/>
      <c r="C29" s="8" t="s">
        <v>68</v>
      </c>
      <c r="D29" s="10">
        <v>2022</v>
      </c>
      <c r="E29" s="5" t="s">
        <v>35</v>
      </c>
      <c r="F29" s="58" t="s">
        <v>35</v>
      </c>
      <c r="G29" s="58" t="s">
        <v>35</v>
      </c>
      <c r="H29" s="58" t="s">
        <v>35</v>
      </c>
      <c r="I29" s="58" t="s">
        <v>35</v>
      </c>
      <c r="J29" s="5" t="s">
        <v>35</v>
      </c>
      <c r="K29" s="58" t="s">
        <v>35</v>
      </c>
      <c r="L29" s="58" t="s">
        <v>35</v>
      </c>
      <c r="M29" s="58" t="s">
        <v>35</v>
      </c>
      <c r="N29" s="58" t="s">
        <v>35</v>
      </c>
      <c r="O29" s="5" t="s">
        <v>35</v>
      </c>
      <c r="P29" s="58" t="s">
        <v>35</v>
      </c>
      <c r="Q29" s="58" t="s">
        <v>35</v>
      </c>
      <c r="R29" s="58" t="s">
        <v>35</v>
      </c>
      <c r="S29" s="58" t="s">
        <v>35</v>
      </c>
      <c r="T29" s="5">
        <f>U29+V29+W29+X29</f>
        <v>591</v>
      </c>
      <c r="U29" s="58">
        <v>591</v>
      </c>
      <c r="V29" s="58">
        <v>0</v>
      </c>
      <c r="W29" s="58">
        <v>0</v>
      </c>
      <c r="X29" s="58">
        <v>0</v>
      </c>
      <c r="Y29" s="5" t="s">
        <v>35</v>
      </c>
      <c r="Z29" s="65" t="s">
        <v>35</v>
      </c>
      <c r="AA29" s="65" t="s">
        <v>35</v>
      </c>
      <c r="AB29" s="65" t="s">
        <v>35</v>
      </c>
      <c r="AC29" s="65" t="s">
        <v>35</v>
      </c>
      <c r="AD29" s="5">
        <f>T29</f>
        <v>591</v>
      </c>
      <c r="AE29" s="7"/>
      <c r="AF29" s="44"/>
      <c r="AG29" s="7"/>
      <c r="AH29" s="6"/>
    </row>
    <row r="30" spans="1:30" ht="45" customHeight="1">
      <c r="A30" s="53" t="s">
        <v>34</v>
      </c>
      <c r="B30" s="19" t="s">
        <v>51</v>
      </c>
      <c r="C30" s="8" t="s">
        <v>68</v>
      </c>
      <c r="D30" s="10"/>
      <c r="E30" s="5">
        <f t="shared" si="6"/>
        <v>0</v>
      </c>
      <c r="F30" s="58">
        <v>0</v>
      </c>
      <c r="G30" s="58">
        <v>0</v>
      </c>
      <c r="H30" s="58">
        <v>0</v>
      </c>
      <c r="I30" s="58">
        <v>0</v>
      </c>
      <c r="J30" s="5">
        <f t="shared" si="7"/>
        <v>0</v>
      </c>
      <c r="K30" s="58">
        <v>0</v>
      </c>
      <c r="L30" s="58">
        <v>0</v>
      </c>
      <c r="M30" s="58">
        <v>0</v>
      </c>
      <c r="N30" s="58">
        <v>0</v>
      </c>
      <c r="O30" s="5">
        <f t="shared" si="8"/>
        <v>0</v>
      </c>
      <c r="P30" s="58">
        <v>0</v>
      </c>
      <c r="Q30" s="58">
        <v>0</v>
      </c>
      <c r="R30" s="58">
        <v>0</v>
      </c>
      <c r="S30" s="58">
        <v>0</v>
      </c>
      <c r="T30" s="5">
        <f t="shared" si="9"/>
        <v>0</v>
      </c>
      <c r="U30" s="58">
        <f>100-100</f>
        <v>0</v>
      </c>
      <c r="V30" s="58">
        <v>0</v>
      </c>
      <c r="W30" s="58">
        <v>0</v>
      </c>
      <c r="X30" s="58">
        <v>0</v>
      </c>
      <c r="Y30" s="5">
        <f t="shared" si="10"/>
        <v>0</v>
      </c>
      <c r="Z30" s="65">
        <f>100-100</f>
        <v>0</v>
      </c>
      <c r="AA30" s="65">
        <v>0</v>
      </c>
      <c r="AB30" s="65">
        <v>0</v>
      </c>
      <c r="AC30" s="65">
        <v>0</v>
      </c>
      <c r="AD30" s="5">
        <f t="shared" si="5"/>
        <v>0</v>
      </c>
    </row>
    <row r="31" spans="1:31" ht="75" customHeight="1">
      <c r="A31" s="53" t="s">
        <v>114</v>
      </c>
      <c r="B31" s="19" t="s">
        <v>119</v>
      </c>
      <c r="C31" s="8" t="s">
        <v>74</v>
      </c>
      <c r="D31" s="10" t="s">
        <v>126</v>
      </c>
      <c r="E31" s="5" t="s">
        <v>35</v>
      </c>
      <c r="F31" s="58" t="s">
        <v>35</v>
      </c>
      <c r="G31" s="58" t="s">
        <v>35</v>
      </c>
      <c r="H31" s="58" t="s">
        <v>35</v>
      </c>
      <c r="I31" s="58" t="s">
        <v>35</v>
      </c>
      <c r="J31" s="5" t="s">
        <v>35</v>
      </c>
      <c r="K31" s="58" t="s">
        <v>35</v>
      </c>
      <c r="L31" s="58" t="s">
        <v>35</v>
      </c>
      <c r="M31" s="58" t="s">
        <v>35</v>
      </c>
      <c r="N31" s="58" t="s">
        <v>35</v>
      </c>
      <c r="O31" s="5" t="s">
        <v>35</v>
      </c>
      <c r="P31" s="58" t="s">
        <v>35</v>
      </c>
      <c r="Q31" s="58" t="s">
        <v>35</v>
      </c>
      <c r="R31" s="58" t="s">
        <v>35</v>
      </c>
      <c r="S31" s="58" t="s">
        <v>35</v>
      </c>
      <c r="T31" s="5">
        <f>U31+V31+W31+X31</f>
        <v>4898</v>
      </c>
      <c r="U31" s="58">
        <v>539</v>
      </c>
      <c r="V31" s="58">
        <v>4359</v>
      </c>
      <c r="W31" s="58">
        <v>0</v>
      </c>
      <c r="X31" s="58">
        <v>0</v>
      </c>
      <c r="Y31" s="5">
        <f t="shared" si="10"/>
        <v>10312</v>
      </c>
      <c r="Z31" s="70">
        <f>9159+1153</f>
        <v>10312</v>
      </c>
      <c r="AA31" s="70">
        <v>0</v>
      </c>
      <c r="AB31" s="70">
        <v>0</v>
      </c>
      <c r="AC31" s="70">
        <v>0</v>
      </c>
      <c r="AD31" s="5">
        <f>T31+Y31</f>
        <v>15210</v>
      </c>
      <c r="AE31" s="106" t="s">
        <v>135</v>
      </c>
    </row>
    <row r="32" spans="1:31" ht="36" customHeight="1">
      <c r="A32" s="90" t="s">
        <v>19</v>
      </c>
      <c r="B32" s="90"/>
      <c r="C32" s="36"/>
      <c r="D32" s="38"/>
      <c r="E32" s="5">
        <f t="shared" si="6"/>
        <v>5486</v>
      </c>
      <c r="F32" s="5">
        <f>SUM(F24:F30)</f>
        <v>4995</v>
      </c>
      <c r="G32" s="5">
        <f>SUM(G24:G30)</f>
        <v>491</v>
      </c>
      <c r="H32" s="5">
        <f>SUM(H24:H30)</f>
        <v>0</v>
      </c>
      <c r="I32" s="5">
        <f>SUM(I24:I30)</f>
        <v>0</v>
      </c>
      <c r="J32" s="5">
        <f t="shared" si="7"/>
        <v>8806</v>
      </c>
      <c r="K32" s="5">
        <f>SUM(K24:K30)</f>
        <v>3156</v>
      </c>
      <c r="L32" s="5">
        <f>SUM(L24:L30)</f>
        <v>5650</v>
      </c>
      <c r="M32" s="5">
        <f>SUM(M24:M30)</f>
        <v>0</v>
      </c>
      <c r="N32" s="5">
        <f>SUM(N24:N30)</f>
        <v>0</v>
      </c>
      <c r="O32" s="5">
        <f t="shared" si="8"/>
        <v>2297</v>
      </c>
      <c r="P32" s="5">
        <f>SUM(P24:P30)</f>
        <v>2297</v>
      </c>
      <c r="Q32" s="5">
        <f>SUM(Q24:Q30)</f>
        <v>0</v>
      </c>
      <c r="R32" s="5">
        <f>SUM(R24:R30)</f>
        <v>0</v>
      </c>
      <c r="S32" s="5">
        <f>SUM(S24:S30)</f>
        <v>0</v>
      </c>
      <c r="T32" s="5">
        <f t="shared" si="9"/>
        <v>8793</v>
      </c>
      <c r="U32" s="5">
        <f>SUM(U24:U31)</f>
        <v>4434</v>
      </c>
      <c r="V32" s="5">
        <f>SUM(V24:V31)</f>
        <v>4359</v>
      </c>
      <c r="W32" s="5">
        <f>SUM(W24:W31)</f>
        <v>0</v>
      </c>
      <c r="X32" s="5">
        <f>SUM(X24:X31)</f>
        <v>0</v>
      </c>
      <c r="Y32" s="5">
        <f t="shared" si="10"/>
        <v>23940</v>
      </c>
      <c r="Z32" s="5">
        <f>SUM(Z24:Z31)</f>
        <v>14230</v>
      </c>
      <c r="AA32" s="5">
        <f>SUM(AA24:AA31)</f>
        <v>9710</v>
      </c>
      <c r="AB32" s="5">
        <f>SUM(AB24:AB30)</f>
        <v>0</v>
      </c>
      <c r="AC32" s="5">
        <f>SUM(AC24:AC30)</f>
        <v>0</v>
      </c>
      <c r="AD32" s="5">
        <f>SUM(AD24:AD31)</f>
        <v>49322</v>
      </c>
      <c r="AE32" s="32">
        <f>E32+J32+O32+T32+Y32</f>
        <v>49322</v>
      </c>
    </row>
    <row r="33" spans="1:32" ht="40.5" customHeight="1">
      <c r="A33" s="77" t="s">
        <v>63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29"/>
      <c r="AF33" s="45"/>
    </row>
    <row r="34" spans="1:32" ht="69.75" customHeight="1">
      <c r="A34" s="53" t="s">
        <v>20</v>
      </c>
      <c r="B34" s="20" t="s">
        <v>120</v>
      </c>
      <c r="C34" s="8" t="s">
        <v>70</v>
      </c>
      <c r="D34" s="58" t="s">
        <v>45</v>
      </c>
      <c r="E34" s="5">
        <f>F34+G34+H34+I34</f>
        <v>1962</v>
      </c>
      <c r="F34" s="58">
        <v>399</v>
      </c>
      <c r="G34" s="58">
        <v>1563</v>
      </c>
      <c r="H34" s="58">
        <v>0</v>
      </c>
      <c r="I34" s="58">
        <v>0</v>
      </c>
      <c r="J34" s="5">
        <f>K34+L34+M34+N34</f>
        <v>3632</v>
      </c>
      <c r="K34" s="58">
        <f>350+64</f>
        <v>414</v>
      </c>
      <c r="L34" s="58">
        <f>2832+386</f>
        <v>3218</v>
      </c>
      <c r="M34" s="58">
        <v>0</v>
      </c>
      <c r="N34" s="58">
        <v>0</v>
      </c>
      <c r="O34" s="5">
        <f aca="true" t="shared" si="11" ref="O34:O39">P34+Q34+R34+S34</f>
        <v>2839</v>
      </c>
      <c r="P34" s="58">
        <v>324</v>
      </c>
      <c r="Q34" s="58">
        <v>2515</v>
      </c>
      <c r="R34" s="58">
        <v>0</v>
      </c>
      <c r="S34" s="58">
        <v>0</v>
      </c>
      <c r="T34" s="5">
        <f>U34+V34+W34+X34</f>
        <v>2752</v>
      </c>
      <c r="U34" s="58">
        <f>285-64+420</f>
        <v>641</v>
      </c>
      <c r="V34" s="58">
        <f>2308-520+323</f>
        <v>2111</v>
      </c>
      <c r="W34" s="58">
        <v>0</v>
      </c>
      <c r="X34" s="58">
        <v>0</v>
      </c>
      <c r="Y34" s="5">
        <f>Z34+AA34+AB34+AC34</f>
        <v>3010</v>
      </c>
      <c r="Z34" s="68">
        <f>3010</f>
        <v>3010</v>
      </c>
      <c r="AA34" s="68">
        <v>0</v>
      </c>
      <c r="AB34" s="68">
        <v>0</v>
      </c>
      <c r="AC34" s="68">
        <v>0</v>
      </c>
      <c r="AD34" s="5">
        <f>E34+J34+O34+T34+Y34</f>
        <v>14195</v>
      </c>
      <c r="AE34" s="106" t="s">
        <v>134</v>
      </c>
      <c r="AF34" s="107"/>
    </row>
    <row r="35" spans="1:32" ht="75" customHeight="1">
      <c r="A35" s="53" t="s">
        <v>21</v>
      </c>
      <c r="B35" s="39" t="s">
        <v>121</v>
      </c>
      <c r="C35" s="8" t="s">
        <v>71</v>
      </c>
      <c r="D35" s="58" t="s">
        <v>45</v>
      </c>
      <c r="E35" s="5">
        <f>F35+G35+H35+I35</f>
        <v>2460</v>
      </c>
      <c r="F35" s="58">
        <f>656-13</f>
        <v>643</v>
      </c>
      <c r="G35" s="58">
        <f>1838-21</f>
        <v>1817</v>
      </c>
      <c r="H35" s="58">
        <v>0</v>
      </c>
      <c r="I35" s="58">
        <v>0</v>
      </c>
      <c r="J35" s="5">
        <f>K35+L35+M35+N35</f>
        <v>2966</v>
      </c>
      <c r="K35" s="58">
        <f>227+153</f>
        <v>380</v>
      </c>
      <c r="L35" s="58">
        <f>1379+1207</f>
        <v>2586</v>
      </c>
      <c r="M35" s="58">
        <v>0</v>
      </c>
      <c r="N35" s="58">
        <v>0</v>
      </c>
      <c r="O35" s="5">
        <f t="shared" si="11"/>
        <v>2372</v>
      </c>
      <c r="P35" s="58">
        <f>1362+264-151</f>
        <v>1475</v>
      </c>
      <c r="Q35" s="58">
        <f>0+2094-1197</f>
        <v>897</v>
      </c>
      <c r="R35" s="58">
        <v>0</v>
      </c>
      <c r="S35" s="58">
        <v>0</v>
      </c>
      <c r="T35" s="5">
        <f>U35+V35+W35+X35</f>
        <v>640</v>
      </c>
      <c r="U35" s="58">
        <f>212-70-72</f>
        <v>70</v>
      </c>
      <c r="V35" s="58">
        <f>1716-570-576</f>
        <v>570</v>
      </c>
      <c r="W35" s="58">
        <v>0</v>
      </c>
      <c r="X35" s="58">
        <v>0</v>
      </c>
      <c r="Y35" s="5">
        <f>Z35+AA35+AB35+AC35</f>
        <v>1186</v>
      </c>
      <c r="Z35" s="70">
        <f>2004-818</f>
        <v>1186</v>
      </c>
      <c r="AA35" s="70">
        <v>0</v>
      </c>
      <c r="AB35" s="70">
        <v>0</v>
      </c>
      <c r="AC35" s="70">
        <v>0</v>
      </c>
      <c r="AD35" s="5">
        <f>E35+J35+O35+T35+Y35</f>
        <v>9624</v>
      </c>
      <c r="AE35" s="108" t="s">
        <v>138</v>
      </c>
      <c r="AF35" s="109"/>
    </row>
    <row r="36" spans="1:40" ht="60" customHeight="1">
      <c r="A36" s="53" t="s">
        <v>46</v>
      </c>
      <c r="B36" s="39" t="s">
        <v>122</v>
      </c>
      <c r="C36" s="8" t="s">
        <v>72</v>
      </c>
      <c r="D36" s="58" t="s">
        <v>48</v>
      </c>
      <c r="E36" s="5">
        <f>F36+G36+H36+I36</f>
        <v>1126</v>
      </c>
      <c r="F36" s="58">
        <f>250-21</f>
        <v>229</v>
      </c>
      <c r="G36" s="58">
        <f>980-83</f>
        <v>897</v>
      </c>
      <c r="H36" s="58">
        <v>0</v>
      </c>
      <c r="I36" s="58">
        <v>0</v>
      </c>
      <c r="J36" s="5">
        <f>K36+L36+M36+N36</f>
        <v>967</v>
      </c>
      <c r="K36" s="58">
        <f>92+21</f>
        <v>113</v>
      </c>
      <c r="L36" s="58">
        <f>748+106</f>
        <v>854</v>
      </c>
      <c r="M36" s="58">
        <v>0</v>
      </c>
      <c r="N36" s="58">
        <v>0</v>
      </c>
      <c r="O36" s="5">
        <f t="shared" si="11"/>
        <v>1685</v>
      </c>
      <c r="P36" s="58">
        <f>89+109</f>
        <v>198</v>
      </c>
      <c r="Q36" s="58">
        <f>717+770</f>
        <v>1487</v>
      </c>
      <c r="R36" s="58">
        <v>0</v>
      </c>
      <c r="S36" s="58">
        <v>0</v>
      </c>
      <c r="T36" s="5">
        <f>U36+V36+W36+X36</f>
        <v>1497</v>
      </c>
      <c r="U36" s="58">
        <f>127-2+40</f>
        <v>165</v>
      </c>
      <c r="V36" s="58">
        <f>1027-17+322</f>
        <v>1332</v>
      </c>
      <c r="W36" s="58">
        <v>0</v>
      </c>
      <c r="X36" s="58">
        <v>0</v>
      </c>
      <c r="Y36" s="5">
        <f>Z36+AA36+AB36+AC36</f>
        <v>0</v>
      </c>
      <c r="Z36" s="70">
        <v>0</v>
      </c>
      <c r="AA36" s="70">
        <v>0</v>
      </c>
      <c r="AB36" s="70">
        <v>0</v>
      </c>
      <c r="AC36" s="70">
        <v>0</v>
      </c>
      <c r="AD36" s="5">
        <f>E36+J36+O36+T36+Y36</f>
        <v>5275</v>
      </c>
      <c r="AE36" s="106"/>
      <c r="AF36" s="107"/>
      <c r="AN36" s="4"/>
    </row>
    <row r="37" spans="1:32" ht="81.75" customHeight="1">
      <c r="A37" s="53" t="s">
        <v>47</v>
      </c>
      <c r="B37" s="39" t="s">
        <v>118</v>
      </c>
      <c r="C37" s="8" t="s">
        <v>73</v>
      </c>
      <c r="D37" s="58" t="s">
        <v>45</v>
      </c>
      <c r="E37" s="5">
        <f>F37+G37+H37+I37</f>
        <v>184</v>
      </c>
      <c r="F37" s="58">
        <v>37</v>
      </c>
      <c r="G37" s="58">
        <v>147</v>
      </c>
      <c r="H37" s="58">
        <v>0</v>
      </c>
      <c r="I37" s="58">
        <v>0</v>
      </c>
      <c r="J37" s="5">
        <f>K37+L37+M37+N37</f>
        <v>341</v>
      </c>
      <c r="K37" s="58">
        <f>33+6</f>
        <v>39</v>
      </c>
      <c r="L37" s="58">
        <f>265+37</f>
        <v>302</v>
      </c>
      <c r="M37" s="58">
        <v>0</v>
      </c>
      <c r="N37" s="58">
        <v>0</v>
      </c>
      <c r="O37" s="5">
        <f t="shared" si="11"/>
        <v>366</v>
      </c>
      <c r="P37" s="58">
        <f>417+39-126</f>
        <v>330</v>
      </c>
      <c r="Q37" s="58">
        <f>0+36</f>
        <v>36</v>
      </c>
      <c r="R37" s="58">
        <v>0</v>
      </c>
      <c r="S37" s="58">
        <v>0</v>
      </c>
      <c r="T37" s="5">
        <f>U37+V37+W37+X37</f>
        <v>291</v>
      </c>
      <c r="U37" s="58">
        <f>36+4-8</f>
        <v>32</v>
      </c>
      <c r="V37" s="58">
        <f>286+41-68</f>
        <v>259</v>
      </c>
      <c r="W37" s="58">
        <v>0</v>
      </c>
      <c r="X37" s="58">
        <v>0</v>
      </c>
      <c r="Y37" s="5">
        <f>Z37+AA37+AB37+AC37</f>
        <v>243</v>
      </c>
      <c r="Z37" s="70">
        <f>835-592</f>
        <v>243</v>
      </c>
      <c r="AA37" s="70">
        <v>0</v>
      </c>
      <c r="AB37" s="70">
        <v>0</v>
      </c>
      <c r="AC37" s="70">
        <v>0</v>
      </c>
      <c r="AD37" s="5">
        <f>E37+J37+O37+T37+Y37</f>
        <v>1425</v>
      </c>
      <c r="AE37" s="108" t="s">
        <v>143</v>
      </c>
      <c r="AF37" s="109"/>
    </row>
    <row r="38" spans="1:30" ht="157.5" customHeight="1">
      <c r="A38" s="53" t="s">
        <v>87</v>
      </c>
      <c r="B38" s="39" t="s">
        <v>98</v>
      </c>
      <c r="C38" s="8" t="s">
        <v>11</v>
      </c>
      <c r="D38" s="10">
        <v>2021</v>
      </c>
      <c r="E38" s="5" t="s">
        <v>35</v>
      </c>
      <c r="F38" s="58" t="s">
        <v>35</v>
      </c>
      <c r="G38" s="58" t="s">
        <v>35</v>
      </c>
      <c r="H38" s="58" t="s">
        <v>35</v>
      </c>
      <c r="I38" s="58" t="s">
        <v>35</v>
      </c>
      <c r="J38" s="5" t="s">
        <v>35</v>
      </c>
      <c r="K38" s="58" t="s">
        <v>35</v>
      </c>
      <c r="L38" s="58" t="s">
        <v>35</v>
      </c>
      <c r="M38" s="58" t="s">
        <v>35</v>
      </c>
      <c r="N38" s="58" t="s">
        <v>35</v>
      </c>
      <c r="O38" s="5">
        <f t="shared" si="11"/>
        <v>259</v>
      </c>
      <c r="P38" s="58">
        <v>65</v>
      </c>
      <c r="Q38" s="58">
        <v>194</v>
      </c>
      <c r="R38" s="58">
        <v>0</v>
      </c>
      <c r="S38" s="58">
        <v>0</v>
      </c>
      <c r="T38" s="5" t="s">
        <v>35</v>
      </c>
      <c r="U38" s="58" t="s">
        <v>35</v>
      </c>
      <c r="V38" s="58" t="s">
        <v>35</v>
      </c>
      <c r="W38" s="58" t="s">
        <v>35</v>
      </c>
      <c r="X38" s="58" t="s">
        <v>35</v>
      </c>
      <c r="Y38" s="5" t="s">
        <v>35</v>
      </c>
      <c r="Z38" s="65" t="s">
        <v>35</v>
      </c>
      <c r="AA38" s="65" t="s">
        <v>35</v>
      </c>
      <c r="AB38" s="65" t="s">
        <v>35</v>
      </c>
      <c r="AC38" s="65" t="s">
        <v>35</v>
      </c>
      <c r="AD38" s="5">
        <f>O38</f>
        <v>259</v>
      </c>
    </row>
    <row r="39" spans="1:31" ht="45" customHeight="1">
      <c r="A39" s="90" t="s">
        <v>22</v>
      </c>
      <c r="B39" s="90"/>
      <c r="C39" s="62"/>
      <c r="D39" s="11"/>
      <c r="E39" s="5">
        <f>F39+G39+H39+I39</f>
        <v>5732</v>
      </c>
      <c r="F39" s="5">
        <f>SUM(F34:F37)</f>
        <v>1308</v>
      </c>
      <c r="G39" s="5">
        <f>SUM(G34:G37)</f>
        <v>4424</v>
      </c>
      <c r="H39" s="5">
        <f>SUM(H34:H37)</f>
        <v>0</v>
      </c>
      <c r="I39" s="5">
        <f>SUM(I34:I37)</f>
        <v>0</v>
      </c>
      <c r="J39" s="5">
        <f>K39+L39+M39+N39</f>
        <v>7906</v>
      </c>
      <c r="K39" s="5">
        <f>SUM(K34:K37)</f>
        <v>946</v>
      </c>
      <c r="L39" s="5">
        <f>SUM(L34:L37)</f>
        <v>6960</v>
      </c>
      <c r="M39" s="5">
        <f>SUM(M34:M37)</f>
        <v>0</v>
      </c>
      <c r="N39" s="5">
        <f>SUM(N34:N37)</f>
        <v>0</v>
      </c>
      <c r="O39" s="5">
        <f t="shared" si="11"/>
        <v>7521</v>
      </c>
      <c r="P39" s="5">
        <f>SUM(P34:P38)</f>
        <v>2392</v>
      </c>
      <c r="Q39" s="5">
        <f>SUM(Q34:Q38)</f>
        <v>5129</v>
      </c>
      <c r="R39" s="5">
        <f>SUM(R34:R38)</f>
        <v>0</v>
      </c>
      <c r="S39" s="5">
        <f>SUM(S34:S38)</f>
        <v>0</v>
      </c>
      <c r="T39" s="5">
        <f>U39+V39+W39+X39</f>
        <v>5180</v>
      </c>
      <c r="U39" s="5">
        <f>SUM(U34:U38)</f>
        <v>908</v>
      </c>
      <c r="V39" s="5">
        <f>SUM(V34:V38)</f>
        <v>4272</v>
      </c>
      <c r="W39" s="5">
        <f>SUM(W34:W37)</f>
        <v>0</v>
      </c>
      <c r="X39" s="5">
        <f>SUM(X34:X37)</f>
        <v>0</v>
      </c>
      <c r="Y39" s="5">
        <f>Z39+AA39+AB39+AC39</f>
        <v>4439</v>
      </c>
      <c r="Z39" s="5">
        <f>SUM(Z34:Z37)</f>
        <v>4439</v>
      </c>
      <c r="AA39" s="5">
        <f>SUM(AA34:AA37)</f>
        <v>0</v>
      </c>
      <c r="AB39" s="5">
        <f>SUM(AB34:AB37)</f>
        <v>0</v>
      </c>
      <c r="AC39" s="5">
        <f>SUM(AC34:AC37)</f>
        <v>0</v>
      </c>
      <c r="AD39" s="5">
        <f>SUM(AD34:AD38)</f>
        <v>30778</v>
      </c>
      <c r="AE39" s="32">
        <f>E39+J39+O39+T39+Y39</f>
        <v>30778</v>
      </c>
    </row>
    <row r="40" spans="1:30" ht="45" customHeight="1">
      <c r="A40" s="88" t="s">
        <v>55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</row>
    <row r="41" spans="1:31" ht="57" customHeight="1">
      <c r="A41" s="64" t="s">
        <v>52</v>
      </c>
      <c r="B41" s="60" t="s">
        <v>54</v>
      </c>
      <c r="C41" s="8" t="s">
        <v>68</v>
      </c>
      <c r="D41" s="10" t="s">
        <v>45</v>
      </c>
      <c r="E41" s="5">
        <f>F41+G41+H41+I41</f>
        <v>2386</v>
      </c>
      <c r="F41" s="58">
        <v>2386</v>
      </c>
      <c r="G41" s="58">
        <v>0</v>
      </c>
      <c r="H41" s="58">
        <v>0</v>
      </c>
      <c r="I41" s="58">
        <v>0</v>
      </c>
      <c r="J41" s="5">
        <f>K41+L41+M41+N41</f>
        <v>7524</v>
      </c>
      <c r="K41" s="58">
        <f>0+7563-39</f>
        <v>7524</v>
      </c>
      <c r="L41" s="58">
        <v>0</v>
      </c>
      <c r="M41" s="58">
        <v>0</v>
      </c>
      <c r="N41" s="58">
        <v>0</v>
      </c>
      <c r="O41" s="5">
        <f>P41+Q41+R41+S41</f>
        <v>6474</v>
      </c>
      <c r="P41" s="58">
        <f>5663+113+175+304+50+169</f>
        <v>6474</v>
      </c>
      <c r="Q41" s="58">
        <v>0</v>
      </c>
      <c r="R41" s="58">
        <v>0</v>
      </c>
      <c r="S41" s="58">
        <v>0</v>
      </c>
      <c r="T41" s="5">
        <f>U41+V41+W41+X41</f>
        <v>10498</v>
      </c>
      <c r="U41" s="58">
        <f>9279+53+1166</f>
        <v>10498</v>
      </c>
      <c r="V41" s="58">
        <v>0</v>
      </c>
      <c r="W41" s="58">
        <v>0</v>
      </c>
      <c r="X41" s="58">
        <v>0</v>
      </c>
      <c r="Y41" s="5">
        <f>Z41+AA41+AB41+AC41</f>
        <v>12418</v>
      </c>
      <c r="Z41" s="70">
        <f>10790+1376+592-446+106</f>
        <v>12418</v>
      </c>
      <c r="AA41" s="70">
        <v>0</v>
      </c>
      <c r="AB41" s="70">
        <v>0</v>
      </c>
      <c r="AC41" s="70">
        <v>0</v>
      </c>
      <c r="AD41" s="5">
        <f>E41+J41+O41+T41+Y41</f>
        <v>39300</v>
      </c>
      <c r="AE41" s="106" t="s">
        <v>141</v>
      </c>
    </row>
    <row r="42" spans="1:30" ht="81" customHeight="1">
      <c r="A42" s="64" t="s">
        <v>83</v>
      </c>
      <c r="B42" s="27" t="s">
        <v>84</v>
      </c>
      <c r="C42" s="8" t="s">
        <v>11</v>
      </c>
      <c r="D42" s="10">
        <v>2020</v>
      </c>
      <c r="E42" s="5" t="s">
        <v>35</v>
      </c>
      <c r="F42" s="58" t="s">
        <v>35</v>
      </c>
      <c r="G42" s="58" t="s">
        <v>35</v>
      </c>
      <c r="H42" s="58" t="s">
        <v>35</v>
      </c>
      <c r="I42" s="58" t="s">
        <v>35</v>
      </c>
      <c r="J42" s="5">
        <f>K42+L42+M42+N42</f>
        <v>297</v>
      </c>
      <c r="K42" s="58">
        <f>300-3</f>
        <v>297</v>
      </c>
      <c r="L42" s="58">
        <v>0</v>
      </c>
      <c r="M42" s="58">
        <v>0</v>
      </c>
      <c r="N42" s="58">
        <v>0</v>
      </c>
      <c r="O42" s="5" t="s">
        <v>35</v>
      </c>
      <c r="P42" s="58" t="s">
        <v>35</v>
      </c>
      <c r="Q42" s="58" t="s">
        <v>35</v>
      </c>
      <c r="R42" s="58" t="s">
        <v>35</v>
      </c>
      <c r="S42" s="58" t="s">
        <v>35</v>
      </c>
      <c r="T42" s="5" t="s">
        <v>35</v>
      </c>
      <c r="U42" s="58" t="s">
        <v>35</v>
      </c>
      <c r="V42" s="58" t="s">
        <v>35</v>
      </c>
      <c r="W42" s="58" t="s">
        <v>35</v>
      </c>
      <c r="X42" s="58" t="s">
        <v>35</v>
      </c>
      <c r="Y42" s="5" t="s">
        <v>35</v>
      </c>
      <c r="Z42" s="70" t="s">
        <v>35</v>
      </c>
      <c r="AA42" s="70" t="s">
        <v>35</v>
      </c>
      <c r="AB42" s="70" t="s">
        <v>35</v>
      </c>
      <c r="AC42" s="70" t="s">
        <v>35</v>
      </c>
      <c r="AD42" s="5">
        <f>J42</f>
        <v>297</v>
      </c>
    </row>
    <row r="43" spans="1:31" ht="38.25" customHeight="1">
      <c r="A43" s="21"/>
      <c r="B43" s="22" t="s">
        <v>53</v>
      </c>
      <c r="C43" s="62"/>
      <c r="D43" s="11"/>
      <c r="E43" s="5">
        <f>F43+G43+H43+I43</f>
        <v>2386</v>
      </c>
      <c r="F43" s="5">
        <f>SUM(F41)</f>
        <v>2386</v>
      </c>
      <c r="G43" s="5">
        <f>SUM(G41)</f>
        <v>0</v>
      </c>
      <c r="H43" s="5">
        <f>SUM(H41)</f>
        <v>0</v>
      </c>
      <c r="I43" s="5">
        <f>SUM(I41)</f>
        <v>0</v>
      </c>
      <c r="J43" s="5">
        <f>K43+L43+M43+N43</f>
        <v>7821</v>
      </c>
      <c r="K43" s="5">
        <f>SUM(K41+K42)</f>
        <v>7821</v>
      </c>
      <c r="L43" s="5">
        <f>SUM(L41)</f>
        <v>0</v>
      </c>
      <c r="M43" s="5">
        <f>SUM(M41)</f>
        <v>0</v>
      </c>
      <c r="N43" s="5">
        <f>SUM(N41)</f>
        <v>0</v>
      </c>
      <c r="O43" s="5">
        <f>P43+Q43+R43+S43</f>
        <v>6474</v>
      </c>
      <c r="P43" s="5">
        <f>SUM(P41)</f>
        <v>6474</v>
      </c>
      <c r="Q43" s="5">
        <f>SUM(Q41)</f>
        <v>0</v>
      </c>
      <c r="R43" s="5">
        <f>SUM(R41)</f>
        <v>0</v>
      </c>
      <c r="S43" s="5">
        <f>SUM(S41)</f>
        <v>0</v>
      </c>
      <c r="T43" s="5">
        <f>U43+V43+W43+X43</f>
        <v>10498</v>
      </c>
      <c r="U43" s="5">
        <f>SUM(U41)</f>
        <v>10498</v>
      </c>
      <c r="V43" s="5">
        <f>SUM(V41)</f>
        <v>0</v>
      </c>
      <c r="W43" s="5">
        <f>SUM(W41)</f>
        <v>0</v>
      </c>
      <c r="X43" s="5">
        <f>SUM(X41)</f>
        <v>0</v>
      </c>
      <c r="Y43" s="5">
        <f>Z43+AA43+AB43+AC43</f>
        <v>12418</v>
      </c>
      <c r="Z43" s="5">
        <f>SUM(Z41)</f>
        <v>12418</v>
      </c>
      <c r="AA43" s="5">
        <f>SUM(AA41)</f>
        <v>0</v>
      </c>
      <c r="AB43" s="5">
        <f>SUM(AB41)</f>
        <v>0</v>
      </c>
      <c r="AC43" s="5">
        <f>SUM(AC41)</f>
        <v>0</v>
      </c>
      <c r="AD43" s="5">
        <f>SUM(AD41+AD42)</f>
        <v>39597</v>
      </c>
      <c r="AE43" s="32">
        <f>E43+J43+O43+T43+Y43</f>
        <v>39597</v>
      </c>
    </row>
    <row r="44" spans="1:31" ht="38.25" customHeight="1">
      <c r="A44" s="88" t="s">
        <v>64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29"/>
    </row>
    <row r="45" spans="1:32" ht="60" customHeight="1">
      <c r="A45" s="64" t="s">
        <v>61</v>
      </c>
      <c r="B45" s="20" t="s">
        <v>23</v>
      </c>
      <c r="C45" s="8" t="s">
        <v>67</v>
      </c>
      <c r="D45" s="10" t="s">
        <v>45</v>
      </c>
      <c r="E45" s="5">
        <f>F45+G45+H45+I45</f>
        <v>289</v>
      </c>
      <c r="F45" s="58">
        <f>427-69-69</f>
        <v>289</v>
      </c>
      <c r="G45" s="58">
        <v>0</v>
      </c>
      <c r="H45" s="58">
        <v>0</v>
      </c>
      <c r="I45" s="58">
        <v>0</v>
      </c>
      <c r="J45" s="5">
        <f>K45+L45+M45+N45</f>
        <v>377</v>
      </c>
      <c r="K45" s="58">
        <f>0+377</f>
        <v>377</v>
      </c>
      <c r="L45" s="58">
        <v>0</v>
      </c>
      <c r="M45" s="58">
        <v>0</v>
      </c>
      <c r="N45" s="58">
        <v>0</v>
      </c>
      <c r="O45" s="5">
        <f>P45+Q45+R45+S45</f>
        <v>1332</v>
      </c>
      <c r="P45" s="58">
        <v>1332</v>
      </c>
      <c r="Q45" s="58">
        <v>0</v>
      </c>
      <c r="R45" s="58">
        <v>0</v>
      </c>
      <c r="S45" s="58">
        <v>0</v>
      </c>
      <c r="T45" s="5">
        <f>U45+V45+W45+X45</f>
        <v>1114</v>
      </c>
      <c r="U45" s="58">
        <f>1180-66</f>
        <v>1114</v>
      </c>
      <c r="V45" s="58">
        <v>0</v>
      </c>
      <c r="W45" s="58">
        <v>0</v>
      </c>
      <c r="X45" s="58">
        <v>0</v>
      </c>
      <c r="Y45" s="5">
        <f>Z45+AA45+AB45+AC45</f>
        <v>2126</v>
      </c>
      <c r="Z45" s="70">
        <f>1867+259</f>
        <v>2126</v>
      </c>
      <c r="AA45" s="70">
        <v>0</v>
      </c>
      <c r="AB45" s="70">
        <v>0</v>
      </c>
      <c r="AC45" s="70">
        <v>0</v>
      </c>
      <c r="AD45" s="5">
        <f>E45+J45+O45+T45+Y45</f>
        <v>5238</v>
      </c>
      <c r="AE45" s="108" t="s">
        <v>136</v>
      </c>
      <c r="AF45" s="109"/>
    </row>
    <row r="46" spans="1:30" ht="55.5" customHeight="1">
      <c r="A46" s="53" t="s">
        <v>62</v>
      </c>
      <c r="B46" s="9" t="s">
        <v>59</v>
      </c>
      <c r="C46" s="8" t="s">
        <v>68</v>
      </c>
      <c r="D46" s="8"/>
      <c r="E46" s="5">
        <f>F46+G46+H46+I46</f>
        <v>0</v>
      </c>
      <c r="F46" s="58">
        <v>0</v>
      </c>
      <c r="G46" s="58">
        <v>0</v>
      </c>
      <c r="H46" s="58">
        <v>0</v>
      </c>
      <c r="I46" s="58">
        <v>0</v>
      </c>
      <c r="J46" s="5">
        <f>K46+L46+M46+N46</f>
        <v>0</v>
      </c>
      <c r="K46" s="58">
        <v>0</v>
      </c>
      <c r="L46" s="58">
        <v>0</v>
      </c>
      <c r="M46" s="58">
        <v>0</v>
      </c>
      <c r="N46" s="58">
        <v>0</v>
      </c>
      <c r="O46" s="5">
        <f>P46+Q46+R46+S46</f>
        <v>0</v>
      </c>
      <c r="P46" s="58">
        <v>0</v>
      </c>
      <c r="Q46" s="58">
        <v>0</v>
      </c>
      <c r="R46" s="58">
        <v>0</v>
      </c>
      <c r="S46" s="58">
        <v>0</v>
      </c>
      <c r="T46" s="5">
        <f>U46+V46+W46+X46</f>
        <v>0</v>
      </c>
      <c r="U46" s="58">
        <f>976-976</f>
        <v>0</v>
      </c>
      <c r="V46" s="58">
        <v>0</v>
      </c>
      <c r="W46" s="58">
        <v>0</v>
      </c>
      <c r="X46" s="58">
        <v>0</v>
      </c>
      <c r="Y46" s="5">
        <f>Z46+AA46+AB46+AC46</f>
        <v>0</v>
      </c>
      <c r="Z46" s="70">
        <f>0+976-976</f>
        <v>0</v>
      </c>
      <c r="AA46" s="70">
        <v>0</v>
      </c>
      <c r="AB46" s="70">
        <v>0</v>
      </c>
      <c r="AC46" s="70">
        <v>0</v>
      </c>
      <c r="AD46" s="5">
        <f>E46+J46+O46+T46+Y46</f>
        <v>0</v>
      </c>
    </row>
    <row r="47" spans="1:31" ht="50.25" customHeight="1">
      <c r="A47" s="21"/>
      <c r="B47" s="22" t="s">
        <v>58</v>
      </c>
      <c r="C47" s="62"/>
      <c r="D47" s="11"/>
      <c r="E47" s="5">
        <f>F47+G47+H47+I47</f>
        <v>289</v>
      </c>
      <c r="F47" s="5">
        <f>SUM(F45:F46)</f>
        <v>289</v>
      </c>
      <c r="G47" s="5">
        <f>SUM(G45:G46)</f>
        <v>0</v>
      </c>
      <c r="H47" s="5">
        <f>SUM(H45:H46)</f>
        <v>0</v>
      </c>
      <c r="I47" s="5">
        <f>SUM(I45:I46)</f>
        <v>0</v>
      </c>
      <c r="J47" s="5">
        <f>K47+L47+M47+N47</f>
        <v>377</v>
      </c>
      <c r="K47" s="5">
        <f>SUM(K45:K46)</f>
        <v>377</v>
      </c>
      <c r="L47" s="5">
        <f>SUM(L45:L46)</f>
        <v>0</v>
      </c>
      <c r="M47" s="5">
        <f>SUM(M45:M46)</f>
        <v>0</v>
      </c>
      <c r="N47" s="5">
        <f>SUM(N45:N46)</f>
        <v>0</v>
      </c>
      <c r="O47" s="5">
        <f>P47+Q47+R47+S47</f>
        <v>1332</v>
      </c>
      <c r="P47" s="5">
        <f>SUM(P45:P46)</f>
        <v>1332</v>
      </c>
      <c r="Q47" s="5">
        <f>SUM(Q45:Q46)</f>
        <v>0</v>
      </c>
      <c r="R47" s="5">
        <f>SUM(R45:R46)</f>
        <v>0</v>
      </c>
      <c r="S47" s="5">
        <f>SUM(S45:S46)</f>
        <v>0</v>
      </c>
      <c r="T47" s="5">
        <f>U47+V47+W47+X47</f>
        <v>1114</v>
      </c>
      <c r="U47" s="5">
        <f>SUM(U45:U46)</f>
        <v>1114</v>
      </c>
      <c r="V47" s="5">
        <f>SUM(V45:V46)</f>
        <v>0</v>
      </c>
      <c r="W47" s="5">
        <f>SUM(W45:W46)</f>
        <v>0</v>
      </c>
      <c r="X47" s="5">
        <f>SUM(X45:X46)</f>
        <v>0</v>
      </c>
      <c r="Y47" s="5">
        <f>Z47+AA47+AB47+AC47</f>
        <v>2126</v>
      </c>
      <c r="Z47" s="5">
        <f>SUM(Z45:Z46)</f>
        <v>2126</v>
      </c>
      <c r="AA47" s="5">
        <f>SUM(AA45:AA46)</f>
        <v>0</v>
      </c>
      <c r="AB47" s="5">
        <f>SUM(AB45:AB46)</f>
        <v>0</v>
      </c>
      <c r="AC47" s="5">
        <f>SUM(AC45:AC46)</f>
        <v>0</v>
      </c>
      <c r="AD47" s="5">
        <f>AD45+AD46</f>
        <v>5238</v>
      </c>
      <c r="AE47" s="32">
        <f>E47+J47+O47+T47+Y47</f>
        <v>5238</v>
      </c>
    </row>
    <row r="48" spans="1:31" ht="50.25" customHeight="1">
      <c r="A48" s="88" t="s">
        <v>77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43"/>
    </row>
    <row r="49" spans="1:31" ht="93" customHeight="1">
      <c r="A49" s="64" t="s">
        <v>78</v>
      </c>
      <c r="B49" s="60" t="s">
        <v>123</v>
      </c>
      <c r="C49" s="62"/>
      <c r="D49" s="10" t="s">
        <v>65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>
        <f>J50+J52</f>
        <v>8465</v>
      </c>
      <c r="K49" s="58">
        <f>K50+K52</f>
        <v>1120</v>
      </c>
      <c r="L49" s="58">
        <f>L50+L52</f>
        <v>7345</v>
      </c>
      <c r="M49" s="58">
        <f>M50+M52</f>
        <v>0</v>
      </c>
      <c r="N49" s="58">
        <f>N50+N52</f>
        <v>0</v>
      </c>
      <c r="O49" s="5">
        <f>O50+O51+O52</f>
        <v>9322</v>
      </c>
      <c r="P49" s="5">
        <f>P50+P51+P52</f>
        <v>1025</v>
      </c>
      <c r="Q49" s="5">
        <f>Q50+Q51+Q52</f>
        <v>8297</v>
      </c>
      <c r="R49" s="5">
        <f>R50+R51+R52</f>
        <v>0</v>
      </c>
      <c r="S49" s="5">
        <f>S50+S51+S52</f>
        <v>0</v>
      </c>
      <c r="T49" s="5">
        <f>U49+V49+W49+X49</f>
        <v>56732</v>
      </c>
      <c r="U49" s="5">
        <f>U52+U53</f>
        <v>6240</v>
      </c>
      <c r="V49" s="5">
        <f>V52+V53</f>
        <v>50492</v>
      </c>
      <c r="W49" s="5">
        <f>W52+W53</f>
        <v>0</v>
      </c>
      <c r="X49" s="5">
        <f>X52+X53</f>
        <v>0</v>
      </c>
      <c r="Y49" s="5">
        <f>Z49+AA49+AB49+AC49</f>
        <v>19004</v>
      </c>
      <c r="Z49" s="5">
        <f>Z53</f>
        <v>3073</v>
      </c>
      <c r="AA49" s="5">
        <f>AA53</f>
        <v>15931</v>
      </c>
      <c r="AB49" s="5">
        <f>AB53</f>
        <v>0</v>
      </c>
      <c r="AC49" s="5">
        <f>AC53</f>
        <v>0</v>
      </c>
      <c r="AD49" s="5">
        <f>J49+O49+T49+Y49</f>
        <v>93523</v>
      </c>
      <c r="AE49" s="43"/>
    </row>
    <row r="50" spans="1:31" ht="74.25" customHeight="1">
      <c r="A50" s="98" t="s">
        <v>80</v>
      </c>
      <c r="B50" s="88" t="s">
        <v>75</v>
      </c>
      <c r="C50" s="8" t="s">
        <v>92</v>
      </c>
      <c r="D50" s="10" t="s">
        <v>89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>
        <f>K50+L50+M50+N50</f>
        <v>3017</v>
      </c>
      <c r="K50" s="58">
        <f>309+211</f>
        <v>520</v>
      </c>
      <c r="L50" s="58">
        <v>2497</v>
      </c>
      <c r="M50" s="58">
        <v>0</v>
      </c>
      <c r="N50" s="58">
        <v>0</v>
      </c>
      <c r="O50" s="5">
        <f>P50+Q50+R50+S50</f>
        <v>6823</v>
      </c>
      <c r="P50" s="58">
        <v>750</v>
      </c>
      <c r="Q50" s="58">
        <v>6073</v>
      </c>
      <c r="R50" s="58">
        <v>0</v>
      </c>
      <c r="S50" s="58">
        <v>0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>
        <f>J50+O50</f>
        <v>9840</v>
      </c>
      <c r="AE50" s="43"/>
    </row>
    <row r="51" spans="1:31" ht="50.25" customHeight="1">
      <c r="A51" s="98"/>
      <c r="B51" s="88"/>
      <c r="C51" s="8" t="s">
        <v>91</v>
      </c>
      <c r="D51" s="10">
        <v>2021</v>
      </c>
      <c r="E51" s="5" t="s">
        <v>35</v>
      </c>
      <c r="F51" s="5" t="s">
        <v>35</v>
      </c>
      <c r="G51" s="5" t="s">
        <v>35</v>
      </c>
      <c r="H51" s="5" t="s">
        <v>35</v>
      </c>
      <c r="I51" s="5" t="s">
        <v>35</v>
      </c>
      <c r="J51" s="5" t="s">
        <v>35</v>
      </c>
      <c r="K51" s="5" t="s">
        <v>35</v>
      </c>
      <c r="L51" s="5" t="s">
        <v>35</v>
      </c>
      <c r="M51" s="5" t="s">
        <v>35</v>
      </c>
      <c r="N51" s="5" t="s">
        <v>35</v>
      </c>
      <c r="O51" s="5">
        <f>P51+Q51+R51+S51</f>
        <v>941</v>
      </c>
      <c r="P51" s="58">
        <f>104</f>
        <v>104</v>
      </c>
      <c r="Q51" s="58">
        <v>837</v>
      </c>
      <c r="R51" s="58">
        <v>0</v>
      </c>
      <c r="S51" s="58">
        <v>0</v>
      </c>
      <c r="T51" s="5" t="s">
        <v>35</v>
      </c>
      <c r="U51" s="5" t="s">
        <v>35</v>
      </c>
      <c r="V51" s="5" t="s">
        <v>35</v>
      </c>
      <c r="W51" s="5" t="s">
        <v>35</v>
      </c>
      <c r="X51" s="5" t="s">
        <v>35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>
        <f>O51</f>
        <v>941</v>
      </c>
      <c r="AE51" s="43"/>
    </row>
    <row r="52" spans="1:31" ht="60.75" customHeight="1">
      <c r="A52" s="64" t="s">
        <v>79</v>
      </c>
      <c r="B52" s="60" t="s">
        <v>76</v>
      </c>
      <c r="C52" s="8" t="s">
        <v>90</v>
      </c>
      <c r="D52" s="10" t="s">
        <v>112</v>
      </c>
      <c r="E52" s="5" t="s">
        <v>35</v>
      </c>
      <c r="F52" s="5" t="s">
        <v>35</v>
      </c>
      <c r="G52" s="5" t="s">
        <v>35</v>
      </c>
      <c r="H52" s="5" t="s">
        <v>35</v>
      </c>
      <c r="I52" s="5" t="s">
        <v>35</v>
      </c>
      <c r="J52" s="5">
        <f>K52+L52+M52+N52</f>
        <v>5448</v>
      </c>
      <c r="K52" s="58">
        <v>600</v>
      </c>
      <c r="L52" s="58">
        <v>4848</v>
      </c>
      <c r="M52" s="58">
        <v>0</v>
      </c>
      <c r="N52" s="58">
        <v>0</v>
      </c>
      <c r="O52" s="5">
        <f>P52+Q52+R52+S52</f>
        <v>1558</v>
      </c>
      <c r="P52" s="58">
        <v>171</v>
      </c>
      <c r="Q52" s="58">
        <v>1387</v>
      </c>
      <c r="R52" s="58">
        <v>0</v>
      </c>
      <c r="S52" s="58">
        <v>0</v>
      </c>
      <c r="T52" s="5">
        <f>U52+V52+W52+X52</f>
        <v>18030</v>
      </c>
      <c r="U52" s="58">
        <f>2568-478-107</f>
        <v>1983</v>
      </c>
      <c r="V52" s="58">
        <f>15951+960-864</f>
        <v>16047</v>
      </c>
      <c r="W52" s="58">
        <v>0</v>
      </c>
      <c r="X52" s="58">
        <v>0</v>
      </c>
      <c r="Y52" s="5" t="s">
        <v>35</v>
      </c>
      <c r="Z52" s="5" t="s">
        <v>35</v>
      </c>
      <c r="AA52" s="5" t="s">
        <v>35</v>
      </c>
      <c r="AB52" s="5" t="s">
        <v>35</v>
      </c>
      <c r="AC52" s="5" t="s">
        <v>35</v>
      </c>
      <c r="AD52" s="5">
        <f>J52+O52+T52</f>
        <v>25036</v>
      </c>
      <c r="AE52" s="43"/>
    </row>
    <row r="53" spans="1:32" ht="69" customHeight="1">
      <c r="A53" s="64" t="s">
        <v>94</v>
      </c>
      <c r="B53" s="60" t="s">
        <v>95</v>
      </c>
      <c r="C53" s="8" t="s">
        <v>96</v>
      </c>
      <c r="D53" s="10" t="s">
        <v>126</v>
      </c>
      <c r="E53" s="5" t="s">
        <v>35</v>
      </c>
      <c r="F53" s="58" t="s">
        <v>35</v>
      </c>
      <c r="G53" s="58" t="s">
        <v>35</v>
      </c>
      <c r="H53" s="58" t="s">
        <v>35</v>
      </c>
      <c r="I53" s="58" t="s">
        <v>35</v>
      </c>
      <c r="J53" s="5" t="s">
        <v>35</v>
      </c>
      <c r="K53" s="58" t="s">
        <v>35</v>
      </c>
      <c r="L53" s="58" t="s">
        <v>35</v>
      </c>
      <c r="M53" s="58" t="s">
        <v>35</v>
      </c>
      <c r="N53" s="58" t="s">
        <v>35</v>
      </c>
      <c r="O53" s="5" t="s">
        <v>35</v>
      </c>
      <c r="P53" s="58" t="s">
        <v>35</v>
      </c>
      <c r="Q53" s="58" t="s">
        <v>35</v>
      </c>
      <c r="R53" s="58" t="s">
        <v>35</v>
      </c>
      <c r="S53" s="58" t="s">
        <v>35</v>
      </c>
      <c r="T53" s="5">
        <f>U53+V53+W53+X53</f>
        <v>38702</v>
      </c>
      <c r="U53" s="58">
        <f>9871+478-403+119-5808</f>
        <v>4257</v>
      </c>
      <c r="V53" s="58">
        <f>49744-960-3260+961-12040</f>
        <v>34445</v>
      </c>
      <c r="W53" s="58">
        <v>0</v>
      </c>
      <c r="X53" s="58">
        <v>0</v>
      </c>
      <c r="Y53" s="5">
        <f>Z53+AA53+AB53+AC53</f>
        <v>19004</v>
      </c>
      <c r="Z53" s="68">
        <f>3486-413</f>
        <v>3073</v>
      </c>
      <c r="AA53" s="68">
        <v>15931</v>
      </c>
      <c r="AB53" s="68">
        <v>0</v>
      </c>
      <c r="AC53" s="68">
        <v>0</v>
      </c>
      <c r="AD53" s="5">
        <f>T53+Y53</f>
        <v>57706</v>
      </c>
      <c r="AE53" s="93"/>
      <c r="AF53" s="94"/>
    </row>
    <row r="54" spans="1:31" ht="42" customHeight="1">
      <c r="A54" s="21"/>
      <c r="B54" s="22" t="s">
        <v>81</v>
      </c>
      <c r="C54" s="62"/>
      <c r="D54" s="11"/>
      <c r="E54" s="5" t="s">
        <v>35</v>
      </c>
      <c r="F54" s="5" t="s">
        <v>35</v>
      </c>
      <c r="G54" s="5" t="s">
        <v>35</v>
      </c>
      <c r="H54" s="5" t="s">
        <v>35</v>
      </c>
      <c r="I54" s="5" t="s">
        <v>35</v>
      </c>
      <c r="J54" s="5">
        <f>J49</f>
        <v>8465</v>
      </c>
      <c r="K54" s="5">
        <f>K49</f>
        <v>1120</v>
      </c>
      <c r="L54" s="5">
        <f>L49</f>
        <v>7345</v>
      </c>
      <c r="M54" s="5">
        <f>M49</f>
        <v>0</v>
      </c>
      <c r="N54" s="5">
        <f>N49</f>
        <v>0</v>
      </c>
      <c r="O54" s="5">
        <f>P54+Q54+R54+S54</f>
        <v>9322</v>
      </c>
      <c r="P54" s="5">
        <f>P49</f>
        <v>1025</v>
      </c>
      <c r="Q54" s="5">
        <f>Q49</f>
        <v>8297</v>
      </c>
      <c r="R54" s="5">
        <f>R49</f>
        <v>0</v>
      </c>
      <c r="S54" s="5">
        <f>S49</f>
        <v>0</v>
      </c>
      <c r="T54" s="5">
        <f>U54+V54+W54+X54</f>
        <v>56732</v>
      </c>
      <c r="U54" s="5">
        <f aca="true" t="shared" si="12" ref="U54:AD54">U49</f>
        <v>6240</v>
      </c>
      <c r="V54" s="5">
        <f t="shared" si="12"/>
        <v>50492</v>
      </c>
      <c r="W54" s="5">
        <f t="shared" si="12"/>
        <v>0</v>
      </c>
      <c r="X54" s="5">
        <f t="shared" si="12"/>
        <v>0</v>
      </c>
      <c r="Y54" s="5">
        <f t="shared" si="12"/>
        <v>19004</v>
      </c>
      <c r="Z54" s="5">
        <f>Z49</f>
        <v>3073</v>
      </c>
      <c r="AA54" s="5">
        <f t="shared" si="12"/>
        <v>15931</v>
      </c>
      <c r="AB54" s="5">
        <f t="shared" si="12"/>
        <v>0</v>
      </c>
      <c r="AC54" s="5">
        <f t="shared" si="12"/>
        <v>0</v>
      </c>
      <c r="AD54" s="5">
        <f t="shared" si="12"/>
        <v>93523</v>
      </c>
      <c r="AE54" s="33">
        <f>J54+O54+T54+Y54</f>
        <v>93523</v>
      </c>
    </row>
    <row r="55" spans="1:32" ht="45.75" customHeight="1">
      <c r="A55" s="95" t="s">
        <v>24</v>
      </c>
      <c r="B55" s="95"/>
      <c r="C55" s="11"/>
      <c r="D55" s="11"/>
      <c r="E55" s="5">
        <f>F55+G55+H55+I55</f>
        <v>14110</v>
      </c>
      <c r="F55" s="5">
        <f>F22+F32+F39+F43+F47</f>
        <v>9195</v>
      </c>
      <c r="G55" s="5">
        <f>G22+G32+G39+G43+G47</f>
        <v>4915</v>
      </c>
      <c r="H55" s="5">
        <f>H22+H32+H39+H43+H47</f>
        <v>0</v>
      </c>
      <c r="I55" s="5">
        <f>I22+I32+I39+I43+I47</f>
        <v>0</v>
      </c>
      <c r="J55" s="5">
        <f>K55+L55+M55+N55</f>
        <v>33592</v>
      </c>
      <c r="K55" s="5">
        <f>K22+K32+K39+K43+K47+K54</f>
        <v>13637</v>
      </c>
      <c r="L55" s="5">
        <f>L22+L32+L39+L43+L47+L54</f>
        <v>19955</v>
      </c>
      <c r="M55" s="5">
        <f>M22+M32+M39+M43+M47</f>
        <v>0</v>
      </c>
      <c r="N55" s="5">
        <f>N22+N32+N39+N43+N47</f>
        <v>0</v>
      </c>
      <c r="O55" s="5">
        <f>P55+Q55+R55+S55</f>
        <v>28855</v>
      </c>
      <c r="P55" s="5">
        <f>P22+P32+P39+P43+P47+P54</f>
        <v>15429</v>
      </c>
      <c r="Q55" s="5">
        <f>Q22+Q32+Q39+Q43+Q47+Q54</f>
        <v>13426</v>
      </c>
      <c r="R55" s="5">
        <f>R22+R32+R39+R43+R47+R54</f>
        <v>0</v>
      </c>
      <c r="S55" s="5">
        <f>S22+S32+S39+S43+S47+S54</f>
        <v>0</v>
      </c>
      <c r="T55" s="5">
        <f>U55+V55+W55+X55</f>
        <v>88180</v>
      </c>
      <c r="U55" s="5">
        <f>U22+U32+U39+U43+U47+U54</f>
        <v>29057</v>
      </c>
      <c r="V55" s="5">
        <f>V22+V32+V39+V43+V47+V54</f>
        <v>59123</v>
      </c>
      <c r="W55" s="5">
        <f>W22+W32+W39+W43+W47+W54</f>
        <v>0</v>
      </c>
      <c r="X55" s="5">
        <f>X22+X32+X39+X43+X47+X54</f>
        <v>0</v>
      </c>
      <c r="Y55" s="5">
        <f>Z55+AA55+AB55+AC55</f>
        <v>65301</v>
      </c>
      <c r="Z55" s="5">
        <f>Z22+Z32+Z39+Z43+Z47+Z54</f>
        <v>39660</v>
      </c>
      <c r="AA55" s="5">
        <f>AA22+AA32+AA39+AA43+AA47+AA54</f>
        <v>25641</v>
      </c>
      <c r="AB55" s="5">
        <f>AB22+AB32+AB39+AB43+AB47+AB54</f>
        <v>0</v>
      </c>
      <c r="AC55" s="5">
        <f>AC22+AC32+AC39+AC43+AC47+AC54</f>
        <v>0</v>
      </c>
      <c r="AD55" s="5">
        <f>AD22+AD32+AD39+AD43+AD47+AD54</f>
        <v>230038</v>
      </c>
      <c r="AE55" s="43"/>
      <c r="AF55" s="4"/>
    </row>
    <row r="56" spans="1:32" ht="33" customHeight="1" thickBot="1">
      <c r="A56" s="23"/>
      <c r="B56" s="23"/>
      <c r="C56" s="12"/>
      <c r="D56" s="12"/>
      <c r="E56" s="59"/>
      <c r="F56" s="59"/>
      <c r="G56" s="59"/>
      <c r="H56" s="59"/>
      <c r="I56" s="59"/>
      <c r="J56" s="59"/>
      <c r="K56" s="59"/>
      <c r="L56" s="35"/>
      <c r="M56" s="35"/>
      <c r="N56" s="35"/>
      <c r="O56" s="35"/>
      <c r="P56" s="35"/>
      <c r="Q56" s="35"/>
      <c r="R56" s="59"/>
      <c r="S56" s="59"/>
      <c r="T56" s="59"/>
      <c r="U56" s="59"/>
      <c r="V56" s="59"/>
      <c r="W56" s="59"/>
      <c r="X56" s="59"/>
      <c r="Y56" s="66"/>
      <c r="Z56" s="66"/>
      <c r="AA56" s="66"/>
      <c r="AB56" s="66"/>
      <c r="AC56" s="66"/>
      <c r="AD56" s="66"/>
      <c r="AE56" s="43"/>
      <c r="AF56" s="4"/>
    </row>
    <row r="57" spans="1:32" ht="24" customHeight="1">
      <c r="A57" s="23"/>
      <c r="B57" s="23"/>
      <c r="C57" s="12"/>
      <c r="D57" s="1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87"/>
      <c r="Q57" s="87"/>
      <c r="R57" s="87"/>
      <c r="S57" s="87"/>
      <c r="T57" s="59"/>
      <c r="U57" s="59"/>
      <c r="V57" s="59"/>
      <c r="W57" s="59"/>
      <c r="X57" s="59"/>
      <c r="Y57" s="66"/>
      <c r="Z57" s="66"/>
      <c r="AA57" s="66"/>
      <c r="AB57" s="66"/>
      <c r="AC57" s="66"/>
      <c r="AD57" s="66"/>
      <c r="AE57" s="43"/>
      <c r="AF57" s="4"/>
    </row>
    <row r="58" spans="1:32" ht="15" customHeight="1">
      <c r="A58" s="23"/>
      <c r="B58" s="23"/>
      <c r="C58" s="12"/>
      <c r="D58" s="1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6"/>
      <c r="Z58" s="66"/>
      <c r="AA58" s="66"/>
      <c r="AB58" s="66"/>
      <c r="AC58" s="66"/>
      <c r="AD58" s="66"/>
      <c r="AE58" s="43"/>
      <c r="AF58" s="4"/>
    </row>
    <row r="59" spans="1:31" ht="21" customHeight="1">
      <c r="A59" s="23"/>
      <c r="B59" s="23"/>
      <c r="C59" s="12"/>
      <c r="D59" s="12"/>
      <c r="E59" s="59"/>
      <c r="F59" s="59"/>
      <c r="G59" s="59"/>
      <c r="H59" s="59"/>
      <c r="I59" s="59"/>
      <c r="J59" s="59"/>
      <c r="K59" s="59"/>
      <c r="L59" s="87"/>
      <c r="M59" s="87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6"/>
      <c r="Z59" s="66"/>
      <c r="AA59" s="66"/>
      <c r="AB59" s="66"/>
      <c r="AC59" s="42" t="s">
        <v>86</v>
      </c>
      <c r="AD59" s="66">
        <f>F55+K55+P55+U55+Z55</f>
        <v>106978</v>
      </c>
      <c r="AE59" s="43"/>
    </row>
    <row r="60" spans="1:31" ht="21" customHeight="1">
      <c r="A60" s="24"/>
      <c r="B60" s="13"/>
      <c r="C60" s="13"/>
      <c r="D60" s="13"/>
      <c r="E60" s="13"/>
      <c r="F60" s="25"/>
      <c r="G60" s="13"/>
      <c r="H60" s="13"/>
      <c r="I60" s="13"/>
      <c r="J60" s="13"/>
      <c r="K60" s="13"/>
      <c r="L60" s="83"/>
      <c r="M60" s="83"/>
      <c r="N60" s="34"/>
      <c r="O60" s="59"/>
      <c r="P60" s="59"/>
      <c r="Q60" s="59"/>
      <c r="R60" s="87"/>
      <c r="S60" s="87"/>
      <c r="T60" s="59"/>
      <c r="U60" s="59"/>
      <c r="V60" s="59"/>
      <c r="W60" s="59"/>
      <c r="X60" s="59"/>
      <c r="Y60" s="66"/>
      <c r="Z60" s="66"/>
      <c r="AA60" s="66"/>
      <c r="AB60" s="13"/>
      <c r="AC60" s="41" t="s">
        <v>85</v>
      </c>
      <c r="AD60" s="26">
        <f>G55+L55+Q55+V55+AA55</f>
        <v>123060</v>
      </c>
      <c r="AE60" s="31"/>
    </row>
    <row r="61" spans="1:31" ht="21" customHeight="1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83"/>
      <c r="M61" s="83"/>
      <c r="N61" s="34"/>
      <c r="O61" s="12"/>
      <c r="P61" s="59"/>
      <c r="Q61" s="59"/>
      <c r="R61" s="59"/>
      <c r="S61" s="59"/>
      <c r="T61" s="59"/>
      <c r="U61" s="59"/>
      <c r="V61" s="59"/>
      <c r="W61" s="59"/>
      <c r="X61" s="59"/>
      <c r="Y61" s="66"/>
      <c r="Z61" s="66"/>
      <c r="AA61" s="66"/>
      <c r="AB61" s="13"/>
      <c r="AC61" s="41" t="s">
        <v>101</v>
      </c>
      <c r="AD61" s="26">
        <f>AD59+AD60</f>
        <v>230038</v>
      </c>
      <c r="AE61" s="31"/>
    </row>
    <row r="62" spans="1:31" ht="21">
      <c r="A62" s="2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81"/>
      <c r="R62" s="78"/>
      <c r="S62" s="78"/>
      <c r="T62" s="51"/>
      <c r="U62" s="51"/>
      <c r="V62" s="51"/>
      <c r="W62" s="47"/>
      <c r="X62" s="71" t="s">
        <v>104</v>
      </c>
      <c r="Y62" s="46">
        <f>Z62+AA62</f>
        <v>13526</v>
      </c>
      <c r="Z62" s="46">
        <f>Z13+Z31+Z45</f>
        <v>13526</v>
      </c>
      <c r="AA62" s="46">
        <f>AA13+AA31+AA45</f>
        <v>0</v>
      </c>
      <c r="AB62" s="13" t="s">
        <v>127</v>
      </c>
      <c r="AC62" s="13"/>
      <c r="AD62" s="13"/>
      <c r="AE62" s="31"/>
    </row>
    <row r="63" spans="1:31" ht="27" customHeight="1">
      <c r="A63" s="2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81"/>
      <c r="R63" s="78"/>
      <c r="S63" s="78"/>
      <c r="T63" s="51"/>
      <c r="U63" s="51"/>
      <c r="V63" s="51"/>
      <c r="W63" s="47"/>
      <c r="X63" s="72"/>
      <c r="Y63" s="46">
        <f>Z63+AA63</f>
        <v>10910</v>
      </c>
      <c r="Z63" s="46">
        <f>Z28</f>
        <v>1200</v>
      </c>
      <c r="AA63" s="46">
        <f>AA28</f>
        <v>9710</v>
      </c>
      <c r="AB63" s="13" t="s">
        <v>128</v>
      </c>
      <c r="AC63" s="13"/>
      <c r="AD63" s="13"/>
      <c r="AE63" s="31"/>
    </row>
    <row r="64" spans="1:31" ht="21">
      <c r="A64" s="2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81"/>
      <c r="R64" s="78"/>
      <c r="S64" s="78"/>
      <c r="T64" s="51"/>
      <c r="U64" s="51"/>
      <c r="V64" s="51"/>
      <c r="W64" s="47"/>
      <c r="X64" s="72"/>
      <c r="Y64" s="46">
        <f>Z64+AA64</f>
        <v>4439</v>
      </c>
      <c r="Z64" s="46">
        <f>Z39</f>
        <v>4439</v>
      </c>
      <c r="AA64" s="46">
        <f>AA39</f>
        <v>0</v>
      </c>
      <c r="AB64" s="13" t="s">
        <v>129</v>
      </c>
      <c r="AC64" s="13"/>
      <c r="AD64" s="13"/>
      <c r="AE64" s="31"/>
    </row>
    <row r="65" spans="1:31" ht="21">
      <c r="A65" s="2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81"/>
      <c r="R65" s="78"/>
      <c r="S65" s="78"/>
      <c r="T65" s="51"/>
      <c r="U65" s="51"/>
      <c r="V65" s="51"/>
      <c r="W65" s="47"/>
      <c r="X65" s="72"/>
      <c r="Y65" s="46">
        <f>Z65+AA65</f>
        <v>19004</v>
      </c>
      <c r="Z65" s="46">
        <f>Z54</f>
        <v>3073</v>
      </c>
      <c r="AA65" s="46">
        <f>AA54</f>
        <v>15931</v>
      </c>
      <c r="AB65" s="13" t="s">
        <v>130</v>
      </c>
      <c r="AC65" s="13"/>
      <c r="AD65" s="13"/>
      <c r="AE65" s="31"/>
    </row>
    <row r="66" spans="1:31" ht="21">
      <c r="A66" s="2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81"/>
      <c r="R66" s="79"/>
      <c r="S66" s="79"/>
      <c r="T66" s="52"/>
      <c r="U66" s="52"/>
      <c r="V66" s="52"/>
      <c r="W66" s="49"/>
      <c r="X66" s="73"/>
      <c r="Y66" s="48">
        <f>Z66+AA66</f>
        <v>47879</v>
      </c>
      <c r="Z66" s="48">
        <f>SUM(Z62:Z65)</f>
        <v>22238</v>
      </c>
      <c r="AA66" s="48">
        <f>SUM(AA62:AA65)</f>
        <v>25641</v>
      </c>
      <c r="AB66" s="13"/>
      <c r="AC66" s="13"/>
      <c r="AD66" s="13"/>
      <c r="AE66" s="31"/>
    </row>
    <row r="67" spans="1:31" ht="21">
      <c r="A67" s="2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31"/>
    </row>
    <row r="68" spans="1:31" ht="21" customHeight="1">
      <c r="A68" s="2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81"/>
      <c r="R68" s="80"/>
      <c r="S68" s="78"/>
      <c r="T68" s="51"/>
      <c r="U68" s="51"/>
      <c r="V68" s="51"/>
      <c r="W68" s="47"/>
      <c r="X68" s="74" t="s">
        <v>108</v>
      </c>
      <c r="Y68" s="46">
        <f aca="true" t="shared" si="13" ref="Y68:Y76">Z68+AA68</f>
        <v>1042</v>
      </c>
      <c r="Z68" s="46">
        <f>Z12</f>
        <v>1042</v>
      </c>
      <c r="AA68" s="46">
        <f>AA12</f>
        <v>0</v>
      </c>
      <c r="AB68" s="50" t="s">
        <v>105</v>
      </c>
      <c r="AC68" s="13"/>
      <c r="AD68" s="13"/>
      <c r="AE68" s="31"/>
    </row>
    <row r="69" spans="1:31" ht="21">
      <c r="A69" s="2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81"/>
      <c r="R69" s="78"/>
      <c r="S69" s="78"/>
      <c r="T69" s="51"/>
      <c r="U69" s="51"/>
      <c r="V69" s="51"/>
      <c r="W69" s="47"/>
      <c r="X69" s="74"/>
      <c r="Y69" s="46">
        <f t="shared" si="13"/>
        <v>260</v>
      </c>
      <c r="Z69" s="46">
        <f>Z15</f>
        <v>260</v>
      </c>
      <c r="AA69" s="46">
        <f>AA15</f>
        <v>0</v>
      </c>
      <c r="AB69" s="50" t="s">
        <v>131</v>
      </c>
      <c r="AC69" s="13"/>
      <c r="AD69" s="13"/>
      <c r="AE69" s="31"/>
    </row>
    <row r="70" spans="1:31" ht="21">
      <c r="A70" s="2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81"/>
      <c r="R70" s="80"/>
      <c r="S70" s="78"/>
      <c r="T70" s="51"/>
      <c r="U70" s="51"/>
      <c r="V70" s="51"/>
      <c r="W70" s="47"/>
      <c r="X70" s="74"/>
      <c r="Y70" s="46">
        <f t="shared" si="13"/>
        <v>156</v>
      </c>
      <c r="Z70" s="46">
        <f>Z18</f>
        <v>156</v>
      </c>
      <c r="AA70" s="46">
        <f>AA18</f>
        <v>0</v>
      </c>
      <c r="AB70" s="50" t="s">
        <v>132</v>
      </c>
      <c r="AC70" s="13"/>
      <c r="AD70" s="13"/>
      <c r="AE70" s="31"/>
    </row>
    <row r="71" spans="1:31" ht="21">
      <c r="A71" s="2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81"/>
      <c r="R71" s="56"/>
      <c r="S71" s="55"/>
      <c r="T71" s="51"/>
      <c r="U71" s="51"/>
      <c r="V71" s="51"/>
      <c r="W71" s="47"/>
      <c r="X71" s="74"/>
      <c r="Y71" s="46">
        <f t="shared" si="13"/>
        <v>499</v>
      </c>
      <c r="Z71" s="46">
        <f>Z19</f>
        <v>499</v>
      </c>
      <c r="AA71" s="46">
        <f>AA19</f>
        <v>0</v>
      </c>
      <c r="AB71" s="50" t="s">
        <v>97</v>
      </c>
      <c r="AC71" s="13"/>
      <c r="AD71" s="13"/>
      <c r="AE71" s="31"/>
    </row>
    <row r="72" spans="1:31" ht="21">
      <c r="A72" s="2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81"/>
      <c r="R72" s="78"/>
      <c r="S72" s="78"/>
      <c r="T72" s="51"/>
      <c r="U72" s="51"/>
      <c r="V72" s="51"/>
      <c r="W72" s="47"/>
      <c r="X72" s="74"/>
      <c r="Y72" s="46">
        <f t="shared" si="13"/>
        <v>329</v>
      </c>
      <c r="Z72" s="46">
        <f>Z21</f>
        <v>329</v>
      </c>
      <c r="AA72" s="46">
        <f>AA21</f>
        <v>0</v>
      </c>
      <c r="AB72" s="50" t="s">
        <v>103</v>
      </c>
      <c r="AC72" s="13"/>
      <c r="AD72" s="13"/>
      <c r="AE72" s="31"/>
    </row>
    <row r="73" spans="1:31" ht="21">
      <c r="A73" s="2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81"/>
      <c r="R73" s="78"/>
      <c r="S73" s="78"/>
      <c r="T73" s="51"/>
      <c r="U73" s="51"/>
      <c r="V73" s="51"/>
      <c r="W73" s="47"/>
      <c r="X73" s="74"/>
      <c r="Y73" s="46">
        <f t="shared" si="13"/>
        <v>1468</v>
      </c>
      <c r="Z73" s="46">
        <f>Z25</f>
        <v>1468</v>
      </c>
      <c r="AA73" s="46">
        <f>AA25</f>
        <v>0</v>
      </c>
      <c r="AB73" s="47" t="s">
        <v>106</v>
      </c>
      <c r="AC73" s="13"/>
      <c r="AD73" s="13"/>
      <c r="AE73" s="31"/>
    </row>
    <row r="74" spans="1:31" ht="21">
      <c r="A74" s="24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81"/>
      <c r="R74" s="78"/>
      <c r="S74" s="78"/>
      <c r="T74" s="51"/>
      <c r="U74" s="51"/>
      <c r="V74" s="51"/>
      <c r="W74" s="47"/>
      <c r="X74" s="74"/>
      <c r="Y74" s="46">
        <f t="shared" si="13"/>
        <v>1250</v>
      </c>
      <c r="Z74" s="46">
        <f>Z26</f>
        <v>1250</v>
      </c>
      <c r="AA74" s="46">
        <f>AA26</f>
        <v>0</v>
      </c>
      <c r="AB74" s="47" t="s">
        <v>107</v>
      </c>
      <c r="AC74" s="13"/>
      <c r="AD74" s="13"/>
      <c r="AE74" s="31"/>
    </row>
    <row r="75" spans="1:31" ht="21">
      <c r="A75" s="2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81"/>
      <c r="R75" s="82"/>
      <c r="S75" s="82"/>
      <c r="T75" s="51"/>
      <c r="U75" s="51"/>
      <c r="V75" s="51"/>
      <c r="W75" s="47"/>
      <c r="X75" s="74"/>
      <c r="Y75" s="46">
        <f t="shared" si="13"/>
        <v>12418</v>
      </c>
      <c r="Z75" s="46">
        <f>Z43</f>
        <v>12418</v>
      </c>
      <c r="AA75" s="46">
        <f>AA43</f>
        <v>0</v>
      </c>
      <c r="AB75" s="47" t="s">
        <v>133</v>
      </c>
      <c r="AC75" s="13"/>
      <c r="AD75" s="13"/>
      <c r="AE75" s="31"/>
    </row>
    <row r="76" spans="1:31" ht="21">
      <c r="A76" s="2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81"/>
      <c r="R76" s="79"/>
      <c r="S76" s="79"/>
      <c r="T76" s="52"/>
      <c r="U76" s="52"/>
      <c r="V76" s="52"/>
      <c r="W76" s="47"/>
      <c r="X76" s="74"/>
      <c r="Y76" s="48">
        <f t="shared" si="13"/>
        <v>17422</v>
      </c>
      <c r="Z76" s="48">
        <f>SUM(Z68:Z75)</f>
        <v>17422</v>
      </c>
      <c r="AA76" s="48">
        <f>SUM(AA68:AA75)</f>
        <v>0</v>
      </c>
      <c r="AB76" s="47"/>
      <c r="AC76" s="13"/>
      <c r="AD76" s="13"/>
      <c r="AE76" s="31"/>
    </row>
    <row r="77" spans="1:31" ht="21">
      <c r="A77" s="2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13"/>
      <c r="AD77" s="13"/>
      <c r="AE77" s="31"/>
    </row>
    <row r="78" spans="1:31" ht="35.25" customHeight="1">
      <c r="A78" s="2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79"/>
      <c r="R78" s="79"/>
      <c r="S78" s="79"/>
      <c r="T78" s="52"/>
      <c r="U78" s="52"/>
      <c r="V78" s="75" t="s">
        <v>109</v>
      </c>
      <c r="W78" s="75"/>
      <c r="X78" s="75"/>
      <c r="Y78" s="48">
        <f>Z78+AA78</f>
        <v>65301</v>
      </c>
      <c r="Z78" s="48">
        <f>Z66+Z76</f>
        <v>39660</v>
      </c>
      <c r="AA78" s="48">
        <f>AA66+AA76</f>
        <v>25641</v>
      </c>
      <c r="AB78" s="47"/>
      <c r="AC78" s="13"/>
      <c r="AD78" s="13"/>
      <c r="AE78" s="31"/>
    </row>
    <row r="79" spans="1:31" ht="21">
      <c r="A79" s="2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31"/>
    </row>
    <row r="80" spans="1:31" ht="21">
      <c r="A80" s="2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31"/>
    </row>
    <row r="81" spans="1:31" ht="21">
      <c r="A81" s="2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31"/>
    </row>
    <row r="82" spans="1:31" ht="21">
      <c r="A82" s="24"/>
      <c r="B82" s="13"/>
      <c r="C82" s="13"/>
      <c r="D82" s="13"/>
      <c r="E82" s="13"/>
      <c r="F82" s="13"/>
      <c r="G82" s="13"/>
      <c r="H82" s="13"/>
      <c r="I82" s="13"/>
      <c r="J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31"/>
    </row>
    <row r="83" spans="1:31" ht="21">
      <c r="A83" s="2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31"/>
    </row>
    <row r="84" spans="1:31" ht="21">
      <c r="A84" s="2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31"/>
    </row>
    <row r="85" spans="1:31" ht="21">
      <c r="A85" s="2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31"/>
    </row>
    <row r="86" spans="1:31" ht="21">
      <c r="A86" s="24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31"/>
    </row>
    <row r="87" spans="1:31" ht="21">
      <c r="A87" s="2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31"/>
    </row>
    <row r="88" spans="1:31" ht="21">
      <c r="A88" s="24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31"/>
    </row>
    <row r="89" spans="1:31" ht="21">
      <c r="A89" s="2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31"/>
    </row>
    <row r="90" spans="1:31" ht="21">
      <c r="A90" s="2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31"/>
    </row>
    <row r="91" spans="1:31" ht="21">
      <c r="A91" s="2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31"/>
    </row>
    <row r="92" spans="1:31" ht="21">
      <c r="A92" s="2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31"/>
    </row>
    <row r="93" spans="1:31" ht="21">
      <c r="A93" s="2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31"/>
    </row>
    <row r="94" spans="1:31" ht="21">
      <c r="A94" s="24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31"/>
    </row>
    <row r="95" spans="1:31" ht="21">
      <c r="A95" s="24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31"/>
    </row>
    <row r="96" spans="1:31" ht="21">
      <c r="A96" s="24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31"/>
    </row>
    <row r="97" spans="1:31" ht="21">
      <c r="A97" s="24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31"/>
    </row>
    <row r="98" spans="1:31" ht="21">
      <c r="A98" s="2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31"/>
    </row>
    <row r="99" spans="1:31" ht="21">
      <c r="A99" s="2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31"/>
    </row>
    <row r="100" spans="1:31" ht="21">
      <c r="A100" s="2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31"/>
    </row>
    <row r="101" spans="1:31" ht="21">
      <c r="A101" s="2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31"/>
    </row>
    <row r="102" spans="1:31" ht="21">
      <c r="A102" s="2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31"/>
    </row>
    <row r="103" spans="1:31" ht="21">
      <c r="A103" s="24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31"/>
    </row>
    <row r="104" spans="1:31" ht="21">
      <c r="A104" s="24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31"/>
    </row>
    <row r="105" spans="1:31" ht="21">
      <c r="A105" s="24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31"/>
    </row>
    <row r="106" spans="1:31" ht="21">
      <c r="A106" s="24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31"/>
    </row>
    <row r="107" spans="1:31" ht="21">
      <c r="A107" s="24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31"/>
    </row>
    <row r="108" spans="1:31" ht="21">
      <c r="A108" s="2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31"/>
    </row>
    <row r="109" spans="1:31" ht="21">
      <c r="A109" s="24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31"/>
    </row>
    <row r="110" spans="1:31" ht="21">
      <c r="A110" s="24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31"/>
    </row>
    <row r="111" spans="1:31" ht="21">
      <c r="A111" s="24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31"/>
    </row>
    <row r="112" spans="1:31" ht="21">
      <c r="A112" s="24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31"/>
    </row>
    <row r="113" spans="1:31" ht="21">
      <c r="A113" s="24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31"/>
    </row>
    <row r="114" spans="1:31" ht="21">
      <c r="A114" s="24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31"/>
    </row>
    <row r="115" spans="1:31" ht="21">
      <c r="A115" s="24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31"/>
    </row>
    <row r="116" spans="1:31" ht="21">
      <c r="A116" s="24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31"/>
    </row>
    <row r="117" spans="1:31" ht="21">
      <c r="A117" s="24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31"/>
    </row>
    <row r="118" spans="1:31" ht="21">
      <c r="A118" s="24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31"/>
    </row>
    <row r="119" spans="1:31" ht="21">
      <c r="A119" s="2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31"/>
    </row>
    <row r="120" spans="1:31" ht="21">
      <c r="A120" s="24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31"/>
    </row>
    <row r="121" spans="1:31" ht="21">
      <c r="A121" s="24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31"/>
    </row>
    <row r="122" spans="1:31" ht="21">
      <c r="A122" s="2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31"/>
    </row>
    <row r="123" spans="1:31" ht="21">
      <c r="A123" s="24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31"/>
    </row>
    <row r="124" spans="1:31" ht="21">
      <c r="A124" s="2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31"/>
    </row>
    <row r="125" spans="1:31" ht="21">
      <c r="A125" s="2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31"/>
    </row>
    <row r="126" spans="1:31" ht="21">
      <c r="A126" s="24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31"/>
    </row>
    <row r="127" spans="1:31" ht="21">
      <c r="A127" s="24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31"/>
    </row>
    <row r="128" spans="1:31" ht="21">
      <c r="A128" s="24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31"/>
    </row>
    <row r="129" spans="1:31" ht="21">
      <c r="A129" s="24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31"/>
    </row>
    <row r="130" spans="1:31" ht="21">
      <c r="A130" s="2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31"/>
    </row>
    <row r="131" spans="1:31" ht="21">
      <c r="A131" s="24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31"/>
    </row>
    <row r="132" spans="1:31" ht="21">
      <c r="A132" s="2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31"/>
    </row>
    <row r="133" spans="1:31" ht="21">
      <c r="A133" s="2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31"/>
    </row>
    <row r="134" spans="1:31" ht="21">
      <c r="A134" s="2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31"/>
    </row>
    <row r="135" spans="1:31" ht="21">
      <c r="A135" s="2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31"/>
    </row>
    <row r="136" spans="1:31" ht="21">
      <c r="A136" s="2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31"/>
    </row>
    <row r="137" spans="1:31" ht="21">
      <c r="A137" s="2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31"/>
    </row>
    <row r="138" spans="1:31" ht="21">
      <c r="A138" s="24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31"/>
    </row>
    <row r="139" spans="1:31" ht="21">
      <c r="A139" s="2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31"/>
    </row>
    <row r="140" spans="1:31" ht="21">
      <c r="A140" s="2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31"/>
    </row>
    <row r="141" spans="1:31" ht="21">
      <c r="A141" s="24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31"/>
    </row>
    <row r="142" spans="1:31" ht="21">
      <c r="A142" s="2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31"/>
    </row>
    <row r="143" spans="1:31" ht="21">
      <c r="A143" s="2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31"/>
    </row>
    <row r="144" spans="1:31" ht="21">
      <c r="A144" s="2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31"/>
    </row>
    <row r="145" spans="1:31" ht="21">
      <c r="A145" s="2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31"/>
    </row>
    <row r="146" spans="1:31" ht="21">
      <c r="A146" s="24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31"/>
    </row>
    <row r="147" spans="1:31" ht="21">
      <c r="A147" s="24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31"/>
    </row>
    <row r="148" spans="1:31" ht="21">
      <c r="A148" s="24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31"/>
    </row>
    <row r="149" spans="1:31" ht="21">
      <c r="A149" s="2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31"/>
    </row>
    <row r="150" spans="1:31" ht="21">
      <c r="A150" s="24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31"/>
    </row>
    <row r="151" spans="1:31" ht="21">
      <c r="A151" s="24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31"/>
    </row>
    <row r="152" spans="1:31" ht="21">
      <c r="A152" s="24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31"/>
    </row>
    <row r="153" spans="1:31" ht="21">
      <c r="A153" s="24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31"/>
    </row>
    <row r="154" spans="1:31" ht="21">
      <c r="A154" s="24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31"/>
    </row>
    <row r="155" spans="1:31" ht="21">
      <c r="A155" s="24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31"/>
    </row>
    <row r="156" spans="1:31" ht="21">
      <c r="A156" s="2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31"/>
    </row>
    <row r="157" spans="1:31" ht="21">
      <c r="A157" s="24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31"/>
    </row>
    <row r="158" spans="1:31" ht="21">
      <c r="A158" s="24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31"/>
    </row>
    <row r="159" spans="1:31" ht="21">
      <c r="A159" s="24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31"/>
    </row>
    <row r="160" spans="1:31" ht="21">
      <c r="A160" s="2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31"/>
    </row>
    <row r="161" spans="1:31" ht="21">
      <c r="A161" s="24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31"/>
    </row>
    <row r="162" spans="1:31" ht="21">
      <c r="A162" s="24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31"/>
    </row>
    <row r="163" spans="1:31" ht="21">
      <c r="A163" s="24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31"/>
    </row>
    <row r="164" spans="1:31" ht="21">
      <c r="A164" s="24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31"/>
    </row>
    <row r="165" spans="1:31" ht="21">
      <c r="A165" s="24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31"/>
    </row>
    <row r="166" spans="1:31" ht="21">
      <c r="A166" s="2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31"/>
    </row>
    <row r="167" spans="1:31" ht="21">
      <c r="A167" s="2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31"/>
    </row>
    <row r="168" spans="1:31" ht="21">
      <c r="A168" s="2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31"/>
    </row>
    <row r="169" spans="1:31" ht="21">
      <c r="A169" s="2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31"/>
    </row>
    <row r="170" spans="1:31" ht="21">
      <c r="A170" s="2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31"/>
    </row>
    <row r="171" spans="1:31" ht="21">
      <c r="A171" s="2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31"/>
    </row>
    <row r="172" spans="1:31" ht="21">
      <c r="A172" s="24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31"/>
    </row>
    <row r="173" spans="1:31" ht="21">
      <c r="A173" s="24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31"/>
    </row>
    <row r="174" spans="1:31" ht="21">
      <c r="A174" s="2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31"/>
    </row>
    <row r="175" spans="1:31" ht="21">
      <c r="A175" s="24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31"/>
    </row>
    <row r="176" spans="1:31" ht="21">
      <c r="A176" s="24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31"/>
    </row>
    <row r="177" spans="1:31" ht="21">
      <c r="A177" s="24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31"/>
    </row>
    <row r="178" spans="1:31" ht="21">
      <c r="A178" s="24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31"/>
    </row>
    <row r="179" spans="1:31" ht="21">
      <c r="A179" s="24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31"/>
    </row>
    <row r="180" spans="1:31" ht="21">
      <c r="A180" s="2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31"/>
    </row>
    <row r="181" spans="1:31" ht="21">
      <c r="A181" s="24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31"/>
    </row>
    <row r="182" spans="1:31" ht="21">
      <c r="A182" s="24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31"/>
    </row>
    <row r="183" spans="1:31" ht="21">
      <c r="A183" s="24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31"/>
    </row>
    <row r="184" spans="1:31" ht="21">
      <c r="A184" s="24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31"/>
    </row>
    <row r="185" spans="1:31" ht="21">
      <c r="A185" s="24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31"/>
    </row>
    <row r="186" spans="1:31" ht="21">
      <c r="A186" s="2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31"/>
    </row>
    <row r="187" spans="1:31" ht="21">
      <c r="A187" s="24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31"/>
    </row>
    <row r="188" spans="1:31" ht="21">
      <c r="A188" s="24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31"/>
    </row>
    <row r="189" spans="1:31" ht="21">
      <c r="A189" s="24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31"/>
    </row>
    <row r="190" spans="1:31" ht="21">
      <c r="A190" s="24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31"/>
    </row>
    <row r="191" spans="1:31" ht="21">
      <c r="A191" s="24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31"/>
    </row>
    <row r="192" spans="1:31" ht="21">
      <c r="A192" s="24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31"/>
    </row>
    <row r="193" spans="1:31" ht="21">
      <c r="A193" s="24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31"/>
    </row>
    <row r="194" spans="1:31" ht="21">
      <c r="A194" s="24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31"/>
    </row>
    <row r="195" spans="1:31" ht="21">
      <c r="A195" s="2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31"/>
    </row>
    <row r="196" spans="1:31" ht="21">
      <c r="A196" s="2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31"/>
    </row>
    <row r="197" spans="1:31" ht="21">
      <c r="A197" s="2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31"/>
    </row>
    <row r="198" spans="1:31" ht="21">
      <c r="A198" s="24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31"/>
    </row>
    <row r="199" spans="1:31" ht="21">
      <c r="A199" s="24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31"/>
    </row>
    <row r="200" spans="1:31" ht="21">
      <c r="A200" s="24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31"/>
    </row>
    <row r="201" spans="1:31" ht="21">
      <c r="A201" s="24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31"/>
    </row>
    <row r="202" spans="1:31" ht="21">
      <c r="A202" s="2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31"/>
    </row>
    <row r="203" spans="1:31" ht="21">
      <c r="A203" s="24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31"/>
    </row>
    <row r="204" spans="1:31" ht="21">
      <c r="A204" s="2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31"/>
    </row>
    <row r="205" spans="1:31" ht="21">
      <c r="A205" s="2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31"/>
    </row>
    <row r="206" spans="1:31" ht="21">
      <c r="A206" s="24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31"/>
    </row>
    <row r="207" spans="1:31" ht="21">
      <c r="A207" s="24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31"/>
    </row>
    <row r="208" spans="1:31" ht="21">
      <c r="A208" s="2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31"/>
    </row>
    <row r="209" spans="1:31" ht="21">
      <c r="A209" s="2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31"/>
    </row>
    <row r="210" spans="1:31" ht="21">
      <c r="A210" s="24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31"/>
    </row>
    <row r="211" spans="1:31" ht="21">
      <c r="A211" s="24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31"/>
    </row>
    <row r="212" spans="1:31" ht="21">
      <c r="A212" s="24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31"/>
    </row>
    <row r="213" spans="1:31" ht="21">
      <c r="A213" s="24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31"/>
    </row>
    <row r="214" spans="1:31" ht="21">
      <c r="A214" s="24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31"/>
    </row>
    <row r="215" spans="1:31" ht="21">
      <c r="A215" s="24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31"/>
    </row>
    <row r="216" spans="1:31" ht="21">
      <c r="A216" s="2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31"/>
    </row>
    <row r="217" spans="1:31" ht="21">
      <c r="A217" s="24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31"/>
    </row>
    <row r="218" spans="1:31" ht="21">
      <c r="A218" s="2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31"/>
    </row>
    <row r="219" spans="1:31" ht="21">
      <c r="A219" s="2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31"/>
    </row>
    <row r="220" spans="1:31" ht="21">
      <c r="A220" s="24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31"/>
    </row>
    <row r="221" spans="1:31" ht="21">
      <c r="A221" s="24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31"/>
    </row>
    <row r="222" spans="1:31" ht="21">
      <c r="A222" s="24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31"/>
    </row>
  </sheetData>
  <sheetProtection/>
  <mergeCells count="77">
    <mergeCell ref="Y1:AD1"/>
    <mergeCell ref="Y2:AD2"/>
    <mergeCell ref="Y3:AD3"/>
    <mergeCell ref="Y4:AD4"/>
    <mergeCell ref="A5:AD5"/>
    <mergeCell ref="A6:A8"/>
    <mergeCell ref="O7:S7"/>
    <mergeCell ref="B2:C2"/>
    <mergeCell ref="E2:I2"/>
    <mergeCell ref="Y14:AC14"/>
    <mergeCell ref="O6:X6"/>
    <mergeCell ref="Y6:AD6"/>
    <mergeCell ref="E7:I7"/>
    <mergeCell ref="J7:N7"/>
    <mergeCell ref="D6:D8"/>
    <mergeCell ref="E6:N6"/>
    <mergeCell ref="AE53:AF53"/>
    <mergeCell ref="A55:B55"/>
    <mergeCell ref="AE15:AI15"/>
    <mergeCell ref="O27:S27"/>
    <mergeCell ref="A48:AD48"/>
    <mergeCell ref="A50:A51"/>
    <mergeCell ref="A40:AD40"/>
    <mergeCell ref="AE45:AF45"/>
    <mergeCell ref="AE35:AF35"/>
    <mergeCell ref="AE37:AF37"/>
    <mergeCell ref="B6:B8"/>
    <mergeCell ref="C6:C8"/>
    <mergeCell ref="Y27:AC27"/>
    <mergeCell ref="A20:A21"/>
    <mergeCell ref="Y7:AC7"/>
    <mergeCell ref="AD7:AD8"/>
    <mergeCell ref="T14:X14"/>
    <mergeCell ref="T7:X7"/>
    <mergeCell ref="A23:AD23"/>
    <mergeCell ref="P57:S57"/>
    <mergeCell ref="A39:B39"/>
    <mergeCell ref="A32:B32"/>
    <mergeCell ref="A44:AD44"/>
    <mergeCell ref="J27:N27"/>
    <mergeCell ref="A33:AD33"/>
    <mergeCell ref="A10:AD10"/>
    <mergeCell ref="A11:AD11"/>
    <mergeCell ref="J14:N14"/>
    <mergeCell ref="O14:S14"/>
    <mergeCell ref="B20:B21"/>
    <mergeCell ref="R60:S60"/>
    <mergeCell ref="B50:B51"/>
    <mergeCell ref="T27:X27"/>
    <mergeCell ref="L59:M59"/>
    <mergeCell ref="A22:B22"/>
    <mergeCell ref="Q62:Q66"/>
    <mergeCell ref="R66:S66"/>
    <mergeCell ref="R68:S68"/>
    <mergeCell ref="R69:S69"/>
    <mergeCell ref="L60:M60"/>
    <mergeCell ref="L61:M61"/>
    <mergeCell ref="R76:S76"/>
    <mergeCell ref="B4:C4"/>
    <mergeCell ref="A17:A18"/>
    <mergeCell ref="B17:B18"/>
    <mergeCell ref="Q68:Q76"/>
    <mergeCell ref="R75:S75"/>
    <mergeCell ref="R62:S62"/>
    <mergeCell ref="R63:S63"/>
    <mergeCell ref="R64:S64"/>
    <mergeCell ref="R65:S65"/>
    <mergeCell ref="X62:X66"/>
    <mergeCell ref="X68:X76"/>
    <mergeCell ref="V78:X78"/>
    <mergeCell ref="A28:A29"/>
    <mergeCell ref="B28:B29"/>
    <mergeCell ref="R74:S74"/>
    <mergeCell ref="Q78:S78"/>
    <mergeCell ref="R70:S70"/>
    <mergeCell ref="R72:S72"/>
    <mergeCell ref="R73:S73"/>
  </mergeCells>
  <hyperlinks>
    <hyperlink ref="A22" location="P77" display="P77"/>
  </hyperlinks>
  <printOptions verticalCentered="1"/>
  <pageMargins left="0.15748031496062992" right="0.15748031496062992" top="0.9448818897637796" bottom="0.5905511811023623" header="0.31496062992125984" footer="0.2362204724409449"/>
  <pageSetup firstPageNumber="3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2023-12-11T08:47:01Z</cp:lastPrinted>
  <dcterms:created xsi:type="dcterms:W3CDTF">2013-08-30T10:11:22Z</dcterms:created>
  <dcterms:modified xsi:type="dcterms:W3CDTF">2023-12-11T09:06:52Z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