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825" windowWidth="7560" windowHeight="6705" activeTab="0"/>
  </bookViews>
  <sheets>
    <sheet name="Приложение1 Финансирование" sheetId="1" r:id="rId1"/>
  </sheets>
  <definedNames>
    <definedName name="_xlfn.SUMIFS" hidden="1">#NAME?</definedName>
    <definedName name="_xlnm._FilterDatabase" localSheetId="0" hidden="1">'Приложение1 Финансирование'!$A$15:$AO$283</definedName>
    <definedName name="_xlnm.Print_Titles" localSheetId="0">'Приложение1 Финансирование'!$13:$16</definedName>
    <definedName name="_xlnm.Print_Area" localSheetId="0">'Приложение1 Финансирование'!$A$1:$AN$262</definedName>
  </definedNames>
  <calcPr fullCalcOnLoad="1" fullPrecision="0"/>
</workbook>
</file>

<file path=xl/comments1.xml><?xml version="1.0" encoding="utf-8"?>
<comments xmlns="http://schemas.openxmlformats.org/spreadsheetml/2006/main">
  <authors>
    <author>Пк</author>
  </authors>
  <commentList>
    <comment ref="Q68" authorId="0">
      <text>
        <r>
          <rPr>
            <b/>
            <sz val="9"/>
            <rFont val="Tahoma"/>
            <family val="2"/>
          </rPr>
          <t>Пк:</t>
        </r>
        <r>
          <rPr>
            <sz val="9"/>
            <rFont val="Tahoma"/>
            <family val="2"/>
          </rPr>
          <t xml:space="preserve">
Корректировка под Думу - уменьшение экономии на ДО на сумму 1,5 т.р.</t>
        </r>
      </text>
    </comment>
    <comment ref="P68" authorId="0">
      <text>
        <r>
          <rPr>
            <b/>
            <sz val="9"/>
            <rFont val="Tahoma"/>
            <family val="2"/>
          </rPr>
          <t>Пк:</t>
        </r>
        <r>
          <rPr>
            <sz val="9"/>
            <rFont val="Tahoma"/>
            <family val="2"/>
          </rPr>
          <t xml:space="preserve">
Корректировка под Думу - увеличение экономии на ДО на сумму 1,5 т.р.</t>
        </r>
      </text>
    </comment>
  </commentList>
</comments>
</file>

<file path=xl/sharedStrings.xml><?xml version="1.0" encoding="utf-8"?>
<sst xmlns="http://schemas.openxmlformats.org/spreadsheetml/2006/main" count="6034" uniqueCount="575">
  <si>
    <t>Возмещение затрат на бесплатное двухразовое питание (завтрак, обед) для обучающихся с ограниченными возможностями здоровья  в МОУ, осуществляющих реализацию образовательной программы дошкольного образования</t>
  </si>
  <si>
    <t>Приложение  № 1</t>
  </si>
  <si>
    <t>Ответственный исполнитель</t>
  </si>
  <si>
    <t xml:space="preserve">Итого </t>
  </si>
  <si>
    <t>Всего</t>
  </si>
  <si>
    <t xml:space="preserve">Местный бюджет </t>
  </si>
  <si>
    <t xml:space="preserve">Областной бюджет </t>
  </si>
  <si>
    <t xml:space="preserve"> Федеральный бюджет </t>
  </si>
  <si>
    <t>Итого по задаче 1</t>
  </si>
  <si>
    <t>Департамент градостроительной деятельности</t>
  </si>
  <si>
    <t>1.1</t>
  </si>
  <si>
    <t>1.2</t>
  </si>
  <si>
    <t>1.3</t>
  </si>
  <si>
    <t>1.4</t>
  </si>
  <si>
    <t>2.1</t>
  </si>
  <si>
    <t>2.2</t>
  </si>
  <si>
    <t>2.3</t>
  </si>
  <si>
    <t>2.4</t>
  </si>
  <si>
    <t>2.5</t>
  </si>
  <si>
    <t>2.7</t>
  </si>
  <si>
    <t>2.8</t>
  </si>
  <si>
    <t>3</t>
  </si>
  <si>
    <t>3.1</t>
  </si>
  <si>
    <t>3.2</t>
  </si>
  <si>
    <t>3.3</t>
  </si>
  <si>
    <t>3.5.</t>
  </si>
  <si>
    <t>3.6.</t>
  </si>
  <si>
    <t>3.7.</t>
  </si>
  <si>
    <t>Организация и осуществление перевозок учащихся, связанных с учебно-воспитательным процессом</t>
  </si>
  <si>
    <t>3.8.</t>
  </si>
  <si>
    <t>3.9.</t>
  </si>
  <si>
    <t>3.10.</t>
  </si>
  <si>
    <t>3.11.</t>
  </si>
  <si>
    <t>3.12.</t>
  </si>
  <si>
    <t>Департамент образования</t>
  </si>
  <si>
    <t>3.13.</t>
  </si>
  <si>
    <t>3.14.</t>
  </si>
  <si>
    <t xml:space="preserve">Предоставление субсидий социально ориентированным некоммерческим организациям, не являющимся государственными (муниципальными) учреждениями, на осуществление ими деятельности по оказанию помощи родителям (законным представителям) воспитанников в воспитании детей, охране и укреплении их физического и психического здоровья, развитии индивидуальных способностей и необходимой коррекции нарушений их развития </t>
  </si>
  <si>
    <t>Обеспечение деятельности муниципальных казенных образовательных учреждений дополнительного профессионального образования городского округа Тольятти</t>
  </si>
  <si>
    <t>МКОУ ДПО РЦ (Департамент образования)</t>
  </si>
  <si>
    <t>Итого по задаче 4</t>
  </si>
  <si>
    <t>4.1.</t>
  </si>
  <si>
    <t>Наименование целей, задач и мероприятий муниципальной программы</t>
  </si>
  <si>
    <t>Сроки реализации</t>
  </si>
  <si>
    <t>Финансовое обеспечение реализации муниципальной программы, тыс. руб.</t>
  </si>
  <si>
    <t>Внебюджетные средства</t>
  </si>
  <si>
    <t>Итого по  задаче 3</t>
  </si>
  <si>
    <t>Выполнение муниципального задания  муниципальными  учреждениями  дополнительного образования городского округа Тольятти (далее- МОУДО)</t>
  </si>
  <si>
    <t>МДОУ, находящиеся в ведомственном подчинении Департамента образования (Департамент образования)</t>
  </si>
  <si>
    <t>Школы, находящиеся в ведомственном подчинении Департамента образования (Департамент образования)</t>
  </si>
  <si>
    <t>Центр и пансионат, находящиеся в ведомственном подчинении Департамента образования (Департамент образования)</t>
  </si>
  <si>
    <t xml:space="preserve">Проектирование и строительство  здания МДОУ  в   21 квартале Автозаводского района городского округа Тольятти </t>
  </si>
  <si>
    <t xml:space="preserve">Проектирование и строительство школы в 14а квартале Автозаводского района городского округа Тольятти </t>
  </si>
  <si>
    <t>Строительство детских автогородков на территории МОУ</t>
  </si>
  <si>
    <t>МОУ, находящиеся в ведомственном подчинении Департамента образования (Департамент образования)</t>
  </si>
  <si>
    <t>МОУДО, находящиеся в ведомственном подчинении Департамента образования (Департамент образования)</t>
  </si>
  <si>
    <t>Возмещение затрат за присмотр и уход за детьми-инвалидами, детьми-сиротами и детьми, оставшимися без попечения родителей, а также за детьми с туберкулезной интоксикацией, обучающимся в МОУ, реализующих образовательную программу дошкольного образования</t>
  </si>
  <si>
    <t>4.2</t>
  </si>
  <si>
    <t>4.3</t>
  </si>
  <si>
    <t>4.5</t>
  </si>
  <si>
    <t>4.6</t>
  </si>
  <si>
    <t>4.7</t>
  </si>
  <si>
    <t>2.1.1</t>
  </si>
  <si>
    <t>2.1.2</t>
  </si>
  <si>
    <t>2.1.3</t>
  </si>
  <si>
    <t>2.1.4</t>
  </si>
  <si>
    <t>2.1.5</t>
  </si>
  <si>
    <t>2.1.6</t>
  </si>
  <si>
    <t>2.1.7</t>
  </si>
  <si>
    <t>2.1.8</t>
  </si>
  <si>
    <t>2.1.9</t>
  </si>
  <si>
    <t>2.1.10</t>
  </si>
  <si>
    <t>2.1.11</t>
  </si>
  <si>
    <t>2.1.12</t>
  </si>
  <si>
    <t xml:space="preserve">2.6 </t>
  </si>
  <si>
    <t>Обеспечение антитеррористической защищенности и безопасных условий пребывания в МОУ</t>
  </si>
  <si>
    <t>Проектирование и  приведение в соответствие с действующими техническими требованиями инженерных коммуникаций и оборудования,  повышение энергетической эффективности зданий МОУ</t>
  </si>
  <si>
    <t>5</t>
  </si>
  <si>
    <t>Оплата коммунальных услуг, содержание зданий и помещений в соответствии с требованиями технического регламента, выполнение санитарно-эпидемиологических требований и требований трудового законодательства к условиям организации рабочих мест, обучения и отдыха обучающихся, выполнение предписаний контролирующих органов</t>
  </si>
  <si>
    <t>Выполнение муниципального задания  муниципальными   учреждениями городского округа Тольятти, осуществляющими обеспечение образовательной деятельности (далее-  центр и пансионат)</t>
  </si>
  <si>
    <t>Проектирование и строительство здания объекта дошкольного образования в 17 А квартале Автозаводского района</t>
  </si>
  <si>
    <t>Городской праздник "Медалист"</t>
  </si>
  <si>
    <t>Городские этапы региональных конкурсов (художественной направленности)</t>
  </si>
  <si>
    <t>МБОУ ДО "Планета" (Департамент образования)</t>
  </si>
  <si>
    <t>МБОУ ДО "Диалог" (Департамент образования)</t>
  </si>
  <si>
    <t>МАОУ ДПО ЦИТ (Департамент образования)</t>
  </si>
  <si>
    <t>МБОУ ДО ГЦИР (Департамент образования)</t>
  </si>
  <si>
    <t>МБОУДО "ДДЮТ" (Департамент образования)</t>
  </si>
  <si>
    <t>МБОУ ДО ГЦИР  (Департамент образования)</t>
  </si>
  <si>
    <t>МБУ детский сад № 54  (Департамент образования)</t>
  </si>
  <si>
    <t>3.1.1</t>
  </si>
  <si>
    <t>3.1.3</t>
  </si>
  <si>
    <t>3.1.9</t>
  </si>
  <si>
    <t>3.1.10</t>
  </si>
  <si>
    <t>3.1.11</t>
  </si>
  <si>
    <t>3.1.12</t>
  </si>
  <si>
    <t>3.1.13</t>
  </si>
  <si>
    <t>3.1.14</t>
  </si>
  <si>
    <t>3.1.15</t>
  </si>
  <si>
    <t>3.1.17</t>
  </si>
  <si>
    <t>3.1.18</t>
  </si>
  <si>
    <t>3.1.19</t>
  </si>
  <si>
    <t>3.1.20</t>
  </si>
  <si>
    <t>3.1.21</t>
  </si>
  <si>
    <t>МБУ "Школа № 69" (Департамент образования)</t>
  </si>
  <si>
    <t>МБУ детский сад № 2 (Департамент образования)</t>
  </si>
  <si>
    <t>МБУ детский сад №  90 (Департамент образования)</t>
  </si>
  <si>
    <t>МБУ детский сад №  116 (Департамент образования)</t>
  </si>
  <si>
    <t>МБУ детский сад №  2 (Департамент образования)</t>
  </si>
  <si>
    <t>МБОУ ДО "Эдельвейс"  (Департамент образования)</t>
  </si>
  <si>
    <t>3.2.1</t>
  </si>
  <si>
    <t>3.2.2</t>
  </si>
  <si>
    <t>3.2.3</t>
  </si>
  <si>
    <t>3.2.4</t>
  </si>
  <si>
    <t>3.2.5</t>
  </si>
  <si>
    <t>3.2.6</t>
  </si>
  <si>
    <t>3.2.7</t>
  </si>
  <si>
    <t>3.2.8</t>
  </si>
  <si>
    <t>3.2.9</t>
  </si>
  <si>
    <t>3.2.10</t>
  </si>
  <si>
    <t>3.2.11</t>
  </si>
  <si>
    <t>3.2.12</t>
  </si>
  <si>
    <t>3.2.13</t>
  </si>
  <si>
    <t>3.2.14</t>
  </si>
  <si>
    <t>Мероприятия с городами-побратимами</t>
  </si>
  <si>
    <t>МБОУ ДО ДМЦ  (Департамент образования)</t>
  </si>
  <si>
    <t>МБОУДО "Гранит"  (Департамент образования)</t>
  </si>
  <si>
    <t>МБОУ ДО "Диалог"  (Департамент образования)</t>
  </si>
  <si>
    <t>МБУ "Школа № 32"  (Департамент образования)</t>
  </si>
  <si>
    <t>МБУ "Школа № 91"  (Департамент образования)</t>
  </si>
  <si>
    <t>МБУ "Школа № 47"  (Департамент образования)</t>
  </si>
  <si>
    <t>МБУ "Школа № 93"  (Департамент образования)</t>
  </si>
  <si>
    <t>3.3.1</t>
  </si>
  <si>
    <t>3.3.2</t>
  </si>
  <si>
    <t>3.3.3</t>
  </si>
  <si>
    <t>3.3.4</t>
  </si>
  <si>
    <t>3.3.5</t>
  </si>
  <si>
    <t>3.3.6</t>
  </si>
  <si>
    <t>3.3.7</t>
  </si>
  <si>
    <t>3.3.8</t>
  </si>
  <si>
    <t>3.3.9</t>
  </si>
  <si>
    <t>3.3.10</t>
  </si>
  <si>
    <t>3.3.11</t>
  </si>
  <si>
    <t>3.3.12</t>
  </si>
  <si>
    <t>3.3.13</t>
  </si>
  <si>
    <t>3.3.14</t>
  </si>
  <si>
    <t>3.3.15</t>
  </si>
  <si>
    <t>Городской конкурс "Мама, папа, я -новогодняя семья"</t>
  </si>
  <si>
    <t>3.4.1</t>
  </si>
  <si>
    <t>3.4.2</t>
  </si>
  <si>
    <t>3.4.3</t>
  </si>
  <si>
    <t>3.4.4</t>
  </si>
  <si>
    <t>3.4</t>
  </si>
  <si>
    <t>Городской праздник "День учителя"</t>
  </si>
  <si>
    <t>Городские конкурсы профессионального мастерства педагогических работников</t>
  </si>
  <si>
    <t>Августовская педагогическая конференция</t>
  </si>
  <si>
    <t>Городской конкурс "Детский сад года"</t>
  </si>
  <si>
    <t>4.1.1</t>
  </si>
  <si>
    <t>4.1.2</t>
  </si>
  <si>
    <t>4.1.3</t>
  </si>
  <si>
    <t>4.1.4</t>
  </si>
  <si>
    <t>Цикл мероприятий по правовому и информационному просвещению семьи: родителей (законных представителей) и обучающихся:</t>
  </si>
  <si>
    <t>Цикл мероприятий по совершенствованию учительского корпуса:</t>
  </si>
  <si>
    <t>Цикл мероприятий по формированию здорового образа жизни обучающихся:</t>
  </si>
  <si>
    <t xml:space="preserve"> Цикл  мероприятий по патриотическому воспитанию детей и молодежи:</t>
  </si>
  <si>
    <t>Предоставление субсидий социально ориентированным некоммерческим организациям , не являющимсягосударственными (муниципальными) учреждениями, на проведение ими  мероприятий по энергосбережению и  повышение энергетической эффективности зданий (помещений)</t>
  </si>
  <si>
    <t>2.3.1</t>
  </si>
  <si>
    <t>2.3.2</t>
  </si>
  <si>
    <t>3.1.22</t>
  </si>
  <si>
    <t>МБУ детский сад № 56  (Департамент образования)</t>
  </si>
  <si>
    <t>3.2.15</t>
  </si>
  <si>
    <t>3.1.23</t>
  </si>
  <si>
    <t>МБУ детский сад № 33  (Департамент образования)</t>
  </si>
  <si>
    <t>3.2.16</t>
  </si>
  <si>
    <t>МБУ детский сад №  81 (Департамент образования)</t>
  </si>
  <si>
    <t>МБОУДО "ДДЮТ", МБОУДО ДТДМ, МБОУ ДО "Планета", МБОУ ДО "Свежий ветер", МБОУ ДО "Родник", МБОУ ДО "Мечта" (Департамент образования)</t>
  </si>
  <si>
    <t>3.1.25</t>
  </si>
  <si>
    <t>МБОУДО "ДДЮТ", МБОУДО ДТДМ, МБОУ ДО "Планета", МБОУ ДО ГЦИР (Департамент образования)</t>
  </si>
  <si>
    <t>3.1.26</t>
  </si>
  <si>
    <t>МБУ "Школа № 16", МБУ "Школа № 70" (Департамент образования)</t>
  </si>
  <si>
    <t>3.2.17</t>
  </si>
  <si>
    <t>МБУ "Школа № 16" (Департамент образования)</t>
  </si>
  <si>
    <t>3.3.16</t>
  </si>
  <si>
    <t>Предоставление субсидий социально ориентированным некоммерческим организациям, не являющимся государственными (муниципальными) учреждениями, на осуществление ими уставной деятельности в сфере  дошкольного образования на территории городского округа Тольятти</t>
  </si>
  <si>
    <t>№
п/п</t>
  </si>
  <si>
    <t>4.8</t>
  </si>
  <si>
    <t>3.15.</t>
  </si>
  <si>
    <t>МАОУ детский сад № 27 (Департамент образования)</t>
  </si>
  <si>
    <t>МАОУ детский сад № 69   (Департамент образования)</t>
  </si>
  <si>
    <t>Проведение капитального ремонта и оснащение основными средствами и материальными запасами зданий (помещений) муниципальных образовательных учреждений, пригодных для создания дополнительных мест детям, обучающимся по основным общеобразовательным программам дошкольного образования, а также на благоустройство прилегающих к ним территорий</t>
  </si>
  <si>
    <t>Компенсации расходов по оплате жилого помещения, занимаемого по договору найма жилого помещения частного жилищного фонда, поднайма жилого помещения частного, государственного и муниципального жилищного фонда, педагогическим работникам муниципальных образовательных учреждений, находящимся в ведомственном подчинении департамента образования администрации городского округа Тольятти</t>
  </si>
  <si>
    <t>МБОУДО "ДДЮТ", МБОУДО ДТДМ (Департамент образования)</t>
  </si>
  <si>
    <t>4.1.5</t>
  </si>
  <si>
    <t>4.1.6</t>
  </si>
  <si>
    <t>Фестиваль коллективов образовательных учреждений</t>
  </si>
  <si>
    <t>Спартакиада коллективов образовательных учреждений</t>
  </si>
  <si>
    <t>3.1.27</t>
  </si>
  <si>
    <t>3.3.17</t>
  </si>
  <si>
    <t>3.3.18</t>
  </si>
  <si>
    <t>2.12</t>
  </si>
  <si>
    <t>Осуществление ежемесячных денежных выплат в размере 3700 (Три тысячи семьсот) рублей на ставку заработной платы педагогическим работникам муниципальных образовательных организаций, реализующих общеобразовательные программы дошкольного образования в муниципальных общеобразовательных и дошкольных образовательных организациях</t>
  </si>
  <si>
    <t>2.13</t>
  </si>
  <si>
    <t>2.14</t>
  </si>
  <si>
    <t>Замена, ремонт асфальтовых дорожек и подъездных путей в муниципальных учреждениях отдыха и оздоровления детей</t>
  </si>
  <si>
    <t>2.15</t>
  </si>
  <si>
    <t>3.4.5</t>
  </si>
  <si>
    <t>4.1.7</t>
  </si>
  <si>
    <t>4.1.8</t>
  </si>
  <si>
    <t>4.1.9</t>
  </si>
  <si>
    <t>Подготовка управленческих команд муниципальных общеобразовательных учреждений</t>
  </si>
  <si>
    <t>Повышение квалификации педагогов в части использования ИК-технологий</t>
  </si>
  <si>
    <t>Участие в мероприятиях проекта "Под крылом Синей птицы"</t>
  </si>
  <si>
    <t>Предоставление субсидий социально ориентированным некоммерческим организациям, не являющимся государственными (муниципальными) учреждениями, на проведение капитального ремонта и оснащение основными средствами и материальными запасами зданий (помещений), пригодных для создания дополнительных мест детям, обучающимся по основным общеобразовательным программам дошкольного образования, а также на благоустройство прилегающих к ним территорий</t>
  </si>
  <si>
    <t>Проектирование и строительство объектов образования</t>
  </si>
  <si>
    <t>4.1.10</t>
  </si>
  <si>
    <t>День воспитателя и всех дошкольных работников</t>
  </si>
  <si>
    <t>Благоустройство зданий муниципальных общеобразовательных организаций в целях соблюдения требований к воздушно-тепловому режиму, водоснабжению и канализации, а также проведение капитального ремонта зданий с наибольшей степенью физического износа</t>
  </si>
  <si>
    <t>3.2.19</t>
  </si>
  <si>
    <t>3.3.19</t>
  </si>
  <si>
    <t>МБУ "Школа № 41" (Департамент образования)</t>
  </si>
  <si>
    <t>4.4</t>
  </si>
  <si>
    <t>План на 2027 год</t>
  </si>
  <si>
    <t>План на 2026 год</t>
  </si>
  <si>
    <t>План на 2025 год</t>
  </si>
  <si>
    <t>План на 2021 год</t>
  </si>
  <si>
    <t>План на 2022 год</t>
  </si>
  <si>
    <t>План на 2023 год</t>
  </si>
  <si>
    <t>План на 2024 год</t>
  </si>
  <si>
    <t xml:space="preserve">2021-2027 </t>
  </si>
  <si>
    <t xml:space="preserve">Федеральный бюджет </t>
  </si>
  <si>
    <t>4</t>
  </si>
  <si>
    <t>МБУ "Гимназия № 35" (Департамент образования)</t>
  </si>
  <si>
    <t>МБУ "Школа № 32" (Департамент образования)</t>
  </si>
  <si>
    <t>3.1.29</t>
  </si>
  <si>
    <t>3.1.30</t>
  </si>
  <si>
    <t>3.1.31</t>
  </si>
  <si>
    <t>"Родительский университет"</t>
  </si>
  <si>
    <t>2021-2027</t>
  </si>
  <si>
    <t>3.3.23</t>
  </si>
  <si>
    <t>МБУ детский сад №  73 (Департамент образования)</t>
  </si>
  <si>
    <t>МБУ детский сад №  22 (Департамент образования)</t>
  </si>
  <si>
    <t>МБУ детский сад № 41 (Департамент образования)</t>
  </si>
  <si>
    <t>МБОУ ДО "Гранит" (Департамент образования)</t>
  </si>
  <si>
    <t>МБОУДО "Мечта" (Департамент образования)</t>
  </si>
  <si>
    <t>МБУ "Школа № 16"  (Департамент образования)</t>
  </si>
  <si>
    <t>МБОУДО "ДДЮТ", МБОУДО ДТДМ, МБОУДО "Гранит", МБОУ ДО "Эдельвейс" (Департамент образования)</t>
  </si>
  <si>
    <t>3.1.2</t>
  </si>
  <si>
    <t>3.1.4</t>
  </si>
  <si>
    <t>3.1.5</t>
  </si>
  <si>
    <t>3.1.6</t>
  </si>
  <si>
    <t>3.1.7</t>
  </si>
  <si>
    <t>3.1.8</t>
  </si>
  <si>
    <t>3.1.16</t>
  </si>
  <si>
    <t>3.1.24</t>
  </si>
  <si>
    <t>3.1.28</t>
  </si>
  <si>
    <t>3.1.32</t>
  </si>
  <si>
    <t>3.1.33</t>
  </si>
  <si>
    <t>3.1.34</t>
  </si>
  <si>
    <t>3.1.35</t>
  </si>
  <si>
    <t>3.1.36</t>
  </si>
  <si>
    <t>3.2.18</t>
  </si>
  <si>
    <t>3.2.20</t>
  </si>
  <si>
    <t>3.2.21</t>
  </si>
  <si>
    <t>3.2.22</t>
  </si>
  <si>
    <t>3.2.23</t>
  </si>
  <si>
    <t>3.2.24</t>
  </si>
  <si>
    <t>3.2.25</t>
  </si>
  <si>
    <t>3.2.26</t>
  </si>
  <si>
    <t>МБУ «Гимназия № 38» (Департамент образования)</t>
  </si>
  <si>
    <t>МБОУ ДО "Родник" (Департамент образования)</t>
  </si>
  <si>
    <t>3.1.37</t>
  </si>
  <si>
    <t>МБОУДО ДТДМ
(Департамент образования)</t>
  </si>
  <si>
    <t>МБУ "Школа № 89"  (Департамент образования)</t>
  </si>
  <si>
    <t>3.3.20</t>
  </si>
  <si>
    <t>3.3.21</t>
  </si>
  <si>
    <t>3.3.22</t>
  </si>
  <si>
    <t>3.4.6</t>
  </si>
  <si>
    <t>Задача 3: Создание условий воспитательной среды, способствующей развитию талантов и способностей каждого ребенка как перспективы его успешного «социального лифта»</t>
  </si>
  <si>
    <t>–</t>
  </si>
  <si>
    <t>Задача 4: Формирование новых подходов к повышению профессиональных компетенций управленческого и педагогического персонала с учетом внедрения «национальной системы учительского роста»</t>
  </si>
  <si>
    <t>4.1.11</t>
  </si>
  <si>
    <t>4.1.12</t>
  </si>
  <si>
    <t>4.1.13</t>
  </si>
  <si>
    <t>Прохождение  педагогическими работниками  добровольной независимой оценки профессиональной квалификации</t>
  </si>
  <si>
    <t>4.1.14</t>
  </si>
  <si>
    <t>Прохождение педагогическими работниками общего образования  повышение квалификации в рамках периодической аттестации в цифровой форме с использованием информационного ресурса «Одного окна», в общем числе педагогических работников общего образования</t>
  </si>
  <si>
    <t>4.1.15</t>
  </si>
  <si>
    <t>Реализация инновационных программ и проектов муниципальных образовательных учреждений</t>
  </si>
  <si>
    <t>4.1.16</t>
  </si>
  <si>
    <t>Городской конкурс методических разработок конструкторов уроков "Событие года" (в рамках городского сетевого проекта по внедрению модели "блочно-событийные погружения")</t>
  </si>
  <si>
    <t>МКОУ ДПО РЦ
(Департамент образования)</t>
  </si>
  <si>
    <t>Задача 2: Создание материально-технических условий и обновленной образовательной среды для обеспечения деятельности муниципальных образовательных учреждений</t>
  </si>
  <si>
    <t xml:space="preserve">Проектирование и строительство объекта дошкольного образования по адресу: г.Тольятти, Автозаводский район, бульвар Цветной, дом 17, 16 квартал  </t>
  </si>
  <si>
    <t xml:space="preserve">2022-2023 </t>
  </si>
  <si>
    <t xml:space="preserve">Проектирование и строительство объекта муниципальной собственности здания детского сада №210 "Ладушки"  в микрорайоне   "Северный" Центрального района  городского округа Тольятти </t>
  </si>
  <si>
    <t>Проектирвание и строительство общеобразовательной школы на 630 мест, расположенной по адресу: Самарская область, г. Тольятти, Автозаводский район,  18 квартал, севернее жилого дома № 78 по ул.70 лет Октября"</t>
  </si>
  <si>
    <t>Проектирование и строительство пристроев к  МБУ "Детский сад № 138 "Дубравушка" по адресу: 445092, г. Тольятти, мкр. Поволжский, ул. Полевая. 20  и МАОУ Детский сад № 210 "Ладушки" по адресу: 445030, г. Тольятти, Автозаводский район, ул. Автостроителей, 19</t>
  </si>
  <si>
    <t>Цель: Обеспечение условий для повышения доступности качественного образования в городском округе Тольятти с учетом реализации национальных проектов «Образование», «Демография»</t>
  </si>
  <si>
    <t>Задача 1: Обеспечение выполнения муниципального задания муниципальными образовательными учреждениями (далее – МОУ)</t>
  </si>
  <si>
    <t xml:space="preserve">Реконструкция и технологическое присоединение к системам энергообеспечения объектов отрасли "Образование" </t>
  </si>
  <si>
    <t>2.3.3</t>
  </si>
  <si>
    <t>2.3.4</t>
  </si>
  <si>
    <t>Замена оконных блоков</t>
  </si>
  <si>
    <t>2021-2022</t>
  </si>
  <si>
    <t>2.3.5</t>
  </si>
  <si>
    <t>2.3.6</t>
  </si>
  <si>
    <t>2.3.7</t>
  </si>
  <si>
    <t>2.3.8</t>
  </si>
  <si>
    <t>2.3.9</t>
  </si>
  <si>
    <t>2.3.10</t>
  </si>
  <si>
    <t>Капитальный ремонт асфальтового покрытия на территориях ОУ</t>
  </si>
  <si>
    <t>Устройство теневых навесов на территориях ОУ</t>
  </si>
  <si>
    <t>2021-2025</t>
  </si>
  <si>
    <t>2.9</t>
  </si>
  <si>
    <t>2.10</t>
  </si>
  <si>
    <t>2.11</t>
  </si>
  <si>
    <t xml:space="preserve">2021-2022 </t>
  </si>
  <si>
    <t>Оснащение основными средствами и материальными запасами в рамках реализации мероприятий по строительству объекта: "Детский сад, расположенный по адресу Самарская область,  г. Тольятти, мкр. Северный, пригодных для создания дополнительных мест детям, обучающимся по основным общеобразовательным программам дошкольного образования</t>
  </si>
  <si>
    <t xml:space="preserve">Перечень мероприятий муниципальной программы  «Развитие системы образования городского округа Тольятти на 2021-2027 годы»                 </t>
  </si>
  <si>
    <t>Капитальный ремонт бассейнов</t>
  </si>
  <si>
    <t>2.5.1</t>
  </si>
  <si>
    <t>Приобретение основных средств и инвентаря для муниципальных учреждений отдыха и оздоровления детей</t>
  </si>
  <si>
    <t>2.1.13</t>
  </si>
  <si>
    <t>Проектирование и реконструкция здания школы, расположенной по адресу: 445091, Самарская область, г. Тольятти, ул. Ингельберга, 52</t>
  </si>
  <si>
    <t>Проектирование, реконструкция и технологическое присоединение к системам энергообеспечения общеобразовательной школы по адресу: 445012 г. Тольятти, Комсомольский район, ул. Матросова, 5</t>
  </si>
  <si>
    <t>2021-2023</t>
  </si>
  <si>
    <t>Реализация мероприятий СОНКО, осуществляющими деятельность в сфере образования, способствующую реализации Программы</t>
  </si>
  <si>
    <t>3.2.27</t>
  </si>
  <si>
    <t>МАОУ детский сад №  210 (Департамент образования)</t>
  </si>
  <si>
    <t>Оснащение Центра по предупреждению детского дорожно-транспортного травматизма</t>
  </si>
  <si>
    <t>Обеспечение качественного, сбалансированного питания воспитанников, организованного на базе пищеблоков муниципальных дошкольных образовательных учреждений городского округа Тольятти</t>
  </si>
  <si>
    <t>МБОУДО "ДДЮТ", МБОУДО ДТДМ, МБОУ ДО "Планета", МБОУ ДО "Свежий ветер", МБОУ ДО ГЦИР, МБОУ ДО "Родник", МБОУДО "Икар" (Департамент образования)</t>
  </si>
  <si>
    <t xml:space="preserve">к муниципальной программе «Развитие системы образования городского округа Тольятти на 2021-2027 годы»
</t>
  </si>
  <si>
    <t>4.9</t>
  </si>
  <si>
    <t xml:space="preserve">Ежемесячные  доплаты матерям (или другим родственникам, фактически осуществляющим уход за ребенком), находящимся в отпусках по уходу за ребенком до достижения им установленного законом возраста и состоящим в трудовых отношениях на условиях трудового договора с муниципальными образовательными учреждениями, находящимися в ведомственном подчинении департамента образования администрации городского округа Тольятти
</t>
  </si>
  <si>
    <t>2.16</t>
  </si>
  <si>
    <t>МБОУДО "ДДЮТ"МБОУ ДО "Свежий ветер"МБОУ ДО "Родник"МБУ "Школа № 16" (Департамент образования)</t>
  </si>
  <si>
    <t>МАОУ детский сад № 49 (Департамент образования)</t>
  </si>
  <si>
    <t>Городская акция "Родители - За безопасное детство"</t>
  </si>
  <si>
    <t>МБОУДО "ДДЮТ", МБУ «Гимназия
№ 38» (Департамент образования)</t>
  </si>
  <si>
    <t>4.1.17</t>
  </si>
  <si>
    <t>Организация методического сопровождения окружных сетевых предметных методических объединений</t>
  </si>
  <si>
    <t>к постановлению администрации</t>
  </si>
  <si>
    <t>от ________________  № _____________________</t>
  </si>
  <si>
    <t>Проведение капитального  ремонта в муниципальных учреждениях отдыха и оздоровления детей, в том числе разработка проектно-сметной документации и государственная экспертиза сметной документации</t>
  </si>
  <si>
    <t>Окружной форум родителей</t>
  </si>
  <si>
    <t>Окружное родительское собрание по актуальным вопросам обучения и воспитания</t>
  </si>
  <si>
    <t>2.17</t>
  </si>
  <si>
    <t>2.3.11</t>
  </si>
  <si>
    <t>2.1.14</t>
  </si>
  <si>
    <t>4.10</t>
  </si>
  <si>
    <t>2.3.12</t>
  </si>
  <si>
    <t>Капитальный ремонт и оснащение помещений муниципальных образовательных учреждений в целях приведения в соответствие с нормативными требованиями</t>
  </si>
  <si>
    <t>2.3.13</t>
  </si>
  <si>
    <t>4.11</t>
  </si>
  <si>
    <t>2.1.15</t>
  </si>
  <si>
    <t xml:space="preserve">Проектирование и строительство по объекту "Детский сад, расположенный по адресу: Самарская область, г.Тольятти, Комсомольский район, мкр.Жигулевское море"  </t>
  </si>
  <si>
    <t>Оплата принятых в 2019 году обязательств</t>
  </si>
  <si>
    <t>2.3.14</t>
  </si>
  <si>
    <t>2.18</t>
  </si>
  <si>
    <t>2.19</t>
  </si>
  <si>
    <t>2.1.16</t>
  </si>
  <si>
    <t>Капитальный ремонт здания школы, расположенной по адресу: 445091, Самарская область, г. Тольятти, ул. Ингельберга, 52</t>
  </si>
  <si>
    <t>3.1.38</t>
  </si>
  <si>
    <t>Оснащение оборудованием пищеблоков образовательных учреждений</t>
  </si>
  <si>
    <t>2.20</t>
  </si>
  <si>
    <t>Приобретение, изготовление и монтаж украшений для оформления учреждений к праздничным мероприятиям</t>
  </si>
  <si>
    <t>4.12</t>
  </si>
  <si>
    <t>Осуществление ежемесячных денежных выплат в размере 6 150 (шести тысяч ста пятидесяти) рублей на ставку заработной платы педагогическим работникам муниципальных образовательных организаций, реализующих общеобразовательные программы дошкольного образования, в период с 01.10.2021 по 31.12.2021</t>
  </si>
  <si>
    <t>3.1.39</t>
  </si>
  <si>
    <t>3.1.40</t>
  </si>
  <si>
    <t>3.1.41</t>
  </si>
  <si>
    <t>МБУ детский сад № 162 (Департамент образования)</t>
  </si>
  <si>
    <t>МБУ детский сад № 199 (Департамент образования)</t>
  </si>
  <si>
    <t>3.2.28</t>
  </si>
  <si>
    <t>Городской конкурс по становлению у дошкольников ценностей здорового образа жизни "Здоровячок"</t>
  </si>
  <si>
    <t>МБУ детский сад № 28 (Департамент образования)</t>
  </si>
  <si>
    <t>Выездная загородная экологическая школа</t>
  </si>
  <si>
    <t>Оплата принятых в 2020 году обязательств</t>
  </si>
  <si>
    <t>Выплата региональному оператору
(фонд капитального ремонта)</t>
  </si>
  <si>
    <t>2.3.15</t>
  </si>
  <si>
    <t>2.3.16</t>
  </si>
  <si>
    <t>4.13</t>
  </si>
  <si>
    <t>2022</t>
  </si>
  <si>
    <t>Оплата принятых в 2018 году обязательств</t>
  </si>
  <si>
    <t>4.14</t>
  </si>
  <si>
    <t>4.15</t>
  </si>
  <si>
    <t>Капитальный ремонт кровли ОУ (включая строительный контроль)</t>
  </si>
  <si>
    <t>Научно-практическая конференция «Старт в медицину»
(НП «Образование»)</t>
  </si>
  <si>
    <t>Городская интерактивная квест-игра «Погружение в профессию»
(НП «Образование»)</t>
  </si>
  <si>
    <t>Городская химическая квест-игра «Мир химии»
(НП «Образование»)</t>
  </si>
  <si>
    <t>Городские мероприятия, посвященные проведению Десятилетия детства (День защиты детей, День города, День знаний, проект "Выходные Тольятти")
(НП «Образование»)</t>
  </si>
  <si>
    <t>Психолого-педагогическая, методическая и консультативная помощь родителям (законным представителям) детей
(ФП «Поддержка семей, имеющих детей» НП «Образование»)</t>
  </si>
  <si>
    <t>Вовлечение учителей общеобразовательных организаций   в национальную систему профессионального роста педагогических работников
(ФП «Современная школа» НП «Образование»)</t>
  </si>
  <si>
    <t>Внедрение системы непрерывного повышения профессионального мастерства педагогических работников
 (ФП «Современная школа» НП «Образование»)</t>
  </si>
  <si>
    <t>Проектирование и строительство объекта "Детский сад на 350 мест в микрорайоне "Калина" г. Тольятти"
(ФП «Содействие занятости» НП «Демография»)</t>
  </si>
  <si>
    <t>3.16.</t>
  </si>
  <si>
    <t>3.17.</t>
  </si>
  <si>
    <t>3.18.</t>
  </si>
  <si>
    <t>Капитальный ремонт спортивных залов, в том числе разработка проектно-сметной документации и государственная экспертиза сметной документации</t>
  </si>
  <si>
    <t>МБУ детский сад № 138 (Департамент образования)</t>
  </si>
  <si>
    <t>МБУ "Школа № 70" (Департамент образования)</t>
  </si>
  <si>
    <t>3.1.42</t>
  </si>
  <si>
    <t>МБУ детский сад №  100 (Департамент образования)</t>
  </si>
  <si>
    <t>МАОУ детский сад № 69 (Департамент образования)</t>
  </si>
  <si>
    <t>МАОУ детский сад № 120 (Департамент образования)</t>
  </si>
  <si>
    <t>МАОУ детский сад № 80  (Департамент образования)</t>
  </si>
  <si>
    <t>МБУ детский сад №  46 (Департамент образования)</t>
  </si>
  <si>
    <t>МАОУ детский сад № 79 (Департамент образования)</t>
  </si>
  <si>
    <t>3.2.29</t>
  </si>
  <si>
    <t>Городской смотр-конкурс "Лучший зимний дворик"</t>
  </si>
  <si>
    <t>МАОУ детский сад № 210 (Департамент образования)</t>
  </si>
  <si>
    <t>МБУ детский сад
№ 84 (Департамент образования"</t>
  </si>
  <si>
    <t>МБУ детский сад
№ 116 (Департамент образования)</t>
  </si>
  <si>
    <t>МБУ детский сад
№ 48 (Депатрамент образования)</t>
  </si>
  <si>
    <t>2.21</t>
  </si>
  <si>
    <t>Проведение мероприятий в целях софинансирования проектов-победителей в конкурсе грантов ПАО «Татнефть»</t>
  </si>
  <si>
    <t>2022-2025</t>
  </si>
  <si>
    <t>2023-2025</t>
  </si>
  <si>
    <t>4.1.18</t>
  </si>
  <si>
    <t>Городской конкурс методических разработок "Мои уроки с "помогающими зонами"</t>
  </si>
  <si>
    <t xml:space="preserve">Предоставление субсидий юридическим лицам (за исключением субсидий государственным (муниципальным) учреждениям), индивидуальным предпринимателям, физическим лицам - производителям товаров, работ, услуг в целях возмещения затрат по предоставлению бесплатного, льготного питания обучающимся муниципальных общеобразовательных учреждений городского округа Тольятти (бесплатного двухразового питания (завтрак, обед) для обучающихся с ограниченными возможностями здоровья)
</t>
  </si>
  <si>
    <t>городского округа Тольятти</t>
  </si>
  <si>
    <t>Строительство объекта "Детский сад ЛДС-2 в составе 2 этапа строительства комплекса зданий и сооружений жилищного и социального назначения"
(ФП «Содействие занятости» НП «Демография»)</t>
  </si>
  <si>
    <t>Монтаж и (или) капитальный ремонт систем противопожарной защиты (АПС И СОУЭ) (включая строительный контроль)</t>
  </si>
  <si>
    <t xml:space="preserve">Капитальный (или текущий) ремонт зданий МОУ и благоустройство прилегающей территории  (в т.ч. проектирование с получением госэкспертизы)     </t>
  </si>
  <si>
    <t>2.22</t>
  </si>
  <si>
    <t>Приобретение, установка и ремонт спортивных, игровых, досуговых площадок, бассейнов в муниципальных учреждениях отдыха и оздоровления детей</t>
  </si>
  <si>
    <t>4.16</t>
  </si>
  <si>
    <t>2023</t>
  </si>
  <si>
    <t>3.2.30</t>
  </si>
  <si>
    <t xml:space="preserve">Городское мероприятие «Посвящение в Юные пешеходы» с вручением световозвращающих элементов учащимся 1-х классов </t>
  </si>
  <si>
    <t>Итого по задаче 2 без учета оплаты ранее принятых обязательств</t>
  </si>
  <si>
    <t>ИТОГО по муниципальной программе с учетом оплаты ранее принятых обязательств</t>
  </si>
  <si>
    <t>ИТОГО по муниципальной программе без учета оплаты ранее принятых обязательств</t>
  </si>
  <si>
    <t>6</t>
  </si>
  <si>
    <t>2.1.17</t>
  </si>
  <si>
    <t>4.17</t>
  </si>
  <si>
    <t>Проектирование и строительство объекта "Детский сад ЛДС-1 с инженерно-техническим обеспечением в составе 6 этапа строительства комплекса зданий и сооружений жилищного и социального назначения"
(ФП «Содействие занятости» НП «Демография»)</t>
  </si>
  <si>
    <t>Проектирование и строительство объекта "Образовательный центр на территории микрорайона Федоровка, расположенный по адресу: Самарская область, г.о. Тольятти, ул. Ингельберга, д. 52"</t>
  </si>
  <si>
    <t>2022-2026</t>
  </si>
  <si>
    <t>2021-2024</t>
  </si>
  <si>
    <t>Оплата принятых в 2021 году обязательств</t>
  </si>
  <si>
    <t>МБУ детский сад № 51 (Департамент образования)</t>
  </si>
  <si>
    <t>2023-2027</t>
  </si>
  <si>
    <t>МБОУДО "ДДЮТ", МБУ "Школа № 47" (Департамент образования)</t>
  </si>
  <si>
    <t>МБОУ ДО ДМЦ, МБУ "Школа № 47" (Департамент образования)</t>
  </si>
  <si>
    <t>Выполнение муниципального задания  муниципальными дошкольными образовательными учреждениями городского округа Тольятти (далее- МДОУ)
(ГП «Развитие образования и повышение эффективности реализации молодежной политики в Самарской области»)</t>
  </si>
  <si>
    <t>Выполнение муниципального задания  муниципальными общеобразовательными учреждениями городского округа Тольятти (далее- школы)
(ГП «Развитие образования и повышение эффективности реализации молодежной политики в Самарской области»)</t>
  </si>
  <si>
    <t>Строительство общеобразовательной школы на 1600 мест, расположенной по адресу: Самарская область, г. Тольятти, Автозаводский район, квартал 20
(ФП «Современная школа» НП «Образование», ГП «Строительство, реконструкция и капитальный ремонт образовательных организаций и их инфраструктуры на территории Самарской области»)</t>
  </si>
  <si>
    <t>Капитальный ремонт и (или) оснащение основными средствами и материальными запасами зданий (помещений), находящихся в муниципальной собственности, занимаемых муниципальными образовательными учреждениями, а также благоустройство прилегающей территории
(ГП «Строительство, реконструкция и капитальный ремонт образовательных организаций и их инфраструктуры на территории Самарской области»)</t>
  </si>
  <si>
    <t>Субсидии на проведение капитального ремонта пищеблоков образовательных учреждений
(ГП «Строительство, реконструкция и капитальный ремонт образовательных организаций и их инфраструктуры на территории Самарской области»)</t>
  </si>
  <si>
    <t>Оснащение МОУ основными средствами, материальными запасами, программным обеспечением (в т.ч. лицензиями)
(ФП «Цифровая образовательная среда» НП «Образование», ГП «Развитие образования и повышение эффективности реализации молодежной политики в Самарской области»)</t>
  </si>
  <si>
    <t>Обустройство и приспособление приоритетных объектов дошкольного образования, дополнительного образования детей с целью обеспечения их доступности для инвалидов
(ГП «Доступная среда в Самарской области»)</t>
  </si>
  <si>
    <t>Создание в общеобразовательных организациях условий для инклюзивного образования детей-инвалидов (в том числе на приобретение оборудования, создание универсальной безбарьерной среды, разработку проектно-сметной документации и получение положительного заключения государственной или негосударственной экспертизы на проектно-сметную документацию)
(ГП «Доступная среда в Самарской области»)</t>
  </si>
  <si>
    <t>Развитие инфраструктуры муниципальных учреждений отдыха и оздоровления детей
(ГП «Развитие социальной защиты населения в Самарской области»)</t>
  </si>
  <si>
    <t>Оснащение зданий (объектов (территорий)) муниципальных образовательных учреждений техническими средствами комплексной безопасности
(ГП «Строительство, реконструкция и капитальный ремонт образовательных организаций и их инфраструктуры на территории Самарской области»)</t>
  </si>
  <si>
    <t>Проведение муниципального этапа и участие в организации и проведении регионального этапа Всероссийской предметной олимпиады школьников
(НП «Образование», ГП «Развитие образования и повышение эффективности реализации молодежной политики в Самарской области»)</t>
  </si>
  <si>
    <t>Научное общество учащихся городского округа  Тольятти
(ГП «Развитие образования и повышение эффективности реализации молодежной политики в Самарской области»)</t>
  </si>
  <si>
    <t>Городская научно-практическая конференция "Первые шаги в науку", участие в областном конкурсе "Взлет" исследовательских проектов
(ГП «Развитие образования и повышение эффективности реализации молодежной политики в Самарской области»)</t>
  </si>
  <si>
    <t>Реализация общественных проектов в рамках государственной программы "Поддержка инициатив населения муниципальных образований в Самарской области"</t>
  </si>
  <si>
    <t>Профильная смена "Бизнес-погружение"
(ГП «Развитие образования и повышение эффективности реализации молодежной политики в Самарской области»)</t>
  </si>
  <si>
    <t>Муниципальный и региональный этапы Всероссийской открытой олимпиады школьников "Наше наследие", участие во всероссийском конкурсе
(ГП «Развитие образования и повышение эффективности реализации молодежной политики в Самарской области»)</t>
  </si>
  <si>
    <t>Учебно-тренировочные сборы для учащихся, ставших победителями и призерами окружного этапа всероссийской олимпиады школьников
(НП «Образование», ГП «Развитие образования и повышение эффективности реализации молодежной политики в Самарской области»)</t>
  </si>
  <si>
    <t>Конкурс исследовательских работ «Я-исследователь», участие в конкурсе проектно-исследовательских  работ обучающихся 2-4 классов  «Старт»
(ГП «Развитие образования и повышение эффективности реализации молодежной политики в Самарской области»)</t>
  </si>
  <si>
    <t>Муниципальный этап конкурса учащихся общеобразовательных организаций «Ученик года»
(ГП «Развитие образования и повышение эффективности реализации молодежной политики в Самарской области»)</t>
  </si>
  <si>
    <t>Городской фестиваль искусств "Творчество без границ"
(ГП «Развитие образования и повышение эффективности реализации молодежной политики в Самарской области»)</t>
  </si>
  <si>
    <t>Проект "Мир искусства детям"
(ГП «Развитие образования и повышение эффективности реализации молодежной политики в Самарской области»)</t>
  </si>
  <si>
    <t>Проект "Профессия-выбор-успех":
- он-лайн уроки "ПроеКТОриЯ";
- профтестирование и профпробы в рамках проекта "Билет в будущее"
(НП «Образование», ГП «Развитие образования и повышение эффективности реализации молодежной политики в Самарской области»)</t>
  </si>
  <si>
    <t>Городской проект «Ступени успеха: экономическое образование и воспитание»
(ГП «Развитие образования и повышение эффективности реализации молодежной политики в Самарской области»)</t>
  </si>
  <si>
    <t>Городской конкурс "Инфо-мир"
(НП «Образование», ГП «Развитие образования и повышение эффективности реализации молодежной политики в Самарской области»)</t>
  </si>
  <si>
    <t>Городская Спартакиада технического творчества
(НП «Образование», ГП «Развитие образования и повышение эффективности реализации молодежной политики в Самарской области»)</t>
  </si>
  <si>
    <t>Открытый городской фестиваль детского и юношеского творчества среди лиц с ограниченными возможностями здоровья "Красно-белый Кот"
(НП «Образование», ГП «Развитие образования и повышение эффективности реализации молодежной политики в Самарской области»)</t>
  </si>
  <si>
    <t>Городская школьная студия-лаборатория кино и телевидения
(ГП «Развитие образования и повышение эффективности реализации молодежной политики в Самарской области»)</t>
  </si>
  <si>
    <t>Марафон "Академия технического творчества"
(НП «Образование», ГП «Развитие образования и повышение эффективности реализации молодежной политики в Самарской области»)</t>
  </si>
  <si>
    <t>Профильная смена технического творчества "Технополигон"
(НП «Образование», ГП «Развитие образования и повышение эффективности реализации молодежной политики в Самарской области»)</t>
  </si>
  <si>
    <t>Городской фестиваль "Семейные традици"
(ГП «Развитие образования и повышение эффективности реализации молодежной политики в Самарской области»)</t>
  </si>
  <si>
    <t>Окружной этап  регионального конкурса детского творчества "Талантики"
(ГП «Развитие образования и повышение эффективности реализации молодежной политики в Самарской области»)</t>
  </si>
  <si>
    <t>Городской  фестиваль детского творчества  «Талантливые дошколята»
(ГП «Развитие образования и повышение эффективности реализации молодежной политики в Самарской области»)</t>
  </si>
  <si>
    <t>Областной музыкальный конкурс "Папа, мама, я - поющая семья"
 (ГП «Развитие образования и повышение эффективности реализации молодежной политики в Самарской области»)</t>
  </si>
  <si>
    <t>Городской конкурс чтецов "Лучики поэзии"
(ГП «Развитие образования и повышение эффективности реализации молодежной политики в Самарской области»)</t>
  </si>
  <si>
    <t>Городская акция "Неделя семейного чтения"
(ГП «Развитие образования и повышение эффективности реализации молодежной политики в Самарской области»)</t>
  </si>
  <si>
    <t>Городской фестиваль "Профи-дебют"
(ГП «Развитие образования и повышение эффективности реализации молодежной политики в Самарской области»)</t>
  </si>
  <si>
    <t>Городской конкурс по творческому моделированию "Конструкторские идеи"
(ГП «Развитие образования и повышение эффективности реализации молодежной политики в Самарской области»)</t>
  </si>
  <si>
    <t>Городской экологический фестиваль  «Мини - мистер и мисс Экология»
(ГП «Развитие образования и повышение эффективности реализации молодежной политики в Самарской области»)</t>
  </si>
  <si>
    <t>Городской смотр-конкурс «Дошколята –защитники природы»
(ГП «Развитие образования и повышение эффективности реализации молодежной политики в Самарской области»)</t>
  </si>
  <si>
    <t>Городской фестиваль "TLT. ТехноФЕСТ"
(НП «Образование», ГП «Развитие образования и повышение эффективности реализации молодежной политики в Самарской области»)</t>
  </si>
  <si>
    <t>Городской конкурс по конструированию "Детская мастерская ТехноРоботов"
(ГП «Развитие образования и повышение эффективности реализации молодежной политики в Самарской области»)</t>
  </si>
  <si>
    <t>Городской конкурс по ранней профориентации детей дошкольного возраста "Радуга профессий"
 (ГП «Развитие образования и повышение эффективности реализации молодежной политики в Самарской области»)</t>
  </si>
  <si>
    <t>Городской фестиваль технического творчества дошкольных образовательных учреждений "Вместе в будущее"
(ГП «Развитие образования и повышение эффективности реализации молодежной политики в Самарской области»)</t>
  </si>
  <si>
    <t>Профильная смена для обучающихся профильных педагогических классов
(НП «Образование», ГП «Развитие образования и повышение эффективности реализации молодежной политики в Самарской области»)</t>
  </si>
  <si>
    <t>Окружной этап регионального Чемпионата  «Будущие профессионалы 5+» 
(ГП «Развитие образования и повышение эффективности реализации молодежной политики в Самарской области»)</t>
  </si>
  <si>
    <t>Городской конкурс "Мы выбираем здоровье"
(ГП «Развитие образования и повышение эффективности реализации молодежной политики в Самарской области»)</t>
  </si>
  <si>
    <t>Акция "За жизнь без барьеров"
(НП «Образование», ГП «Развитие образования и повышение эффективности реализации молодежной политики в Самарской области»)</t>
  </si>
  <si>
    <t>Городская легкоатлетическая эстафета, посвященная Дню Победы
(ГП «Развитие образования и повышение эффективности реализации молодежной политики в Самарской области»)</t>
  </si>
  <si>
    <t>Городской конкурс агитбригад ЮИД, участие в областном конкурсе 
(ГП «Развитие образования и повышение эффективности реализации молодежной политики в Самарской области»)</t>
  </si>
  <si>
    <t>Акция "Учись быть пешеходом"
(ГП «Развитие образования и повышение эффективности реализации молодежной политики в Самарской области»)</t>
  </si>
  <si>
    <t>Профильная смена "Юные инспекторы движения"
(ГП «Развитие образования и повышение эффективности реализации молодежной политики в Самарской области»)</t>
  </si>
  <si>
    <t>Гороской конкурс "Папа, мама, я , знающая ПДД семья"
(ГП «Развитие образования и повышение эффективности реализации молодежной политики в Самарской области»)</t>
  </si>
  <si>
    <t>Проведение городского этапа  и участие в организации и проведении областного этапа   конкурс-фестиваль "Безопасное колесо"
 (ГП «Развитие образования и повышение эффективности реализации молодежной политики в Самарской области»)</t>
  </si>
  <si>
    <t>Городское профилактическое мероприятие "Академия ПДД"
 (ГП «Развитие образования и повышение эффективности реализации молодежной политики в Самарской области»)</t>
  </si>
  <si>
    <t>Муниципальный этап Всероссийских спортивных соревнований школьников "Президентские состязания" и "Президентские игры"
 (ГП «Развитие образования и повышение эффективности реализации молодежной политики в Самарской области»)</t>
  </si>
  <si>
    <t>Муниципальный этап соревнований по мини-футболу в рамках проекта "Мини-футбол в школу"
 (ГП «Развитие образования и повышение эффективности реализации молодежной политики в Самарской области»)</t>
  </si>
  <si>
    <t>Муниципальный этап соревнований школьных спортивных клубов
 (ГП «Развитие образования и повышение эффективности реализации молодежной политики в Самарской области»)</t>
  </si>
  <si>
    <t>Обеспечение участия в региональных этапах конкурсов и соревнований спортивной направленности
 (ГП «Развитие образования и повышение эффективности реализации молодежной политики в Самарской области»)</t>
  </si>
  <si>
    <t>Городской конкурс семейных историй «Безопасный мир»
 (ГП «Развитие образования и повышение эффективности реализации молодежной политики в Самарской области»)</t>
  </si>
  <si>
    <t>Городской конкурс по профилактике  детского дорожно-транспортного травматизма  «Безопасный перекресток»
 (ГП «Развитие образования и повышение эффективности реализации молодежной политики в Самарской области»)</t>
  </si>
  <si>
    <t>Городской смотр-конкурс  по профилактике детского дорожно-транспортного травматизма "Зеленый огонек"
 (ГП «Развитие образования и повышение эффективности реализации молодежной политики в Самарской области»)</t>
  </si>
  <si>
    <t>Городской шахматный  турнир  "Волшебная пешка"
 (ГП «Развитие образования и повышение эффективности реализации молодежной политики в Самарской области»)</t>
  </si>
  <si>
    <t>Городские соревнования среди команд дошкольных образовательных организаций "Веселые старты"
 (ГП «Развитие образования и повышение эффективности реализации молодежной политики в Самарской области»)</t>
  </si>
  <si>
    <t>Городские соревнования по спортивному ориентированию «Солнечный ориентир»
 (ГП «Развитие образования и повышение эффективности реализации молодежной политики в Самарской области»)</t>
  </si>
  <si>
    <t>Открытый городской фестиваль спортивных танцев  с элементами  черлидинга «Танцевальный салют»
 (ГП «Развитие образования и повышение эффективности реализации молодежной политики в Самарской области»)</t>
  </si>
  <si>
    <t>Спортивные соревнования "Семейная спартакиада" среди муниципальных образовательных учреждений
 (ГП «Развитие образования и повышение эффективности реализации молодежной политики в Самарской области»)</t>
  </si>
  <si>
    <t>Соревнования среди дошкольных образовательных организаций "Малые спортивные игры"
 (ГП «Развитие образования и повышение эффективности реализации молодежной политики в Самарской области»)</t>
  </si>
  <si>
    <t>Городской фестиваль-конкурс дошкольных образовательных учреждений «Здоровое питание – здоровые дети»
 (ГП «Развитие образования и повышение эффективности реализации молодежной политики в Самарской области»)</t>
  </si>
  <si>
    <t>Городские соревнования среди команд дошкольных образовательных организаций «Лыжные старты»
 (ГП «Развитие образования и повышение эффективности реализации молодежной политики в Самарской области»)</t>
  </si>
  <si>
    <t>Городские соревнования по футболу среди дошкольных образовательных организаций
 (ГП «Развитие образования и повышение эффективности реализации молодежной политики в Самарской области»)</t>
  </si>
  <si>
    <t>Спартакиада детей с ограниченными возможностями здоровья
 (НП «Образование», ГП «Развитие образования и повышение эффективности реализации молодежной политики в Самарской области»)</t>
  </si>
  <si>
    <t>Городское мероприятие "Туристский поход с проверкой туристских навыков" в рамках Всероссийского физкультурно-спортивного комплекса "Готов к труду и обороне"
(НП «Образование», ГП «Развитие образования и повышение эффективности реализации молодежной политики в Самарской области»)</t>
  </si>
  <si>
    <t>Городские соревнования патриотических объединений "Школа безопасности"; "Юный спасатель"
(НП «Образование», ГП «Развитие образования и повышение эффективности реализации молодежной политики в Самарской области»)</t>
  </si>
  <si>
    <t>Профильная смена "Защитники Отечества"
(НП «Образование», ГП «Развитие образования и повышение эффективности реализации молодежной политики в Самарской области»)</t>
  </si>
  <si>
    <t>Учебные сборы учащихся 10-х классов (юношей) в рамках деятельности учебно-методического центра "Авангард-Тольятти"
(НП «Образование», ГП «Развитие образования и повышение эффективности реализации молодежной политики в Самарской области»)</t>
  </si>
  <si>
    <t>Поисково-исследовательская экспедиция "Наш Тольятти - моя малая Родина" 
(НП «Образование», ГП «Развитие образования и повышение эффективности реализации молодежной политики в Самарской области»)</t>
  </si>
  <si>
    <t>Месячник военно-патриотической работы
(НП «Образование», ГП «Развитие образования и повышение эффективности реализации молодежной политики в Самарской области»)</t>
  </si>
  <si>
    <t>Городские соревнования по пулевой и кроссовой стрельбе
(НП «Образование», ГП «Развитие образования и повышение эффективности реализации молодежной политики в Самарской области»)</t>
  </si>
  <si>
    <t>Городской конкурс "Лучшее детское объединение"
(НП «Образование», ГП «Развитие образования и повышение эффективности реализации молодежной политики в Самарской области»)</t>
  </si>
  <si>
    <t>Профильная смена органов ученического самоуправления
(НП «Образование», ГП «Развитие образования и повышение эффективности реализации молодежной политики в Самарской области»)</t>
  </si>
  <si>
    <t>Конкурс социальных проектов "Гражданин"
(ГП «Развитие образования и повышение эффективности реализации молодежной политики в Самарской области»)</t>
  </si>
  <si>
    <t>Городской фестиваль дружбы народов Поволжья
(НП «Образование», ГП «Развитие образования и повышение эффективности реализации молодежной политики в Самарской области»)</t>
  </si>
  <si>
    <t>Городской конкурс волонтерских объединений "Спешите делать добро"
(ГП «Развитие образования и повышение эффективности реализации молодежной политики в Самарской области»)</t>
  </si>
  <si>
    <t>Военно-спортивная игра "Зарница"
(НП «Образование», ГП «Развитие образования и повышение эффективности реализации молодежной политики в Самарской области»)</t>
  </si>
  <si>
    <t>Профильная смена активистов школьных музеев
(ГП «Развитие образования и повышение эффективности реализации молодежной политики в Самарской области»)</t>
  </si>
  <si>
    <t>Городские этапы региональных конкурсов (патриотической направленности)
(НП «Образование», ГП «Развитие образования и повышение эффективности реализации молодежной политики в Самарской области»)</t>
  </si>
  <si>
    <t>Военно-спортивная игра "Зарница Поволжья"
(НП «Образование», ГП «Развитие образования и повышение эффективности реализации молодежной политики в Самарской области»)</t>
  </si>
  <si>
    <t>Городское мероприятие "Кадетский бал"
НП «Образование», ГП «Развитие образования и повышение эффективности реализации молодежной политики в Самарской области»)</t>
  </si>
  <si>
    <t>Участие активистов местного отделения Российского движения школьников в областных слетах, сборах, форумах
(НП «Образование», ГП «Развитие образования и повышение эффективности реализации молодежной политики в Самарской области»)</t>
  </si>
  <si>
    <t>Городской конкурс школьных музеев
(ГП «Развитие образования и повышение эффективности реализации молодежной политики в Самарской области»)</t>
  </si>
  <si>
    <t>Научно-практическая конференция «Служение Отечеству»
(НП «Образование», ГП «Развитие образования и повышение эффективности реализации молодежной политики в Самарской области»)</t>
  </si>
  <si>
    <t>Городской фестиваль. "Хоровод дружбы"
(ГП «Развитие образования и повышение эффективности реализации молодежной политики в Самарской области»)</t>
  </si>
  <si>
    <t>Городской конкурс "Музей для детей"
(ГП «Развитие образования и повышение эффективности реализации молодежной политики в Самарской области»)</t>
  </si>
  <si>
    <t>Городской конкурс "Легенды Жигулей"
(ГП «Развитие образования и повышение эффективности реализации молодежной политики в Самарской области»)</t>
  </si>
  <si>
    <t>Предоставление широкополосного доступа  к сети Интернет с использованием средств контентной фильтрации информации муниципальным образовательным учреждениям,  в том числе детям-инвалидам, находящимся на индивидуальном обучении и получающим общее образование в дистанционной форме
(ГП «Развитие образования и повышение эффективности реализации молодежной политики в Самарской области»)</t>
  </si>
  <si>
    <t>Предоставление субсидий юридическим лицам (за исключением субсидий государственным (муниципальным) учреждениям), индивидуальным предпринимателям, а также физическим лицам - производителям услуг в целях возмещения затрат на предоставление питания обучающимся муниципальных образовательных учреждений городского округа Тольятти в период их пребывания в лагерях с дневным пребыванием детей, организованных на базе данных учреждений
(ГП «Развитие социальной защиты населения в Самарской области»)</t>
  </si>
  <si>
    <t>Предоставление субсидий юридическим лицам (за исключением субсидий государственным (муниципальным) учреждениям), индивидуальным предпринимателям, физическим лицам - производителям товаров, работ, услуг на организацию бесплатного горячего питания обучающихся, получающих начальное общее образование в муниципальных образовательных организациях городского округа Тольятти
(ГП «Развитие образования и повышение эффективности реализации молодежной политики в Самарской области»)</t>
  </si>
  <si>
    <t>Предоставление субсидий социально ориентированным некоммерческим организациям, не являющимся государственными (муниципальными) учреждениями, реализующим основные общеобразовательные программы дошкольного образования, на осуществление присмотра и ухода за детьми в части взимания родительской платы за ребенка, один из родителей (законных представителей) которого относится к категории лиц, принимающих участие в специальной военной операции
(ГП «Развитие образования и повышение эффективности реализации молодежной политики в Самарской области»)</t>
  </si>
  <si>
    <t>Выплата ежемесячного вознаграждения за выполнение функций классного руководителя педагогическим работникам муниципальных бюджетных учреждений, реализующих общеобразовательные программы начального общего, основного общего и среднего  общего образования
(ГП «Развитие образования и повышение эффективности реализации молодежной политики в Самарской области»)</t>
  </si>
  <si>
    <t>Осуществление ежемесячной денежной выплаты в размере 5000 (пяти тысяч) рублей  молодым, в возрасте не старше 35 лет, педагогическим работникам муниципальных дошкольных образовательных и общеобразовательных учреждений
(ГП «Развитие образования и повышение эффективности реализации молодежной политики в Самарской области»)</t>
  </si>
  <si>
    <t>Осуществление ежемесячной денежной выплаты в размере 1500 (одной тысячи пятисот) рублей на ставку заработной платы педагогическим работникам муниципальных общеобразовательных организаций, реализующих дополнительные общеобразовательные программы
(ГП «Развитие образования и повышение эффективности реализации молодежной политики в Самарской области»)</t>
  </si>
  <si>
    <t>Выплата педагогическим работникам муниципальных общеобразовательных организаций, участвующим  в проведении государственной итоговой аттестации по образовательным программам основного общего и среднего общего образования, компенсации за работу по подготовке и проведению государственной итоговой аттестации
(ГП «Развитие образования и повышение эффективности реализации молодежной политики в Самарской области»)</t>
  </si>
  <si>
    <t>Осуществление ежемесячного денежного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формируемых за счёт поступающих в областной бюджет средств федерального бюджета
(ГП «Развитие образования и повышение эффективности реализации молодежной политики в Самарской области»)</t>
  </si>
  <si>
    <t>Осуществление ежемесячных денежных выплат в размере 5000 (пять тысяч) рублей на ставку заработной платы педагогическим работникам муниципальных образовательных учреждений, реализующих общеобразовательные программы дошкольного образования в муниципальных общеобразовательных и дошкольных образовательных учреждениях
(ГП «Развитие образования и повышение эффективности реализации молодежной политики в Самарской области»)</t>
  </si>
  <si>
    <t>Предоставление субсидий на осуществление ежемесячных денежных выплат педагогическим работникам автономных некоммерческих организаций, реализующих  общеобразовательные программы дошкольного образования, одним из учредителей которых является орган местного самоуправления муниципального образования
(ГП «Развитие образования и повышение эффективности реализации молодежной политики в Самарской области»)</t>
  </si>
  <si>
    <t>Осуществление начиная с марта 2022 года ежемесячных денежных выплат в размере 3 200 (трех тысяч двухсот) рублей на ставку заработной платы педагогическим работникам муниципальных общеобразовательных организаций, реализующих дополнительные общеобразовательные программы
(ГП «Развитие образования и повышение эффективности реализации молодежной политики в Самарской области»)</t>
  </si>
  <si>
    <t>Осуществление в октябре 2022 года единовременной денежной выплаты в размере 10000 (десяти тысяч) рублей на ставку заработной платы педагогическим работникам муниципальных дошкольных образовательных организаций, а также муниципальных общеобразовательных организаций, реализующих основные общеобразовательные программы дошкольного образования, начального общего, основного общего, среднего общего образования и общеобразовательные программы дополнительного образования детей
(ГП «Развитие образования и повышение эффективности реализации молодежной политики в Самарской области»)</t>
  </si>
  <si>
    <t>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
(ФП "Патриотическое воспитание граждан Российской Федерации" НП «Образование», ГП «Развитие образования и повышение эффективности реализации молодежной политики в Самарской области»)</t>
  </si>
  <si>
    <t>Осуществление в сентябре 2023 года единовременной денежной выплаты в размере 10000 (десяти тысяч) рублей на ставку заработной платы педагогическим работникам муниципальных дошкольных образовательных организаций, а также муниципальных общеобразовательных организаций, реализующих основные общеобразовательные программы дошкольного образования, начального общего, основного общего, среднего общего образования и общеобразовательные программы дополнительного образования детей
(ГП «Развитие образования и повышение эффективности реализации молодежной политики в Самарской области»)</t>
  </si>
  <si>
    <t>3.1.43</t>
  </si>
  <si>
    <t>2024-2026</t>
  </si>
  <si>
    <t>Реализация проекта «Школьное инициативное бюджетирование в муниципальных бюджетных общеобразовательных учреждениях городского округа Тольятти» 
(ГП «Развитие образования и повышение эффективности реализации молодежной политики в Самарской области»)</t>
  </si>
  <si>
    <t>Городской фестиваль литературного творчества «Веснушки»
(ГП «Развитие образования и повышение эффективности реализации молодежной политики в Самарской области»)</t>
  </si>
  <si>
    <r>
      <t xml:space="preserve">Предоставление субсидий юридическим лицам (за исключением субсидий государственным (муниципальным) учреждениям), индивидуальным предпринимателям, физическим лицам - производителям товаров, работ, услуг в целях возмещения затрат по обеспечению двухразовым бесплатным горячим питанием обучающихся 5 – 11 классов муниципальных общеобразовательных учреждений городского округа Тольятти, один из родителей (законных представителей) которых относится к категории лиц, принимающих участие в специальной военной операции
</t>
    </r>
    <r>
      <rPr>
        <sz val="12"/>
        <rFont val="Times New Roman"/>
        <family val="1"/>
      </rPr>
      <t xml:space="preserve">
(ГП «Развитие образования и повышение эффективности реализации молодежной политики в Самарской области»)</t>
    </r>
  </si>
  <si>
    <t>Устройство и ремонт спортивных площадок на территории МОУ</t>
  </si>
  <si>
    <t>Предоставление субсидий на осуществление присмотра и ухода за детьми в части взимания родительской платы за ребенка, один из родителей (законных представителей) которого относится к категории лиц, принимающих участие в специальной военной операции, в муниципальных образовательных организациях, реализующих основные общеобразовательные программы дошкольного образования
(ГП «Развитие образования и повышение эффективности реализации молодежной политики в Самарской области»)</t>
  </si>
  <si>
    <t xml:space="preserve"> Цикл мероприятий культурологической, художественно-эстетической, интеллектуальной направленностей:</t>
  </si>
  <si>
    <t>2023-2024</t>
  </si>
  <si>
    <t>2022-2024</t>
  </si>
  <si>
    <t>3.19.</t>
  </si>
  <si>
    <t>Предоставление субсидий юридическим лицам (за исключением субсидий государственным (муниципальным) учреждениям), индивидуальным предпринимателям, физическим лицам - производителям товаров, работ, услуг в целях возмещения затрат на обеспечение  второго приема бесплатного горячего питания для обучающихся 1–4 классов муниципальных общеобразовательных  организаций городского округа Тольятти, один из родителей (законных представителей) которых относится к категории лиц, принимающих участие в специальной военной операции
(ГП «Развитие образования и повышение эффективности реализации молодежной политики в Самарской области»)</t>
  </si>
  <si>
    <t>2024</t>
  </si>
  <si>
    <t>2.23</t>
  </si>
  <si>
    <t>2.24</t>
  </si>
  <si>
    <t>Осуществление мероприятий, направленных на создание некапитальных объектов (быстровозводимых конструкций) отдыха детей и их оздоровления, а также оснащение некапитальных объектов (быстровозводимых конструкций) основными средствами
(ГП «Развитие социальной защиты населения в Самарской области»)</t>
  </si>
  <si>
    <t>Осуществление мероприятий, направленных на создание современной инфраструктуры для отдыха детей и их оздоровления путем возведения некапитальных строений, сооружений (быстровозводимых конструкций), а также при проведении капитального ремонта объектов инфраструктуры организаций отдыха детей и их оздоровления, в том числе формируемых за счет субсидий из федерального бюджета
(ГП «Развитие социальной защиты населения в Самарской области»)</t>
  </si>
  <si>
    <t>Капитальный (или текущий) ремонт и благоустройство прилегающей территории находящихся в муниципальной собственности зданий учреждений образования (включая строительный контроль)</t>
  </si>
  <si>
    <t>Технические обследования, подготовка проектно-сметной документации, в том числе с прохождением госэкспертизы, на капитальный ремонт зданий, инженерных коммуникаций, благоустройство территории</t>
  </si>
</sst>
</file>

<file path=xl/styles.xml><?xml version="1.0" encoding="utf-8"?>
<styleSheet xmlns="http://schemas.openxmlformats.org/spreadsheetml/2006/main">
  <numFmts count="4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р.&quot;;\-#,##0\ &quot;р.&quot;"/>
    <numFmt numFmtId="167" formatCode="#,##0\ &quot;р.&quot;;[Red]\-#,##0\ &quot;р.&quot;"/>
    <numFmt numFmtId="168" formatCode="#,##0.00\ &quot;р.&quot;;\-#,##0.00\ &quot;р.&quot;"/>
    <numFmt numFmtId="169" formatCode="#,##0.00\ &quot;р.&quot;;[Red]\-#,##0.00\ &quot;р.&quot;"/>
    <numFmt numFmtId="170" formatCode="_-* #,##0\ &quot;р.&quot;_-;\-* #,##0\ &quot;р.&quot;_-;_-* &quot;-&quot;\ &quot;р.&quot;_-;_-@_-"/>
    <numFmt numFmtId="171" formatCode="_-* #,##0\ _р_._-;\-* #,##0\ _р_._-;_-* &quot;-&quot;\ _р_._-;_-@_-"/>
    <numFmt numFmtId="172" formatCode="_-* #,##0.00\ &quot;р.&quot;_-;\-* #,##0.00\ &quot;р.&quot;_-;_-* &quot;-&quot;??\ &quot;р.&quot;_-;_-@_-"/>
    <numFmt numFmtId="173" formatCode="_-* #,##0.00\ _р_._-;\-* #,##0.00\ _р_._-;_-* &quot;-&quot;??\ _р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0"/>
    <numFmt numFmtId="183" formatCode="#,##0.000"/>
    <numFmt numFmtId="184" formatCode="0.000"/>
    <numFmt numFmtId="185" formatCode="0.0"/>
    <numFmt numFmtId="186" formatCode="_-* #,##0.000_р_._-;\-* #,##0.000_р_._-;_-* &quot;-&quot;??_р_._-;_-@_-"/>
    <numFmt numFmtId="187" formatCode="_-* #,##0.000_р_._-;\-* #,##0.000_р_._-;_-* &quot;-&quot;???_р_._-;_-@_-"/>
    <numFmt numFmtId="188" formatCode="#,##0.0000"/>
    <numFmt numFmtId="189" formatCode="#,##0.00000"/>
    <numFmt numFmtId="190" formatCode="&quot;Да&quot;;&quot;Да&quot;;&quot;Нет&quot;"/>
    <numFmt numFmtId="191" formatCode="&quot;Истина&quot;;&quot;Истина&quot;;&quot;Ложь&quot;"/>
    <numFmt numFmtId="192" formatCode="&quot;Вкл&quot;;&quot;Вкл&quot;;&quot;Выкл&quot;"/>
    <numFmt numFmtId="193" formatCode="[$€-2]\ ###,000_);[Red]\([$€-2]\ ###,000\)"/>
    <numFmt numFmtId="194" formatCode="[$-FC19]d\ mmmm\ yyyy\ &quot;г.&quot;"/>
    <numFmt numFmtId="195" formatCode="#,##0.000;#,##0.000;&quot;-&quot;"/>
    <numFmt numFmtId="196" formatCode="#,##0.000;#,##0.000;&quot;–&quot;"/>
    <numFmt numFmtId="197" formatCode="#,##0.000000"/>
    <numFmt numFmtId="198" formatCode="#,##0.00;#,##0.00;&quot;–&quot;"/>
    <numFmt numFmtId="199" formatCode="#,##0.0;#,##0.0;&quot;–&quot;"/>
  </numFmts>
  <fonts count="64">
    <font>
      <sz val="10"/>
      <name val="Arial"/>
      <family val="2"/>
    </font>
    <font>
      <sz val="11"/>
      <color indexed="8"/>
      <name val="Calibri"/>
      <family val="2"/>
    </font>
    <font>
      <sz val="10"/>
      <name val="Arial Cyr"/>
      <family val="2"/>
    </font>
    <font>
      <sz val="12"/>
      <name val="Times New Roman"/>
      <family val="1"/>
    </font>
    <font>
      <sz val="14"/>
      <name val="Times New Roman"/>
      <family val="1"/>
    </font>
    <font>
      <b/>
      <sz val="14"/>
      <name val="Times New Roman"/>
      <family val="1"/>
    </font>
    <font>
      <b/>
      <sz val="12"/>
      <name val="Times New Roman"/>
      <family val="1"/>
    </font>
    <font>
      <b/>
      <sz val="16"/>
      <name val="Times New Roman"/>
      <family val="1"/>
    </font>
    <font>
      <b/>
      <sz val="12"/>
      <color indexed="8"/>
      <name val="Times New Roman"/>
      <family val="1"/>
    </font>
    <font>
      <sz val="12"/>
      <color indexed="8"/>
      <name val="Times New Roman"/>
      <family val="1"/>
    </font>
    <font>
      <sz val="10"/>
      <color indexed="10"/>
      <name val="Arial Cyr"/>
      <family val="2"/>
    </font>
    <font>
      <sz val="8"/>
      <name val="Arial"/>
      <family val="2"/>
    </font>
    <font>
      <sz val="9"/>
      <name val="Tahoma"/>
      <family val="2"/>
    </font>
    <font>
      <b/>
      <sz val="9"/>
      <name val="Tahoma"/>
      <family val="2"/>
    </font>
    <font>
      <sz val="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7"/>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7"/>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10"/>
      <name val="Times New Roman"/>
      <family val="1"/>
    </font>
    <font>
      <b/>
      <sz val="12"/>
      <color indexed="10"/>
      <name val="Times New Roman"/>
      <family val="1"/>
    </font>
    <font>
      <b/>
      <sz val="10"/>
      <color indexed="10"/>
      <name val="Arial Cyr"/>
      <family val="0"/>
    </font>
    <font>
      <b/>
      <sz val="12"/>
      <color indexed="36"/>
      <name val="Times New Roman"/>
      <family val="1"/>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7"/>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7"/>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FF0000"/>
      <name val="Times New Roman"/>
      <family val="1"/>
    </font>
    <font>
      <sz val="10"/>
      <color rgb="FFFF0000"/>
      <name val="Arial Cyr"/>
      <family val="2"/>
    </font>
    <font>
      <b/>
      <sz val="12"/>
      <color rgb="FFFF0000"/>
      <name val="Times New Roman"/>
      <family val="1"/>
    </font>
    <font>
      <b/>
      <sz val="10"/>
      <color rgb="FFFF0000"/>
      <name val="Arial Cyr"/>
      <family val="0"/>
    </font>
    <font>
      <sz val="12"/>
      <color rgb="FF000000"/>
      <name val="Times New Roman"/>
      <family val="1"/>
    </font>
    <font>
      <b/>
      <sz val="12"/>
      <color rgb="FF7030A0"/>
      <name val="Times New Roman"/>
      <family val="1"/>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style="thin"/>
      <right style="thin"/>
      <top style="thin"/>
      <bottom style="thin"/>
    </border>
    <border>
      <left style="thin"/>
      <right/>
      <top style="thin"/>
      <bottom style="thin"/>
    </border>
    <border>
      <left style="thin"/>
      <right style="thin"/>
      <top style="thin"/>
      <bottom/>
    </border>
    <border>
      <left/>
      <right style="thin"/>
      <top>
        <color indexed="63"/>
      </top>
      <bottom style="thin"/>
    </border>
    <border>
      <left/>
      <right/>
      <top style="thin"/>
      <bottom style="thin"/>
    </border>
    <border>
      <left/>
      <right style="thin"/>
      <top style="thin"/>
      <bottom style="thin"/>
    </border>
    <border>
      <left style="thin"/>
      <right style="thin"/>
      <top/>
      <bottom style="thin"/>
    </border>
    <border>
      <left style="thin"/>
      <right style="thin"/>
      <top/>
      <botto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43" fillId="0" borderId="0" applyNumberFormat="0" applyFill="0" applyBorder="0" applyAlignment="0" applyProtection="0"/>
    <xf numFmtId="180" fontId="0" fillId="0" borderId="0" applyFont="0" applyFill="0" applyBorder="0" applyAlignment="0" applyProtection="0"/>
    <xf numFmtId="178"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38" fillId="0" borderId="0">
      <alignment/>
      <protection/>
    </xf>
    <xf numFmtId="0" fontId="51" fillId="0" borderId="0" applyNumberFormat="0" applyFill="0" applyBorder="0" applyAlignment="0" applyProtection="0"/>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181" fontId="0" fillId="0" borderId="0" applyFont="0" applyFill="0" applyBorder="0" applyAlignment="0" applyProtection="0"/>
    <xf numFmtId="179" fontId="0" fillId="0" borderId="0" applyFont="0" applyFill="0" applyBorder="0" applyAlignment="0" applyProtection="0"/>
    <xf numFmtId="0" fontId="56" fillId="32" borderId="0" applyNumberFormat="0" applyBorder="0" applyAlignment="0" applyProtection="0"/>
  </cellStyleXfs>
  <cellXfs count="182">
    <xf numFmtId="0" fontId="0" fillId="0" borderId="0" xfId="0" applyAlignment="1">
      <alignment/>
    </xf>
    <xf numFmtId="0" fontId="2" fillId="0" borderId="0" xfId="56" applyFont="1" applyFill="1" applyAlignment="1">
      <alignment vertical="center"/>
      <protection/>
    </xf>
    <xf numFmtId="0" fontId="0" fillId="0" borderId="0" xfId="0" applyFont="1" applyFill="1" applyAlignment="1">
      <alignment/>
    </xf>
    <xf numFmtId="0" fontId="2" fillId="0" borderId="0" xfId="56" applyFont="1" applyFill="1" applyBorder="1" applyAlignment="1">
      <alignment vertical="center"/>
      <protection/>
    </xf>
    <xf numFmtId="0" fontId="7" fillId="0" borderId="0" xfId="56" applyFont="1" applyFill="1" applyAlignment="1">
      <alignment vertical="center"/>
      <protection/>
    </xf>
    <xf numFmtId="0" fontId="6" fillId="0" borderId="10" xfId="56" applyFont="1" applyFill="1" applyBorder="1" applyAlignment="1">
      <alignment vertical="center" wrapText="1"/>
      <protection/>
    </xf>
    <xf numFmtId="0" fontId="3" fillId="0" borderId="0" xfId="56" applyFont="1" applyFill="1" applyAlignment="1">
      <alignment horizontal="center" vertical="center"/>
      <protection/>
    </xf>
    <xf numFmtId="0" fontId="6" fillId="0" borderId="0" xfId="56" applyFont="1" applyFill="1" applyAlignment="1">
      <alignment horizontal="center" vertical="center"/>
      <protection/>
    </xf>
    <xf numFmtId="4" fontId="6" fillId="0" borderId="0" xfId="56" applyNumberFormat="1" applyFont="1" applyFill="1" applyAlignment="1">
      <alignment horizontal="center" vertical="center"/>
      <protection/>
    </xf>
    <xf numFmtId="0" fontId="3" fillId="0" borderId="0" xfId="0" applyFont="1" applyFill="1" applyAlignment="1">
      <alignment horizontal="center" vertical="center"/>
    </xf>
    <xf numFmtId="0" fontId="6" fillId="0" borderId="10" xfId="56" applyFont="1" applyFill="1" applyBorder="1" applyAlignment="1">
      <alignment horizontal="center" vertical="center" wrapText="1"/>
      <protection/>
    </xf>
    <xf numFmtId="183" fontId="3" fillId="0" borderId="11" xfId="56" applyNumberFormat="1" applyFont="1" applyFill="1" applyBorder="1" applyAlignment="1">
      <alignment horizontal="center" vertical="center" wrapText="1"/>
      <protection/>
    </xf>
    <xf numFmtId="0" fontId="3" fillId="0" borderId="0" xfId="0" applyFont="1" applyFill="1" applyAlignment="1">
      <alignment horizontal="center"/>
    </xf>
    <xf numFmtId="0" fontId="6" fillId="0" borderId="11" xfId="56" applyFont="1" applyFill="1" applyBorder="1" applyAlignment="1">
      <alignment horizontal="center" vertical="center" wrapText="1"/>
      <protection/>
    </xf>
    <xf numFmtId="183" fontId="6" fillId="0" borderId="11" xfId="56" applyNumberFormat="1" applyFont="1" applyFill="1" applyBorder="1" applyAlignment="1">
      <alignment horizontal="center" vertical="center"/>
      <protection/>
    </xf>
    <xf numFmtId="0" fontId="3" fillId="0" borderId="0" xfId="56" applyFont="1" applyFill="1" applyAlignment="1">
      <alignment horizontal="left" vertical="center"/>
      <protection/>
    </xf>
    <xf numFmtId="0" fontId="6" fillId="0" borderId="0" xfId="0" applyFont="1" applyFill="1" applyAlignment="1">
      <alignment horizontal="left"/>
    </xf>
    <xf numFmtId="0" fontId="4" fillId="0" borderId="0" xfId="56" applyFont="1" applyFill="1" applyAlignment="1">
      <alignment vertical="center"/>
      <protection/>
    </xf>
    <xf numFmtId="0" fontId="4" fillId="0" borderId="0" xfId="0" applyFont="1" applyFill="1" applyAlignment="1">
      <alignment/>
    </xf>
    <xf numFmtId="0" fontId="3" fillId="0" borderId="11" xfId="0" applyFont="1" applyFill="1" applyBorder="1" applyAlignment="1">
      <alignment vertical="top" wrapText="1"/>
    </xf>
    <xf numFmtId="183" fontId="6" fillId="0" borderId="0" xfId="56" applyNumberFormat="1" applyFont="1" applyFill="1" applyBorder="1" applyAlignment="1">
      <alignment horizontal="right" vertical="center"/>
      <protection/>
    </xf>
    <xf numFmtId="183" fontId="7" fillId="0" borderId="0" xfId="56" applyNumberFormat="1" applyFont="1" applyFill="1" applyAlignment="1">
      <alignment vertical="center"/>
      <protection/>
    </xf>
    <xf numFmtId="183" fontId="6" fillId="0" borderId="11" xfId="56" applyNumberFormat="1" applyFont="1" applyFill="1" applyBorder="1" applyAlignment="1">
      <alignment horizontal="center" vertical="center" wrapText="1"/>
      <protection/>
    </xf>
    <xf numFmtId="0" fontId="10" fillId="0" borderId="0" xfId="56" applyFont="1" applyFill="1" applyAlignment="1">
      <alignment vertical="center"/>
      <protection/>
    </xf>
    <xf numFmtId="0" fontId="7" fillId="0" borderId="0" xfId="56" applyFont="1" applyFill="1" applyAlignment="1">
      <alignment horizontal="center" vertical="center"/>
      <protection/>
    </xf>
    <xf numFmtId="183" fontId="3" fillId="0" borderId="11" xfId="56" applyNumberFormat="1" applyFont="1" applyFill="1" applyBorder="1" applyAlignment="1">
      <alignment horizontal="center" vertical="center"/>
      <protection/>
    </xf>
    <xf numFmtId="0" fontId="3" fillId="0" borderId="11" xfId="56" applyFont="1" applyFill="1" applyBorder="1" applyAlignment="1">
      <alignment horizontal="center" vertical="center" wrapText="1"/>
      <protection/>
    </xf>
    <xf numFmtId="0" fontId="3" fillId="0" borderId="11" xfId="56" applyFont="1" applyFill="1" applyBorder="1" applyAlignment="1">
      <alignment horizontal="center" vertical="center"/>
      <protection/>
    </xf>
    <xf numFmtId="184" fontId="3" fillId="0" borderId="11" xfId="0" applyNumberFormat="1" applyFont="1" applyFill="1" applyBorder="1" applyAlignment="1">
      <alignment vertical="top" wrapText="1"/>
    </xf>
    <xf numFmtId="183" fontId="6" fillId="0" borderId="0" xfId="56" applyNumberFormat="1" applyFont="1" applyFill="1" applyAlignment="1">
      <alignment horizontal="center" vertical="top"/>
      <protection/>
    </xf>
    <xf numFmtId="183" fontId="3" fillId="0" borderId="0" xfId="56" applyNumberFormat="1" applyFont="1" applyFill="1" applyAlignment="1">
      <alignment horizontal="center" vertical="top"/>
      <protection/>
    </xf>
    <xf numFmtId="184" fontId="4" fillId="0" borderId="0" xfId="56" applyNumberFormat="1" applyFont="1" applyFill="1" applyAlignment="1">
      <alignment vertical="center"/>
      <protection/>
    </xf>
    <xf numFmtId="183" fontId="6" fillId="0" borderId="0" xfId="56" applyNumberFormat="1" applyFont="1" applyFill="1" applyBorder="1" applyAlignment="1">
      <alignment horizontal="right" vertical="center" wrapText="1"/>
      <protection/>
    </xf>
    <xf numFmtId="183" fontId="2" fillId="0" borderId="0" xfId="56" applyNumberFormat="1" applyFont="1" applyFill="1" applyBorder="1" applyAlignment="1">
      <alignment vertical="center"/>
      <protection/>
    </xf>
    <xf numFmtId="184" fontId="6" fillId="0" borderId="0" xfId="56" applyNumberFormat="1" applyFont="1" applyFill="1" applyBorder="1" applyAlignment="1">
      <alignment horizontal="center" vertical="center"/>
      <protection/>
    </xf>
    <xf numFmtId="49" fontId="3" fillId="0" borderId="11" xfId="56" applyNumberFormat="1" applyFont="1" applyFill="1" applyBorder="1" applyAlignment="1">
      <alignment horizontal="center" vertical="top"/>
      <protection/>
    </xf>
    <xf numFmtId="183" fontId="3" fillId="0" borderId="11" xfId="0" applyNumberFormat="1" applyFont="1" applyFill="1" applyBorder="1" applyAlignment="1">
      <alignment horizontal="left" vertical="top" wrapText="1"/>
    </xf>
    <xf numFmtId="49" fontId="6" fillId="0" borderId="11" xfId="56" applyNumberFormat="1" applyFont="1" applyFill="1" applyBorder="1" applyAlignment="1">
      <alignment horizontal="center" vertical="top"/>
      <protection/>
    </xf>
    <xf numFmtId="183" fontId="6" fillId="0" borderId="11" xfId="56" applyNumberFormat="1" applyFont="1" applyFill="1" applyBorder="1" applyAlignment="1">
      <alignment horizontal="center" vertical="top"/>
      <protection/>
    </xf>
    <xf numFmtId="183" fontId="6" fillId="0" borderId="11" xfId="56" applyNumberFormat="1" applyFont="1" applyFill="1" applyBorder="1" applyAlignment="1">
      <alignment horizontal="center" vertical="top" wrapText="1"/>
      <protection/>
    </xf>
    <xf numFmtId="0" fontId="3" fillId="0" borderId="11" xfId="56" applyFont="1" applyFill="1" applyBorder="1" applyAlignment="1">
      <alignment horizontal="left" vertical="top" wrapText="1"/>
      <protection/>
    </xf>
    <xf numFmtId="49" fontId="3" fillId="0" borderId="11" xfId="56" applyNumberFormat="1" applyFont="1" applyFill="1" applyBorder="1" applyAlignment="1">
      <alignment horizontal="center" vertical="top" wrapText="1"/>
      <protection/>
    </xf>
    <xf numFmtId="183" fontId="3" fillId="0" borderId="11" xfId="56" applyNumberFormat="1" applyFont="1" applyFill="1" applyBorder="1" applyAlignment="1">
      <alignment horizontal="left" vertical="top" wrapText="1"/>
      <protection/>
    </xf>
    <xf numFmtId="183" fontId="6" fillId="0" borderId="11" xfId="0" applyNumberFormat="1" applyFont="1" applyFill="1" applyBorder="1" applyAlignment="1">
      <alignment horizontal="center" vertical="center" wrapText="1"/>
    </xf>
    <xf numFmtId="0" fontId="57" fillId="0" borderId="0" xfId="56" applyFont="1" applyFill="1" applyAlignment="1">
      <alignment horizontal="center" vertical="center"/>
      <protection/>
    </xf>
    <xf numFmtId="183" fontId="57" fillId="0" borderId="0" xfId="56" applyNumberFormat="1" applyFont="1" applyFill="1" applyAlignment="1">
      <alignment horizontal="center" vertical="center"/>
      <protection/>
    </xf>
    <xf numFmtId="0" fontId="58" fillId="0" borderId="0" xfId="56" applyFont="1" applyFill="1" applyAlignment="1">
      <alignment vertical="center"/>
      <protection/>
    </xf>
    <xf numFmtId="49" fontId="8" fillId="0" borderId="11" xfId="0" applyNumberFormat="1" applyFont="1" applyFill="1" applyBorder="1" applyAlignment="1">
      <alignment horizontal="center" vertical="top"/>
    </xf>
    <xf numFmtId="183" fontId="6" fillId="0" borderId="0" xfId="56" applyNumberFormat="1" applyFont="1" applyFill="1" applyAlignment="1">
      <alignment horizontal="right" vertical="center"/>
      <protection/>
    </xf>
    <xf numFmtId="184" fontId="6" fillId="0" borderId="0" xfId="56" applyNumberFormat="1" applyFont="1" applyFill="1" applyAlignment="1">
      <alignment horizontal="right" vertical="center"/>
      <protection/>
    </xf>
    <xf numFmtId="0" fontId="6" fillId="0" borderId="0" xfId="56" applyFont="1" applyFill="1" applyAlignment="1">
      <alignment horizontal="right" vertical="center"/>
      <protection/>
    </xf>
    <xf numFmtId="0" fontId="3" fillId="0" borderId="0" xfId="56" applyFont="1" applyFill="1" applyAlignment="1">
      <alignment horizontal="right" vertical="center"/>
      <protection/>
    </xf>
    <xf numFmtId="0" fontId="59" fillId="0" borderId="0" xfId="56" applyFont="1" applyFill="1" applyAlignment="1">
      <alignment horizontal="right" vertical="center"/>
      <protection/>
    </xf>
    <xf numFmtId="183" fontId="57" fillId="0" borderId="0" xfId="56" applyNumberFormat="1" applyFont="1" applyFill="1" applyAlignment="1">
      <alignment horizontal="right" vertical="center"/>
      <protection/>
    </xf>
    <xf numFmtId="0" fontId="57" fillId="0" borderId="0" xfId="56" applyFont="1" applyFill="1" applyAlignment="1">
      <alignment horizontal="right" vertical="center"/>
      <protection/>
    </xf>
    <xf numFmtId="0" fontId="3" fillId="0" borderId="0" xfId="56" applyFont="1" applyFill="1" applyBorder="1" applyAlignment="1">
      <alignment horizontal="center" vertical="center"/>
      <protection/>
    </xf>
    <xf numFmtId="0" fontId="3" fillId="0" borderId="12" xfId="0" applyFont="1" applyFill="1" applyBorder="1" applyAlignment="1">
      <alignment vertical="top" wrapText="1"/>
    </xf>
    <xf numFmtId="0" fontId="59" fillId="0" borderId="0" xfId="56" applyFont="1" applyFill="1" applyAlignment="1">
      <alignment horizontal="left" vertical="center"/>
      <protection/>
    </xf>
    <xf numFmtId="184" fontId="4" fillId="0" borderId="0" xfId="56" applyNumberFormat="1" applyFont="1" applyFill="1" applyAlignment="1">
      <alignment vertical="center" wrapText="1"/>
      <protection/>
    </xf>
    <xf numFmtId="49" fontId="3" fillId="0" borderId="0" xfId="56" applyNumberFormat="1" applyFont="1" applyFill="1" applyBorder="1" applyAlignment="1">
      <alignment horizontal="center" vertical="top"/>
      <protection/>
    </xf>
    <xf numFmtId="183" fontId="3" fillId="0" borderId="0" xfId="56" applyNumberFormat="1" applyFont="1" applyFill="1" applyBorder="1" applyAlignment="1">
      <alignment horizontal="left" vertical="top" wrapText="1"/>
      <protection/>
    </xf>
    <xf numFmtId="183" fontId="3" fillId="0" borderId="0" xfId="56" applyNumberFormat="1" applyFont="1" applyFill="1" applyBorder="1" applyAlignment="1">
      <alignment horizontal="center" vertical="center" wrapText="1"/>
      <protection/>
    </xf>
    <xf numFmtId="0" fontId="60" fillId="0" borderId="0" xfId="56" applyFont="1" applyFill="1" applyBorder="1" applyAlignment="1">
      <alignment horizontal="right" vertical="center"/>
      <protection/>
    </xf>
    <xf numFmtId="0" fontId="4" fillId="0" borderId="0" xfId="0" applyFont="1" applyFill="1" applyAlignment="1">
      <alignment horizontal="left" vertical="center" wrapText="1"/>
    </xf>
    <xf numFmtId="0" fontId="4" fillId="0" borderId="0" xfId="0" applyFont="1" applyFill="1" applyAlignment="1">
      <alignment horizontal="left" vertical="top" wrapText="1"/>
    </xf>
    <xf numFmtId="0" fontId="3" fillId="0" borderId="0" xfId="0" applyFont="1" applyFill="1" applyAlignment="1">
      <alignment horizontal="center" vertical="center" wrapText="1"/>
    </xf>
    <xf numFmtId="0" fontId="3" fillId="0" borderId="0" xfId="0" applyFont="1" applyFill="1" applyAlignment="1">
      <alignment horizontal="left" vertical="center" wrapText="1"/>
    </xf>
    <xf numFmtId="0" fontId="3" fillId="0" borderId="0" xfId="56" applyFont="1" applyFill="1" applyBorder="1" applyAlignment="1">
      <alignment horizontal="left" vertical="center"/>
      <protection/>
    </xf>
    <xf numFmtId="183" fontId="3" fillId="0" borderId="13" xfId="56" applyNumberFormat="1" applyFont="1" applyFill="1" applyBorder="1" applyAlignment="1">
      <alignment horizontal="center" vertical="center" wrapText="1"/>
      <protection/>
    </xf>
    <xf numFmtId="0" fontId="3" fillId="0" borderId="0" xfId="56" applyFont="1" applyFill="1" applyBorder="1" applyAlignment="1">
      <alignment horizontal="center" vertical="center" wrapText="1"/>
      <protection/>
    </xf>
    <xf numFmtId="0" fontId="6" fillId="0" borderId="14" xfId="56" applyFont="1" applyFill="1" applyBorder="1" applyAlignment="1">
      <alignment vertical="center" wrapText="1"/>
      <protection/>
    </xf>
    <xf numFmtId="0" fontId="3" fillId="0" borderId="0" xfId="56" applyFont="1" applyFill="1" applyBorder="1" applyAlignment="1">
      <alignment vertical="center"/>
      <protection/>
    </xf>
    <xf numFmtId="196" fontId="6" fillId="0" borderId="11" xfId="56" applyNumberFormat="1" applyFont="1" applyFill="1" applyBorder="1" applyAlignment="1">
      <alignment horizontal="center" vertical="top" wrapText="1"/>
      <protection/>
    </xf>
    <xf numFmtId="183" fontId="3" fillId="0" borderId="11" xfId="0" applyNumberFormat="1"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11" xfId="0" applyFont="1" applyFill="1" applyBorder="1" applyAlignment="1">
      <alignment vertical="top" wrapText="1"/>
    </xf>
    <xf numFmtId="196" fontId="6" fillId="0" borderId="11" xfId="56" applyNumberFormat="1" applyFont="1" applyFill="1" applyBorder="1" applyAlignment="1">
      <alignment horizontal="center" vertical="center"/>
      <protection/>
    </xf>
    <xf numFmtId="0" fontId="3" fillId="0" borderId="11" xfId="56" applyNumberFormat="1" applyFont="1" applyFill="1" applyBorder="1" applyAlignment="1">
      <alignment horizontal="center" vertical="center" wrapText="1"/>
      <protection/>
    </xf>
    <xf numFmtId="0" fontId="3" fillId="0" borderId="12" xfId="0" applyNumberFormat="1" applyFont="1" applyFill="1" applyBorder="1" applyAlignment="1">
      <alignment vertical="top" wrapText="1"/>
    </xf>
    <xf numFmtId="196" fontId="6" fillId="0" borderId="11" xfId="56" applyNumberFormat="1" applyFont="1" applyFill="1" applyBorder="1" applyAlignment="1">
      <alignment horizontal="center" vertical="center" wrapText="1"/>
      <protection/>
    </xf>
    <xf numFmtId="196" fontId="6" fillId="0" borderId="11" xfId="0" applyNumberFormat="1" applyFont="1" applyFill="1" applyBorder="1" applyAlignment="1">
      <alignment horizontal="center" vertical="center" wrapText="1"/>
    </xf>
    <xf numFmtId="0" fontId="6" fillId="0" borderId="15" xfId="56" applyFont="1" applyFill="1" applyBorder="1" applyAlignment="1">
      <alignment vertical="center" wrapText="1"/>
      <protection/>
    </xf>
    <xf numFmtId="0" fontId="6" fillId="0" borderId="16" xfId="56" applyFont="1" applyFill="1" applyBorder="1" applyAlignment="1">
      <alignment vertical="center" wrapText="1"/>
      <protection/>
    </xf>
    <xf numFmtId="0" fontId="6" fillId="0" borderId="15" xfId="56" applyFont="1" applyFill="1" applyBorder="1" applyAlignment="1">
      <alignment vertical="top"/>
      <protection/>
    </xf>
    <xf numFmtId="183" fontId="6" fillId="0" borderId="16" xfId="56" applyNumberFormat="1" applyFont="1" applyFill="1" applyBorder="1" applyAlignment="1">
      <alignment horizontal="right" vertical="top"/>
      <protection/>
    </xf>
    <xf numFmtId="183" fontId="5" fillId="0" borderId="0" xfId="56" applyNumberFormat="1" applyFont="1" applyFill="1" applyAlignment="1">
      <alignment vertical="center"/>
      <protection/>
    </xf>
    <xf numFmtId="0" fontId="5" fillId="0" borderId="0" xfId="56" applyFont="1" applyFill="1" applyAlignment="1">
      <alignment vertical="center"/>
      <protection/>
    </xf>
    <xf numFmtId="183" fontId="3" fillId="0" borderId="15" xfId="56" applyNumberFormat="1" applyFont="1" applyFill="1" applyBorder="1" applyAlignment="1">
      <alignment horizontal="right" vertical="top" wrapText="1"/>
      <protection/>
    </xf>
    <xf numFmtId="183" fontId="6" fillId="0" borderId="15" xfId="56" applyNumberFormat="1" applyFont="1" applyFill="1" applyBorder="1" applyAlignment="1">
      <alignment horizontal="right" vertical="top" wrapText="1"/>
      <protection/>
    </xf>
    <xf numFmtId="183" fontId="6" fillId="0" borderId="16" xfId="56" applyNumberFormat="1" applyFont="1" applyFill="1" applyBorder="1" applyAlignment="1">
      <alignment horizontal="right" vertical="top" wrapText="1"/>
      <protection/>
    </xf>
    <xf numFmtId="3" fontId="3" fillId="0" borderId="11" xfId="56" applyNumberFormat="1" applyFont="1" applyFill="1" applyBorder="1" applyAlignment="1">
      <alignment horizontal="center" vertical="center" wrapText="1"/>
      <protection/>
    </xf>
    <xf numFmtId="0" fontId="4" fillId="0" borderId="0" xfId="56" applyFont="1" applyFill="1" applyAlignment="1">
      <alignment horizontal="center" vertical="center"/>
      <protection/>
    </xf>
    <xf numFmtId="0" fontId="3" fillId="0" borderId="11" xfId="0" applyFont="1" applyFill="1" applyBorder="1" applyAlignment="1">
      <alignment horizontal="center" vertical="center" wrapText="1"/>
    </xf>
    <xf numFmtId="0" fontId="3" fillId="0" borderId="11" xfId="0" applyFont="1" applyFill="1" applyBorder="1" applyAlignment="1">
      <alignment horizontal="left" vertical="top" wrapText="1"/>
    </xf>
    <xf numFmtId="49" fontId="3" fillId="0" borderId="11" xfId="0" applyNumberFormat="1" applyFont="1" applyFill="1" applyBorder="1" applyAlignment="1">
      <alignment horizontal="center" vertical="top"/>
    </xf>
    <xf numFmtId="3" fontId="3" fillId="0" borderId="11" xfId="0" applyNumberFormat="1" applyFont="1" applyFill="1" applyBorder="1" applyAlignment="1">
      <alignment horizontal="center" vertical="center" wrapText="1"/>
    </xf>
    <xf numFmtId="1" fontId="3" fillId="0" borderId="11" xfId="56" applyNumberFormat="1" applyFont="1" applyFill="1" applyBorder="1" applyAlignment="1">
      <alignment horizontal="center" vertical="center" wrapText="1"/>
      <protection/>
    </xf>
    <xf numFmtId="183" fontId="3" fillId="0" borderId="17" xfId="56" applyNumberFormat="1" applyFont="1" applyFill="1" applyBorder="1" applyAlignment="1">
      <alignment horizontal="center" vertical="center" wrapText="1"/>
      <protection/>
    </xf>
    <xf numFmtId="183" fontId="6" fillId="0" borderId="15" xfId="56" applyNumberFormat="1" applyFont="1" applyFill="1" applyBorder="1" applyAlignment="1">
      <alignment vertical="top" wrapText="1"/>
      <protection/>
    </xf>
    <xf numFmtId="183" fontId="3" fillId="0" borderId="15" xfId="56" applyNumberFormat="1" applyFont="1" applyFill="1" applyBorder="1" applyAlignment="1">
      <alignment vertical="top" wrapText="1"/>
      <protection/>
    </xf>
    <xf numFmtId="183" fontId="6" fillId="0" borderId="16" xfId="56" applyNumberFormat="1" applyFont="1" applyFill="1" applyBorder="1" applyAlignment="1">
      <alignment vertical="top" wrapText="1"/>
      <protection/>
    </xf>
    <xf numFmtId="183" fontId="3" fillId="0" borderId="17" xfId="56" applyNumberFormat="1" applyFont="1" applyFill="1" applyBorder="1" applyAlignment="1">
      <alignment vertical="top" wrapText="1"/>
      <protection/>
    </xf>
    <xf numFmtId="183" fontId="3" fillId="0" borderId="17" xfId="56" applyNumberFormat="1" applyFont="1" applyFill="1" applyBorder="1" applyAlignment="1">
      <alignment horizontal="right" vertical="center" wrapText="1"/>
      <protection/>
    </xf>
    <xf numFmtId="0" fontId="3" fillId="0" borderId="11" xfId="0" applyFont="1" applyFill="1" applyBorder="1" applyAlignment="1">
      <alignment horizontal="left" vertical="top"/>
    </xf>
    <xf numFmtId="0" fontId="5" fillId="0" borderId="0" xfId="0" applyFont="1" applyFill="1" applyAlignment="1">
      <alignment vertical="center" wrapText="1"/>
    </xf>
    <xf numFmtId="183" fontId="3" fillId="0" borderId="0" xfId="56" applyNumberFormat="1" applyFont="1" applyFill="1" applyAlignment="1">
      <alignment horizontal="left" vertical="center"/>
      <protection/>
    </xf>
    <xf numFmtId="196" fontId="3" fillId="0" borderId="11" xfId="56" applyNumberFormat="1" applyFont="1" applyFill="1" applyBorder="1" applyAlignment="1">
      <alignment horizontal="center" vertical="center" wrapText="1"/>
      <protection/>
    </xf>
    <xf numFmtId="182" fontId="6" fillId="0" borderId="11" xfId="56" applyNumberFormat="1" applyFont="1" applyFill="1" applyBorder="1" applyAlignment="1">
      <alignment horizontal="center" vertical="center"/>
      <protection/>
    </xf>
    <xf numFmtId="182" fontId="6" fillId="0" borderId="0" xfId="56" applyNumberFormat="1" applyFont="1" applyFill="1" applyAlignment="1">
      <alignment horizontal="right"/>
      <protection/>
    </xf>
    <xf numFmtId="182" fontId="6" fillId="0" borderId="0" xfId="56" applyNumberFormat="1" applyFont="1" applyFill="1" applyAlignment="1">
      <alignment horizontal="right" vertical="center"/>
      <protection/>
    </xf>
    <xf numFmtId="182" fontId="59" fillId="0" borderId="0" xfId="56" applyNumberFormat="1" applyFont="1" applyFill="1" applyAlignment="1">
      <alignment horizontal="right" vertical="center"/>
      <protection/>
    </xf>
    <xf numFmtId="182" fontId="3" fillId="0" borderId="11" xfId="56" applyNumberFormat="1" applyFont="1" applyFill="1" applyBorder="1" applyAlignment="1">
      <alignment horizontal="center" vertical="center" wrapText="1"/>
      <protection/>
    </xf>
    <xf numFmtId="182" fontId="6" fillId="0" borderId="11" xfId="56" applyNumberFormat="1" applyFont="1" applyFill="1" applyBorder="1" applyAlignment="1">
      <alignment horizontal="center" vertical="top" wrapText="1"/>
      <protection/>
    </xf>
    <xf numFmtId="182" fontId="3" fillId="0" borderId="11" xfId="0" applyNumberFormat="1" applyFont="1" applyFill="1" applyBorder="1" applyAlignment="1">
      <alignment horizontal="center" vertical="center" wrapText="1"/>
    </xf>
    <xf numFmtId="182" fontId="3" fillId="0" borderId="11" xfId="56" applyNumberFormat="1" applyFont="1" applyFill="1" applyBorder="1" applyAlignment="1">
      <alignment horizontal="center" vertical="center"/>
      <protection/>
    </xf>
    <xf numFmtId="182" fontId="6" fillId="0" borderId="11" xfId="56" applyNumberFormat="1" applyFont="1" applyFill="1" applyBorder="1" applyAlignment="1">
      <alignment horizontal="center" vertical="center" wrapText="1"/>
      <protection/>
    </xf>
    <xf numFmtId="182" fontId="6" fillId="0" borderId="11" xfId="0" applyNumberFormat="1" applyFont="1" applyFill="1" applyBorder="1" applyAlignment="1">
      <alignment horizontal="center" vertical="center" wrapText="1"/>
    </xf>
    <xf numFmtId="3" fontId="6" fillId="0" borderId="11" xfId="56" applyNumberFormat="1" applyFont="1" applyFill="1" applyBorder="1" applyAlignment="1">
      <alignment horizontal="center" vertical="center"/>
      <protection/>
    </xf>
    <xf numFmtId="0" fontId="8" fillId="0" borderId="11" xfId="0" applyFont="1" applyFill="1" applyBorder="1" applyAlignment="1">
      <alignment vertical="top" wrapText="1"/>
    </xf>
    <xf numFmtId="49" fontId="3" fillId="0" borderId="11" xfId="56" applyNumberFormat="1" applyFont="1" applyFill="1" applyBorder="1" applyAlignment="1">
      <alignment horizontal="center" vertical="center" wrapText="1"/>
      <protection/>
    </xf>
    <xf numFmtId="0" fontId="2" fillId="0" borderId="0" xfId="56" applyFill="1" applyAlignment="1">
      <alignment vertical="center"/>
      <protection/>
    </xf>
    <xf numFmtId="1" fontId="3" fillId="0" borderId="11" xfId="56" applyNumberFormat="1" applyFont="1" applyFill="1" applyBorder="1" applyAlignment="1">
      <alignment vertical="center" wrapText="1"/>
      <protection/>
    </xf>
    <xf numFmtId="0" fontId="3" fillId="0" borderId="0" xfId="56" applyFont="1" applyFill="1" applyAlignment="1">
      <alignment horizontal="right"/>
      <protection/>
    </xf>
    <xf numFmtId="0" fontId="9" fillId="0" borderId="13" xfId="0" applyFont="1" applyFill="1" applyBorder="1" applyAlignment="1">
      <alignment horizontal="center" vertical="center" wrapText="1"/>
    </xf>
    <xf numFmtId="199" fontId="6" fillId="0" borderId="11" xfId="56" applyNumberFormat="1" applyFont="1" applyFill="1" applyBorder="1" applyAlignment="1">
      <alignment horizontal="center" vertical="center"/>
      <protection/>
    </xf>
    <xf numFmtId="0" fontId="3" fillId="0" borderId="0" xfId="0" applyFont="1" applyFill="1" applyAlignment="1">
      <alignment horizontal="left" vertical="top" wrapText="1"/>
    </xf>
    <xf numFmtId="0" fontId="61" fillId="0" borderId="11" xfId="0" applyFont="1" applyFill="1" applyBorder="1" applyAlignment="1">
      <alignment horizontal="left" vertical="top" wrapText="1"/>
    </xf>
    <xf numFmtId="0" fontId="61" fillId="0" borderId="11" xfId="0" applyFont="1" applyFill="1" applyBorder="1" applyAlignment="1">
      <alignment vertical="top" wrapText="1"/>
    </xf>
    <xf numFmtId="0" fontId="3" fillId="0" borderId="17" xfId="56" applyFont="1" applyFill="1" applyBorder="1" applyAlignment="1">
      <alignment horizontal="left" vertical="top" wrapText="1"/>
      <protection/>
    </xf>
    <xf numFmtId="49" fontId="3" fillId="0" borderId="13" xfId="56" applyNumberFormat="1" applyFont="1" applyFill="1" applyBorder="1" applyAlignment="1">
      <alignment horizontal="center" vertical="top"/>
      <protection/>
    </xf>
    <xf numFmtId="198" fontId="3" fillId="0" borderId="11" xfId="56" applyNumberFormat="1" applyFont="1" applyFill="1" applyBorder="1" applyAlignment="1">
      <alignment horizontal="center" vertical="center" wrapText="1"/>
      <protection/>
    </xf>
    <xf numFmtId="199" fontId="6" fillId="0" borderId="11" xfId="56" applyNumberFormat="1" applyFont="1" applyFill="1" applyBorder="1" applyAlignment="1">
      <alignment horizontal="center" vertical="center" wrapText="1"/>
      <protection/>
    </xf>
    <xf numFmtId="199" fontId="6" fillId="0" borderId="11" xfId="0" applyNumberFormat="1" applyFont="1" applyFill="1" applyBorder="1" applyAlignment="1">
      <alignment horizontal="center" vertical="center" wrapText="1"/>
    </xf>
    <xf numFmtId="0" fontId="3" fillId="0" borderId="13" xfId="0" applyFont="1" applyFill="1" applyBorder="1" applyAlignment="1">
      <alignment horizontal="left" vertical="top" wrapText="1"/>
    </xf>
    <xf numFmtId="199" fontId="3" fillId="0" borderId="11" xfId="56" applyNumberFormat="1" applyFont="1" applyFill="1" applyBorder="1" applyAlignment="1">
      <alignment horizontal="center" vertical="center" wrapText="1"/>
      <protection/>
    </xf>
    <xf numFmtId="189" fontId="14" fillId="0" borderId="0" xfId="0" applyNumberFormat="1" applyFont="1" applyFill="1" applyBorder="1" applyAlignment="1">
      <alignment horizontal="right" vertical="center"/>
    </xf>
    <xf numFmtId="189" fontId="14" fillId="0" borderId="0" xfId="0" applyNumberFormat="1" applyFont="1" applyFill="1" applyBorder="1" applyAlignment="1">
      <alignment horizontal="right" vertical="center" wrapText="1"/>
    </xf>
    <xf numFmtId="199" fontId="3" fillId="0" borderId="11" xfId="0" applyNumberFormat="1" applyFont="1" applyFill="1" applyBorder="1" applyAlignment="1">
      <alignment horizontal="center" vertical="center" wrapText="1"/>
    </xf>
    <xf numFmtId="182" fontId="59" fillId="0" borderId="0" xfId="56" applyNumberFormat="1" applyFont="1" applyFill="1" applyAlignment="1">
      <alignment horizontal="right"/>
      <protection/>
    </xf>
    <xf numFmtId="184" fontId="59" fillId="0" borderId="0" xfId="56" applyNumberFormat="1" applyFont="1" applyFill="1" applyAlignment="1">
      <alignment horizontal="right" vertical="center"/>
      <protection/>
    </xf>
    <xf numFmtId="183" fontId="59" fillId="0" borderId="0" xfId="56" applyNumberFormat="1" applyFont="1" applyFill="1" applyAlignment="1">
      <alignment horizontal="right" vertical="center"/>
      <protection/>
    </xf>
    <xf numFmtId="184" fontId="57" fillId="0" borderId="0" xfId="56" applyNumberFormat="1" applyFont="1" applyFill="1" applyAlignment="1">
      <alignment horizontal="right" vertical="center"/>
      <protection/>
    </xf>
    <xf numFmtId="0" fontId="59" fillId="0" borderId="0" xfId="56" applyFont="1" applyFill="1" applyAlignment="1">
      <alignment horizontal="center" vertical="center"/>
      <protection/>
    </xf>
    <xf numFmtId="3" fontId="59" fillId="0" borderId="0" xfId="56" applyNumberFormat="1" applyFont="1" applyFill="1" applyAlignment="1">
      <alignment horizontal="right" vertical="center"/>
      <protection/>
    </xf>
    <xf numFmtId="0" fontId="6" fillId="0" borderId="11" xfId="56" applyFont="1" applyFill="1" applyBorder="1" applyAlignment="1">
      <alignment horizontal="center" vertical="top"/>
      <protection/>
    </xf>
    <xf numFmtId="183" fontId="6" fillId="0" borderId="11" xfId="56" applyNumberFormat="1" applyFont="1" applyFill="1" applyBorder="1" applyAlignment="1">
      <alignment horizontal="left" vertical="top"/>
      <protection/>
    </xf>
    <xf numFmtId="0" fontId="9" fillId="0" borderId="11" xfId="0" applyFont="1" applyFill="1" applyBorder="1" applyAlignment="1">
      <alignment horizontal="left" vertical="center" wrapText="1"/>
    </xf>
    <xf numFmtId="49" fontId="6" fillId="0" borderId="12" xfId="56" applyNumberFormat="1" applyFont="1" applyFill="1" applyBorder="1" applyAlignment="1">
      <alignment horizontal="center" vertical="top"/>
      <protection/>
    </xf>
    <xf numFmtId="183" fontId="6" fillId="0" borderId="11" xfId="0" applyNumberFormat="1" applyFont="1" applyFill="1" applyBorder="1" applyAlignment="1">
      <alignment horizontal="left" vertical="top" wrapText="1"/>
    </xf>
    <xf numFmtId="3" fontId="62" fillId="0" borderId="0" xfId="56" applyNumberFormat="1" applyFont="1" applyFill="1" applyAlignment="1">
      <alignment horizontal="center" vertical="center"/>
      <protection/>
    </xf>
    <xf numFmtId="183" fontId="6" fillId="0" borderId="12" xfId="56" applyNumberFormat="1" applyFont="1" applyFill="1" applyBorder="1" applyAlignment="1">
      <alignment horizontal="left" vertical="top" wrapText="1"/>
      <protection/>
    </xf>
    <xf numFmtId="183" fontId="6" fillId="0" borderId="15" xfId="56" applyNumberFormat="1" applyFont="1" applyFill="1" applyBorder="1" applyAlignment="1">
      <alignment horizontal="left" vertical="top" wrapText="1"/>
      <protection/>
    </xf>
    <xf numFmtId="0" fontId="9" fillId="0" borderId="13"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3" fillId="0" borderId="13" xfId="56" applyFont="1" applyFill="1" applyBorder="1" applyAlignment="1">
      <alignment horizontal="center" vertical="center" wrapText="1"/>
      <protection/>
    </xf>
    <xf numFmtId="0" fontId="3" fillId="0" borderId="17" xfId="56" applyFont="1" applyFill="1" applyBorder="1" applyAlignment="1">
      <alignment horizontal="center" vertical="center" wrapText="1"/>
      <protection/>
    </xf>
    <xf numFmtId="49" fontId="3" fillId="0" borderId="13" xfId="56" applyNumberFormat="1" applyFont="1" applyFill="1" applyBorder="1" applyAlignment="1">
      <alignment horizontal="center" vertical="top"/>
      <protection/>
    </xf>
    <xf numFmtId="49" fontId="3" fillId="0" borderId="17" xfId="56" applyNumberFormat="1" applyFont="1" applyFill="1" applyBorder="1" applyAlignment="1">
      <alignment horizontal="center" vertical="top"/>
      <protection/>
    </xf>
    <xf numFmtId="0" fontId="3" fillId="0" borderId="0" xfId="0" applyFont="1" applyFill="1" applyAlignment="1">
      <alignment horizontal="center" vertical="center" wrapText="1"/>
    </xf>
    <xf numFmtId="0" fontId="3" fillId="0" borderId="12" xfId="56" applyFont="1" applyFill="1" applyBorder="1" applyAlignment="1">
      <alignment horizontal="center" vertical="center" wrapText="1"/>
      <protection/>
    </xf>
    <xf numFmtId="0" fontId="3" fillId="0" borderId="15" xfId="56" applyFont="1" applyFill="1" applyBorder="1" applyAlignment="1">
      <alignment horizontal="center" vertical="center" wrapText="1"/>
      <protection/>
    </xf>
    <xf numFmtId="0" fontId="3" fillId="0" borderId="16" xfId="56" applyFont="1" applyFill="1" applyBorder="1" applyAlignment="1">
      <alignment horizontal="center" vertical="center" wrapText="1"/>
      <protection/>
    </xf>
    <xf numFmtId="0" fontId="3" fillId="0" borderId="11" xfId="56" applyFont="1" applyFill="1" applyBorder="1" applyAlignment="1">
      <alignment horizontal="center" vertical="center" wrapText="1"/>
      <protection/>
    </xf>
    <xf numFmtId="0" fontId="6" fillId="0" borderId="12" xfId="56" applyFont="1" applyFill="1" applyBorder="1" applyAlignment="1">
      <alignment horizontal="left" vertical="center" wrapText="1"/>
      <protection/>
    </xf>
    <xf numFmtId="0" fontId="6" fillId="0" borderId="15" xfId="56" applyFont="1" applyFill="1" applyBorder="1" applyAlignment="1">
      <alignment horizontal="left" vertical="center" wrapText="1"/>
      <protection/>
    </xf>
    <xf numFmtId="0" fontId="3" fillId="0" borderId="11" xfId="56" applyFont="1" applyFill="1" applyBorder="1" applyAlignment="1">
      <alignment horizontal="center" vertical="center"/>
      <protection/>
    </xf>
    <xf numFmtId="49" fontId="3" fillId="0" borderId="18" xfId="56" applyNumberFormat="1" applyFont="1" applyFill="1" applyBorder="1" applyAlignment="1">
      <alignment horizontal="center" vertical="top"/>
      <protection/>
    </xf>
    <xf numFmtId="0" fontId="9" fillId="0" borderId="18" xfId="0" applyFont="1" applyFill="1" applyBorder="1" applyAlignment="1">
      <alignment horizontal="center" vertical="center" wrapText="1"/>
    </xf>
    <xf numFmtId="0" fontId="6" fillId="0" borderId="12" xfId="56" applyFont="1" applyFill="1" applyBorder="1" applyAlignment="1">
      <alignment horizontal="left" vertical="top" wrapText="1"/>
      <protection/>
    </xf>
    <xf numFmtId="0" fontId="6" fillId="0" borderId="15" xfId="56" applyFont="1" applyFill="1" applyBorder="1" applyAlignment="1">
      <alignment horizontal="left" vertical="top" wrapText="1"/>
      <protection/>
    </xf>
    <xf numFmtId="0" fontId="3" fillId="0" borderId="0" xfId="56" applyFont="1" applyFill="1" applyAlignment="1">
      <alignment horizontal="left" vertical="top" wrapText="1"/>
      <protection/>
    </xf>
    <xf numFmtId="0" fontId="3" fillId="0" borderId="18" xfId="56" applyFont="1" applyFill="1" applyBorder="1" applyAlignment="1">
      <alignment horizontal="center" vertical="center" wrapText="1"/>
      <protection/>
    </xf>
    <xf numFmtId="0" fontId="3" fillId="0" borderId="11" xfId="53" applyFont="1" applyFill="1" applyBorder="1" applyAlignment="1">
      <alignment horizontal="center" vertical="center" wrapText="1"/>
      <protection/>
    </xf>
    <xf numFmtId="4" fontId="6" fillId="0" borderId="11" xfId="56" applyNumberFormat="1" applyFont="1" applyFill="1" applyBorder="1" applyAlignment="1">
      <alignment horizontal="center" vertical="center" wrapText="1"/>
      <protection/>
    </xf>
    <xf numFmtId="0" fontId="5" fillId="0" borderId="0" xfId="0" applyFont="1" applyFill="1" applyAlignment="1">
      <alignment horizontal="center" vertical="center" wrapText="1"/>
    </xf>
    <xf numFmtId="0" fontId="6" fillId="0" borderId="12" xfId="56" applyFont="1" applyFill="1" applyBorder="1" applyAlignment="1">
      <alignment horizontal="center" vertical="center" wrapText="1"/>
      <protection/>
    </xf>
    <xf numFmtId="0" fontId="6" fillId="0" borderId="15" xfId="56" applyFont="1" applyFill="1" applyBorder="1" applyAlignment="1">
      <alignment horizontal="center" vertical="center" wrapText="1"/>
      <protection/>
    </xf>
    <xf numFmtId="183" fontId="6" fillId="0" borderId="11" xfId="56" applyNumberFormat="1" applyFont="1" applyFill="1" applyBorder="1" applyAlignment="1">
      <alignment horizontal="left" vertical="top" wrapText="1"/>
      <protection/>
    </xf>
    <xf numFmtId="183" fontId="6" fillId="0" borderId="13" xfId="56" applyNumberFormat="1" applyFont="1" applyFill="1" applyBorder="1" applyAlignment="1">
      <alignment horizontal="left" vertical="top"/>
      <protection/>
    </xf>
    <xf numFmtId="183" fontId="3" fillId="0" borderId="0" xfId="56" applyNumberFormat="1" applyFont="1" applyFill="1" applyBorder="1" applyAlignment="1">
      <alignment horizontal="left" vertical="center"/>
      <protection/>
    </xf>
    <xf numFmtId="0" fontId="57" fillId="0" borderId="0" xfId="56" applyFont="1" applyFill="1" applyBorder="1" applyAlignment="1">
      <alignment horizontal="center" vertical="center"/>
      <protection/>
    </xf>
    <xf numFmtId="0" fontId="57" fillId="0" borderId="0" xfId="56" applyFont="1" applyFill="1" applyBorder="1" applyAlignment="1">
      <alignment horizontal="left" vertical="center"/>
      <protection/>
    </xf>
  </cellXfs>
  <cellStyles count="56">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2 2 2 2" xfId="55"/>
    <cellStyle name="Обычный 3" xfId="56"/>
    <cellStyle name="Обычный 4" xfId="57"/>
    <cellStyle name="Обычный 5" xfId="58"/>
    <cellStyle name="Обычный 51 2" xfId="59"/>
    <cellStyle name="Followed Hyperlink" xfId="60"/>
    <cellStyle name="Плохой" xfId="61"/>
    <cellStyle name="Пояснение" xfId="62"/>
    <cellStyle name="Примечание" xfId="63"/>
    <cellStyle name="Percent" xfId="64"/>
    <cellStyle name="Связанная ячейка" xfId="65"/>
    <cellStyle name="Текст предупреждения" xfId="66"/>
    <cellStyle name="Comma" xfId="67"/>
    <cellStyle name="Comma [0]" xfId="68"/>
    <cellStyle name="Хороший"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P293"/>
  <sheetViews>
    <sheetView tabSelected="1" view="pageBreakPreview" zoomScale="70" zoomScaleSheetLayoutView="70" workbookViewId="0" topLeftCell="A1">
      <pane xSplit="3" ySplit="15" topLeftCell="V16" activePane="bottomRight" state="frozen"/>
      <selection pane="topLeft" activeCell="A1" sqref="A1"/>
      <selection pane="topRight" activeCell="D1" sqref="D1"/>
      <selection pane="bottomLeft" activeCell="A11" sqref="A11"/>
      <selection pane="bottomRight" activeCell="A1" sqref="A1"/>
    </sheetView>
  </sheetViews>
  <sheetFormatPr defaultColWidth="9.140625" defaultRowHeight="12.75"/>
  <cols>
    <col min="1" max="1" width="8.421875" style="6" customWidth="1"/>
    <col min="2" max="2" width="52.8515625" style="15" customWidth="1"/>
    <col min="3" max="3" width="21.140625" style="6" customWidth="1"/>
    <col min="4" max="4" width="13.00390625" style="6" customWidth="1"/>
    <col min="5" max="8" width="14.8515625" style="6" customWidth="1"/>
    <col min="9" max="9" width="16.8515625" style="6" customWidth="1"/>
    <col min="10" max="11" width="14.8515625" style="6" customWidth="1"/>
    <col min="12" max="12" width="14.00390625" style="6" customWidth="1"/>
    <col min="13" max="13" width="14.8515625" style="6" customWidth="1"/>
    <col min="14" max="14" width="17.28125" style="6" customWidth="1"/>
    <col min="15" max="16" width="14.8515625" style="6" customWidth="1"/>
    <col min="17" max="17" width="15.7109375" style="6" customWidth="1"/>
    <col min="18" max="18" width="14.8515625" style="6" customWidth="1"/>
    <col min="19" max="19" width="17.28125" style="6" customWidth="1"/>
    <col min="20" max="21" width="14.8515625" style="6" customWidth="1"/>
    <col min="22" max="22" width="15.421875" style="6" customWidth="1"/>
    <col min="23" max="23" width="14.8515625" style="6" customWidth="1"/>
    <col min="24" max="24" width="16.57421875" style="6" customWidth="1"/>
    <col min="25" max="28" width="14.8515625" style="6" customWidth="1"/>
    <col min="29" max="29" width="16.8515625" style="6" customWidth="1"/>
    <col min="30" max="30" width="15.57421875" style="6" customWidth="1"/>
    <col min="31" max="33" width="14.8515625" style="6" customWidth="1"/>
    <col min="34" max="34" width="17.140625" style="6" customWidth="1"/>
    <col min="35" max="35" width="15.7109375" style="7" customWidth="1"/>
    <col min="36" max="38" width="15.7109375" style="6" customWidth="1"/>
    <col min="39" max="39" width="17.28125" style="6" customWidth="1"/>
    <col min="40" max="40" width="17.57421875" style="8" customWidth="1"/>
    <col min="41" max="41" width="7.7109375" style="1" customWidth="1"/>
    <col min="42" max="16384" width="9.140625" style="1" customWidth="1"/>
  </cols>
  <sheetData>
    <row r="1" spans="3:16" ht="15.75">
      <c r="C1" s="51"/>
      <c r="D1" s="15"/>
      <c r="P1" s="15" t="s">
        <v>1</v>
      </c>
    </row>
    <row r="2" spans="3:16" ht="15.75">
      <c r="C2" s="51"/>
      <c r="D2" s="15"/>
      <c r="P2" s="15" t="s">
        <v>342</v>
      </c>
    </row>
    <row r="3" spans="3:16" ht="15.75">
      <c r="C3" s="51"/>
      <c r="D3" s="15"/>
      <c r="P3" s="15" t="s">
        <v>422</v>
      </c>
    </row>
    <row r="4" spans="3:16" ht="15.75">
      <c r="C4" s="51"/>
      <c r="D4" s="15"/>
      <c r="P4" s="15" t="s">
        <v>343</v>
      </c>
    </row>
    <row r="5" spans="3:4" ht="15.75">
      <c r="C5" s="51"/>
      <c r="D5" s="15"/>
    </row>
    <row r="6" spans="1:40" ht="22.5" customHeight="1">
      <c r="A6" s="55"/>
      <c r="E6" s="63"/>
      <c r="F6" s="63"/>
      <c r="G6" s="63"/>
      <c r="H6" s="63"/>
      <c r="I6" s="63"/>
      <c r="K6" s="63"/>
      <c r="L6" s="63"/>
      <c r="M6" s="63"/>
      <c r="N6" s="63"/>
      <c r="O6" s="63"/>
      <c r="P6" s="15" t="s">
        <v>1</v>
      </c>
      <c r="T6" s="63"/>
      <c r="U6" s="63"/>
      <c r="V6" s="63"/>
      <c r="W6" s="63"/>
      <c r="X6" s="136"/>
      <c r="Y6" s="63"/>
      <c r="Z6" s="63"/>
      <c r="AA6" s="63"/>
      <c r="AB6" s="63"/>
      <c r="AC6" s="63"/>
      <c r="AD6" s="63"/>
      <c r="AE6" s="63"/>
      <c r="AF6" s="63"/>
      <c r="AG6" s="63"/>
      <c r="AH6" s="63"/>
      <c r="AK6" s="1"/>
      <c r="AL6" s="1"/>
      <c r="AM6" s="1"/>
      <c r="AN6" s="1"/>
    </row>
    <row r="7" spans="5:40" ht="39.75" customHeight="1">
      <c r="E7" s="64"/>
      <c r="F7" s="64"/>
      <c r="G7" s="64"/>
      <c r="H7" s="64"/>
      <c r="I7" s="64"/>
      <c r="K7" s="64"/>
      <c r="L7" s="64"/>
      <c r="M7" s="64"/>
      <c r="N7" s="64"/>
      <c r="O7" s="64"/>
      <c r="P7" s="170" t="s">
        <v>332</v>
      </c>
      <c r="Q7" s="170"/>
      <c r="R7" s="170"/>
      <c r="S7" s="170"/>
      <c r="T7" s="64"/>
      <c r="U7" s="64"/>
      <c r="V7" s="64"/>
      <c r="W7" s="64"/>
      <c r="X7" s="64"/>
      <c r="Y7" s="64"/>
      <c r="Z7" s="64"/>
      <c r="AA7" s="64"/>
      <c r="AB7" s="64"/>
      <c r="AC7" s="64"/>
      <c r="AD7" s="64"/>
      <c r="AE7" s="64"/>
      <c r="AF7" s="64"/>
      <c r="AG7" s="64"/>
      <c r="AH7" s="64"/>
      <c r="AK7" s="1"/>
      <c r="AL7" s="1"/>
      <c r="AM7" s="1"/>
      <c r="AN7" s="1"/>
    </row>
    <row r="8" spans="1:39" ht="15.75">
      <c r="A8" s="55"/>
      <c r="B8" s="71"/>
      <c r="E8" s="66"/>
      <c r="F8" s="66"/>
      <c r="G8" s="66"/>
      <c r="H8" s="66"/>
      <c r="I8" s="66"/>
      <c r="J8" s="66"/>
      <c r="K8" s="66"/>
      <c r="L8" s="66"/>
      <c r="M8" s="66"/>
      <c r="N8" s="66"/>
      <c r="O8" s="66"/>
      <c r="P8" s="66"/>
      <c r="Q8" s="66"/>
      <c r="R8" s="66"/>
      <c r="S8" s="66"/>
      <c r="T8" s="66"/>
      <c r="U8" s="66"/>
      <c r="V8" s="66"/>
      <c r="W8" s="135"/>
      <c r="X8" s="66"/>
      <c r="Y8" s="66"/>
      <c r="Z8" s="66"/>
      <c r="AA8" s="66"/>
      <c r="AB8" s="66"/>
      <c r="AC8" s="66"/>
      <c r="AD8" s="66"/>
      <c r="AE8" s="66"/>
      <c r="AF8" s="66"/>
      <c r="AG8" s="66"/>
      <c r="AH8" s="66"/>
      <c r="AJ8" s="158"/>
      <c r="AK8" s="158"/>
      <c r="AL8" s="158"/>
      <c r="AM8" s="158"/>
    </row>
    <row r="9" spans="1:39" ht="15.75">
      <c r="A9" s="55"/>
      <c r="E9" s="65"/>
      <c r="F9" s="65"/>
      <c r="G9" s="65"/>
      <c r="H9" s="65"/>
      <c r="I9" s="65"/>
      <c r="J9" s="65"/>
      <c r="K9" s="65"/>
      <c r="L9" s="65"/>
      <c r="M9" s="65"/>
      <c r="N9" s="65"/>
      <c r="O9" s="65"/>
      <c r="P9" s="65"/>
      <c r="Q9" s="65"/>
      <c r="R9" s="65"/>
      <c r="S9" s="65"/>
      <c r="T9" s="65"/>
      <c r="U9" s="65"/>
      <c r="V9" s="65"/>
      <c r="W9" s="136"/>
      <c r="X9" s="65"/>
      <c r="Y9" s="65"/>
      <c r="Z9" s="65"/>
      <c r="AA9" s="65"/>
      <c r="AB9" s="65"/>
      <c r="AC9" s="65"/>
      <c r="AD9" s="65"/>
      <c r="AE9" s="65"/>
      <c r="AF9" s="65"/>
      <c r="AG9" s="65"/>
      <c r="AH9" s="65"/>
      <c r="AJ9" s="158"/>
      <c r="AK9" s="158"/>
      <c r="AL9" s="158"/>
      <c r="AM9" s="158"/>
    </row>
    <row r="10" spans="1:40" s="2" customFormat="1" ht="31.5" customHeight="1">
      <c r="A10" s="174" t="s">
        <v>318</v>
      </c>
      <c r="B10" s="174"/>
      <c r="C10" s="174"/>
      <c r="D10" s="174"/>
      <c r="E10" s="174"/>
      <c r="F10" s="174"/>
      <c r="G10" s="174"/>
      <c r="H10" s="174"/>
      <c r="I10" s="174"/>
      <c r="J10" s="174"/>
      <c r="K10" s="174"/>
      <c r="L10" s="174"/>
      <c r="M10" s="174"/>
      <c r="N10" s="174"/>
      <c r="O10" s="174"/>
      <c r="P10" s="174"/>
      <c r="Q10" s="174"/>
      <c r="R10" s="174"/>
      <c r="S10" s="174"/>
      <c r="T10" s="104"/>
      <c r="U10" s="104"/>
      <c r="V10" s="104"/>
      <c r="W10" s="104"/>
      <c r="X10" s="104"/>
      <c r="Y10" s="104"/>
      <c r="Z10" s="104"/>
      <c r="AA10" s="104"/>
      <c r="AB10" s="104"/>
      <c r="AC10" s="104"/>
      <c r="AD10" s="104"/>
      <c r="AE10" s="104"/>
      <c r="AF10" s="104"/>
      <c r="AG10" s="104"/>
      <c r="AH10" s="104"/>
      <c r="AI10" s="104"/>
      <c r="AJ10" s="104"/>
      <c r="AK10" s="104"/>
      <c r="AL10" s="104"/>
      <c r="AM10" s="104"/>
      <c r="AN10" s="104"/>
    </row>
    <row r="11" spans="1:40" s="2" customFormat="1" ht="15.75">
      <c r="A11" s="12"/>
      <c r="B11" s="16"/>
      <c r="C11" s="9"/>
      <c r="D11" s="12"/>
      <c r="E11" s="158"/>
      <c r="F11" s="158"/>
      <c r="G11" s="158"/>
      <c r="H11" s="158"/>
      <c r="I11" s="158"/>
      <c r="J11" s="158"/>
      <c r="K11" s="158"/>
      <c r="L11" s="158"/>
      <c r="M11" s="158"/>
      <c r="N11" s="158"/>
      <c r="O11" s="158"/>
      <c r="P11" s="158"/>
      <c r="Q11" s="158"/>
      <c r="R11" s="158"/>
      <c r="S11" s="158"/>
      <c r="T11" s="158"/>
      <c r="U11" s="158"/>
      <c r="V11" s="158"/>
      <c r="W11" s="158"/>
      <c r="X11" s="158"/>
      <c r="Y11" s="158"/>
      <c r="Z11" s="158"/>
      <c r="AA11" s="158"/>
      <c r="AB11" s="158"/>
      <c r="AC11" s="158"/>
      <c r="AD11" s="158"/>
      <c r="AE11" s="158"/>
      <c r="AF11" s="158"/>
      <c r="AG11" s="158"/>
      <c r="AH11" s="158"/>
      <c r="AI11" s="158"/>
      <c r="AJ11" s="158"/>
      <c r="AK11" s="158"/>
      <c r="AL11" s="158"/>
      <c r="AM11" s="158"/>
      <c r="AN11" s="158"/>
    </row>
    <row r="12" spans="3:40" ht="15.75">
      <c r="C12" s="10"/>
      <c r="D12" s="10"/>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row>
    <row r="13" spans="1:40" ht="15.75" customHeight="1">
      <c r="A13" s="162" t="s">
        <v>184</v>
      </c>
      <c r="B13" s="154" t="s">
        <v>42</v>
      </c>
      <c r="C13" s="172" t="s">
        <v>2</v>
      </c>
      <c r="D13" s="162" t="s">
        <v>43</v>
      </c>
      <c r="E13" s="175" t="s">
        <v>44</v>
      </c>
      <c r="F13" s="176"/>
      <c r="G13" s="176"/>
      <c r="H13" s="176"/>
      <c r="I13" s="176"/>
      <c r="J13" s="176"/>
      <c r="K13" s="176"/>
      <c r="L13" s="176"/>
      <c r="M13" s="176"/>
      <c r="N13" s="176"/>
      <c r="O13" s="176"/>
      <c r="P13" s="176"/>
      <c r="Q13" s="176"/>
      <c r="R13" s="176"/>
      <c r="S13" s="176"/>
      <c r="T13" s="81"/>
      <c r="U13" s="81"/>
      <c r="V13" s="81"/>
      <c r="W13" s="81"/>
      <c r="X13" s="81"/>
      <c r="Y13" s="81"/>
      <c r="Z13" s="81"/>
      <c r="AA13" s="81"/>
      <c r="AB13" s="81"/>
      <c r="AC13" s="81"/>
      <c r="AD13" s="81"/>
      <c r="AE13" s="81"/>
      <c r="AF13" s="81"/>
      <c r="AG13" s="81"/>
      <c r="AH13" s="81"/>
      <c r="AI13" s="81"/>
      <c r="AJ13" s="81"/>
      <c r="AK13" s="81"/>
      <c r="AL13" s="81"/>
      <c r="AM13" s="81"/>
      <c r="AN13" s="82"/>
    </row>
    <row r="14" spans="1:40" ht="15.75" customHeight="1">
      <c r="A14" s="165"/>
      <c r="B14" s="171"/>
      <c r="C14" s="172"/>
      <c r="D14" s="162"/>
      <c r="E14" s="159" t="s">
        <v>224</v>
      </c>
      <c r="F14" s="160"/>
      <c r="G14" s="160"/>
      <c r="H14" s="160"/>
      <c r="I14" s="161"/>
      <c r="J14" s="159" t="s">
        <v>225</v>
      </c>
      <c r="K14" s="160"/>
      <c r="L14" s="160"/>
      <c r="M14" s="160"/>
      <c r="N14" s="161"/>
      <c r="O14" s="159" t="s">
        <v>226</v>
      </c>
      <c r="P14" s="160"/>
      <c r="Q14" s="160"/>
      <c r="R14" s="160"/>
      <c r="S14" s="161"/>
      <c r="T14" s="159" t="s">
        <v>227</v>
      </c>
      <c r="U14" s="160"/>
      <c r="V14" s="160"/>
      <c r="W14" s="160"/>
      <c r="X14" s="161"/>
      <c r="Y14" s="159" t="s">
        <v>223</v>
      </c>
      <c r="Z14" s="160"/>
      <c r="AA14" s="160"/>
      <c r="AB14" s="160"/>
      <c r="AC14" s="161"/>
      <c r="AD14" s="159" t="s">
        <v>222</v>
      </c>
      <c r="AE14" s="160"/>
      <c r="AF14" s="160"/>
      <c r="AG14" s="160"/>
      <c r="AH14" s="161"/>
      <c r="AI14" s="162" t="s">
        <v>221</v>
      </c>
      <c r="AJ14" s="162"/>
      <c r="AK14" s="162"/>
      <c r="AL14" s="162"/>
      <c r="AM14" s="162"/>
      <c r="AN14" s="173" t="s">
        <v>3</v>
      </c>
    </row>
    <row r="15" spans="1:40" ht="37.5" customHeight="1">
      <c r="A15" s="165"/>
      <c r="B15" s="155"/>
      <c r="C15" s="172"/>
      <c r="D15" s="162"/>
      <c r="E15" s="13" t="s">
        <v>4</v>
      </c>
      <c r="F15" s="26" t="s">
        <v>5</v>
      </c>
      <c r="G15" s="26" t="s">
        <v>6</v>
      </c>
      <c r="H15" s="26" t="s">
        <v>229</v>
      </c>
      <c r="I15" s="26" t="s">
        <v>45</v>
      </c>
      <c r="J15" s="13" t="s">
        <v>4</v>
      </c>
      <c r="K15" s="26" t="s">
        <v>5</v>
      </c>
      <c r="L15" s="26" t="s">
        <v>6</v>
      </c>
      <c r="M15" s="26" t="s">
        <v>229</v>
      </c>
      <c r="N15" s="26" t="s">
        <v>45</v>
      </c>
      <c r="O15" s="13" t="s">
        <v>4</v>
      </c>
      <c r="P15" s="26" t="s">
        <v>5</v>
      </c>
      <c r="Q15" s="26" t="s">
        <v>6</v>
      </c>
      <c r="R15" s="26" t="s">
        <v>229</v>
      </c>
      <c r="S15" s="26" t="s">
        <v>45</v>
      </c>
      <c r="T15" s="13" t="s">
        <v>4</v>
      </c>
      <c r="U15" s="26" t="s">
        <v>5</v>
      </c>
      <c r="V15" s="26" t="s">
        <v>6</v>
      </c>
      <c r="W15" s="26" t="s">
        <v>229</v>
      </c>
      <c r="X15" s="26" t="s">
        <v>45</v>
      </c>
      <c r="Y15" s="13" t="s">
        <v>4</v>
      </c>
      <c r="Z15" s="26" t="s">
        <v>5</v>
      </c>
      <c r="AA15" s="26" t="s">
        <v>6</v>
      </c>
      <c r="AB15" s="26" t="s">
        <v>229</v>
      </c>
      <c r="AC15" s="26" t="s">
        <v>45</v>
      </c>
      <c r="AD15" s="13" t="s">
        <v>4</v>
      </c>
      <c r="AE15" s="26" t="s">
        <v>5</v>
      </c>
      <c r="AF15" s="26" t="s">
        <v>6</v>
      </c>
      <c r="AG15" s="26" t="s">
        <v>229</v>
      </c>
      <c r="AH15" s="26" t="s">
        <v>45</v>
      </c>
      <c r="AI15" s="13" t="s">
        <v>4</v>
      </c>
      <c r="AJ15" s="26" t="s">
        <v>5</v>
      </c>
      <c r="AK15" s="26" t="s">
        <v>6</v>
      </c>
      <c r="AL15" s="26" t="s">
        <v>7</v>
      </c>
      <c r="AM15" s="26" t="s">
        <v>45</v>
      </c>
      <c r="AN15" s="173"/>
    </row>
    <row r="16" spans="1:40" s="3" customFormat="1" ht="15.75">
      <c r="A16" s="27">
        <v>1</v>
      </c>
      <c r="B16" s="27">
        <v>2</v>
      </c>
      <c r="C16" s="27">
        <v>3</v>
      </c>
      <c r="D16" s="27">
        <v>4</v>
      </c>
      <c r="E16" s="27">
        <v>5</v>
      </c>
      <c r="F16" s="27">
        <v>6</v>
      </c>
      <c r="G16" s="27">
        <v>7</v>
      </c>
      <c r="H16" s="27">
        <v>8</v>
      </c>
      <c r="I16" s="27">
        <v>9</v>
      </c>
      <c r="J16" s="27">
        <v>10</v>
      </c>
      <c r="K16" s="27">
        <v>11</v>
      </c>
      <c r="L16" s="27">
        <v>12</v>
      </c>
      <c r="M16" s="27">
        <v>13</v>
      </c>
      <c r="N16" s="27">
        <v>14</v>
      </c>
      <c r="O16" s="27">
        <v>15</v>
      </c>
      <c r="P16" s="27">
        <v>16</v>
      </c>
      <c r="Q16" s="27">
        <v>17</v>
      </c>
      <c r="R16" s="27">
        <v>18</v>
      </c>
      <c r="S16" s="27">
        <v>19</v>
      </c>
      <c r="T16" s="27">
        <v>20</v>
      </c>
      <c r="U16" s="27">
        <v>21</v>
      </c>
      <c r="V16" s="27">
        <v>22</v>
      </c>
      <c r="W16" s="27">
        <v>23</v>
      </c>
      <c r="X16" s="27">
        <v>24</v>
      </c>
      <c r="Y16" s="27">
        <v>25</v>
      </c>
      <c r="Z16" s="27">
        <v>26</v>
      </c>
      <c r="AA16" s="27">
        <v>27</v>
      </c>
      <c r="AB16" s="27">
        <v>28</v>
      </c>
      <c r="AC16" s="27">
        <v>29</v>
      </c>
      <c r="AD16" s="27">
        <v>30</v>
      </c>
      <c r="AE16" s="27">
        <v>31</v>
      </c>
      <c r="AF16" s="27">
        <v>32</v>
      </c>
      <c r="AG16" s="27">
        <v>33</v>
      </c>
      <c r="AH16" s="27">
        <v>34</v>
      </c>
      <c r="AI16" s="27">
        <v>35</v>
      </c>
      <c r="AJ16" s="27">
        <v>36</v>
      </c>
      <c r="AK16" s="27">
        <v>37</v>
      </c>
      <c r="AL16" s="27">
        <v>38</v>
      </c>
      <c r="AM16" s="27">
        <v>39</v>
      </c>
      <c r="AN16" s="27">
        <v>40</v>
      </c>
    </row>
    <row r="17" spans="1:40" s="3" customFormat="1" ht="15.75">
      <c r="A17" s="163" t="s">
        <v>297</v>
      </c>
      <c r="B17" s="164"/>
      <c r="C17" s="164"/>
      <c r="D17" s="164"/>
      <c r="E17" s="164"/>
      <c r="F17" s="164"/>
      <c r="G17" s="164"/>
      <c r="H17" s="164"/>
      <c r="I17" s="164"/>
      <c r="J17" s="164"/>
      <c r="K17" s="164"/>
      <c r="L17" s="164"/>
      <c r="M17" s="164"/>
      <c r="N17" s="164"/>
      <c r="O17" s="164"/>
      <c r="P17" s="164"/>
      <c r="Q17" s="164"/>
      <c r="R17" s="164"/>
      <c r="S17" s="164"/>
      <c r="T17" s="164"/>
      <c r="U17" s="164"/>
      <c r="V17" s="164"/>
      <c r="W17" s="164"/>
      <c r="X17" s="164"/>
      <c r="Y17" s="164"/>
      <c r="Z17" s="164"/>
      <c r="AA17" s="164"/>
      <c r="AB17" s="164"/>
      <c r="AC17" s="164"/>
      <c r="AD17" s="5"/>
      <c r="AE17" s="5"/>
      <c r="AF17" s="5"/>
      <c r="AG17" s="5"/>
      <c r="AH17" s="5"/>
      <c r="AI17" s="5"/>
      <c r="AJ17" s="5"/>
      <c r="AK17" s="5"/>
      <c r="AL17" s="5"/>
      <c r="AM17" s="5"/>
      <c r="AN17" s="70"/>
    </row>
    <row r="18" spans="1:40" ht="15.75">
      <c r="A18" s="144">
        <v>1</v>
      </c>
      <c r="B18" s="163" t="s">
        <v>298</v>
      </c>
      <c r="C18" s="164"/>
      <c r="D18" s="164"/>
      <c r="E18" s="164"/>
      <c r="F18" s="164"/>
      <c r="G18" s="164"/>
      <c r="H18" s="164"/>
      <c r="I18" s="164"/>
      <c r="J18" s="164"/>
      <c r="K18" s="164"/>
      <c r="L18" s="164"/>
      <c r="M18" s="164"/>
      <c r="N18" s="164"/>
      <c r="O18" s="164"/>
      <c r="P18" s="164"/>
      <c r="Q18" s="164"/>
      <c r="R18" s="164"/>
      <c r="S18" s="164"/>
      <c r="T18" s="164"/>
      <c r="U18" s="164"/>
      <c r="V18" s="164"/>
      <c r="W18" s="164"/>
      <c r="X18" s="164"/>
      <c r="Y18" s="164"/>
      <c r="Z18" s="164"/>
      <c r="AA18" s="164"/>
      <c r="AB18" s="164"/>
      <c r="AC18" s="164"/>
      <c r="AD18" s="81"/>
      <c r="AE18" s="81"/>
      <c r="AF18" s="81"/>
      <c r="AG18" s="81"/>
      <c r="AH18" s="81"/>
      <c r="AI18" s="81"/>
      <c r="AJ18" s="81"/>
      <c r="AK18" s="81"/>
      <c r="AL18" s="81"/>
      <c r="AM18" s="81"/>
      <c r="AN18" s="82"/>
    </row>
    <row r="19" spans="1:40" ht="129" customHeight="1">
      <c r="A19" s="35" t="s">
        <v>10</v>
      </c>
      <c r="B19" s="36" t="s">
        <v>447</v>
      </c>
      <c r="C19" s="11" t="s">
        <v>48</v>
      </c>
      <c r="D19" s="11" t="s">
        <v>228</v>
      </c>
      <c r="E19" s="107">
        <f>SUMIF(F19:I19,"&gt;0")</f>
        <v>1940243</v>
      </c>
      <c r="F19" s="111">
        <f>440404+294762+15400-12900+12900</f>
        <v>750566</v>
      </c>
      <c r="G19" s="111">
        <f>1210512-13422.345-7412.655</f>
        <v>1189677</v>
      </c>
      <c r="H19" s="26" t="s">
        <v>278</v>
      </c>
      <c r="I19" s="26" t="s">
        <v>278</v>
      </c>
      <c r="J19" s="107">
        <f>SUMIF(K19:N19,"&gt;0")</f>
        <v>2066335.7</v>
      </c>
      <c r="K19" s="111">
        <f>464954+311256+4705.624+1303.057-2800+16036+9523-613</f>
        <v>804364.7</v>
      </c>
      <c r="L19" s="111">
        <f>1204653+70269-9646.059-3304.941</f>
        <v>1261971</v>
      </c>
      <c r="M19" s="77" t="s">
        <v>278</v>
      </c>
      <c r="N19" s="77" t="s">
        <v>278</v>
      </c>
      <c r="O19" s="107">
        <f>SUMIF(P19:S19,"&gt;0")</f>
        <v>2155762</v>
      </c>
      <c r="P19" s="111">
        <f>498458+338179+9798+19342-19666.81355-6293.18645</f>
        <v>839817</v>
      </c>
      <c r="Q19" s="111">
        <f>588362.106+374720.894+164481+100219+15527.815+9910.185+31953.84+50861.16-16781.113-3309.887</f>
        <v>1315945</v>
      </c>
      <c r="R19" s="77" t="s">
        <v>278</v>
      </c>
      <c r="S19" s="77" t="s">
        <v>278</v>
      </c>
      <c r="T19" s="107">
        <f>SUMIF(U19:X19,"&gt;0")</f>
        <v>927760</v>
      </c>
      <c r="U19" s="111">
        <f>552083+375677</f>
        <v>927760</v>
      </c>
      <c r="V19" s="77" t="s">
        <v>278</v>
      </c>
      <c r="W19" s="77" t="s">
        <v>278</v>
      </c>
      <c r="X19" s="77" t="s">
        <v>278</v>
      </c>
      <c r="Y19" s="107">
        <f>SUMIF(Z19:AC19,"&gt;0")</f>
        <v>927760</v>
      </c>
      <c r="Z19" s="111">
        <f>552083+375677</f>
        <v>927760</v>
      </c>
      <c r="AA19" s="77" t="s">
        <v>278</v>
      </c>
      <c r="AB19" s="77" t="s">
        <v>278</v>
      </c>
      <c r="AC19" s="77" t="s">
        <v>278</v>
      </c>
      <c r="AD19" s="107">
        <f>SUMIF(AE19:AH19,"&gt;0")</f>
        <v>927760</v>
      </c>
      <c r="AE19" s="111">
        <f>552083+375677</f>
        <v>927760</v>
      </c>
      <c r="AF19" s="77" t="s">
        <v>278</v>
      </c>
      <c r="AG19" s="77" t="s">
        <v>278</v>
      </c>
      <c r="AH19" s="77" t="s">
        <v>278</v>
      </c>
      <c r="AI19" s="107">
        <f>SUMIF(AJ19:AM19,"&gt;0")</f>
        <v>2665597</v>
      </c>
      <c r="AJ19" s="111">
        <v>907134</v>
      </c>
      <c r="AK19" s="111">
        <v>1758463</v>
      </c>
      <c r="AL19" s="77" t="s">
        <v>278</v>
      </c>
      <c r="AM19" s="77" t="s">
        <v>278</v>
      </c>
      <c r="AN19" s="115">
        <f>E19+J19+O19+T19+Y19+AD19+AI19</f>
        <v>11611217.7</v>
      </c>
    </row>
    <row r="20" spans="1:40" ht="130.5" customHeight="1">
      <c r="A20" s="35" t="s">
        <v>11</v>
      </c>
      <c r="B20" s="36" t="s">
        <v>448</v>
      </c>
      <c r="C20" s="11" t="s">
        <v>49</v>
      </c>
      <c r="D20" s="11" t="s">
        <v>228</v>
      </c>
      <c r="E20" s="107">
        <f>SUMIF(F20:I20,"&gt;0")</f>
        <v>3336258.2</v>
      </c>
      <c r="F20" s="111">
        <f>596779+67289+26594-10.82</f>
        <v>690651.2</v>
      </c>
      <c r="G20" s="111">
        <f>2361339+213801+74151+135-3819</f>
        <v>2645607</v>
      </c>
      <c r="H20" s="26" t="s">
        <v>278</v>
      </c>
      <c r="I20" s="26" t="s">
        <v>278</v>
      </c>
      <c r="J20" s="107">
        <f>SUMIF(K20:N20,"&gt;0")</f>
        <v>3582120.8</v>
      </c>
      <c r="K20" s="111">
        <f>68595+626397+16002.771+4520-7137</f>
        <v>708377.8</v>
      </c>
      <c r="L20" s="111">
        <f>2457104+210768+77216+(94907+12000+17)+18441-639+636+2899+394</f>
        <v>2873743</v>
      </c>
      <c r="M20" s="77" t="s">
        <v>278</v>
      </c>
      <c r="N20" s="77" t="s">
        <v>278</v>
      </c>
      <c r="O20" s="107">
        <f>SUMIF(P20:S20,"&gt;0")</f>
        <v>3823537.5</v>
      </c>
      <c r="P20" s="111">
        <f>667740+72402+520+4497-932.48805</f>
        <v>744226.5</v>
      </c>
      <c r="Q20" s="111">
        <f>1964210+665921+60066+171317+46480+20036+48476+4222+2407+14503+63466-4751+22681+277</f>
        <v>3079311</v>
      </c>
      <c r="R20" s="77" t="s">
        <v>278</v>
      </c>
      <c r="S20" s="77" t="s">
        <v>278</v>
      </c>
      <c r="T20" s="107">
        <f>SUMIF(U20:X20,"&gt;0")</f>
        <v>833734</v>
      </c>
      <c r="U20" s="111">
        <f>746583+87151</f>
        <v>833734</v>
      </c>
      <c r="V20" s="77" t="s">
        <v>278</v>
      </c>
      <c r="W20" s="77" t="s">
        <v>278</v>
      </c>
      <c r="X20" s="77" t="s">
        <v>278</v>
      </c>
      <c r="Y20" s="107">
        <f>SUMIF(Z20:AC20,"&gt;0")</f>
        <v>833734</v>
      </c>
      <c r="Z20" s="111">
        <f>746583+87151</f>
        <v>833734</v>
      </c>
      <c r="AA20" s="77" t="s">
        <v>278</v>
      </c>
      <c r="AB20" s="77" t="s">
        <v>278</v>
      </c>
      <c r="AC20" s="77" t="s">
        <v>278</v>
      </c>
      <c r="AD20" s="107">
        <f>SUMIF(AE20:AH20,"&gt;0")</f>
        <v>833734</v>
      </c>
      <c r="AE20" s="111">
        <f>746583+87151</f>
        <v>833734</v>
      </c>
      <c r="AF20" s="77" t="s">
        <v>278</v>
      </c>
      <c r="AG20" s="77" t="s">
        <v>278</v>
      </c>
      <c r="AH20" s="77" t="s">
        <v>278</v>
      </c>
      <c r="AI20" s="107">
        <f>SUMIF(AJ20:AM20,"&gt;0")</f>
        <v>4937223</v>
      </c>
      <c r="AJ20" s="111">
        <v>1007702</v>
      </c>
      <c r="AK20" s="111">
        <v>3929521</v>
      </c>
      <c r="AL20" s="77" t="s">
        <v>278</v>
      </c>
      <c r="AM20" s="77" t="s">
        <v>278</v>
      </c>
      <c r="AN20" s="115">
        <f>E20+J20+O20+T20+Y20+AD20+AI20</f>
        <v>18180341.5</v>
      </c>
    </row>
    <row r="21" spans="1:40" ht="110.25">
      <c r="A21" s="35" t="s">
        <v>12</v>
      </c>
      <c r="B21" s="36" t="s">
        <v>47</v>
      </c>
      <c r="C21" s="11" t="s">
        <v>55</v>
      </c>
      <c r="D21" s="11" t="s">
        <v>228</v>
      </c>
      <c r="E21" s="107">
        <f>SUMIF(F21:I21,"&gt;0")</f>
        <v>358804</v>
      </c>
      <c r="F21" s="111">
        <f>346025+12779</f>
        <v>358804</v>
      </c>
      <c r="G21" s="26" t="s">
        <v>278</v>
      </c>
      <c r="H21" s="26" t="s">
        <v>278</v>
      </c>
      <c r="I21" s="26" t="s">
        <v>278</v>
      </c>
      <c r="J21" s="107">
        <f>SUMIF(K21:N21,"&gt;0")</f>
        <v>382532.8</v>
      </c>
      <c r="K21" s="111">
        <f>376357+1060.8+3071+2044</f>
        <v>382532.8</v>
      </c>
      <c r="L21" s="111" t="s">
        <v>278</v>
      </c>
      <c r="M21" s="77" t="s">
        <v>278</v>
      </c>
      <c r="N21" s="77" t="s">
        <v>278</v>
      </c>
      <c r="O21" s="107">
        <f>SUMIF(P21:S21,"&gt;0")</f>
        <v>414695.7</v>
      </c>
      <c r="P21" s="111">
        <f>401875+8459+4361.7</f>
        <v>414695.7</v>
      </c>
      <c r="Q21" s="111" t="s">
        <v>278</v>
      </c>
      <c r="R21" s="77" t="s">
        <v>278</v>
      </c>
      <c r="S21" s="77" t="s">
        <v>278</v>
      </c>
      <c r="T21" s="107">
        <f>SUMIF(U21:X21,"&gt;0")</f>
        <v>459014</v>
      </c>
      <c r="U21" s="111">
        <f>459014</f>
        <v>459014</v>
      </c>
      <c r="V21" s="111" t="s">
        <v>278</v>
      </c>
      <c r="W21" s="77" t="s">
        <v>278</v>
      </c>
      <c r="X21" s="77" t="s">
        <v>278</v>
      </c>
      <c r="Y21" s="107">
        <f>SUMIF(Z21:AC21,"&gt;0")</f>
        <v>459014</v>
      </c>
      <c r="Z21" s="111">
        <f>459014</f>
        <v>459014</v>
      </c>
      <c r="AA21" s="77" t="s">
        <v>278</v>
      </c>
      <c r="AB21" s="77" t="s">
        <v>278</v>
      </c>
      <c r="AC21" s="77" t="s">
        <v>278</v>
      </c>
      <c r="AD21" s="107">
        <f>SUMIF(AE21:AH21,"&gt;0")</f>
        <v>459014</v>
      </c>
      <c r="AE21" s="111">
        <f>459014</f>
        <v>459014</v>
      </c>
      <c r="AF21" s="77" t="s">
        <v>278</v>
      </c>
      <c r="AG21" s="77" t="s">
        <v>278</v>
      </c>
      <c r="AH21" s="77" t="s">
        <v>278</v>
      </c>
      <c r="AI21" s="107">
        <f>SUMIF(AJ21:AM21,"&gt;0")</f>
        <v>446284</v>
      </c>
      <c r="AJ21" s="111">
        <v>446284</v>
      </c>
      <c r="AK21" s="77" t="s">
        <v>278</v>
      </c>
      <c r="AL21" s="77" t="s">
        <v>278</v>
      </c>
      <c r="AM21" s="77" t="s">
        <v>278</v>
      </c>
      <c r="AN21" s="115">
        <f>E21+J21+O21+T21+Y21+AD21+AI21</f>
        <v>2979358.5</v>
      </c>
    </row>
    <row r="22" spans="1:40" ht="126">
      <c r="A22" s="35" t="s">
        <v>13</v>
      </c>
      <c r="B22" s="36" t="s">
        <v>79</v>
      </c>
      <c r="C22" s="11" t="s">
        <v>50</v>
      </c>
      <c r="D22" s="11" t="s">
        <v>228</v>
      </c>
      <c r="E22" s="107">
        <f>SUMIF(F22:I22,"&gt;0")</f>
        <v>56680</v>
      </c>
      <c r="F22" s="111">
        <v>56680</v>
      </c>
      <c r="G22" s="26" t="s">
        <v>278</v>
      </c>
      <c r="H22" s="26" t="s">
        <v>278</v>
      </c>
      <c r="I22" s="26" t="s">
        <v>278</v>
      </c>
      <c r="J22" s="107">
        <f>SUMIF(K22:N22,"&gt;0")</f>
        <v>62330</v>
      </c>
      <c r="K22" s="111">
        <f>60793+1537</f>
        <v>62330</v>
      </c>
      <c r="L22" s="77" t="s">
        <v>278</v>
      </c>
      <c r="M22" s="77" t="s">
        <v>278</v>
      </c>
      <c r="N22" s="77" t="s">
        <v>278</v>
      </c>
      <c r="O22" s="107">
        <f>SUMIF(P22:S22,"&gt;0")</f>
        <v>65921</v>
      </c>
      <c r="P22" s="111">
        <f>63706+2215</f>
        <v>65921</v>
      </c>
      <c r="Q22" s="77" t="s">
        <v>278</v>
      </c>
      <c r="R22" s="77" t="s">
        <v>278</v>
      </c>
      <c r="S22" s="77" t="s">
        <v>278</v>
      </c>
      <c r="T22" s="107">
        <f>SUMIF(U22:X22,"&gt;0")</f>
        <v>74787</v>
      </c>
      <c r="U22" s="111">
        <f>74787</f>
        <v>74787</v>
      </c>
      <c r="V22" s="77" t="s">
        <v>278</v>
      </c>
      <c r="W22" s="77" t="s">
        <v>278</v>
      </c>
      <c r="X22" s="77" t="s">
        <v>278</v>
      </c>
      <c r="Y22" s="107">
        <f>SUMIF(Z22:AC22,"&gt;0")</f>
        <v>74787</v>
      </c>
      <c r="Z22" s="111">
        <f>74787</f>
        <v>74787</v>
      </c>
      <c r="AA22" s="77" t="s">
        <v>278</v>
      </c>
      <c r="AB22" s="77" t="s">
        <v>278</v>
      </c>
      <c r="AC22" s="77" t="s">
        <v>278</v>
      </c>
      <c r="AD22" s="107">
        <f>SUMIF(AE22:AH22,"&gt;0")</f>
        <v>74787</v>
      </c>
      <c r="AE22" s="111">
        <f>74787</f>
        <v>74787</v>
      </c>
      <c r="AF22" s="77" t="s">
        <v>278</v>
      </c>
      <c r="AG22" s="77" t="s">
        <v>278</v>
      </c>
      <c r="AH22" s="77" t="s">
        <v>278</v>
      </c>
      <c r="AI22" s="107">
        <f>SUMIF(AJ22:AM22,"&gt;0")</f>
        <v>76355</v>
      </c>
      <c r="AJ22" s="111">
        <v>76355</v>
      </c>
      <c r="AK22" s="77" t="s">
        <v>278</v>
      </c>
      <c r="AL22" s="77" t="s">
        <v>278</v>
      </c>
      <c r="AM22" s="77" t="s">
        <v>278</v>
      </c>
      <c r="AN22" s="115">
        <f>E22+J22+O22+T22+Y22+AD22+AI22</f>
        <v>485647</v>
      </c>
    </row>
    <row r="23" spans="1:41" s="4" customFormat="1" ht="20.25">
      <c r="A23" s="37"/>
      <c r="B23" s="145" t="s">
        <v>8</v>
      </c>
      <c r="C23" s="38"/>
      <c r="D23" s="39"/>
      <c r="E23" s="112">
        <f>SUM(F23:I23)</f>
        <v>5691985.2</v>
      </c>
      <c r="F23" s="112">
        <f>SUM(F19:F22)</f>
        <v>1856701.2</v>
      </c>
      <c r="G23" s="112">
        <f>SUM(G19:G22)</f>
        <v>3835284</v>
      </c>
      <c r="H23" s="72">
        <f>SUM(H19:H22)</f>
        <v>0</v>
      </c>
      <c r="I23" s="72">
        <f>SUM(I19:I22)</f>
        <v>0</v>
      </c>
      <c r="J23" s="112">
        <f>SUM(K23:N23)</f>
        <v>6093319.3</v>
      </c>
      <c r="K23" s="112">
        <f>SUM(K19:K22)</f>
        <v>1957605.3</v>
      </c>
      <c r="L23" s="112">
        <f>SUM(L19:L22)</f>
        <v>4135714</v>
      </c>
      <c r="M23" s="72">
        <f>SUM(M19:M22)</f>
        <v>0</v>
      </c>
      <c r="N23" s="72">
        <f>SUM(N19:N22)</f>
        <v>0</v>
      </c>
      <c r="O23" s="112">
        <f>SUM(P23:S23)</f>
        <v>6459916.2</v>
      </c>
      <c r="P23" s="112">
        <f>SUM(P19:P22)</f>
        <v>2064660.2</v>
      </c>
      <c r="Q23" s="112">
        <f>SUM(Q19:Q22)</f>
        <v>4395256</v>
      </c>
      <c r="R23" s="72">
        <f>SUM(R19:R22)</f>
        <v>0</v>
      </c>
      <c r="S23" s="72">
        <f>SUM(S19:S22)</f>
        <v>0</v>
      </c>
      <c r="T23" s="112">
        <f>SUM(U23:X23)</f>
        <v>2295295</v>
      </c>
      <c r="U23" s="112">
        <f>SUM(U19:U22)</f>
        <v>2295295</v>
      </c>
      <c r="V23" s="72">
        <f>SUM(V19:V22)</f>
        <v>0</v>
      </c>
      <c r="W23" s="72">
        <f>SUM(W19:W22)</f>
        <v>0</v>
      </c>
      <c r="X23" s="72">
        <f>SUM(X19:X22)</f>
        <v>0</v>
      </c>
      <c r="Y23" s="112">
        <f>SUM(Z23:AC23)</f>
        <v>2295295</v>
      </c>
      <c r="Z23" s="112">
        <f>SUM(Z19:Z22)</f>
        <v>2295295</v>
      </c>
      <c r="AA23" s="72">
        <f>SUM(AA19:AA22)</f>
        <v>0</v>
      </c>
      <c r="AB23" s="72">
        <f>SUM(AB19:AB22)</f>
        <v>0</v>
      </c>
      <c r="AC23" s="72">
        <f>SUM(AC19:AC22)</f>
        <v>0</v>
      </c>
      <c r="AD23" s="112">
        <f>SUM(AE23:AH23)</f>
        <v>2295295</v>
      </c>
      <c r="AE23" s="112">
        <f>SUM(AE19:AE22)</f>
        <v>2295295</v>
      </c>
      <c r="AF23" s="72">
        <f>SUM(AF19:AF22)</f>
        <v>0</v>
      </c>
      <c r="AG23" s="72">
        <f>SUM(AG19:AG22)</f>
        <v>0</v>
      </c>
      <c r="AH23" s="72">
        <f>SUM(AH19:AH22)</f>
        <v>0</v>
      </c>
      <c r="AI23" s="112">
        <f>SUM(AJ23:AM23)</f>
        <v>8125459</v>
      </c>
      <c r="AJ23" s="112">
        <f>SUM(AJ19:AJ22)</f>
        <v>2437475</v>
      </c>
      <c r="AK23" s="112">
        <f>SUM(AK19:AK22)</f>
        <v>5687984</v>
      </c>
      <c r="AL23" s="72">
        <f>SUM(AL19:AL22)</f>
        <v>0</v>
      </c>
      <c r="AM23" s="72">
        <f>SUM(AM19:AM22)</f>
        <v>0</v>
      </c>
      <c r="AN23" s="115">
        <f>E23+J23+O23+T23+Y23+AD23+AI23</f>
        <v>33256564.7</v>
      </c>
      <c r="AO23" s="21"/>
    </row>
    <row r="24" spans="1:41" s="86" customFormat="1" ht="18.75">
      <c r="A24" s="144">
        <v>2</v>
      </c>
      <c r="B24" s="168" t="s">
        <v>291</v>
      </c>
      <c r="C24" s="169"/>
      <c r="D24" s="169"/>
      <c r="E24" s="169"/>
      <c r="F24" s="169"/>
      <c r="G24" s="169"/>
      <c r="H24" s="169"/>
      <c r="I24" s="169"/>
      <c r="J24" s="169"/>
      <c r="K24" s="169"/>
      <c r="L24" s="169"/>
      <c r="M24" s="169"/>
      <c r="N24" s="169"/>
      <c r="O24" s="169"/>
      <c r="P24" s="169"/>
      <c r="Q24" s="169"/>
      <c r="R24" s="169"/>
      <c r="S24" s="169"/>
      <c r="T24" s="169"/>
      <c r="U24" s="169"/>
      <c r="V24" s="169"/>
      <c r="W24" s="169"/>
      <c r="X24" s="169"/>
      <c r="Y24" s="169"/>
      <c r="Z24" s="169"/>
      <c r="AA24" s="169"/>
      <c r="AB24" s="169"/>
      <c r="AC24" s="169"/>
      <c r="AD24" s="83"/>
      <c r="AE24" s="83"/>
      <c r="AF24" s="83"/>
      <c r="AG24" s="83"/>
      <c r="AH24" s="83"/>
      <c r="AI24" s="83"/>
      <c r="AJ24" s="83"/>
      <c r="AK24" s="83"/>
      <c r="AL24" s="83"/>
      <c r="AM24" s="83"/>
      <c r="AN24" s="84"/>
      <c r="AO24" s="85"/>
    </row>
    <row r="25" spans="1:40" s="17" customFormat="1" ht="47.25" customHeight="1">
      <c r="A25" s="156" t="s">
        <v>14</v>
      </c>
      <c r="B25" s="40" t="s">
        <v>213</v>
      </c>
      <c r="C25" s="152" t="s">
        <v>9</v>
      </c>
      <c r="D25" s="11" t="s">
        <v>228</v>
      </c>
      <c r="E25" s="107">
        <f>SUMIF(F25:I25,"&gt;0")</f>
        <v>806561.2</v>
      </c>
      <c r="F25" s="115">
        <f>SUM(F29:F48)-F26</f>
        <v>56093.7</v>
      </c>
      <c r="G25" s="115">
        <f>SUM(G29:G48)</f>
        <v>372195.9</v>
      </c>
      <c r="H25" s="115">
        <f>SUM(H29:H48)</f>
        <v>378271.6</v>
      </c>
      <c r="I25" s="79">
        <f>SUM(I29:I48)</f>
        <v>0</v>
      </c>
      <c r="J25" s="107">
        <f>SUMIF(K25:N25,"&gt;0")</f>
        <v>2020812.3</v>
      </c>
      <c r="K25" s="115">
        <f>SUM(K29:K48)-K27</f>
        <v>119341.6</v>
      </c>
      <c r="L25" s="115">
        <f>SUM(L29:L48)-L27</f>
        <v>1318357.4</v>
      </c>
      <c r="M25" s="115">
        <f>SUM(M29:M48)</f>
        <v>583113.3</v>
      </c>
      <c r="N25" s="79">
        <f>SUM(N29:N48)</f>
        <v>0</v>
      </c>
      <c r="O25" s="107">
        <f>SUMIF(P25:S25,"&gt;0")</f>
        <v>21268</v>
      </c>
      <c r="P25" s="115">
        <f>SUM(P29:P48)</f>
        <v>6994</v>
      </c>
      <c r="Q25" s="115">
        <f>SUM(Q29:Q48)</f>
        <v>14274</v>
      </c>
      <c r="R25" s="79">
        <f>SUM(R29:R48)</f>
        <v>0</v>
      </c>
      <c r="S25" s="79">
        <f>SUM(S29:S48)</f>
        <v>0</v>
      </c>
      <c r="T25" s="107">
        <f>SUMIF(U25:X25,"&gt;0")</f>
        <v>11151.8</v>
      </c>
      <c r="U25" s="115">
        <f>SUM(U29:U36,U38:U48)</f>
        <v>11151.8</v>
      </c>
      <c r="V25" s="79">
        <f>SUM(V29:V48)</f>
        <v>0</v>
      </c>
      <c r="W25" s="79">
        <f>SUM(W29:W48)</f>
        <v>0</v>
      </c>
      <c r="X25" s="79">
        <f>SUM(X29:X48)</f>
        <v>0</v>
      </c>
      <c r="Y25" s="107">
        <f>SUMIF(Z25:AC25,"&gt;0")</f>
        <v>73684</v>
      </c>
      <c r="Z25" s="115">
        <f>SUM(Z29:Z48)</f>
        <v>3684</v>
      </c>
      <c r="AA25" s="115">
        <f>SUM(AA29:AA48)</f>
        <v>70000</v>
      </c>
      <c r="AB25" s="79">
        <f>SUM(AB29:AB48)</f>
        <v>0</v>
      </c>
      <c r="AC25" s="79">
        <f>SUM(AC29:AC48)</f>
        <v>0</v>
      </c>
      <c r="AD25" s="107">
        <f>SUMIF(AE25:AH25,"&gt;0")</f>
        <v>11097</v>
      </c>
      <c r="AE25" s="115">
        <f>SUM(AE29:AE48)</f>
        <v>11097</v>
      </c>
      <c r="AF25" s="79">
        <f>SUM(AF29:AF48)</f>
        <v>0</v>
      </c>
      <c r="AG25" s="79">
        <f>SUM(AG29:AG48)</f>
        <v>0</v>
      </c>
      <c r="AH25" s="79">
        <f>SUM(AH29:AH48)</f>
        <v>0</v>
      </c>
      <c r="AI25" s="76">
        <f>SUMIF(AJ25:AM25,"&gt;0")</f>
        <v>0</v>
      </c>
      <c r="AJ25" s="79">
        <f>SUM(AJ29:AJ48)</f>
        <v>0</v>
      </c>
      <c r="AK25" s="79">
        <f>SUM(AK29:AK48)</f>
        <v>0</v>
      </c>
      <c r="AL25" s="79">
        <f>SUM(AL29:AL48)</f>
        <v>0</v>
      </c>
      <c r="AM25" s="79">
        <f>SUM(AM29:AM48)</f>
        <v>0</v>
      </c>
      <c r="AN25" s="115">
        <f>E25+J25+O25+T25+Y25+AD25+AI25</f>
        <v>2944574.3</v>
      </c>
    </row>
    <row r="26" spans="1:40" s="17" customFormat="1" ht="31.5">
      <c r="A26" s="166"/>
      <c r="B26" s="75" t="s">
        <v>357</v>
      </c>
      <c r="C26" s="167"/>
      <c r="D26" s="96">
        <v>2021</v>
      </c>
      <c r="E26" s="107">
        <f>SUMIF(F26:I26,"&gt;0")</f>
        <v>7032.5</v>
      </c>
      <c r="F26" s="111">
        <f>F45</f>
        <v>7032.5</v>
      </c>
      <c r="G26" s="106">
        <v>0</v>
      </c>
      <c r="H26" s="106">
        <v>0</v>
      </c>
      <c r="I26" s="106">
        <v>0</v>
      </c>
      <c r="J26" s="76">
        <f>SUMIF(K26:N26,"&gt;0")</f>
        <v>0</v>
      </c>
      <c r="K26" s="106">
        <v>0</v>
      </c>
      <c r="L26" s="106">
        <v>0</v>
      </c>
      <c r="M26" s="106">
        <v>0</v>
      </c>
      <c r="N26" s="106">
        <v>0</v>
      </c>
      <c r="O26" s="76">
        <f>SUMIF(P26:S26,"&gt;0")</f>
        <v>0</v>
      </c>
      <c r="P26" s="106">
        <v>0</v>
      </c>
      <c r="Q26" s="106">
        <v>0</v>
      </c>
      <c r="R26" s="106">
        <v>0</v>
      </c>
      <c r="S26" s="106">
        <v>0</v>
      </c>
      <c r="T26" s="76">
        <f>SUMIF(U26:X26,"&gt;0")</f>
        <v>0</v>
      </c>
      <c r="U26" s="106">
        <v>0</v>
      </c>
      <c r="V26" s="106">
        <v>0</v>
      </c>
      <c r="W26" s="106">
        <v>0</v>
      </c>
      <c r="X26" s="106">
        <v>0</v>
      </c>
      <c r="Y26" s="76">
        <f>SUMIF(Z26:AC26,"&gt;0")</f>
        <v>0</v>
      </c>
      <c r="Z26" s="106">
        <v>0</v>
      </c>
      <c r="AA26" s="106">
        <v>0</v>
      </c>
      <c r="AB26" s="106">
        <v>0</v>
      </c>
      <c r="AC26" s="106">
        <v>0</v>
      </c>
      <c r="AD26" s="76">
        <f>SUMIF(AE26:AH26,"&gt;0")</f>
        <v>0</v>
      </c>
      <c r="AE26" s="106">
        <v>0</v>
      </c>
      <c r="AF26" s="106">
        <v>0</v>
      </c>
      <c r="AG26" s="106">
        <v>0</v>
      </c>
      <c r="AH26" s="106">
        <v>0</v>
      </c>
      <c r="AI26" s="76">
        <f>SUMIF(AJ26:AM26,"&gt;0")</f>
        <v>0</v>
      </c>
      <c r="AJ26" s="106">
        <v>0</v>
      </c>
      <c r="AK26" s="106">
        <v>0</v>
      </c>
      <c r="AL26" s="106">
        <v>0</v>
      </c>
      <c r="AM26" s="106">
        <v>0</v>
      </c>
      <c r="AN26" s="107">
        <f>E26+J26+O26+T26+Y26+AD26+AI26</f>
        <v>7032.5</v>
      </c>
    </row>
    <row r="27" spans="1:40" s="17" customFormat="1" ht="31.5">
      <c r="A27" s="166"/>
      <c r="B27" s="75" t="s">
        <v>384</v>
      </c>
      <c r="C27" s="167"/>
      <c r="D27" s="96">
        <v>2022</v>
      </c>
      <c r="E27" s="76">
        <f>SUMIF(F27:I27,"&gt;0")</f>
        <v>0</v>
      </c>
      <c r="F27" s="106">
        <v>0</v>
      </c>
      <c r="G27" s="106">
        <v>0</v>
      </c>
      <c r="H27" s="106">
        <v>0</v>
      </c>
      <c r="I27" s="106">
        <v>0</v>
      </c>
      <c r="J27" s="107">
        <f>SUMIF(K27:N27,"&gt;0")</f>
        <v>1380.4</v>
      </c>
      <c r="K27" s="111">
        <f>K46</f>
        <v>1380.4</v>
      </c>
      <c r="L27" s="106">
        <v>0</v>
      </c>
      <c r="M27" s="106">
        <v>0</v>
      </c>
      <c r="N27" s="106">
        <v>0</v>
      </c>
      <c r="O27" s="76">
        <f>SUMIF(P27:S27,"&gt;0")</f>
        <v>0</v>
      </c>
      <c r="P27" s="106">
        <v>0</v>
      </c>
      <c r="Q27" s="106">
        <v>0</v>
      </c>
      <c r="R27" s="106">
        <v>0</v>
      </c>
      <c r="S27" s="106">
        <v>0</v>
      </c>
      <c r="T27" s="76">
        <f>SUMIF(U27:X27,"&gt;0")</f>
        <v>0</v>
      </c>
      <c r="U27" s="106">
        <v>0</v>
      </c>
      <c r="V27" s="106">
        <v>0</v>
      </c>
      <c r="W27" s="106">
        <v>0</v>
      </c>
      <c r="X27" s="106">
        <v>0</v>
      </c>
      <c r="Y27" s="76">
        <f>SUMIF(Z27:AC27,"&gt;0")</f>
        <v>0</v>
      </c>
      <c r="Z27" s="106">
        <v>0</v>
      </c>
      <c r="AA27" s="106">
        <v>0</v>
      </c>
      <c r="AB27" s="106">
        <v>0</v>
      </c>
      <c r="AC27" s="106">
        <v>0</v>
      </c>
      <c r="AD27" s="76">
        <f>SUMIF(AE27:AH27,"&gt;0")</f>
        <v>0</v>
      </c>
      <c r="AE27" s="106">
        <v>0</v>
      </c>
      <c r="AF27" s="106">
        <v>0</v>
      </c>
      <c r="AG27" s="106">
        <v>0</v>
      </c>
      <c r="AH27" s="106">
        <v>0</v>
      </c>
      <c r="AI27" s="76">
        <f>SUMIF(AJ27:AM27,"&gt;0")</f>
        <v>0</v>
      </c>
      <c r="AJ27" s="106">
        <v>0</v>
      </c>
      <c r="AK27" s="106">
        <v>0</v>
      </c>
      <c r="AL27" s="106">
        <v>0</v>
      </c>
      <c r="AM27" s="106">
        <v>0</v>
      </c>
      <c r="AN27" s="107">
        <f>E27+J27+O27+T27+Y27+AD27+AI27</f>
        <v>1380.4</v>
      </c>
    </row>
    <row r="28" spans="1:40" s="17" customFormat="1" ht="31.5">
      <c r="A28" s="157"/>
      <c r="B28" s="75" t="s">
        <v>442</v>
      </c>
      <c r="C28" s="153"/>
      <c r="D28" s="96">
        <v>2024</v>
      </c>
      <c r="E28" s="76">
        <f>SUMIF(F28:I28,"&gt;0")</f>
        <v>0</v>
      </c>
      <c r="F28" s="106">
        <v>0</v>
      </c>
      <c r="G28" s="106">
        <v>0</v>
      </c>
      <c r="H28" s="106">
        <v>0</v>
      </c>
      <c r="I28" s="106">
        <v>0</v>
      </c>
      <c r="J28" s="76">
        <f>SUMIF(K28:N28,"&gt;0")</f>
        <v>0</v>
      </c>
      <c r="K28" s="106">
        <v>0</v>
      </c>
      <c r="L28" s="106">
        <v>0</v>
      </c>
      <c r="M28" s="106">
        <v>0</v>
      </c>
      <c r="N28" s="106">
        <v>0</v>
      </c>
      <c r="O28" s="76">
        <f>SUMIF(P28:S28,"&gt;0")</f>
        <v>0</v>
      </c>
      <c r="P28" s="106">
        <v>0</v>
      </c>
      <c r="Q28" s="106">
        <v>0</v>
      </c>
      <c r="R28" s="106">
        <v>0</v>
      </c>
      <c r="S28" s="106">
        <v>0</v>
      </c>
      <c r="T28" s="107">
        <f>SUMIF(U28:X28,"&gt;0")</f>
        <v>1006.2</v>
      </c>
      <c r="U28" s="111">
        <f>U37</f>
        <v>1006.2</v>
      </c>
      <c r="V28" s="106">
        <v>0</v>
      </c>
      <c r="W28" s="106">
        <v>0</v>
      </c>
      <c r="X28" s="106">
        <v>0</v>
      </c>
      <c r="Y28" s="76">
        <f>SUMIF(Z28:AC28,"&gt;0")</f>
        <v>0</v>
      </c>
      <c r="Z28" s="106">
        <v>0</v>
      </c>
      <c r="AA28" s="106">
        <v>0</v>
      </c>
      <c r="AB28" s="106">
        <v>0</v>
      </c>
      <c r="AC28" s="106">
        <v>0</v>
      </c>
      <c r="AD28" s="76">
        <f>SUMIF(AE28:AH28,"&gt;0")</f>
        <v>0</v>
      </c>
      <c r="AE28" s="106">
        <v>0</v>
      </c>
      <c r="AF28" s="106">
        <v>0</v>
      </c>
      <c r="AG28" s="106">
        <v>0</v>
      </c>
      <c r="AH28" s="106">
        <v>0</v>
      </c>
      <c r="AI28" s="76">
        <f>SUMIF(AJ28:AM28,"&gt;0")</f>
        <v>0</v>
      </c>
      <c r="AJ28" s="106">
        <v>0</v>
      </c>
      <c r="AK28" s="106">
        <v>0</v>
      </c>
      <c r="AL28" s="106">
        <v>0</v>
      </c>
      <c r="AM28" s="106">
        <v>0</v>
      </c>
      <c r="AN28" s="107">
        <f>E28+J28+O28+T28+Y28+AD28+AI28</f>
        <v>1006.2</v>
      </c>
    </row>
    <row r="29" spans="1:40" s="17" customFormat="1" ht="63">
      <c r="A29" s="35" t="s">
        <v>62</v>
      </c>
      <c r="B29" s="75" t="s">
        <v>292</v>
      </c>
      <c r="C29" s="74" t="s">
        <v>9</v>
      </c>
      <c r="D29" s="11" t="s">
        <v>293</v>
      </c>
      <c r="E29" s="76">
        <f>SUMIF(F29:I29,"&gt;0")</f>
        <v>0</v>
      </c>
      <c r="F29" s="26" t="s">
        <v>278</v>
      </c>
      <c r="G29" s="26" t="s">
        <v>278</v>
      </c>
      <c r="H29" s="26" t="s">
        <v>278</v>
      </c>
      <c r="I29" s="26" t="s">
        <v>278</v>
      </c>
      <c r="J29" s="76">
        <f>SUMIF(K29:N29,"&gt;0")</f>
        <v>0</v>
      </c>
      <c r="K29" s="77" t="s">
        <v>278</v>
      </c>
      <c r="L29" s="77" t="s">
        <v>278</v>
      </c>
      <c r="M29" s="77" t="s">
        <v>278</v>
      </c>
      <c r="N29" s="77" t="s">
        <v>278</v>
      </c>
      <c r="O29" s="76">
        <f>SUMIF(P29:S29,"&gt;0")</f>
        <v>0</v>
      </c>
      <c r="P29" s="77" t="s">
        <v>278</v>
      </c>
      <c r="Q29" s="77" t="s">
        <v>278</v>
      </c>
      <c r="R29" s="77" t="s">
        <v>278</v>
      </c>
      <c r="S29" s="77" t="s">
        <v>278</v>
      </c>
      <c r="T29" s="76">
        <f>SUMIF(U29:X29,"&gt;0")</f>
        <v>0</v>
      </c>
      <c r="U29" s="77" t="s">
        <v>278</v>
      </c>
      <c r="V29" s="77" t="s">
        <v>278</v>
      </c>
      <c r="W29" s="77" t="s">
        <v>278</v>
      </c>
      <c r="X29" s="77" t="s">
        <v>278</v>
      </c>
      <c r="Y29" s="76">
        <f>SUMIF(Z29:AC29,"&gt;0")</f>
        <v>0</v>
      </c>
      <c r="Z29" s="77" t="s">
        <v>278</v>
      </c>
      <c r="AA29" s="77" t="s">
        <v>278</v>
      </c>
      <c r="AB29" s="77" t="s">
        <v>278</v>
      </c>
      <c r="AC29" s="77" t="s">
        <v>278</v>
      </c>
      <c r="AD29" s="76">
        <f>SUMIF(AE29:AH29,"&gt;0")</f>
        <v>0</v>
      </c>
      <c r="AE29" s="77" t="s">
        <v>278</v>
      </c>
      <c r="AF29" s="77" t="s">
        <v>278</v>
      </c>
      <c r="AG29" s="77" t="s">
        <v>278</v>
      </c>
      <c r="AH29" s="77" t="s">
        <v>278</v>
      </c>
      <c r="AI29" s="76">
        <f>SUMIF(AJ29:AM29,"&gt;0")</f>
        <v>0</v>
      </c>
      <c r="AJ29" s="77" t="s">
        <v>278</v>
      </c>
      <c r="AK29" s="77" t="s">
        <v>278</v>
      </c>
      <c r="AL29" s="77" t="s">
        <v>278</v>
      </c>
      <c r="AM29" s="77" t="s">
        <v>278</v>
      </c>
      <c r="AN29" s="76">
        <f aca="true" t="shared" si="0" ref="AN29:AN52">E29+J29+O29+T29+Y29+AD29+AI29</f>
        <v>0</v>
      </c>
    </row>
    <row r="30" spans="1:40" s="17" customFormat="1" ht="47.25">
      <c r="A30" s="35" t="s">
        <v>63</v>
      </c>
      <c r="B30" s="75" t="s">
        <v>80</v>
      </c>
      <c r="C30" s="74" t="s">
        <v>9</v>
      </c>
      <c r="D30" s="11" t="s">
        <v>228</v>
      </c>
      <c r="E30" s="76">
        <f aca="true" t="shared" si="1" ref="E30:E86">SUMIF(F30:I30,"&gt;0")</f>
        <v>0</v>
      </c>
      <c r="F30" s="26" t="s">
        <v>278</v>
      </c>
      <c r="G30" s="26" t="s">
        <v>278</v>
      </c>
      <c r="H30" s="26" t="s">
        <v>278</v>
      </c>
      <c r="I30" s="26" t="s">
        <v>278</v>
      </c>
      <c r="J30" s="76">
        <f aca="true" t="shared" si="2" ref="J30:J39">SUMIF(K30:N30,"&gt;0")</f>
        <v>0</v>
      </c>
      <c r="K30" s="77" t="s">
        <v>278</v>
      </c>
      <c r="L30" s="77" t="s">
        <v>278</v>
      </c>
      <c r="M30" s="77" t="s">
        <v>278</v>
      </c>
      <c r="N30" s="77" t="s">
        <v>278</v>
      </c>
      <c r="O30" s="76">
        <f aca="true" t="shared" si="3" ref="O30:O39">SUMIF(P30:S30,"&gt;0")</f>
        <v>0</v>
      </c>
      <c r="P30" s="77" t="s">
        <v>278</v>
      </c>
      <c r="Q30" s="77" t="s">
        <v>278</v>
      </c>
      <c r="R30" s="77" t="s">
        <v>278</v>
      </c>
      <c r="S30" s="77" t="s">
        <v>278</v>
      </c>
      <c r="T30" s="76">
        <f aca="true" t="shared" si="4" ref="T30:T39">SUMIF(U30:X30,"&gt;0")</f>
        <v>0</v>
      </c>
      <c r="U30" s="77" t="s">
        <v>278</v>
      </c>
      <c r="V30" s="77" t="s">
        <v>278</v>
      </c>
      <c r="W30" s="77" t="s">
        <v>278</v>
      </c>
      <c r="X30" s="77" t="s">
        <v>278</v>
      </c>
      <c r="Y30" s="76">
        <f aca="true" t="shared" si="5" ref="Y30:Y39">SUMIF(Z30:AC30,"&gt;0")</f>
        <v>0</v>
      </c>
      <c r="Z30" s="77" t="s">
        <v>278</v>
      </c>
      <c r="AA30" s="77" t="s">
        <v>278</v>
      </c>
      <c r="AB30" s="77" t="s">
        <v>278</v>
      </c>
      <c r="AC30" s="77" t="s">
        <v>278</v>
      </c>
      <c r="AD30" s="76">
        <f aca="true" t="shared" si="6" ref="AD30:AD39">SUMIF(AE30:AH30,"&gt;0")</f>
        <v>0</v>
      </c>
      <c r="AE30" s="77" t="s">
        <v>278</v>
      </c>
      <c r="AF30" s="77" t="s">
        <v>278</v>
      </c>
      <c r="AG30" s="77" t="s">
        <v>278</v>
      </c>
      <c r="AH30" s="77" t="s">
        <v>278</v>
      </c>
      <c r="AI30" s="76">
        <f aca="true" t="shared" si="7" ref="AI30:AI39">SUMIF(AJ30:AM30,"&gt;0")</f>
        <v>0</v>
      </c>
      <c r="AJ30" s="77" t="s">
        <v>278</v>
      </c>
      <c r="AK30" s="77" t="s">
        <v>278</v>
      </c>
      <c r="AL30" s="77" t="s">
        <v>278</v>
      </c>
      <c r="AM30" s="77" t="s">
        <v>278</v>
      </c>
      <c r="AN30" s="76">
        <f t="shared" si="0"/>
        <v>0</v>
      </c>
    </row>
    <row r="31" spans="1:40" s="17" customFormat="1" ht="47.25">
      <c r="A31" s="35" t="s">
        <v>64</v>
      </c>
      <c r="B31" s="75" t="s">
        <v>51</v>
      </c>
      <c r="C31" s="74" t="s">
        <v>9</v>
      </c>
      <c r="D31" s="11" t="s">
        <v>228</v>
      </c>
      <c r="E31" s="76">
        <f t="shared" si="1"/>
        <v>0</v>
      </c>
      <c r="F31" s="26" t="s">
        <v>278</v>
      </c>
      <c r="G31" s="26" t="s">
        <v>278</v>
      </c>
      <c r="H31" s="26" t="s">
        <v>278</v>
      </c>
      <c r="I31" s="26" t="s">
        <v>278</v>
      </c>
      <c r="J31" s="76">
        <f t="shared" si="2"/>
        <v>0</v>
      </c>
      <c r="K31" s="77" t="s">
        <v>278</v>
      </c>
      <c r="L31" s="77" t="s">
        <v>278</v>
      </c>
      <c r="M31" s="77" t="s">
        <v>278</v>
      </c>
      <c r="N31" s="77" t="s">
        <v>278</v>
      </c>
      <c r="O31" s="76">
        <f t="shared" si="3"/>
        <v>0</v>
      </c>
      <c r="P31" s="77" t="s">
        <v>278</v>
      </c>
      <c r="Q31" s="77" t="s">
        <v>278</v>
      </c>
      <c r="R31" s="77" t="s">
        <v>278</v>
      </c>
      <c r="S31" s="77" t="s">
        <v>278</v>
      </c>
      <c r="T31" s="76">
        <f t="shared" si="4"/>
        <v>0</v>
      </c>
      <c r="U31" s="77" t="s">
        <v>278</v>
      </c>
      <c r="V31" s="77" t="s">
        <v>278</v>
      </c>
      <c r="W31" s="77" t="s">
        <v>278</v>
      </c>
      <c r="X31" s="77" t="s">
        <v>278</v>
      </c>
      <c r="Y31" s="76">
        <f t="shared" si="5"/>
        <v>0</v>
      </c>
      <c r="Z31" s="77" t="s">
        <v>278</v>
      </c>
      <c r="AA31" s="77" t="s">
        <v>278</v>
      </c>
      <c r="AB31" s="77" t="s">
        <v>278</v>
      </c>
      <c r="AC31" s="77" t="s">
        <v>278</v>
      </c>
      <c r="AD31" s="76">
        <f t="shared" si="6"/>
        <v>0</v>
      </c>
      <c r="AE31" s="77" t="s">
        <v>278</v>
      </c>
      <c r="AF31" s="77" t="s">
        <v>278</v>
      </c>
      <c r="AG31" s="77" t="s">
        <v>278</v>
      </c>
      <c r="AH31" s="77" t="s">
        <v>278</v>
      </c>
      <c r="AI31" s="76">
        <f t="shared" si="7"/>
        <v>0</v>
      </c>
      <c r="AJ31" s="77" t="s">
        <v>278</v>
      </c>
      <c r="AK31" s="77" t="s">
        <v>278</v>
      </c>
      <c r="AL31" s="77" t="s">
        <v>278</v>
      </c>
      <c r="AM31" s="77" t="s">
        <v>278</v>
      </c>
      <c r="AN31" s="76">
        <f t="shared" si="0"/>
        <v>0</v>
      </c>
    </row>
    <row r="32" spans="1:40" s="17" customFormat="1" ht="78.75">
      <c r="A32" s="35" t="s">
        <v>65</v>
      </c>
      <c r="B32" s="75" t="s">
        <v>294</v>
      </c>
      <c r="C32" s="74" t="s">
        <v>9</v>
      </c>
      <c r="D32" s="11" t="s">
        <v>228</v>
      </c>
      <c r="E32" s="76">
        <f t="shared" si="1"/>
        <v>0</v>
      </c>
      <c r="F32" s="26" t="s">
        <v>278</v>
      </c>
      <c r="G32" s="26" t="s">
        <v>278</v>
      </c>
      <c r="H32" s="26" t="s">
        <v>278</v>
      </c>
      <c r="I32" s="26" t="s">
        <v>278</v>
      </c>
      <c r="J32" s="107">
        <f t="shared" si="2"/>
        <v>3756.6</v>
      </c>
      <c r="K32" s="111">
        <f>7273-1472.18629-2044.25287</f>
        <v>3756.6</v>
      </c>
      <c r="L32" s="77" t="s">
        <v>278</v>
      </c>
      <c r="M32" s="77" t="s">
        <v>278</v>
      </c>
      <c r="N32" s="77" t="s">
        <v>278</v>
      </c>
      <c r="O32" s="76">
        <f>SUMIF(P32:S32,"&gt;0")</f>
        <v>0</v>
      </c>
      <c r="P32" s="77" t="s">
        <v>278</v>
      </c>
      <c r="Q32" s="77" t="s">
        <v>278</v>
      </c>
      <c r="R32" s="77" t="s">
        <v>278</v>
      </c>
      <c r="S32" s="77" t="s">
        <v>278</v>
      </c>
      <c r="T32" s="76">
        <f>SUMIF(U32:X32,"&gt;0")</f>
        <v>0</v>
      </c>
      <c r="U32" s="77" t="s">
        <v>278</v>
      </c>
      <c r="V32" s="77" t="s">
        <v>278</v>
      </c>
      <c r="W32" s="77" t="s">
        <v>278</v>
      </c>
      <c r="X32" s="77" t="s">
        <v>278</v>
      </c>
      <c r="Y32" s="76">
        <f t="shared" si="5"/>
        <v>0</v>
      </c>
      <c r="Z32" s="77" t="s">
        <v>278</v>
      </c>
      <c r="AA32" s="77" t="s">
        <v>278</v>
      </c>
      <c r="AB32" s="77" t="s">
        <v>278</v>
      </c>
      <c r="AC32" s="77" t="s">
        <v>278</v>
      </c>
      <c r="AD32" s="107">
        <f t="shared" si="6"/>
        <v>11097</v>
      </c>
      <c r="AE32" s="111">
        <f>11097</f>
        <v>11097</v>
      </c>
      <c r="AF32" s="77" t="s">
        <v>278</v>
      </c>
      <c r="AG32" s="77" t="s">
        <v>278</v>
      </c>
      <c r="AH32" s="77" t="s">
        <v>278</v>
      </c>
      <c r="AI32" s="76">
        <f t="shared" si="7"/>
        <v>0</v>
      </c>
      <c r="AJ32" s="77" t="s">
        <v>278</v>
      </c>
      <c r="AK32" s="77" t="s">
        <v>278</v>
      </c>
      <c r="AL32" s="77" t="s">
        <v>278</v>
      </c>
      <c r="AM32" s="77" t="s">
        <v>278</v>
      </c>
      <c r="AN32" s="107">
        <f t="shared" si="0"/>
        <v>14853.6</v>
      </c>
    </row>
    <row r="33" spans="1:40" s="17" customFormat="1" ht="47.25">
      <c r="A33" s="35" t="s">
        <v>66</v>
      </c>
      <c r="B33" s="19" t="s">
        <v>52</v>
      </c>
      <c r="C33" s="74" t="s">
        <v>9</v>
      </c>
      <c r="D33" s="11" t="s">
        <v>228</v>
      </c>
      <c r="E33" s="76">
        <f t="shared" si="1"/>
        <v>0</v>
      </c>
      <c r="F33" s="26" t="s">
        <v>278</v>
      </c>
      <c r="G33" s="26" t="s">
        <v>278</v>
      </c>
      <c r="H33" s="26" t="s">
        <v>278</v>
      </c>
      <c r="I33" s="26" t="s">
        <v>278</v>
      </c>
      <c r="J33" s="76">
        <f t="shared" si="2"/>
        <v>0</v>
      </c>
      <c r="K33" s="77" t="s">
        <v>278</v>
      </c>
      <c r="L33" s="77" t="s">
        <v>278</v>
      </c>
      <c r="M33" s="77" t="s">
        <v>278</v>
      </c>
      <c r="N33" s="77" t="s">
        <v>278</v>
      </c>
      <c r="O33" s="76">
        <f t="shared" si="3"/>
        <v>0</v>
      </c>
      <c r="P33" s="77" t="s">
        <v>278</v>
      </c>
      <c r="Q33" s="77" t="s">
        <v>278</v>
      </c>
      <c r="R33" s="77" t="s">
        <v>278</v>
      </c>
      <c r="S33" s="77" t="s">
        <v>278</v>
      </c>
      <c r="T33" s="76">
        <f t="shared" si="4"/>
        <v>0</v>
      </c>
      <c r="U33" s="77" t="s">
        <v>278</v>
      </c>
      <c r="V33" s="77" t="s">
        <v>278</v>
      </c>
      <c r="W33" s="77" t="s">
        <v>278</v>
      </c>
      <c r="X33" s="77" t="s">
        <v>278</v>
      </c>
      <c r="Y33" s="76">
        <f t="shared" si="5"/>
        <v>0</v>
      </c>
      <c r="Z33" s="77" t="s">
        <v>278</v>
      </c>
      <c r="AA33" s="77" t="s">
        <v>278</v>
      </c>
      <c r="AB33" s="77" t="s">
        <v>278</v>
      </c>
      <c r="AC33" s="77" t="s">
        <v>278</v>
      </c>
      <c r="AD33" s="76">
        <f t="shared" si="6"/>
        <v>0</v>
      </c>
      <c r="AE33" s="77" t="s">
        <v>278</v>
      </c>
      <c r="AF33" s="77" t="s">
        <v>278</v>
      </c>
      <c r="AG33" s="77" t="s">
        <v>278</v>
      </c>
      <c r="AH33" s="77" t="s">
        <v>278</v>
      </c>
      <c r="AI33" s="76">
        <f t="shared" si="7"/>
        <v>0</v>
      </c>
      <c r="AJ33" s="77" t="s">
        <v>278</v>
      </c>
      <c r="AK33" s="77" t="s">
        <v>278</v>
      </c>
      <c r="AL33" s="77" t="s">
        <v>278</v>
      </c>
      <c r="AM33" s="77" t="s">
        <v>278</v>
      </c>
      <c r="AN33" s="76">
        <f t="shared" si="0"/>
        <v>0</v>
      </c>
    </row>
    <row r="34" spans="1:40" s="17" customFormat="1" ht="47.25">
      <c r="A34" s="35" t="s">
        <v>67</v>
      </c>
      <c r="B34" s="19" t="s">
        <v>53</v>
      </c>
      <c r="C34" s="74" t="s">
        <v>9</v>
      </c>
      <c r="D34" s="11" t="s">
        <v>228</v>
      </c>
      <c r="E34" s="76">
        <f t="shared" si="1"/>
        <v>0</v>
      </c>
      <c r="F34" s="26" t="s">
        <v>278</v>
      </c>
      <c r="G34" s="26" t="s">
        <v>278</v>
      </c>
      <c r="H34" s="26" t="s">
        <v>278</v>
      </c>
      <c r="I34" s="26" t="s">
        <v>278</v>
      </c>
      <c r="J34" s="76">
        <f t="shared" si="2"/>
        <v>0</v>
      </c>
      <c r="K34" s="77" t="s">
        <v>278</v>
      </c>
      <c r="L34" s="77" t="s">
        <v>278</v>
      </c>
      <c r="M34" s="77" t="s">
        <v>278</v>
      </c>
      <c r="N34" s="77" t="s">
        <v>278</v>
      </c>
      <c r="O34" s="76">
        <f t="shared" si="3"/>
        <v>0</v>
      </c>
      <c r="P34" s="77" t="s">
        <v>278</v>
      </c>
      <c r="Q34" s="77" t="s">
        <v>278</v>
      </c>
      <c r="R34" s="77" t="s">
        <v>278</v>
      </c>
      <c r="S34" s="77" t="s">
        <v>278</v>
      </c>
      <c r="T34" s="76">
        <f t="shared" si="4"/>
        <v>0</v>
      </c>
      <c r="U34" s="77" t="s">
        <v>278</v>
      </c>
      <c r="V34" s="77" t="s">
        <v>278</v>
      </c>
      <c r="W34" s="77" t="s">
        <v>278</v>
      </c>
      <c r="X34" s="77" t="s">
        <v>278</v>
      </c>
      <c r="Y34" s="76">
        <f t="shared" si="5"/>
        <v>0</v>
      </c>
      <c r="Z34" s="77" t="s">
        <v>278</v>
      </c>
      <c r="AA34" s="77" t="s">
        <v>278</v>
      </c>
      <c r="AB34" s="77" t="s">
        <v>278</v>
      </c>
      <c r="AC34" s="77" t="s">
        <v>278</v>
      </c>
      <c r="AD34" s="76">
        <f t="shared" si="6"/>
        <v>0</v>
      </c>
      <c r="AE34" s="77" t="s">
        <v>278</v>
      </c>
      <c r="AF34" s="77" t="s">
        <v>278</v>
      </c>
      <c r="AG34" s="77" t="s">
        <v>278</v>
      </c>
      <c r="AH34" s="77" t="s">
        <v>278</v>
      </c>
      <c r="AI34" s="76">
        <f t="shared" si="7"/>
        <v>0</v>
      </c>
      <c r="AJ34" s="77" t="s">
        <v>278</v>
      </c>
      <c r="AK34" s="77" t="s">
        <v>278</v>
      </c>
      <c r="AL34" s="77" t="s">
        <v>278</v>
      </c>
      <c r="AM34" s="77" t="s">
        <v>278</v>
      </c>
      <c r="AN34" s="76">
        <f t="shared" si="0"/>
        <v>0</v>
      </c>
    </row>
    <row r="35" spans="1:40" s="17" customFormat="1" ht="94.5">
      <c r="A35" s="35" t="s">
        <v>68</v>
      </c>
      <c r="B35" s="19" t="s">
        <v>295</v>
      </c>
      <c r="C35" s="74" t="s">
        <v>9</v>
      </c>
      <c r="D35" s="11" t="s">
        <v>228</v>
      </c>
      <c r="E35" s="76">
        <f t="shared" si="1"/>
        <v>0</v>
      </c>
      <c r="F35" s="26" t="s">
        <v>278</v>
      </c>
      <c r="G35" s="26" t="s">
        <v>278</v>
      </c>
      <c r="H35" s="26" t="s">
        <v>278</v>
      </c>
      <c r="I35" s="26" t="s">
        <v>278</v>
      </c>
      <c r="J35" s="76">
        <f t="shared" si="2"/>
        <v>0</v>
      </c>
      <c r="K35" s="77" t="s">
        <v>278</v>
      </c>
      <c r="L35" s="77" t="s">
        <v>278</v>
      </c>
      <c r="M35" s="77" t="s">
        <v>278</v>
      </c>
      <c r="N35" s="77" t="s">
        <v>278</v>
      </c>
      <c r="O35" s="76">
        <f t="shared" si="3"/>
        <v>0</v>
      </c>
      <c r="P35" s="77" t="s">
        <v>278</v>
      </c>
      <c r="Q35" s="77" t="s">
        <v>278</v>
      </c>
      <c r="R35" s="77" t="s">
        <v>278</v>
      </c>
      <c r="S35" s="77" t="s">
        <v>278</v>
      </c>
      <c r="T35" s="76">
        <f t="shared" si="4"/>
        <v>0</v>
      </c>
      <c r="U35" s="77" t="s">
        <v>278</v>
      </c>
      <c r="V35" s="77" t="s">
        <v>278</v>
      </c>
      <c r="W35" s="77" t="s">
        <v>278</v>
      </c>
      <c r="X35" s="77" t="s">
        <v>278</v>
      </c>
      <c r="Y35" s="76">
        <f t="shared" si="5"/>
        <v>0</v>
      </c>
      <c r="Z35" s="77" t="s">
        <v>278</v>
      </c>
      <c r="AA35" s="77" t="s">
        <v>278</v>
      </c>
      <c r="AB35" s="77" t="s">
        <v>278</v>
      </c>
      <c r="AC35" s="77" t="s">
        <v>278</v>
      </c>
      <c r="AD35" s="76">
        <f t="shared" si="6"/>
        <v>0</v>
      </c>
      <c r="AE35" s="77" t="s">
        <v>278</v>
      </c>
      <c r="AF35" s="77" t="s">
        <v>278</v>
      </c>
      <c r="AG35" s="77" t="s">
        <v>278</v>
      </c>
      <c r="AH35" s="77" t="s">
        <v>278</v>
      </c>
      <c r="AI35" s="76">
        <f t="shared" si="7"/>
        <v>0</v>
      </c>
      <c r="AJ35" s="77" t="s">
        <v>278</v>
      </c>
      <c r="AK35" s="77" t="s">
        <v>278</v>
      </c>
      <c r="AL35" s="77" t="s">
        <v>278</v>
      </c>
      <c r="AM35" s="77" t="s">
        <v>278</v>
      </c>
      <c r="AN35" s="76">
        <f t="shared" si="0"/>
        <v>0</v>
      </c>
    </row>
    <row r="36" spans="1:40" s="17" customFormat="1" ht="163.5" customHeight="1">
      <c r="A36" s="156" t="s">
        <v>69</v>
      </c>
      <c r="B36" s="19" t="s">
        <v>449</v>
      </c>
      <c r="C36" s="152" t="s">
        <v>9</v>
      </c>
      <c r="D36" s="11" t="s">
        <v>228</v>
      </c>
      <c r="E36" s="107">
        <f t="shared" si="1"/>
        <v>606288.6</v>
      </c>
      <c r="F36" s="111">
        <f>36708.97385-6394.5</f>
        <v>30314.5</v>
      </c>
      <c r="G36" s="111">
        <f>190665.00307+52942.5804</f>
        <v>243607.6</v>
      </c>
      <c r="H36" s="111">
        <f>332366.5</f>
        <v>332366.5</v>
      </c>
      <c r="I36" s="26" t="s">
        <v>278</v>
      </c>
      <c r="J36" s="107">
        <f t="shared" si="2"/>
        <v>1981585.1</v>
      </c>
      <c r="K36" s="111">
        <f>23670+39593.44143+20766.96067+15048.85154</f>
        <v>99079.3</v>
      </c>
      <c r="L36" s="111">
        <f>185955.244+685463.0432+427974.16663</f>
        <v>1299392.5</v>
      </c>
      <c r="M36" s="111">
        <f>330587.1+252526.2</f>
        <v>583113.3</v>
      </c>
      <c r="N36" s="77" t="s">
        <v>278</v>
      </c>
      <c r="O36" s="107">
        <f>SUMIF(P36:S36,"&gt;0")</f>
        <v>21268</v>
      </c>
      <c r="P36" s="111">
        <f>751+6243</f>
        <v>6994</v>
      </c>
      <c r="Q36" s="111">
        <f>116964.8+172599.9543-116964.8-172599.9543+14274</f>
        <v>14274</v>
      </c>
      <c r="R36" s="77" t="s">
        <v>278</v>
      </c>
      <c r="S36" s="77" t="s">
        <v>278</v>
      </c>
      <c r="T36" s="76">
        <f>SUMIF(U36:X36,"&gt;0")</f>
        <v>0</v>
      </c>
      <c r="U36" s="77" t="s">
        <v>278</v>
      </c>
      <c r="V36" s="77" t="s">
        <v>278</v>
      </c>
      <c r="W36" s="77" t="s">
        <v>278</v>
      </c>
      <c r="X36" s="77" t="s">
        <v>278</v>
      </c>
      <c r="Y36" s="76">
        <f t="shared" si="5"/>
        <v>0</v>
      </c>
      <c r="Z36" s="77" t="s">
        <v>278</v>
      </c>
      <c r="AA36" s="77" t="s">
        <v>278</v>
      </c>
      <c r="AB36" s="77" t="s">
        <v>278</v>
      </c>
      <c r="AC36" s="77" t="s">
        <v>278</v>
      </c>
      <c r="AD36" s="76">
        <f t="shared" si="6"/>
        <v>0</v>
      </c>
      <c r="AE36" s="77" t="s">
        <v>278</v>
      </c>
      <c r="AF36" s="77" t="s">
        <v>278</v>
      </c>
      <c r="AG36" s="77" t="s">
        <v>278</v>
      </c>
      <c r="AH36" s="77" t="s">
        <v>278</v>
      </c>
      <c r="AI36" s="76">
        <f t="shared" si="7"/>
        <v>0</v>
      </c>
      <c r="AJ36" s="77" t="s">
        <v>278</v>
      </c>
      <c r="AK36" s="77" t="s">
        <v>278</v>
      </c>
      <c r="AL36" s="77" t="s">
        <v>278</v>
      </c>
      <c r="AM36" s="77" t="s">
        <v>278</v>
      </c>
      <c r="AN36" s="115">
        <f t="shared" si="0"/>
        <v>2609141.7</v>
      </c>
    </row>
    <row r="37" spans="1:40" s="17" customFormat="1" ht="23.25" customHeight="1">
      <c r="A37" s="157"/>
      <c r="B37" s="146" t="s">
        <v>442</v>
      </c>
      <c r="C37" s="153"/>
      <c r="D37" s="96">
        <v>2024</v>
      </c>
      <c r="E37" s="76">
        <f>SUMIF(F37:I37,"&gt;0")</f>
        <v>0</v>
      </c>
      <c r="F37" s="106">
        <v>0</v>
      </c>
      <c r="G37" s="106">
        <v>0</v>
      </c>
      <c r="H37" s="106">
        <v>0</v>
      </c>
      <c r="I37" s="106">
        <v>0</v>
      </c>
      <c r="J37" s="76">
        <f>SUMIF(K37:N37,"&gt;0")</f>
        <v>0</v>
      </c>
      <c r="K37" s="106">
        <v>0</v>
      </c>
      <c r="L37" s="106">
        <v>0</v>
      </c>
      <c r="M37" s="106">
        <v>0</v>
      </c>
      <c r="N37" s="106">
        <v>0</v>
      </c>
      <c r="O37" s="76">
        <f>SUMIF(P37:S37,"&gt;0")</f>
        <v>0</v>
      </c>
      <c r="P37" s="106">
        <v>0</v>
      </c>
      <c r="Q37" s="106">
        <v>0</v>
      </c>
      <c r="R37" s="106">
        <v>0</v>
      </c>
      <c r="S37" s="106">
        <v>0</v>
      </c>
      <c r="T37" s="107">
        <f>SUMIF(U37:X37,"&gt;0")</f>
        <v>1006.2</v>
      </c>
      <c r="U37" s="111">
        <f>1006.17947</f>
        <v>1006.2</v>
      </c>
      <c r="V37" s="106">
        <v>0</v>
      </c>
      <c r="W37" s="106">
        <v>0</v>
      </c>
      <c r="X37" s="106">
        <v>0</v>
      </c>
      <c r="Y37" s="76">
        <f>SUMIF(Z37:AC37,"&gt;0")</f>
        <v>0</v>
      </c>
      <c r="Z37" s="106">
        <v>0</v>
      </c>
      <c r="AA37" s="106">
        <v>0</v>
      </c>
      <c r="AB37" s="106">
        <v>0</v>
      </c>
      <c r="AC37" s="106">
        <v>0</v>
      </c>
      <c r="AD37" s="76">
        <f>SUMIF(AE37:AH37,"&gt;0")</f>
        <v>0</v>
      </c>
      <c r="AE37" s="106">
        <v>0</v>
      </c>
      <c r="AF37" s="106">
        <v>0</v>
      </c>
      <c r="AG37" s="106">
        <v>0</v>
      </c>
      <c r="AH37" s="106">
        <v>0</v>
      </c>
      <c r="AI37" s="76">
        <f>SUMIF(AJ37:AM37,"&gt;0")</f>
        <v>0</v>
      </c>
      <c r="AJ37" s="106">
        <v>0</v>
      </c>
      <c r="AK37" s="106">
        <v>0</v>
      </c>
      <c r="AL37" s="106">
        <v>0</v>
      </c>
      <c r="AM37" s="106">
        <v>0</v>
      </c>
      <c r="AN37" s="107">
        <f>E37+J37+O37+T37+Y37+AD37+AI37</f>
        <v>1006.2</v>
      </c>
    </row>
    <row r="38" spans="1:40" s="17" customFormat="1" ht="65.25" customHeight="1">
      <c r="A38" s="35" t="s">
        <v>70</v>
      </c>
      <c r="B38" s="19" t="s">
        <v>395</v>
      </c>
      <c r="C38" s="74" t="s">
        <v>9</v>
      </c>
      <c r="D38" s="11" t="s">
        <v>228</v>
      </c>
      <c r="E38" s="107">
        <f t="shared" si="1"/>
        <v>9100</v>
      </c>
      <c r="F38" s="111">
        <f>10135.642-518-517.642</f>
        <v>9100</v>
      </c>
      <c r="G38" s="26" t="s">
        <v>278</v>
      </c>
      <c r="H38" s="26" t="s">
        <v>278</v>
      </c>
      <c r="I38" s="26" t="s">
        <v>278</v>
      </c>
      <c r="J38" s="107">
        <f t="shared" si="2"/>
        <v>9285</v>
      </c>
      <c r="K38" s="111">
        <f>9580-295</f>
        <v>9285</v>
      </c>
      <c r="L38" s="77" t="s">
        <v>278</v>
      </c>
      <c r="M38" s="77" t="s">
        <v>278</v>
      </c>
      <c r="N38" s="77" t="s">
        <v>278</v>
      </c>
      <c r="O38" s="76">
        <f>SUMIF(P38:S38,"&gt;0")</f>
        <v>0</v>
      </c>
      <c r="P38" s="134">
        <f>9580-9580</f>
        <v>0</v>
      </c>
      <c r="Q38" s="77" t="s">
        <v>278</v>
      </c>
      <c r="R38" s="77" t="s">
        <v>278</v>
      </c>
      <c r="S38" s="77" t="s">
        <v>278</v>
      </c>
      <c r="T38" s="76">
        <f>SUMIF(U38:X38,"&gt;0")</f>
        <v>0</v>
      </c>
      <c r="U38" s="77" t="s">
        <v>278</v>
      </c>
      <c r="V38" s="77" t="s">
        <v>278</v>
      </c>
      <c r="W38" s="77" t="s">
        <v>278</v>
      </c>
      <c r="X38" s="77" t="s">
        <v>278</v>
      </c>
      <c r="Y38" s="76">
        <f t="shared" si="5"/>
        <v>0</v>
      </c>
      <c r="Z38" s="77" t="s">
        <v>278</v>
      </c>
      <c r="AA38" s="77" t="s">
        <v>278</v>
      </c>
      <c r="AB38" s="77" t="s">
        <v>278</v>
      </c>
      <c r="AC38" s="77" t="s">
        <v>278</v>
      </c>
      <c r="AD38" s="76">
        <f t="shared" si="6"/>
        <v>0</v>
      </c>
      <c r="AE38" s="77" t="s">
        <v>278</v>
      </c>
      <c r="AF38" s="77" t="s">
        <v>278</v>
      </c>
      <c r="AG38" s="77" t="s">
        <v>278</v>
      </c>
      <c r="AH38" s="77" t="s">
        <v>278</v>
      </c>
      <c r="AI38" s="76">
        <f t="shared" si="7"/>
        <v>0</v>
      </c>
      <c r="AJ38" s="77" t="s">
        <v>278</v>
      </c>
      <c r="AK38" s="77" t="s">
        <v>278</v>
      </c>
      <c r="AL38" s="77" t="s">
        <v>278</v>
      </c>
      <c r="AM38" s="77" t="s">
        <v>278</v>
      </c>
      <c r="AN38" s="107">
        <f t="shared" si="0"/>
        <v>18385</v>
      </c>
    </row>
    <row r="39" spans="1:40" s="17" customFormat="1" ht="110.25">
      <c r="A39" s="129" t="s">
        <v>71</v>
      </c>
      <c r="B39" s="19" t="s">
        <v>423</v>
      </c>
      <c r="C39" s="123" t="s">
        <v>9</v>
      </c>
      <c r="D39" s="11" t="s">
        <v>237</v>
      </c>
      <c r="E39" s="107">
        <f t="shared" si="1"/>
        <v>184191.3</v>
      </c>
      <c r="F39" s="111">
        <f>9516.86752+181</f>
        <v>9697.9</v>
      </c>
      <c r="G39" s="111">
        <f>128588.33771</f>
        <v>128588.3</v>
      </c>
      <c r="H39" s="111">
        <f>45905.14519</f>
        <v>45905.1</v>
      </c>
      <c r="I39" s="26" t="s">
        <v>278</v>
      </c>
      <c r="J39" s="107">
        <f t="shared" si="2"/>
        <v>20398.6</v>
      </c>
      <c r="K39" s="111">
        <f>1341.93402+91.78618-1205.90862+1205.90862+168.8246-168.8246</f>
        <v>1433.7</v>
      </c>
      <c r="L39" s="111">
        <f>25496.74638-22912.26374+22912.26374+3207.6674-3207.6674-6531.86767</f>
        <v>18964.9</v>
      </c>
      <c r="M39" s="77" t="s">
        <v>278</v>
      </c>
      <c r="N39" s="77" t="s">
        <v>278</v>
      </c>
      <c r="O39" s="76">
        <f t="shared" si="3"/>
        <v>0</v>
      </c>
      <c r="P39" s="77" t="s">
        <v>278</v>
      </c>
      <c r="Q39" s="77" t="s">
        <v>278</v>
      </c>
      <c r="R39" s="77" t="s">
        <v>278</v>
      </c>
      <c r="S39" s="77" t="s">
        <v>278</v>
      </c>
      <c r="T39" s="76">
        <f t="shared" si="4"/>
        <v>0</v>
      </c>
      <c r="U39" s="77" t="s">
        <v>278</v>
      </c>
      <c r="V39" s="77" t="s">
        <v>278</v>
      </c>
      <c r="W39" s="77" t="s">
        <v>278</v>
      </c>
      <c r="X39" s="77" t="s">
        <v>278</v>
      </c>
      <c r="Y39" s="76">
        <f t="shared" si="5"/>
        <v>0</v>
      </c>
      <c r="Z39" s="77" t="s">
        <v>278</v>
      </c>
      <c r="AA39" s="77" t="s">
        <v>278</v>
      </c>
      <c r="AB39" s="77" t="s">
        <v>278</v>
      </c>
      <c r="AC39" s="77" t="s">
        <v>278</v>
      </c>
      <c r="AD39" s="76">
        <f t="shared" si="6"/>
        <v>0</v>
      </c>
      <c r="AE39" s="77" t="s">
        <v>278</v>
      </c>
      <c r="AF39" s="77" t="s">
        <v>278</v>
      </c>
      <c r="AG39" s="77" t="s">
        <v>278</v>
      </c>
      <c r="AH39" s="77" t="s">
        <v>278</v>
      </c>
      <c r="AI39" s="76">
        <f t="shared" si="7"/>
        <v>0</v>
      </c>
      <c r="AJ39" s="77" t="s">
        <v>278</v>
      </c>
      <c r="AK39" s="77" t="s">
        <v>278</v>
      </c>
      <c r="AL39" s="77" t="s">
        <v>278</v>
      </c>
      <c r="AM39" s="77" t="s">
        <v>278</v>
      </c>
      <c r="AN39" s="115">
        <f t="shared" si="0"/>
        <v>204589.9</v>
      </c>
    </row>
    <row r="40" spans="1:40" s="17" customFormat="1" ht="110.25">
      <c r="A40" s="35" t="s">
        <v>72</v>
      </c>
      <c r="B40" s="75" t="s">
        <v>296</v>
      </c>
      <c r="C40" s="74" t="s">
        <v>9</v>
      </c>
      <c r="D40" s="11" t="s">
        <v>237</v>
      </c>
      <c r="E40" s="76">
        <f t="shared" si="1"/>
        <v>0</v>
      </c>
      <c r="F40" s="26" t="s">
        <v>278</v>
      </c>
      <c r="G40" s="26" t="s">
        <v>278</v>
      </c>
      <c r="H40" s="26" t="s">
        <v>278</v>
      </c>
      <c r="I40" s="26" t="s">
        <v>278</v>
      </c>
      <c r="J40" s="76">
        <f aca="true" t="shared" si="8" ref="J40:J48">SUMIF(K40:N40,"&gt;0")</f>
        <v>0</v>
      </c>
      <c r="K40" s="77" t="s">
        <v>278</v>
      </c>
      <c r="L40" s="77" t="s">
        <v>278</v>
      </c>
      <c r="M40" s="77" t="s">
        <v>278</v>
      </c>
      <c r="N40" s="77" t="s">
        <v>278</v>
      </c>
      <c r="O40" s="76">
        <f aca="true" t="shared" si="9" ref="O40:O53">SUMIF(P40:S40,"&gt;0")</f>
        <v>0</v>
      </c>
      <c r="P40" s="77" t="s">
        <v>278</v>
      </c>
      <c r="Q40" s="77" t="s">
        <v>278</v>
      </c>
      <c r="R40" s="77" t="s">
        <v>278</v>
      </c>
      <c r="S40" s="77" t="s">
        <v>278</v>
      </c>
      <c r="T40" s="76">
        <f aca="true" t="shared" si="10" ref="T40:T53">SUMIF(U40:X40,"&gt;0")</f>
        <v>0</v>
      </c>
      <c r="U40" s="77" t="s">
        <v>278</v>
      </c>
      <c r="V40" s="77" t="s">
        <v>278</v>
      </c>
      <c r="W40" s="77" t="s">
        <v>278</v>
      </c>
      <c r="X40" s="77" t="s">
        <v>278</v>
      </c>
      <c r="Y40" s="76">
        <f aca="true" t="shared" si="11" ref="Y40:Y52">SUMIF(Z40:AC40,"&gt;0")</f>
        <v>0</v>
      </c>
      <c r="Z40" s="77" t="s">
        <v>278</v>
      </c>
      <c r="AA40" s="77" t="s">
        <v>278</v>
      </c>
      <c r="AB40" s="77" t="s">
        <v>278</v>
      </c>
      <c r="AC40" s="77" t="s">
        <v>278</v>
      </c>
      <c r="AD40" s="76">
        <f aca="true" t="shared" si="12" ref="AD40:AD52">SUMIF(AE40:AH40,"&gt;0")</f>
        <v>0</v>
      </c>
      <c r="AE40" s="77" t="s">
        <v>278</v>
      </c>
      <c r="AF40" s="77" t="s">
        <v>278</v>
      </c>
      <c r="AG40" s="77" t="s">
        <v>278</v>
      </c>
      <c r="AH40" s="77" t="s">
        <v>278</v>
      </c>
      <c r="AI40" s="76">
        <f aca="true" t="shared" si="13" ref="AI40:AI53">SUMIF(AJ40:AM40,"&gt;0")</f>
        <v>0</v>
      </c>
      <c r="AJ40" s="77" t="s">
        <v>278</v>
      </c>
      <c r="AK40" s="77" t="s">
        <v>278</v>
      </c>
      <c r="AL40" s="77" t="s">
        <v>278</v>
      </c>
      <c r="AM40" s="77" t="s">
        <v>278</v>
      </c>
      <c r="AN40" s="76">
        <f aca="true" t="shared" si="14" ref="AN40:AN49">E40+J40+O40+T40+Y40+AD40+AI40</f>
        <v>0</v>
      </c>
    </row>
    <row r="41" spans="1:40" s="17" customFormat="1" ht="63">
      <c r="A41" s="129" t="s">
        <v>73</v>
      </c>
      <c r="B41" s="75" t="s">
        <v>323</v>
      </c>
      <c r="C41" s="123" t="s">
        <v>9</v>
      </c>
      <c r="D41" s="11" t="s">
        <v>325</v>
      </c>
      <c r="E41" s="76">
        <f t="shared" si="1"/>
        <v>0</v>
      </c>
      <c r="F41" s="26" t="s">
        <v>278</v>
      </c>
      <c r="G41" s="26" t="s">
        <v>278</v>
      </c>
      <c r="H41" s="26" t="s">
        <v>278</v>
      </c>
      <c r="I41" s="26" t="s">
        <v>278</v>
      </c>
      <c r="J41" s="76">
        <f t="shared" si="8"/>
        <v>0</v>
      </c>
      <c r="K41" s="77" t="s">
        <v>278</v>
      </c>
      <c r="L41" s="77" t="s">
        <v>278</v>
      </c>
      <c r="M41" s="77" t="s">
        <v>278</v>
      </c>
      <c r="N41" s="77" t="s">
        <v>278</v>
      </c>
      <c r="O41" s="76">
        <f t="shared" si="9"/>
        <v>0</v>
      </c>
      <c r="P41" s="77" t="s">
        <v>278</v>
      </c>
      <c r="Q41" s="77" t="s">
        <v>278</v>
      </c>
      <c r="R41" s="77" t="s">
        <v>278</v>
      </c>
      <c r="S41" s="77" t="s">
        <v>278</v>
      </c>
      <c r="T41" s="76">
        <f t="shared" si="10"/>
        <v>0</v>
      </c>
      <c r="U41" s="77" t="s">
        <v>278</v>
      </c>
      <c r="V41" s="77" t="s">
        <v>278</v>
      </c>
      <c r="W41" s="77" t="s">
        <v>278</v>
      </c>
      <c r="X41" s="77" t="s">
        <v>278</v>
      </c>
      <c r="Y41" s="76">
        <f t="shared" si="11"/>
        <v>0</v>
      </c>
      <c r="Z41" s="77" t="s">
        <v>278</v>
      </c>
      <c r="AA41" s="77" t="s">
        <v>278</v>
      </c>
      <c r="AB41" s="77" t="s">
        <v>278</v>
      </c>
      <c r="AC41" s="77" t="s">
        <v>278</v>
      </c>
      <c r="AD41" s="76">
        <f t="shared" si="12"/>
        <v>0</v>
      </c>
      <c r="AE41" s="77" t="s">
        <v>278</v>
      </c>
      <c r="AF41" s="77" t="s">
        <v>278</v>
      </c>
      <c r="AG41" s="77" t="s">
        <v>278</v>
      </c>
      <c r="AH41" s="77" t="s">
        <v>278</v>
      </c>
      <c r="AI41" s="76">
        <f t="shared" si="13"/>
        <v>0</v>
      </c>
      <c r="AJ41" s="77" t="s">
        <v>278</v>
      </c>
      <c r="AK41" s="77" t="s">
        <v>278</v>
      </c>
      <c r="AL41" s="77" t="s">
        <v>278</v>
      </c>
      <c r="AM41" s="77" t="s">
        <v>278</v>
      </c>
      <c r="AN41" s="76">
        <f t="shared" si="14"/>
        <v>0</v>
      </c>
    </row>
    <row r="42" spans="1:40" s="17" customFormat="1" ht="78.75">
      <c r="A42" s="35" t="s">
        <v>322</v>
      </c>
      <c r="B42" s="75" t="s">
        <v>324</v>
      </c>
      <c r="C42" s="74" t="s">
        <v>9</v>
      </c>
      <c r="D42" s="11" t="s">
        <v>237</v>
      </c>
      <c r="E42" s="76">
        <f t="shared" si="1"/>
        <v>0</v>
      </c>
      <c r="F42" s="26" t="s">
        <v>278</v>
      </c>
      <c r="G42" s="26" t="s">
        <v>278</v>
      </c>
      <c r="H42" s="26" t="s">
        <v>278</v>
      </c>
      <c r="I42" s="26" t="s">
        <v>278</v>
      </c>
      <c r="J42" s="76">
        <f t="shared" si="8"/>
        <v>0</v>
      </c>
      <c r="K42" s="77" t="s">
        <v>278</v>
      </c>
      <c r="L42" s="77" t="s">
        <v>278</v>
      </c>
      <c r="M42" s="77" t="s">
        <v>278</v>
      </c>
      <c r="N42" s="77" t="s">
        <v>278</v>
      </c>
      <c r="O42" s="76">
        <f t="shared" si="9"/>
        <v>0</v>
      </c>
      <c r="P42" s="77" t="s">
        <v>278</v>
      </c>
      <c r="Q42" s="77" t="s">
        <v>278</v>
      </c>
      <c r="R42" s="77" t="s">
        <v>278</v>
      </c>
      <c r="S42" s="77" t="s">
        <v>278</v>
      </c>
      <c r="T42" s="76">
        <f t="shared" si="10"/>
        <v>0</v>
      </c>
      <c r="U42" s="77" t="s">
        <v>278</v>
      </c>
      <c r="V42" s="77" t="s">
        <v>278</v>
      </c>
      <c r="W42" s="77" t="s">
        <v>278</v>
      </c>
      <c r="X42" s="77" t="s">
        <v>278</v>
      </c>
      <c r="Y42" s="76">
        <f t="shared" si="11"/>
        <v>0</v>
      </c>
      <c r="Z42" s="77" t="s">
        <v>278</v>
      </c>
      <c r="AA42" s="77" t="s">
        <v>278</v>
      </c>
      <c r="AB42" s="77" t="s">
        <v>278</v>
      </c>
      <c r="AC42" s="77" t="s">
        <v>278</v>
      </c>
      <c r="AD42" s="76">
        <f t="shared" si="12"/>
        <v>0</v>
      </c>
      <c r="AE42" s="77" t="s">
        <v>278</v>
      </c>
      <c r="AF42" s="77" t="s">
        <v>278</v>
      </c>
      <c r="AG42" s="77" t="s">
        <v>278</v>
      </c>
      <c r="AH42" s="77" t="s">
        <v>278</v>
      </c>
      <c r="AI42" s="76">
        <f t="shared" si="13"/>
        <v>0</v>
      </c>
      <c r="AJ42" s="77" t="s">
        <v>278</v>
      </c>
      <c r="AK42" s="77" t="s">
        <v>278</v>
      </c>
      <c r="AL42" s="77" t="s">
        <v>278</v>
      </c>
      <c r="AM42" s="77" t="s">
        <v>278</v>
      </c>
      <c r="AN42" s="76">
        <f t="shared" si="14"/>
        <v>0</v>
      </c>
    </row>
    <row r="43" spans="1:40" s="17" customFormat="1" ht="99" customHeight="1">
      <c r="A43" s="35" t="s">
        <v>349</v>
      </c>
      <c r="B43" s="19" t="s">
        <v>438</v>
      </c>
      <c r="C43" s="74" t="s">
        <v>9</v>
      </c>
      <c r="D43" s="11" t="s">
        <v>237</v>
      </c>
      <c r="E43" s="107">
        <f t="shared" si="1"/>
        <v>5200</v>
      </c>
      <c r="F43" s="111">
        <f>7820.814-1310.4-1310.414</f>
        <v>5200</v>
      </c>
      <c r="G43" s="26" t="s">
        <v>278</v>
      </c>
      <c r="H43" s="26" t="s">
        <v>278</v>
      </c>
      <c r="I43" s="26" t="s">
        <v>278</v>
      </c>
      <c r="J43" s="107">
        <f t="shared" si="8"/>
        <v>5200</v>
      </c>
      <c r="K43" s="111">
        <f>4905+295</f>
        <v>5200</v>
      </c>
      <c r="L43" s="77" t="s">
        <v>278</v>
      </c>
      <c r="M43" s="77" t="s">
        <v>278</v>
      </c>
      <c r="N43" s="77" t="s">
        <v>278</v>
      </c>
      <c r="O43" s="76">
        <f>SUMIF(P43:S43,"&gt;0")</f>
        <v>0</v>
      </c>
      <c r="P43" s="77" t="s">
        <v>278</v>
      </c>
      <c r="Q43" s="77" t="s">
        <v>278</v>
      </c>
      <c r="R43" s="77" t="s">
        <v>278</v>
      </c>
      <c r="S43" s="77" t="s">
        <v>278</v>
      </c>
      <c r="T43" s="76">
        <f>SUMIF(U43:X43,"&gt;0")</f>
        <v>0</v>
      </c>
      <c r="U43" s="77" t="s">
        <v>278</v>
      </c>
      <c r="V43" s="77" t="s">
        <v>278</v>
      </c>
      <c r="W43" s="77" t="s">
        <v>278</v>
      </c>
      <c r="X43" s="77" t="s">
        <v>278</v>
      </c>
      <c r="Y43" s="107">
        <f t="shared" si="11"/>
        <v>73684</v>
      </c>
      <c r="Z43" s="111">
        <f>3684</f>
        <v>3684</v>
      </c>
      <c r="AA43" s="111">
        <f>70000</f>
        <v>70000</v>
      </c>
      <c r="AB43" s="77" t="s">
        <v>278</v>
      </c>
      <c r="AC43" s="77" t="s">
        <v>278</v>
      </c>
      <c r="AD43" s="76">
        <f t="shared" si="12"/>
        <v>0</v>
      </c>
      <c r="AE43" s="77" t="s">
        <v>278</v>
      </c>
      <c r="AF43" s="77" t="s">
        <v>278</v>
      </c>
      <c r="AG43" s="77" t="s">
        <v>278</v>
      </c>
      <c r="AH43" s="77" t="s">
        <v>278</v>
      </c>
      <c r="AI43" s="76">
        <f t="shared" si="13"/>
        <v>0</v>
      </c>
      <c r="AJ43" s="77" t="s">
        <v>278</v>
      </c>
      <c r="AK43" s="77" t="s">
        <v>278</v>
      </c>
      <c r="AL43" s="77" t="s">
        <v>278</v>
      </c>
      <c r="AM43" s="77" t="s">
        <v>278</v>
      </c>
      <c r="AN43" s="107">
        <f t="shared" si="14"/>
        <v>84084</v>
      </c>
    </row>
    <row r="44" spans="1:40" s="17" customFormat="1" ht="63">
      <c r="A44" s="156" t="s">
        <v>355</v>
      </c>
      <c r="B44" s="19" t="s">
        <v>356</v>
      </c>
      <c r="C44" s="152" t="s">
        <v>9</v>
      </c>
      <c r="D44" s="121" t="s">
        <v>303</v>
      </c>
      <c r="E44" s="76">
        <f t="shared" si="1"/>
        <v>0</v>
      </c>
      <c r="F44" s="26" t="s">
        <v>278</v>
      </c>
      <c r="G44" s="26" t="s">
        <v>278</v>
      </c>
      <c r="H44" s="26" t="s">
        <v>278</v>
      </c>
      <c r="I44" s="26" t="s">
        <v>278</v>
      </c>
      <c r="J44" s="76">
        <f t="shared" si="8"/>
        <v>0</v>
      </c>
      <c r="K44" s="77" t="s">
        <v>278</v>
      </c>
      <c r="L44" s="77" t="s">
        <v>278</v>
      </c>
      <c r="M44" s="77" t="s">
        <v>278</v>
      </c>
      <c r="N44" s="77" t="s">
        <v>278</v>
      </c>
      <c r="O44" s="76">
        <f t="shared" si="9"/>
        <v>0</v>
      </c>
      <c r="P44" s="77" t="s">
        <v>278</v>
      </c>
      <c r="Q44" s="77" t="s">
        <v>278</v>
      </c>
      <c r="R44" s="77" t="s">
        <v>278</v>
      </c>
      <c r="S44" s="77" t="s">
        <v>278</v>
      </c>
      <c r="T44" s="76">
        <f t="shared" si="10"/>
        <v>0</v>
      </c>
      <c r="U44" s="77" t="s">
        <v>278</v>
      </c>
      <c r="V44" s="77" t="s">
        <v>278</v>
      </c>
      <c r="W44" s="77" t="s">
        <v>278</v>
      </c>
      <c r="X44" s="77" t="s">
        <v>278</v>
      </c>
      <c r="Y44" s="76">
        <f t="shared" si="11"/>
        <v>0</v>
      </c>
      <c r="Z44" s="77" t="s">
        <v>278</v>
      </c>
      <c r="AA44" s="77" t="s">
        <v>278</v>
      </c>
      <c r="AB44" s="77" t="s">
        <v>278</v>
      </c>
      <c r="AC44" s="77" t="s">
        <v>278</v>
      </c>
      <c r="AD44" s="76">
        <f t="shared" si="12"/>
        <v>0</v>
      </c>
      <c r="AE44" s="77" t="s">
        <v>278</v>
      </c>
      <c r="AF44" s="77" t="s">
        <v>278</v>
      </c>
      <c r="AG44" s="77" t="s">
        <v>278</v>
      </c>
      <c r="AH44" s="77" t="s">
        <v>278</v>
      </c>
      <c r="AI44" s="76">
        <f t="shared" si="13"/>
        <v>0</v>
      </c>
      <c r="AJ44" s="77" t="s">
        <v>278</v>
      </c>
      <c r="AK44" s="77" t="s">
        <v>278</v>
      </c>
      <c r="AL44" s="77" t="s">
        <v>278</v>
      </c>
      <c r="AM44" s="77" t="s">
        <v>278</v>
      </c>
      <c r="AN44" s="76">
        <f t="shared" si="14"/>
        <v>0</v>
      </c>
    </row>
    <row r="45" spans="1:40" s="17" customFormat="1" ht="31.5">
      <c r="A45" s="166"/>
      <c r="B45" s="75" t="s">
        <v>357</v>
      </c>
      <c r="C45" s="167"/>
      <c r="D45" s="96">
        <v>2021</v>
      </c>
      <c r="E45" s="107">
        <f>SUMIF(F45:I45,"&gt;0")</f>
        <v>7032.5</v>
      </c>
      <c r="F45" s="111">
        <f>5020.607+2011.926</f>
        <v>7032.5</v>
      </c>
      <c r="G45" s="26" t="s">
        <v>278</v>
      </c>
      <c r="H45" s="26" t="s">
        <v>278</v>
      </c>
      <c r="I45" s="26" t="s">
        <v>278</v>
      </c>
      <c r="J45" s="76">
        <f t="shared" si="8"/>
        <v>0</v>
      </c>
      <c r="K45" s="77" t="s">
        <v>278</v>
      </c>
      <c r="L45" s="77" t="s">
        <v>278</v>
      </c>
      <c r="M45" s="77" t="s">
        <v>278</v>
      </c>
      <c r="N45" s="77" t="s">
        <v>278</v>
      </c>
      <c r="O45" s="76">
        <f>SUMIF(P45:S45,"&gt;0")</f>
        <v>0</v>
      </c>
      <c r="P45" s="77" t="s">
        <v>278</v>
      </c>
      <c r="Q45" s="77" t="s">
        <v>278</v>
      </c>
      <c r="R45" s="77" t="s">
        <v>278</v>
      </c>
      <c r="S45" s="77" t="s">
        <v>278</v>
      </c>
      <c r="T45" s="76">
        <f>SUMIF(U45:X45,"&gt;0")</f>
        <v>0</v>
      </c>
      <c r="U45" s="77" t="s">
        <v>278</v>
      </c>
      <c r="V45" s="77" t="s">
        <v>278</v>
      </c>
      <c r="W45" s="77" t="s">
        <v>278</v>
      </c>
      <c r="X45" s="77" t="s">
        <v>278</v>
      </c>
      <c r="Y45" s="76">
        <f>SUMIF(Z45:AC45,"&gt;0")</f>
        <v>0</v>
      </c>
      <c r="Z45" s="77" t="s">
        <v>278</v>
      </c>
      <c r="AA45" s="77" t="s">
        <v>278</v>
      </c>
      <c r="AB45" s="77" t="s">
        <v>278</v>
      </c>
      <c r="AC45" s="77" t="s">
        <v>278</v>
      </c>
      <c r="AD45" s="76">
        <f>SUMIF(AE45:AH45,"&gt;0")</f>
        <v>0</v>
      </c>
      <c r="AE45" s="77" t="s">
        <v>278</v>
      </c>
      <c r="AF45" s="77" t="s">
        <v>278</v>
      </c>
      <c r="AG45" s="77" t="s">
        <v>278</v>
      </c>
      <c r="AH45" s="77" t="s">
        <v>278</v>
      </c>
      <c r="AI45" s="76">
        <f>SUMIF(AJ45:AM45,"&gt;0")</f>
        <v>0</v>
      </c>
      <c r="AJ45" s="77" t="s">
        <v>278</v>
      </c>
      <c r="AK45" s="77" t="s">
        <v>278</v>
      </c>
      <c r="AL45" s="77" t="s">
        <v>278</v>
      </c>
      <c r="AM45" s="77" t="s">
        <v>278</v>
      </c>
      <c r="AN45" s="107">
        <f>E45+J45+O45+T45+Y45+AD45+AI45</f>
        <v>7032.5</v>
      </c>
    </row>
    <row r="46" spans="1:40" s="17" customFormat="1" ht="31.5">
      <c r="A46" s="166"/>
      <c r="B46" s="75" t="s">
        <v>384</v>
      </c>
      <c r="C46" s="167"/>
      <c r="D46" s="96">
        <v>2022</v>
      </c>
      <c r="E46" s="76">
        <f>SUMIF(F46:I46,"&gt;0")</f>
        <v>0</v>
      </c>
      <c r="F46" s="26" t="s">
        <v>278</v>
      </c>
      <c r="G46" s="26" t="s">
        <v>278</v>
      </c>
      <c r="H46" s="26" t="s">
        <v>278</v>
      </c>
      <c r="I46" s="26" t="s">
        <v>278</v>
      </c>
      <c r="J46" s="107">
        <f t="shared" si="8"/>
        <v>1380.4</v>
      </c>
      <c r="K46" s="111">
        <f>1380.40011</f>
        <v>1380.4</v>
      </c>
      <c r="L46" s="77" t="s">
        <v>278</v>
      </c>
      <c r="M46" s="77" t="s">
        <v>278</v>
      </c>
      <c r="N46" s="77" t="s">
        <v>278</v>
      </c>
      <c r="O46" s="76">
        <f>SUMIF(P46:S46,"&gt;0")</f>
        <v>0</v>
      </c>
      <c r="P46" s="77" t="s">
        <v>278</v>
      </c>
      <c r="Q46" s="77" t="s">
        <v>278</v>
      </c>
      <c r="R46" s="77" t="s">
        <v>278</v>
      </c>
      <c r="S46" s="77" t="s">
        <v>278</v>
      </c>
      <c r="T46" s="76">
        <f>SUMIF(U46:X46,"&gt;0")</f>
        <v>0</v>
      </c>
      <c r="U46" s="77" t="s">
        <v>278</v>
      </c>
      <c r="V46" s="77" t="s">
        <v>278</v>
      </c>
      <c r="W46" s="77" t="s">
        <v>278</v>
      </c>
      <c r="X46" s="77" t="s">
        <v>278</v>
      </c>
      <c r="Y46" s="76">
        <f>SUMIF(Z46:AC46,"&gt;0")</f>
        <v>0</v>
      </c>
      <c r="Z46" s="77" t="s">
        <v>278</v>
      </c>
      <c r="AA46" s="77" t="s">
        <v>278</v>
      </c>
      <c r="AB46" s="77" t="s">
        <v>278</v>
      </c>
      <c r="AC46" s="77" t="s">
        <v>278</v>
      </c>
      <c r="AD46" s="76">
        <f>SUMIF(AE46:AH46,"&gt;0")</f>
        <v>0</v>
      </c>
      <c r="AE46" s="77" t="s">
        <v>278</v>
      </c>
      <c r="AF46" s="77" t="s">
        <v>278</v>
      </c>
      <c r="AG46" s="77" t="s">
        <v>278</v>
      </c>
      <c r="AH46" s="77" t="s">
        <v>278</v>
      </c>
      <c r="AI46" s="76">
        <f>SUMIF(AJ46:AM46,"&gt;0")</f>
        <v>0</v>
      </c>
      <c r="AJ46" s="77" t="s">
        <v>278</v>
      </c>
      <c r="AK46" s="77" t="s">
        <v>278</v>
      </c>
      <c r="AL46" s="77" t="s">
        <v>278</v>
      </c>
      <c r="AM46" s="77" t="s">
        <v>278</v>
      </c>
      <c r="AN46" s="107">
        <f>E46+J46+O46+T46+Y46+AD46+AI46</f>
        <v>1380.4</v>
      </c>
    </row>
    <row r="47" spans="1:40" s="17" customFormat="1" ht="47.25">
      <c r="A47" s="35" t="s">
        <v>361</v>
      </c>
      <c r="B47" s="75" t="s">
        <v>362</v>
      </c>
      <c r="C47" s="74" t="s">
        <v>9</v>
      </c>
      <c r="D47" s="96" t="s">
        <v>303</v>
      </c>
      <c r="E47" s="107">
        <f>SUMIF(F47:I47,"&gt;0")</f>
        <v>1781.3</v>
      </c>
      <c r="F47" s="111">
        <f>1781.265</f>
        <v>1781.3</v>
      </c>
      <c r="G47" s="26" t="s">
        <v>278</v>
      </c>
      <c r="H47" s="26" t="s">
        <v>278</v>
      </c>
      <c r="I47" s="26" t="s">
        <v>278</v>
      </c>
      <c r="J47" s="107">
        <f t="shared" si="8"/>
        <v>587</v>
      </c>
      <c r="K47" s="111">
        <f>587</f>
        <v>587</v>
      </c>
      <c r="L47" s="77" t="s">
        <v>278</v>
      </c>
      <c r="M47" s="77" t="s">
        <v>278</v>
      </c>
      <c r="N47" s="77" t="s">
        <v>278</v>
      </c>
      <c r="O47" s="76">
        <f>SUMIF(P47:S47,"&gt;0")</f>
        <v>0</v>
      </c>
      <c r="P47" s="77" t="s">
        <v>278</v>
      </c>
      <c r="Q47" s="77" t="s">
        <v>278</v>
      </c>
      <c r="R47" s="77" t="s">
        <v>278</v>
      </c>
      <c r="S47" s="77" t="s">
        <v>278</v>
      </c>
      <c r="T47" s="76">
        <f>SUMIF(U47:X47,"&gt;0")</f>
        <v>0</v>
      </c>
      <c r="U47" s="77" t="s">
        <v>278</v>
      </c>
      <c r="V47" s="77" t="s">
        <v>278</v>
      </c>
      <c r="W47" s="77" t="s">
        <v>278</v>
      </c>
      <c r="X47" s="77" t="s">
        <v>278</v>
      </c>
      <c r="Y47" s="76">
        <f>SUMIF(Z47:AC47,"&gt;0")</f>
        <v>0</v>
      </c>
      <c r="Z47" s="77" t="s">
        <v>278</v>
      </c>
      <c r="AA47" s="77" t="s">
        <v>278</v>
      </c>
      <c r="AB47" s="77" t="s">
        <v>278</v>
      </c>
      <c r="AC47" s="77" t="s">
        <v>278</v>
      </c>
      <c r="AD47" s="76">
        <f>SUMIF(AE47:AH47,"&gt;0")</f>
        <v>0</v>
      </c>
      <c r="AE47" s="77" t="s">
        <v>278</v>
      </c>
      <c r="AF47" s="77" t="s">
        <v>278</v>
      </c>
      <c r="AG47" s="77" t="s">
        <v>278</v>
      </c>
      <c r="AH47" s="77" t="s">
        <v>278</v>
      </c>
      <c r="AI47" s="76">
        <f>SUMIF(AJ47:AM47,"&gt;0")</f>
        <v>0</v>
      </c>
      <c r="AJ47" s="77" t="s">
        <v>278</v>
      </c>
      <c r="AK47" s="77" t="s">
        <v>278</v>
      </c>
      <c r="AL47" s="77" t="s">
        <v>278</v>
      </c>
      <c r="AM47" s="77" t="s">
        <v>278</v>
      </c>
      <c r="AN47" s="107">
        <f>E47+J47+O47+T47+Y47+AD47+AI47</f>
        <v>2368.3</v>
      </c>
    </row>
    <row r="48" spans="1:40" s="17" customFormat="1" ht="88.5" customHeight="1">
      <c r="A48" s="35" t="s">
        <v>436</v>
      </c>
      <c r="B48" s="75" t="s">
        <v>439</v>
      </c>
      <c r="C48" s="74" t="s">
        <v>9</v>
      </c>
      <c r="D48" s="96">
        <v>2024</v>
      </c>
      <c r="E48" s="76">
        <f>SUMIF(F48:I48,"&gt;0")</f>
        <v>0</v>
      </c>
      <c r="F48" s="77" t="s">
        <v>278</v>
      </c>
      <c r="G48" s="26" t="s">
        <v>278</v>
      </c>
      <c r="H48" s="26" t="s">
        <v>278</v>
      </c>
      <c r="I48" s="26" t="s">
        <v>278</v>
      </c>
      <c r="J48" s="76">
        <f t="shared" si="8"/>
        <v>0</v>
      </c>
      <c r="K48" s="77" t="s">
        <v>278</v>
      </c>
      <c r="L48" s="77" t="s">
        <v>278</v>
      </c>
      <c r="M48" s="77" t="s">
        <v>278</v>
      </c>
      <c r="N48" s="77" t="s">
        <v>278</v>
      </c>
      <c r="O48" s="76">
        <f t="shared" si="9"/>
        <v>0</v>
      </c>
      <c r="P48" s="77" t="s">
        <v>278</v>
      </c>
      <c r="Q48" s="77" t="s">
        <v>278</v>
      </c>
      <c r="R48" s="77" t="s">
        <v>278</v>
      </c>
      <c r="S48" s="77" t="s">
        <v>278</v>
      </c>
      <c r="T48" s="107">
        <f t="shared" si="10"/>
        <v>11151.8</v>
      </c>
      <c r="U48" s="111">
        <f>10000+1151.82053</f>
        <v>11151.8</v>
      </c>
      <c r="V48" s="77" t="s">
        <v>278</v>
      </c>
      <c r="W48" s="77" t="s">
        <v>278</v>
      </c>
      <c r="X48" s="77" t="s">
        <v>278</v>
      </c>
      <c r="Y48" s="76">
        <f t="shared" si="11"/>
        <v>0</v>
      </c>
      <c r="Z48" s="77" t="s">
        <v>278</v>
      </c>
      <c r="AA48" s="77" t="s">
        <v>278</v>
      </c>
      <c r="AB48" s="77" t="s">
        <v>278</v>
      </c>
      <c r="AC48" s="77" t="s">
        <v>278</v>
      </c>
      <c r="AD48" s="76">
        <f t="shared" si="12"/>
        <v>0</v>
      </c>
      <c r="AE48" s="77" t="s">
        <v>278</v>
      </c>
      <c r="AF48" s="77" t="s">
        <v>278</v>
      </c>
      <c r="AG48" s="77" t="s">
        <v>278</v>
      </c>
      <c r="AH48" s="77" t="s">
        <v>278</v>
      </c>
      <c r="AI48" s="76">
        <f t="shared" si="13"/>
        <v>0</v>
      </c>
      <c r="AJ48" s="77" t="s">
        <v>278</v>
      </c>
      <c r="AK48" s="77" t="s">
        <v>278</v>
      </c>
      <c r="AL48" s="77" t="s">
        <v>278</v>
      </c>
      <c r="AM48" s="77" t="s">
        <v>278</v>
      </c>
      <c r="AN48" s="107">
        <f t="shared" si="14"/>
        <v>11151.8</v>
      </c>
    </row>
    <row r="49" spans="1:40" s="17" customFormat="1" ht="110.25" customHeight="1">
      <c r="A49" s="156" t="s">
        <v>15</v>
      </c>
      <c r="B49" s="75" t="s">
        <v>299</v>
      </c>
      <c r="C49" s="152" t="s">
        <v>54</v>
      </c>
      <c r="D49" s="11" t="s">
        <v>237</v>
      </c>
      <c r="E49" s="76">
        <f t="shared" si="1"/>
        <v>0</v>
      </c>
      <c r="F49" s="26" t="s">
        <v>278</v>
      </c>
      <c r="G49" s="26" t="s">
        <v>278</v>
      </c>
      <c r="H49" s="26" t="s">
        <v>278</v>
      </c>
      <c r="I49" s="26" t="s">
        <v>278</v>
      </c>
      <c r="J49" s="76">
        <f aca="true" t="shared" si="15" ref="J49:J59">SUMIF(K49:N49,"&gt;0")</f>
        <v>0</v>
      </c>
      <c r="K49" s="77" t="s">
        <v>278</v>
      </c>
      <c r="L49" s="77" t="s">
        <v>278</v>
      </c>
      <c r="M49" s="77" t="s">
        <v>278</v>
      </c>
      <c r="N49" s="77" t="s">
        <v>278</v>
      </c>
      <c r="O49" s="76">
        <f t="shared" si="9"/>
        <v>0</v>
      </c>
      <c r="P49" s="77" t="s">
        <v>278</v>
      </c>
      <c r="Q49" s="77" t="s">
        <v>278</v>
      </c>
      <c r="R49" s="77" t="s">
        <v>278</v>
      </c>
      <c r="S49" s="77" t="s">
        <v>278</v>
      </c>
      <c r="T49" s="76">
        <f t="shared" si="10"/>
        <v>0</v>
      </c>
      <c r="U49" s="77" t="s">
        <v>278</v>
      </c>
      <c r="V49" s="77" t="s">
        <v>278</v>
      </c>
      <c r="W49" s="77" t="s">
        <v>278</v>
      </c>
      <c r="X49" s="77" t="s">
        <v>278</v>
      </c>
      <c r="Y49" s="76">
        <f t="shared" si="11"/>
        <v>0</v>
      </c>
      <c r="Z49" s="77" t="s">
        <v>278</v>
      </c>
      <c r="AA49" s="77" t="s">
        <v>278</v>
      </c>
      <c r="AB49" s="77" t="s">
        <v>278</v>
      </c>
      <c r="AC49" s="77" t="s">
        <v>278</v>
      </c>
      <c r="AD49" s="76">
        <f t="shared" si="12"/>
        <v>0</v>
      </c>
      <c r="AE49" s="77" t="s">
        <v>278</v>
      </c>
      <c r="AF49" s="77" t="s">
        <v>278</v>
      </c>
      <c r="AG49" s="77" t="s">
        <v>278</v>
      </c>
      <c r="AH49" s="77" t="s">
        <v>278</v>
      </c>
      <c r="AI49" s="76">
        <f t="shared" si="13"/>
        <v>0</v>
      </c>
      <c r="AJ49" s="77" t="s">
        <v>278</v>
      </c>
      <c r="AK49" s="77" t="s">
        <v>278</v>
      </c>
      <c r="AL49" s="77" t="s">
        <v>278</v>
      </c>
      <c r="AM49" s="77" t="s">
        <v>278</v>
      </c>
      <c r="AN49" s="76">
        <f t="shared" si="14"/>
        <v>0</v>
      </c>
    </row>
    <row r="50" spans="1:40" s="17" customFormat="1" ht="31.5">
      <c r="A50" s="157"/>
      <c r="B50" s="75" t="s">
        <v>357</v>
      </c>
      <c r="C50" s="153"/>
      <c r="D50" s="96">
        <v>2021</v>
      </c>
      <c r="E50" s="107">
        <f>SUMIF(F50:I50,"&gt;0")</f>
        <v>3644.7</v>
      </c>
      <c r="F50" s="111">
        <f>3644.685</f>
        <v>3644.7</v>
      </c>
      <c r="G50" s="106">
        <v>0</v>
      </c>
      <c r="H50" s="106">
        <v>0</v>
      </c>
      <c r="I50" s="106">
        <v>0</v>
      </c>
      <c r="J50" s="76">
        <f>SUMIF(K50:N50,"&gt;0")</f>
        <v>0</v>
      </c>
      <c r="K50" s="106">
        <v>0</v>
      </c>
      <c r="L50" s="106">
        <v>0</v>
      </c>
      <c r="M50" s="106">
        <v>0</v>
      </c>
      <c r="N50" s="106">
        <v>0</v>
      </c>
      <c r="O50" s="76">
        <f>SUMIF(P50:S50,"&gt;0")</f>
        <v>0</v>
      </c>
      <c r="P50" s="106">
        <v>0</v>
      </c>
      <c r="Q50" s="106">
        <v>0</v>
      </c>
      <c r="R50" s="106">
        <v>0</v>
      </c>
      <c r="S50" s="106">
        <v>0</v>
      </c>
      <c r="T50" s="76">
        <f>SUMIF(U50:X50,"&gt;0")</f>
        <v>0</v>
      </c>
      <c r="U50" s="106">
        <v>0</v>
      </c>
      <c r="V50" s="106">
        <v>0</v>
      </c>
      <c r="W50" s="106">
        <v>0</v>
      </c>
      <c r="X50" s="106">
        <v>0</v>
      </c>
      <c r="Y50" s="76">
        <f>SUMIF(Z50:AC50,"&gt;0")</f>
        <v>0</v>
      </c>
      <c r="Z50" s="106">
        <v>0</v>
      </c>
      <c r="AA50" s="106">
        <v>0</v>
      </c>
      <c r="AB50" s="106">
        <v>0</v>
      </c>
      <c r="AC50" s="106">
        <v>0</v>
      </c>
      <c r="AD50" s="76">
        <f>SUMIF(AE50:AH50,"&gt;0")</f>
        <v>0</v>
      </c>
      <c r="AE50" s="106">
        <v>0</v>
      </c>
      <c r="AF50" s="106">
        <v>0</v>
      </c>
      <c r="AG50" s="106">
        <v>0</v>
      </c>
      <c r="AH50" s="106">
        <v>0</v>
      </c>
      <c r="AI50" s="76">
        <f>SUMIF(AJ50:AM50,"&gt;0")</f>
        <v>0</v>
      </c>
      <c r="AJ50" s="106">
        <v>0</v>
      </c>
      <c r="AK50" s="106">
        <v>0</v>
      </c>
      <c r="AL50" s="106">
        <v>0</v>
      </c>
      <c r="AM50" s="106">
        <v>0</v>
      </c>
      <c r="AN50" s="107">
        <f>E50+J50+O50+T50+Y50+AD50+AI50</f>
        <v>3644.7</v>
      </c>
    </row>
    <row r="51" spans="1:40" s="17" customFormat="1" ht="110.25" customHeight="1">
      <c r="A51" s="156" t="s">
        <v>16</v>
      </c>
      <c r="B51" s="28" t="s">
        <v>425</v>
      </c>
      <c r="C51" s="154" t="s">
        <v>54</v>
      </c>
      <c r="D51" s="11" t="s">
        <v>228</v>
      </c>
      <c r="E51" s="107">
        <f>SUMIF(F51:I51,"&gt;0")</f>
        <v>58834.5</v>
      </c>
      <c r="F51" s="115">
        <f>SUM(F53:F58,F60:F69)</f>
        <v>24584.2</v>
      </c>
      <c r="G51" s="115">
        <f>SUM(G53:G58,G60:G69)</f>
        <v>31998.1</v>
      </c>
      <c r="H51" s="115">
        <f>SUM(H53:H58,H60:H69)</f>
        <v>2252.2</v>
      </c>
      <c r="I51" s="79">
        <f>SUM(I53:I58,I60:I69)</f>
        <v>0</v>
      </c>
      <c r="J51" s="115">
        <f t="shared" si="15"/>
        <v>378457</v>
      </c>
      <c r="K51" s="115">
        <f>SUM(K53:K69)</f>
        <v>81877.3</v>
      </c>
      <c r="L51" s="115">
        <f>SUM(L53:L69)</f>
        <v>136195.2</v>
      </c>
      <c r="M51" s="115">
        <f>SUM(M53:M69)</f>
        <v>158557.2</v>
      </c>
      <c r="N51" s="115">
        <f>SUM(N53:N69)</f>
        <v>1827.3</v>
      </c>
      <c r="O51" s="115">
        <f t="shared" si="9"/>
        <v>133827.1</v>
      </c>
      <c r="P51" s="115">
        <f>SUM(P53:P69)</f>
        <v>88748.4</v>
      </c>
      <c r="Q51" s="115">
        <f>SUM(Q53:Q69)</f>
        <v>45078.7</v>
      </c>
      <c r="R51" s="79">
        <f>SUM(R53:R69)</f>
        <v>0</v>
      </c>
      <c r="S51" s="79">
        <f>SUM(S53:S69)</f>
        <v>0</v>
      </c>
      <c r="T51" s="107">
        <f t="shared" si="10"/>
        <v>292482.3</v>
      </c>
      <c r="U51" s="115">
        <f>SUM(U53:U69)</f>
        <v>80110.2</v>
      </c>
      <c r="V51" s="115">
        <f>SUM(V53:V69)</f>
        <v>107318</v>
      </c>
      <c r="W51" s="115">
        <f>SUM(W53:W69)</f>
        <v>105054.1</v>
      </c>
      <c r="X51" s="79">
        <f>SUM(X53:X69)</f>
        <v>0</v>
      </c>
      <c r="Y51" s="107">
        <f t="shared" si="11"/>
        <v>432461.7</v>
      </c>
      <c r="Z51" s="115">
        <f>SUM(Z53:Z69)</f>
        <v>33663.2</v>
      </c>
      <c r="AA51" s="115">
        <f>SUM(AA53:AA69)</f>
        <v>149722.6</v>
      </c>
      <c r="AB51" s="115">
        <f>SUM(AB53:AB69)</f>
        <v>249075.9</v>
      </c>
      <c r="AC51" s="79">
        <f>SUM(AC53:AC69)</f>
        <v>0</v>
      </c>
      <c r="AD51" s="107">
        <f t="shared" si="12"/>
        <v>167118.3</v>
      </c>
      <c r="AE51" s="115">
        <f>SUM(AE53:AE69)</f>
        <v>26028.5</v>
      </c>
      <c r="AF51" s="115">
        <f>SUM(AF53:AF69)</f>
        <v>53259.6</v>
      </c>
      <c r="AG51" s="115">
        <f>SUM(AG53:AG69)</f>
        <v>87830.2</v>
      </c>
      <c r="AH51" s="79">
        <f>SUM(AH53:AH69)</f>
        <v>0</v>
      </c>
      <c r="AI51" s="107">
        <f t="shared" si="13"/>
        <v>230415</v>
      </c>
      <c r="AJ51" s="115">
        <f>SUM(AJ53:AJ69)</f>
        <v>132357.3</v>
      </c>
      <c r="AK51" s="115">
        <f>SUM(AK53:AK69)</f>
        <v>98057.7</v>
      </c>
      <c r="AL51" s="79">
        <f>SUM(AL53:AL69)</f>
        <v>0</v>
      </c>
      <c r="AM51" s="79">
        <f>SUM(AM53:AM69)</f>
        <v>0</v>
      </c>
      <c r="AN51" s="115">
        <f t="shared" si="0"/>
        <v>1693595.9</v>
      </c>
    </row>
    <row r="52" spans="1:40" s="17" customFormat="1" ht="31.5">
      <c r="A52" s="157"/>
      <c r="B52" s="75" t="s">
        <v>378</v>
      </c>
      <c r="C52" s="155"/>
      <c r="D52" s="96">
        <v>2021</v>
      </c>
      <c r="E52" s="107">
        <f>SUMIF(F52:I52,"&gt;0")</f>
        <v>605.2</v>
      </c>
      <c r="F52" s="111">
        <f>F59</f>
        <v>605.2</v>
      </c>
      <c r="G52" s="106">
        <v>0</v>
      </c>
      <c r="H52" s="106">
        <v>0</v>
      </c>
      <c r="I52" s="106">
        <v>0</v>
      </c>
      <c r="J52" s="76">
        <f>SUMIF(K52:N52,"&gt;0")</f>
        <v>0</v>
      </c>
      <c r="K52" s="106">
        <v>0</v>
      </c>
      <c r="L52" s="106">
        <v>0</v>
      </c>
      <c r="M52" s="106">
        <v>0</v>
      </c>
      <c r="N52" s="106">
        <v>0</v>
      </c>
      <c r="O52" s="76">
        <f t="shared" si="9"/>
        <v>0</v>
      </c>
      <c r="P52" s="106">
        <v>0</v>
      </c>
      <c r="Q52" s="106">
        <v>0</v>
      </c>
      <c r="R52" s="106">
        <v>0</v>
      </c>
      <c r="S52" s="106">
        <v>0</v>
      </c>
      <c r="T52" s="76">
        <f>SUMIF(U52:X52,"&gt;0")</f>
        <v>0</v>
      </c>
      <c r="U52" s="106">
        <v>0</v>
      </c>
      <c r="V52" s="106">
        <v>0</v>
      </c>
      <c r="W52" s="106">
        <v>0</v>
      </c>
      <c r="X52" s="106">
        <v>0</v>
      </c>
      <c r="Y52" s="76">
        <f t="shared" si="11"/>
        <v>0</v>
      </c>
      <c r="Z52" s="106">
        <v>0</v>
      </c>
      <c r="AA52" s="106">
        <v>0</v>
      </c>
      <c r="AB52" s="106">
        <v>0</v>
      </c>
      <c r="AC52" s="106">
        <v>0</v>
      </c>
      <c r="AD52" s="76">
        <f t="shared" si="12"/>
        <v>0</v>
      </c>
      <c r="AE52" s="106">
        <v>0</v>
      </c>
      <c r="AF52" s="106">
        <v>0</v>
      </c>
      <c r="AG52" s="106">
        <v>0</v>
      </c>
      <c r="AH52" s="106">
        <v>0</v>
      </c>
      <c r="AI52" s="76">
        <f t="shared" si="13"/>
        <v>0</v>
      </c>
      <c r="AJ52" s="106">
        <v>0</v>
      </c>
      <c r="AK52" s="106">
        <v>0</v>
      </c>
      <c r="AL52" s="106">
        <v>0</v>
      </c>
      <c r="AM52" s="106">
        <v>0</v>
      </c>
      <c r="AN52" s="107">
        <f t="shared" si="0"/>
        <v>605.2</v>
      </c>
    </row>
    <row r="53" spans="1:40" s="17" customFormat="1" ht="110.25">
      <c r="A53" s="35" t="s">
        <v>166</v>
      </c>
      <c r="B53" s="28" t="s">
        <v>574</v>
      </c>
      <c r="C53" s="26" t="s">
        <v>54</v>
      </c>
      <c r="D53" s="11" t="s">
        <v>228</v>
      </c>
      <c r="E53" s="76">
        <f t="shared" si="1"/>
        <v>0</v>
      </c>
      <c r="F53" s="26" t="s">
        <v>278</v>
      </c>
      <c r="G53" s="26" t="s">
        <v>278</v>
      </c>
      <c r="H53" s="26" t="s">
        <v>278</v>
      </c>
      <c r="I53" s="26" t="s">
        <v>278</v>
      </c>
      <c r="J53" s="107">
        <f t="shared" si="15"/>
        <v>450</v>
      </c>
      <c r="K53" s="114">
        <f>450</f>
        <v>450</v>
      </c>
      <c r="L53" s="77" t="s">
        <v>278</v>
      </c>
      <c r="M53" s="77" t="s">
        <v>278</v>
      </c>
      <c r="N53" s="77" t="s">
        <v>278</v>
      </c>
      <c r="O53" s="107">
        <f t="shared" si="9"/>
        <v>4770.1</v>
      </c>
      <c r="P53" s="114">
        <f>5327+153-710.2+0.285</f>
        <v>4770.1</v>
      </c>
      <c r="Q53" s="77" t="s">
        <v>278</v>
      </c>
      <c r="R53" s="77" t="s">
        <v>278</v>
      </c>
      <c r="S53" s="77" t="s">
        <v>278</v>
      </c>
      <c r="T53" s="107">
        <f t="shared" si="10"/>
        <v>5000</v>
      </c>
      <c r="U53" s="114">
        <f>5000</f>
        <v>5000</v>
      </c>
      <c r="V53" s="77" t="s">
        <v>278</v>
      </c>
      <c r="W53" s="77" t="s">
        <v>278</v>
      </c>
      <c r="X53" s="77" t="s">
        <v>278</v>
      </c>
      <c r="Y53" s="76">
        <f>SUMIF(Z53:AC53,"&gt;0")</f>
        <v>0</v>
      </c>
      <c r="Z53" s="77" t="s">
        <v>278</v>
      </c>
      <c r="AA53" s="77" t="s">
        <v>278</v>
      </c>
      <c r="AB53" s="77" t="s">
        <v>278</v>
      </c>
      <c r="AC53" s="77" t="s">
        <v>278</v>
      </c>
      <c r="AD53" s="76">
        <f>SUMIF(AE53:AH53,"&gt;0")</f>
        <v>0</v>
      </c>
      <c r="AE53" s="77" t="s">
        <v>278</v>
      </c>
      <c r="AF53" s="77" t="s">
        <v>278</v>
      </c>
      <c r="AG53" s="77" t="s">
        <v>278</v>
      </c>
      <c r="AH53" s="77" t="s">
        <v>278</v>
      </c>
      <c r="AI53" s="107">
        <f t="shared" si="13"/>
        <v>1000</v>
      </c>
      <c r="AJ53" s="111">
        <v>1000</v>
      </c>
      <c r="AK53" s="77" t="s">
        <v>278</v>
      </c>
      <c r="AL53" s="77" t="s">
        <v>278</v>
      </c>
      <c r="AM53" s="77" t="s">
        <v>278</v>
      </c>
      <c r="AN53" s="115">
        <f>E53+J53+O53+T53+Y53+AD53+AI53</f>
        <v>11220.1</v>
      </c>
    </row>
    <row r="54" spans="1:40" s="17" customFormat="1" ht="110.25">
      <c r="A54" s="35" t="s">
        <v>167</v>
      </c>
      <c r="B54" s="28" t="s">
        <v>344</v>
      </c>
      <c r="C54" s="26" t="s">
        <v>54</v>
      </c>
      <c r="D54" s="11" t="s">
        <v>228</v>
      </c>
      <c r="E54" s="117">
        <f t="shared" si="1"/>
        <v>0</v>
      </c>
      <c r="F54" s="90">
        <f>275-275</f>
        <v>0</v>
      </c>
      <c r="G54" s="90">
        <f>5213-5213</f>
        <v>0</v>
      </c>
      <c r="H54" s="26" t="s">
        <v>278</v>
      </c>
      <c r="I54" s="26" t="s">
        <v>278</v>
      </c>
      <c r="J54" s="76">
        <f t="shared" si="15"/>
        <v>0</v>
      </c>
      <c r="K54" s="77" t="s">
        <v>278</v>
      </c>
      <c r="L54" s="77" t="s">
        <v>278</v>
      </c>
      <c r="M54" s="77" t="s">
        <v>278</v>
      </c>
      <c r="N54" s="77" t="s">
        <v>278</v>
      </c>
      <c r="O54" s="107">
        <f aca="true" t="shared" si="16" ref="O54:O80">SUMIF(P54:S54,"&gt;0")</f>
        <v>7861</v>
      </c>
      <c r="P54" s="114">
        <f>924+6937</f>
        <v>7861</v>
      </c>
      <c r="Q54" s="77" t="s">
        <v>278</v>
      </c>
      <c r="R54" s="77" t="s">
        <v>278</v>
      </c>
      <c r="S54" s="77" t="s">
        <v>278</v>
      </c>
      <c r="T54" s="76">
        <f aca="true" t="shared" si="17" ref="T54:T81">SUMIF(U54:X54,"&gt;0")</f>
        <v>0</v>
      </c>
      <c r="U54" s="77" t="s">
        <v>278</v>
      </c>
      <c r="V54" s="77" t="s">
        <v>278</v>
      </c>
      <c r="W54" s="77" t="s">
        <v>278</v>
      </c>
      <c r="X54" s="77" t="s">
        <v>278</v>
      </c>
      <c r="Y54" s="76">
        <f aca="true" t="shared" si="18" ref="Y54:Y81">SUMIF(Z54:AC54,"&gt;0")</f>
        <v>0</v>
      </c>
      <c r="Z54" s="77" t="s">
        <v>278</v>
      </c>
      <c r="AA54" s="77" t="s">
        <v>278</v>
      </c>
      <c r="AB54" s="77" t="s">
        <v>278</v>
      </c>
      <c r="AC54" s="77" t="s">
        <v>278</v>
      </c>
      <c r="AD54" s="76">
        <f aca="true" t="shared" si="19" ref="AD54:AD81">SUMIF(AE54:AH54,"&gt;0")</f>
        <v>0</v>
      </c>
      <c r="AE54" s="77" t="s">
        <v>278</v>
      </c>
      <c r="AF54" s="77" t="s">
        <v>278</v>
      </c>
      <c r="AG54" s="77" t="s">
        <v>278</v>
      </c>
      <c r="AH54" s="77" t="s">
        <v>278</v>
      </c>
      <c r="AI54" s="76">
        <f aca="true" t="shared" si="20" ref="AI54:AI81">SUMIF(AJ54:AM54,"&gt;0")</f>
        <v>0</v>
      </c>
      <c r="AJ54" s="77" t="s">
        <v>278</v>
      </c>
      <c r="AK54" s="77" t="s">
        <v>278</v>
      </c>
      <c r="AL54" s="77" t="s">
        <v>278</v>
      </c>
      <c r="AM54" s="77" t="s">
        <v>278</v>
      </c>
      <c r="AN54" s="115">
        <f aca="true" t="shared" si="21" ref="AN54:AN82">E54+J54+O54+T54+Y54+AD54+AI54</f>
        <v>7861</v>
      </c>
    </row>
    <row r="55" spans="1:40" s="17" customFormat="1" ht="110.25">
      <c r="A55" s="35" t="s">
        <v>300</v>
      </c>
      <c r="B55" s="28" t="s">
        <v>387</v>
      </c>
      <c r="C55" s="26" t="s">
        <v>54</v>
      </c>
      <c r="D55" s="11" t="s">
        <v>228</v>
      </c>
      <c r="E55" s="107">
        <f t="shared" si="1"/>
        <v>12540.7</v>
      </c>
      <c r="F55" s="114">
        <f>1407+567+13211-10-256.7775-2377.506</f>
        <v>12540.7</v>
      </c>
      <c r="G55" s="26" t="s">
        <v>278</v>
      </c>
      <c r="H55" s="26" t="s">
        <v>278</v>
      </c>
      <c r="I55" s="26" t="s">
        <v>278</v>
      </c>
      <c r="J55" s="107">
        <f t="shared" si="15"/>
        <v>14816.7</v>
      </c>
      <c r="K55" s="114">
        <f>15713-218.7-859.2-21.866+174-0.01751+768.9688-669.8652-69.588</f>
        <v>14816.7</v>
      </c>
      <c r="L55" s="77" t="s">
        <v>278</v>
      </c>
      <c r="M55" s="77" t="s">
        <v>278</v>
      </c>
      <c r="N55" s="77" t="s">
        <v>278</v>
      </c>
      <c r="O55" s="107">
        <f t="shared" si="16"/>
        <v>24446.3</v>
      </c>
      <c r="P55" s="114">
        <f>2039+5626+18300-2493+4580.632-0.17201-890-699.95589+0.02763+205-805.51218-1170.63068-20.02616-20.02616-205</f>
        <v>24446.3</v>
      </c>
      <c r="Q55" s="77" t="s">
        <v>278</v>
      </c>
      <c r="R55" s="77" t="s">
        <v>278</v>
      </c>
      <c r="S55" s="77" t="s">
        <v>278</v>
      </c>
      <c r="T55" s="107">
        <f t="shared" si="17"/>
        <v>17838</v>
      </c>
      <c r="U55" s="114">
        <f>4983+12855</f>
        <v>17838</v>
      </c>
      <c r="V55" s="77" t="s">
        <v>278</v>
      </c>
      <c r="W55" s="77" t="s">
        <v>278</v>
      </c>
      <c r="X55" s="77" t="s">
        <v>278</v>
      </c>
      <c r="Y55" s="107">
        <f t="shared" si="18"/>
        <v>7881</v>
      </c>
      <c r="Z55" s="114">
        <f>301+7580</f>
        <v>7881</v>
      </c>
      <c r="AA55" s="77" t="s">
        <v>278</v>
      </c>
      <c r="AB55" s="77" t="s">
        <v>278</v>
      </c>
      <c r="AC55" s="77" t="s">
        <v>278</v>
      </c>
      <c r="AD55" s="107">
        <f t="shared" si="19"/>
        <v>7881</v>
      </c>
      <c r="AE55" s="114">
        <f>1418+6463</f>
        <v>7881</v>
      </c>
      <c r="AF55" s="77" t="s">
        <v>278</v>
      </c>
      <c r="AG55" s="77" t="s">
        <v>278</v>
      </c>
      <c r="AH55" s="77" t="s">
        <v>278</v>
      </c>
      <c r="AI55" s="107">
        <f t="shared" si="20"/>
        <v>19157</v>
      </c>
      <c r="AJ55" s="114">
        <v>19157</v>
      </c>
      <c r="AK55" s="77" t="s">
        <v>278</v>
      </c>
      <c r="AL55" s="77" t="s">
        <v>278</v>
      </c>
      <c r="AM55" s="77" t="s">
        <v>278</v>
      </c>
      <c r="AN55" s="115">
        <f>E55+J55+O55+T55+Y55+AD55+AI55</f>
        <v>104560.7</v>
      </c>
    </row>
    <row r="56" spans="1:40" s="17" customFormat="1" ht="110.25">
      <c r="A56" s="35" t="s">
        <v>301</v>
      </c>
      <c r="B56" s="28" t="s">
        <v>302</v>
      </c>
      <c r="C56" s="26" t="s">
        <v>54</v>
      </c>
      <c r="D56" s="11" t="s">
        <v>441</v>
      </c>
      <c r="E56" s="76">
        <f t="shared" si="1"/>
        <v>0</v>
      </c>
      <c r="F56" s="26" t="s">
        <v>278</v>
      </c>
      <c r="G56" s="26" t="s">
        <v>278</v>
      </c>
      <c r="H56" s="26" t="s">
        <v>278</v>
      </c>
      <c r="I56" s="26" t="s">
        <v>278</v>
      </c>
      <c r="J56" s="107">
        <f t="shared" si="15"/>
        <v>10571</v>
      </c>
      <c r="K56" s="114">
        <f>385+3180+7006</f>
        <v>10571</v>
      </c>
      <c r="L56" s="77" t="s">
        <v>278</v>
      </c>
      <c r="M56" s="77" t="s">
        <v>278</v>
      </c>
      <c r="N56" s="77" t="s">
        <v>278</v>
      </c>
      <c r="O56" s="107">
        <f>SUMIF(P56:S56,"&gt;0")</f>
        <v>20873.9</v>
      </c>
      <c r="P56" s="114">
        <f>2033+1196+1500+20106.72-411.275-1187.46011-2247.5-193.79425+78.2</f>
        <v>20873.9</v>
      </c>
      <c r="Q56" s="77" t="s">
        <v>278</v>
      </c>
      <c r="R56" s="77" t="s">
        <v>278</v>
      </c>
      <c r="S56" s="77" t="s">
        <v>278</v>
      </c>
      <c r="T56" s="107">
        <f t="shared" si="17"/>
        <v>3460</v>
      </c>
      <c r="U56" s="114">
        <f>460+3000</f>
        <v>3460</v>
      </c>
      <c r="V56" s="77" t="s">
        <v>278</v>
      </c>
      <c r="W56" s="77" t="s">
        <v>278</v>
      </c>
      <c r="X56" s="77" t="s">
        <v>278</v>
      </c>
      <c r="Y56" s="76">
        <f t="shared" si="18"/>
        <v>0</v>
      </c>
      <c r="Z56" s="77" t="s">
        <v>278</v>
      </c>
      <c r="AA56" s="77" t="s">
        <v>278</v>
      </c>
      <c r="AB56" s="77" t="s">
        <v>278</v>
      </c>
      <c r="AC56" s="77" t="s">
        <v>278</v>
      </c>
      <c r="AD56" s="76">
        <f t="shared" si="19"/>
        <v>0</v>
      </c>
      <c r="AE56" s="77" t="s">
        <v>278</v>
      </c>
      <c r="AF56" s="77" t="s">
        <v>278</v>
      </c>
      <c r="AG56" s="77" t="s">
        <v>278</v>
      </c>
      <c r="AH56" s="77" t="s">
        <v>278</v>
      </c>
      <c r="AI56" s="76">
        <f t="shared" si="20"/>
        <v>0</v>
      </c>
      <c r="AJ56" s="77" t="s">
        <v>278</v>
      </c>
      <c r="AK56" s="77" t="s">
        <v>278</v>
      </c>
      <c r="AL56" s="77" t="s">
        <v>278</v>
      </c>
      <c r="AM56" s="77" t="s">
        <v>278</v>
      </c>
      <c r="AN56" s="115">
        <f t="shared" si="21"/>
        <v>34904.9</v>
      </c>
    </row>
    <row r="57" spans="1:40" s="17" customFormat="1" ht="110.25">
      <c r="A57" s="35" t="s">
        <v>304</v>
      </c>
      <c r="B57" s="28" t="s">
        <v>399</v>
      </c>
      <c r="C57" s="26" t="s">
        <v>54</v>
      </c>
      <c r="D57" s="11" t="s">
        <v>228</v>
      </c>
      <c r="E57" s="76">
        <f t="shared" si="1"/>
        <v>0</v>
      </c>
      <c r="F57" s="26" t="s">
        <v>278</v>
      </c>
      <c r="G57" s="26" t="s">
        <v>278</v>
      </c>
      <c r="H57" s="26" t="s">
        <v>278</v>
      </c>
      <c r="I57" s="26" t="s">
        <v>278</v>
      </c>
      <c r="J57" s="76">
        <f t="shared" si="15"/>
        <v>0</v>
      </c>
      <c r="K57" s="77" t="s">
        <v>278</v>
      </c>
      <c r="L57" s="77" t="s">
        <v>278</v>
      </c>
      <c r="M57" s="77" t="s">
        <v>278</v>
      </c>
      <c r="N57" s="77" t="s">
        <v>278</v>
      </c>
      <c r="O57" s="107">
        <f>SUMIF(P57:S57,"&gt;0")</f>
        <v>230</v>
      </c>
      <c r="P57" s="114">
        <f>230</f>
        <v>230</v>
      </c>
      <c r="Q57" s="77" t="s">
        <v>278</v>
      </c>
      <c r="R57" s="77" t="s">
        <v>278</v>
      </c>
      <c r="S57" s="77" t="s">
        <v>278</v>
      </c>
      <c r="T57" s="76">
        <f t="shared" si="17"/>
        <v>0</v>
      </c>
      <c r="U57" s="77" t="s">
        <v>278</v>
      </c>
      <c r="V57" s="77" t="s">
        <v>278</v>
      </c>
      <c r="W57" s="77" t="s">
        <v>278</v>
      </c>
      <c r="X57" s="77" t="s">
        <v>278</v>
      </c>
      <c r="Y57" s="76">
        <f>SUMIF(Z57:AC57,"&gt;0")</f>
        <v>0</v>
      </c>
      <c r="Z57" s="77" t="s">
        <v>278</v>
      </c>
      <c r="AA57" s="77" t="s">
        <v>278</v>
      </c>
      <c r="AB57" s="77" t="s">
        <v>278</v>
      </c>
      <c r="AC57" s="77" t="s">
        <v>278</v>
      </c>
      <c r="AD57" s="76">
        <f>SUMIF(AE57:AH57,"&gt;0")</f>
        <v>0</v>
      </c>
      <c r="AE57" s="77" t="s">
        <v>278</v>
      </c>
      <c r="AF57" s="77" t="s">
        <v>278</v>
      </c>
      <c r="AG57" s="77" t="s">
        <v>278</v>
      </c>
      <c r="AH57" s="77" t="s">
        <v>278</v>
      </c>
      <c r="AI57" s="107">
        <f t="shared" si="20"/>
        <v>9792</v>
      </c>
      <c r="AJ57" s="114">
        <v>9792</v>
      </c>
      <c r="AK57" s="77" t="s">
        <v>278</v>
      </c>
      <c r="AL57" s="77" t="s">
        <v>278</v>
      </c>
      <c r="AM57" s="77" t="s">
        <v>278</v>
      </c>
      <c r="AN57" s="115">
        <f t="shared" si="21"/>
        <v>10022</v>
      </c>
    </row>
    <row r="58" spans="1:40" s="17" customFormat="1" ht="110.25" customHeight="1">
      <c r="A58" s="156" t="s">
        <v>305</v>
      </c>
      <c r="B58" s="28" t="s">
        <v>216</v>
      </c>
      <c r="C58" s="154" t="s">
        <v>54</v>
      </c>
      <c r="D58" s="11" t="s">
        <v>237</v>
      </c>
      <c r="E58" s="107">
        <f t="shared" si="1"/>
        <v>3647.3</v>
      </c>
      <c r="F58" s="111">
        <f>182.3667+182.3667-182.3667</f>
        <v>182.4</v>
      </c>
      <c r="G58" s="111">
        <f>1212.73856</f>
        <v>1212.7</v>
      </c>
      <c r="H58" s="111">
        <f>2252.22872</f>
        <v>2252.2</v>
      </c>
      <c r="I58" s="26" t="s">
        <v>278</v>
      </c>
      <c r="J58" s="76">
        <f t="shared" si="15"/>
        <v>0</v>
      </c>
      <c r="K58" s="77" t="s">
        <v>278</v>
      </c>
      <c r="L58" s="77" t="s">
        <v>278</v>
      </c>
      <c r="M58" s="77" t="s">
        <v>278</v>
      </c>
      <c r="N58" s="77" t="s">
        <v>278</v>
      </c>
      <c r="O58" s="76">
        <f>SUMIF(P58:S58,"&gt;0")</f>
        <v>0</v>
      </c>
      <c r="P58" s="77" t="s">
        <v>278</v>
      </c>
      <c r="Q58" s="77" t="s">
        <v>278</v>
      </c>
      <c r="R58" s="77" t="s">
        <v>278</v>
      </c>
      <c r="S58" s="77" t="s">
        <v>278</v>
      </c>
      <c r="T58" s="76">
        <f t="shared" si="17"/>
        <v>0</v>
      </c>
      <c r="U58" s="77" t="s">
        <v>278</v>
      </c>
      <c r="V58" s="77" t="s">
        <v>278</v>
      </c>
      <c r="W58" s="77" t="s">
        <v>278</v>
      </c>
      <c r="X58" s="77" t="s">
        <v>278</v>
      </c>
      <c r="Y58" s="76">
        <f>SUMIF(Z58:AC58,"&gt;0")</f>
        <v>0</v>
      </c>
      <c r="Z58" s="77" t="s">
        <v>278</v>
      </c>
      <c r="AA58" s="77" t="s">
        <v>278</v>
      </c>
      <c r="AB58" s="77" t="s">
        <v>278</v>
      </c>
      <c r="AC58" s="77" t="s">
        <v>278</v>
      </c>
      <c r="AD58" s="76">
        <f>SUMIF(AE58:AH58,"&gt;0")</f>
        <v>0</v>
      </c>
      <c r="AE58" s="77" t="s">
        <v>278</v>
      </c>
      <c r="AF58" s="77" t="s">
        <v>278</v>
      </c>
      <c r="AG58" s="77" t="s">
        <v>278</v>
      </c>
      <c r="AH58" s="77" t="s">
        <v>278</v>
      </c>
      <c r="AI58" s="107">
        <f t="shared" si="20"/>
        <v>115362</v>
      </c>
      <c r="AJ58" s="111">
        <v>17304.3</v>
      </c>
      <c r="AK58" s="111">
        <v>98057.7</v>
      </c>
      <c r="AL58" s="77" t="s">
        <v>278</v>
      </c>
      <c r="AM58" s="77" t="s">
        <v>278</v>
      </c>
      <c r="AN58" s="115">
        <f t="shared" si="21"/>
        <v>119009.3</v>
      </c>
    </row>
    <row r="59" spans="1:40" s="17" customFormat="1" ht="31.5">
      <c r="A59" s="157"/>
      <c r="B59" s="75" t="s">
        <v>378</v>
      </c>
      <c r="C59" s="155"/>
      <c r="D59" s="96">
        <v>2021</v>
      </c>
      <c r="E59" s="107">
        <f t="shared" si="1"/>
        <v>605.2</v>
      </c>
      <c r="F59" s="111">
        <f>605.19794</f>
        <v>605.2</v>
      </c>
      <c r="G59" s="106">
        <v>0</v>
      </c>
      <c r="H59" s="106">
        <v>0</v>
      </c>
      <c r="I59" s="106">
        <v>0</v>
      </c>
      <c r="J59" s="76">
        <f t="shared" si="15"/>
        <v>0</v>
      </c>
      <c r="K59" s="106">
        <v>0</v>
      </c>
      <c r="L59" s="106">
        <v>0</v>
      </c>
      <c r="M59" s="106">
        <v>0</v>
      </c>
      <c r="N59" s="106">
        <v>0</v>
      </c>
      <c r="O59" s="76">
        <f>SUMIF(P59:S59,"&gt;0")</f>
        <v>0</v>
      </c>
      <c r="P59" s="106">
        <v>0</v>
      </c>
      <c r="Q59" s="106">
        <v>0</v>
      </c>
      <c r="R59" s="106">
        <v>0</v>
      </c>
      <c r="S59" s="106">
        <v>0</v>
      </c>
      <c r="T59" s="76">
        <f t="shared" si="17"/>
        <v>0</v>
      </c>
      <c r="U59" s="106">
        <v>0</v>
      </c>
      <c r="V59" s="106">
        <v>0</v>
      </c>
      <c r="W59" s="106">
        <v>0</v>
      </c>
      <c r="X59" s="106">
        <v>0</v>
      </c>
      <c r="Y59" s="76">
        <f t="shared" si="18"/>
        <v>0</v>
      </c>
      <c r="Z59" s="106">
        <v>0</v>
      </c>
      <c r="AA59" s="106">
        <v>0</v>
      </c>
      <c r="AB59" s="106">
        <v>0</v>
      </c>
      <c r="AC59" s="106">
        <v>0</v>
      </c>
      <c r="AD59" s="76">
        <f t="shared" si="19"/>
        <v>0</v>
      </c>
      <c r="AE59" s="106">
        <v>0</v>
      </c>
      <c r="AF59" s="106">
        <v>0</v>
      </c>
      <c r="AG59" s="106">
        <v>0</v>
      </c>
      <c r="AH59" s="106">
        <v>0</v>
      </c>
      <c r="AI59" s="76">
        <f t="shared" si="20"/>
        <v>0</v>
      </c>
      <c r="AJ59" s="106">
        <v>0</v>
      </c>
      <c r="AK59" s="106">
        <v>0</v>
      </c>
      <c r="AL59" s="106">
        <v>0</v>
      </c>
      <c r="AM59" s="106">
        <v>0</v>
      </c>
      <c r="AN59" s="107">
        <f t="shared" si="21"/>
        <v>605.2</v>
      </c>
    </row>
    <row r="60" spans="1:40" s="17" customFormat="1" ht="144" customHeight="1">
      <c r="A60" s="35" t="s">
        <v>306</v>
      </c>
      <c r="B60" s="28" t="s">
        <v>189</v>
      </c>
      <c r="C60" s="26" t="s">
        <v>54</v>
      </c>
      <c r="D60" s="77">
        <v>2021</v>
      </c>
      <c r="E60" s="107">
        <f t="shared" si="1"/>
        <v>6067.7</v>
      </c>
      <c r="F60" s="111">
        <f>145+257.892</f>
        <v>402.9</v>
      </c>
      <c r="G60" s="111">
        <f>2027+3637.758</f>
        <v>5664.8</v>
      </c>
      <c r="H60" s="26" t="s">
        <v>278</v>
      </c>
      <c r="I60" s="26" t="s">
        <v>278</v>
      </c>
      <c r="J60" s="76">
        <f>SUMIF(K60:N60,"&gt;0")</f>
        <v>0</v>
      </c>
      <c r="K60" s="77" t="s">
        <v>278</v>
      </c>
      <c r="L60" s="77" t="s">
        <v>278</v>
      </c>
      <c r="M60" s="77" t="s">
        <v>278</v>
      </c>
      <c r="N60" s="77" t="s">
        <v>278</v>
      </c>
      <c r="O60" s="76">
        <f t="shared" si="16"/>
        <v>0</v>
      </c>
      <c r="P60" s="77" t="s">
        <v>278</v>
      </c>
      <c r="Q60" s="77" t="s">
        <v>278</v>
      </c>
      <c r="R60" s="77" t="s">
        <v>278</v>
      </c>
      <c r="S60" s="77" t="s">
        <v>278</v>
      </c>
      <c r="T60" s="76">
        <f t="shared" si="17"/>
        <v>0</v>
      </c>
      <c r="U60" s="77" t="s">
        <v>278</v>
      </c>
      <c r="V60" s="77" t="s">
        <v>278</v>
      </c>
      <c r="W60" s="77" t="s">
        <v>278</v>
      </c>
      <c r="X60" s="77" t="s">
        <v>278</v>
      </c>
      <c r="Y60" s="76">
        <f t="shared" si="18"/>
        <v>0</v>
      </c>
      <c r="Z60" s="77" t="s">
        <v>278</v>
      </c>
      <c r="AA60" s="77" t="s">
        <v>278</v>
      </c>
      <c r="AB60" s="77" t="s">
        <v>278</v>
      </c>
      <c r="AC60" s="77" t="s">
        <v>278</v>
      </c>
      <c r="AD60" s="76">
        <f t="shared" si="19"/>
        <v>0</v>
      </c>
      <c r="AE60" s="77" t="s">
        <v>278</v>
      </c>
      <c r="AF60" s="77" t="s">
        <v>278</v>
      </c>
      <c r="AG60" s="77" t="s">
        <v>278</v>
      </c>
      <c r="AH60" s="77" t="s">
        <v>278</v>
      </c>
      <c r="AI60" s="76">
        <f t="shared" si="20"/>
        <v>0</v>
      </c>
      <c r="AJ60" s="77" t="s">
        <v>278</v>
      </c>
      <c r="AK60" s="77" t="s">
        <v>278</v>
      </c>
      <c r="AL60" s="77" t="s">
        <v>278</v>
      </c>
      <c r="AM60" s="77" t="s">
        <v>278</v>
      </c>
      <c r="AN60" s="107">
        <f t="shared" si="21"/>
        <v>6067.7</v>
      </c>
    </row>
    <row r="61" spans="1:40" s="17" customFormat="1" ht="110.25">
      <c r="A61" s="35" t="s">
        <v>307</v>
      </c>
      <c r="B61" s="28" t="s">
        <v>319</v>
      </c>
      <c r="C61" s="26" t="s">
        <v>54</v>
      </c>
      <c r="D61" s="11" t="s">
        <v>303</v>
      </c>
      <c r="E61" s="76">
        <f t="shared" si="1"/>
        <v>0</v>
      </c>
      <c r="F61" s="26" t="s">
        <v>278</v>
      </c>
      <c r="G61" s="26" t="s">
        <v>278</v>
      </c>
      <c r="H61" s="26" t="s">
        <v>278</v>
      </c>
      <c r="I61" s="26" t="s">
        <v>278</v>
      </c>
      <c r="J61" s="76">
        <f aca="true" t="shared" si="22" ref="J61:J69">SUMIF(K61:N61,"&gt;0")</f>
        <v>0</v>
      </c>
      <c r="K61" s="77" t="s">
        <v>278</v>
      </c>
      <c r="L61" s="77" t="s">
        <v>278</v>
      </c>
      <c r="M61" s="77" t="s">
        <v>278</v>
      </c>
      <c r="N61" s="77" t="s">
        <v>278</v>
      </c>
      <c r="O61" s="76">
        <f t="shared" si="16"/>
        <v>0</v>
      </c>
      <c r="P61" s="77" t="s">
        <v>278</v>
      </c>
      <c r="Q61" s="77" t="s">
        <v>278</v>
      </c>
      <c r="R61" s="77" t="s">
        <v>278</v>
      </c>
      <c r="S61" s="77" t="s">
        <v>278</v>
      </c>
      <c r="T61" s="76">
        <f t="shared" si="17"/>
        <v>0</v>
      </c>
      <c r="U61" s="77" t="s">
        <v>278</v>
      </c>
      <c r="V61" s="77" t="s">
        <v>278</v>
      </c>
      <c r="W61" s="77" t="s">
        <v>278</v>
      </c>
      <c r="X61" s="77" t="s">
        <v>278</v>
      </c>
      <c r="Y61" s="76">
        <f t="shared" si="18"/>
        <v>0</v>
      </c>
      <c r="Z61" s="77" t="s">
        <v>278</v>
      </c>
      <c r="AA61" s="77" t="s">
        <v>278</v>
      </c>
      <c r="AB61" s="77" t="s">
        <v>278</v>
      </c>
      <c r="AC61" s="77" t="s">
        <v>278</v>
      </c>
      <c r="AD61" s="76">
        <f t="shared" si="19"/>
        <v>0</v>
      </c>
      <c r="AE61" s="77" t="s">
        <v>278</v>
      </c>
      <c r="AF61" s="77" t="s">
        <v>278</v>
      </c>
      <c r="AG61" s="77" t="s">
        <v>278</v>
      </c>
      <c r="AH61" s="77" t="s">
        <v>278</v>
      </c>
      <c r="AI61" s="76">
        <f t="shared" si="20"/>
        <v>0</v>
      </c>
      <c r="AJ61" s="77" t="s">
        <v>278</v>
      </c>
      <c r="AK61" s="77" t="s">
        <v>278</v>
      </c>
      <c r="AL61" s="77" t="s">
        <v>278</v>
      </c>
      <c r="AM61" s="77" t="s">
        <v>278</v>
      </c>
      <c r="AN61" s="76">
        <f t="shared" si="21"/>
        <v>0</v>
      </c>
    </row>
    <row r="62" spans="1:40" s="18" customFormat="1" ht="110.25">
      <c r="A62" s="35" t="s">
        <v>308</v>
      </c>
      <c r="B62" s="28" t="s">
        <v>310</v>
      </c>
      <c r="C62" s="26" t="s">
        <v>54</v>
      </c>
      <c r="D62" s="11" t="s">
        <v>237</v>
      </c>
      <c r="E62" s="76">
        <f t="shared" si="1"/>
        <v>0</v>
      </c>
      <c r="F62" s="26" t="s">
        <v>278</v>
      </c>
      <c r="G62" s="26" t="s">
        <v>278</v>
      </c>
      <c r="H62" s="26" t="s">
        <v>278</v>
      </c>
      <c r="I62" s="26" t="s">
        <v>278</v>
      </c>
      <c r="J62" s="76">
        <f t="shared" si="22"/>
        <v>0</v>
      </c>
      <c r="K62" s="77" t="s">
        <v>278</v>
      </c>
      <c r="L62" s="77" t="s">
        <v>278</v>
      </c>
      <c r="M62" s="77" t="s">
        <v>278</v>
      </c>
      <c r="N62" s="77" t="s">
        <v>278</v>
      </c>
      <c r="O62" s="76">
        <f aca="true" t="shared" si="23" ref="O62:O70">SUMIF(P62:S62,"&gt;0")</f>
        <v>0</v>
      </c>
      <c r="P62" s="77" t="s">
        <v>278</v>
      </c>
      <c r="Q62" s="77" t="s">
        <v>278</v>
      </c>
      <c r="R62" s="77" t="s">
        <v>278</v>
      </c>
      <c r="S62" s="77" t="s">
        <v>278</v>
      </c>
      <c r="T62" s="76">
        <f t="shared" si="17"/>
        <v>0</v>
      </c>
      <c r="U62" s="77" t="s">
        <v>278</v>
      </c>
      <c r="V62" s="77" t="s">
        <v>278</v>
      </c>
      <c r="W62" s="77" t="s">
        <v>278</v>
      </c>
      <c r="X62" s="77" t="s">
        <v>278</v>
      </c>
      <c r="Y62" s="76">
        <f aca="true" t="shared" si="24" ref="Y62:Y67">SUMIF(Z62:AC62,"&gt;0")</f>
        <v>0</v>
      </c>
      <c r="Z62" s="77" t="s">
        <v>278</v>
      </c>
      <c r="AA62" s="77" t="s">
        <v>278</v>
      </c>
      <c r="AB62" s="77" t="s">
        <v>278</v>
      </c>
      <c r="AC62" s="77" t="s">
        <v>278</v>
      </c>
      <c r="AD62" s="76">
        <f t="shared" si="19"/>
        <v>0</v>
      </c>
      <c r="AE62" s="77" t="s">
        <v>278</v>
      </c>
      <c r="AF62" s="77" t="s">
        <v>278</v>
      </c>
      <c r="AG62" s="77" t="s">
        <v>278</v>
      </c>
      <c r="AH62" s="77" t="s">
        <v>278</v>
      </c>
      <c r="AI62" s="107">
        <f t="shared" si="20"/>
        <v>68150</v>
      </c>
      <c r="AJ62" s="111">
        <v>68150</v>
      </c>
      <c r="AK62" s="77" t="s">
        <v>278</v>
      </c>
      <c r="AL62" s="77" t="s">
        <v>278</v>
      </c>
      <c r="AM62" s="77" t="s">
        <v>278</v>
      </c>
      <c r="AN62" s="115">
        <f t="shared" si="21"/>
        <v>68150</v>
      </c>
    </row>
    <row r="63" spans="1:40" s="31" customFormat="1" ht="120" customHeight="1">
      <c r="A63" s="35" t="s">
        <v>309</v>
      </c>
      <c r="B63" s="28" t="s">
        <v>311</v>
      </c>
      <c r="C63" s="26" t="s">
        <v>54</v>
      </c>
      <c r="D63" s="11" t="s">
        <v>237</v>
      </c>
      <c r="E63" s="76">
        <f t="shared" si="1"/>
        <v>0</v>
      </c>
      <c r="F63" s="26" t="s">
        <v>278</v>
      </c>
      <c r="G63" s="26" t="s">
        <v>278</v>
      </c>
      <c r="H63" s="26" t="s">
        <v>278</v>
      </c>
      <c r="I63" s="26" t="s">
        <v>278</v>
      </c>
      <c r="J63" s="76">
        <f t="shared" si="22"/>
        <v>0</v>
      </c>
      <c r="K63" s="77" t="s">
        <v>278</v>
      </c>
      <c r="L63" s="77" t="s">
        <v>278</v>
      </c>
      <c r="M63" s="77" t="s">
        <v>278</v>
      </c>
      <c r="N63" s="77" t="s">
        <v>278</v>
      </c>
      <c r="O63" s="76">
        <f t="shared" si="23"/>
        <v>0</v>
      </c>
      <c r="P63" s="77" t="s">
        <v>278</v>
      </c>
      <c r="Q63" s="77" t="s">
        <v>278</v>
      </c>
      <c r="R63" s="77" t="s">
        <v>278</v>
      </c>
      <c r="S63" s="77" t="s">
        <v>278</v>
      </c>
      <c r="T63" s="76">
        <f aca="true" t="shared" si="25" ref="T63:T68">SUMIF(U63:X63,"&gt;0")</f>
        <v>0</v>
      </c>
      <c r="U63" s="77" t="s">
        <v>278</v>
      </c>
      <c r="V63" s="77" t="s">
        <v>278</v>
      </c>
      <c r="W63" s="77" t="s">
        <v>278</v>
      </c>
      <c r="X63" s="77" t="s">
        <v>278</v>
      </c>
      <c r="Y63" s="76">
        <f t="shared" si="24"/>
        <v>0</v>
      </c>
      <c r="Z63" s="77" t="s">
        <v>278</v>
      </c>
      <c r="AA63" s="77" t="s">
        <v>278</v>
      </c>
      <c r="AB63" s="77" t="s">
        <v>278</v>
      </c>
      <c r="AC63" s="77" t="s">
        <v>278</v>
      </c>
      <c r="AD63" s="76">
        <f aca="true" t="shared" si="26" ref="AD63:AD68">SUMIF(AE63:AH63,"&gt;0")</f>
        <v>0</v>
      </c>
      <c r="AE63" s="77" t="s">
        <v>278</v>
      </c>
      <c r="AF63" s="77" t="s">
        <v>278</v>
      </c>
      <c r="AG63" s="77" t="s">
        <v>278</v>
      </c>
      <c r="AH63" s="77" t="s">
        <v>278</v>
      </c>
      <c r="AI63" s="107">
        <f aca="true" t="shared" si="27" ref="AI63:AI68">SUMIF(AJ63:AM63,"&gt;0")</f>
        <v>16954</v>
      </c>
      <c r="AJ63" s="111">
        <v>16954</v>
      </c>
      <c r="AK63" s="77" t="s">
        <v>278</v>
      </c>
      <c r="AL63" s="77" t="s">
        <v>278</v>
      </c>
      <c r="AM63" s="77" t="s">
        <v>278</v>
      </c>
      <c r="AN63" s="115">
        <f aca="true" t="shared" si="28" ref="AN63:AN68">E63+J63+O63+T63+Y63+AD63+AI63</f>
        <v>16954</v>
      </c>
    </row>
    <row r="64" spans="1:40" s="31" customFormat="1" ht="120" customHeight="1">
      <c r="A64" s="35" t="s">
        <v>348</v>
      </c>
      <c r="B64" s="133" t="s">
        <v>424</v>
      </c>
      <c r="C64" s="26" t="s">
        <v>54</v>
      </c>
      <c r="D64" s="11" t="s">
        <v>237</v>
      </c>
      <c r="E64" s="107">
        <f t="shared" si="1"/>
        <v>3863.3</v>
      </c>
      <c r="F64" s="111">
        <f>4940-299-777.653</f>
        <v>3863.3</v>
      </c>
      <c r="G64" s="11" t="s">
        <v>278</v>
      </c>
      <c r="H64" s="26" t="s">
        <v>278</v>
      </c>
      <c r="I64" s="26" t="s">
        <v>278</v>
      </c>
      <c r="J64" s="107">
        <f t="shared" si="22"/>
        <v>24683.8</v>
      </c>
      <c r="K64" s="111">
        <f>27513+2800-606.1-18.1-55+21.866-174-431.896-0.0172-249+249-1190-2005-1170.912</f>
        <v>24683.8</v>
      </c>
      <c r="L64" s="77" t="s">
        <v>278</v>
      </c>
      <c r="M64" s="77" t="s">
        <v>278</v>
      </c>
      <c r="N64" s="77" t="s">
        <v>278</v>
      </c>
      <c r="O64" s="107">
        <f t="shared" si="23"/>
        <v>17900.4</v>
      </c>
      <c r="P64" s="111">
        <f>16158+5173.7-1363.1-258.44242-727.82683-755.12423-149.6-177.21983</f>
        <v>17900.4</v>
      </c>
      <c r="Q64" s="77" t="s">
        <v>278</v>
      </c>
      <c r="R64" s="77" t="s">
        <v>278</v>
      </c>
      <c r="S64" s="77" t="s">
        <v>278</v>
      </c>
      <c r="T64" s="107">
        <f t="shared" si="25"/>
        <v>33182.1</v>
      </c>
      <c r="U64" s="111">
        <f>10138+2529+19530+230+13941+755.12423-13941</f>
        <v>33182.1</v>
      </c>
      <c r="V64" s="77" t="s">
        <v>278</v>
      </c>
      <c r="W64" s="77" t="s">
        <v>278</v>
      </c>
      <c r="X64" s="77" t="s">
        <v>278</v>
      </c>
      <c r="Y64" s="107">
        <f t="shared" si="24"/>
        <v>15430</v>
      </c>
      <c r="Z64" s="111">
        <f>3485+11945</f>
        <v>15430</v>
      </c>
      <c r="AA64" s="77" t="s">
        <v>278</v>
      </c>
      <c r="AB64" s="77" t="s">
        <v>278</v>
      </c>
      <c r="AC64" s="77" t="s">
        <v>278</v>
      </c>
      <c r="AD64" s="107">
        <f t="shared" si="26"/>
        <v>15430</v>
      </c>
      <c r="AE64" s="111">
        <f>4228+10007+1195</f>
        <v>15430</v>
      </c>
      <c r="AF64" s="77" t="s">
        <v>278</v>
      </c>
      <c r="AG64" s="77" t="s">
        <v>278</v>
      </c>
      <c r="AH64" s="77" t="s">
        <v>278</v>
      </c>
      <c r="AI64" s="76">
        <f t="shared" si="27"/>
        <v>0</v>
      </c>
      <c r="AJ64" s="77" t="s">
        <v>278</v>
      </c>
      <c r="AK64" s="77" t="s">
        <v>278</v>
      </c>
      <c r="AL64" s="77" t="s">
        <v>278</v>
      </c>
      <c r="AM64" s="77" t="s">
        <v>278</v>
      </c>
      <c r="AN64" s="115">
        <f t="shared" si="28"/>
        <v>110489.6</v>
      </c>
    </row>
    <row r="65" spans="1:40" s="31" customFormat="1" ht="120" customHeight="1">
      <c r="A65" s="35" t="s">
        <v>351</v>
      </c>
      <c r="B65" s="93" t="s">
        <v>573</v>
      </c>
      <c r="C65" s="26" t="s">
        <v>54</v>
      </c>
      <c r="D65" s="11" t="s">
        <v>237</v>
      </c>
      <c r="E65" s="107">
        <f t="shared" si="1"/>
        <v>29681.6</v>
      </c>
      <c r="F65" s="111">
        <f>2292.82588+1477.18941+790.998</f>
        <v>4561</v>
      </c>
      <c r="G65" s="111">
        <f>12992.68+8370.74+3757.1732</f>
        <v>25120.6</v>
      </c>
      <c r="H65" s="26" t="s">
        <v>278</v>
      </c>
      <c r="I65" s="26" t="s">
        <v>278</v>
      </c>
      <c r="J65" s="107">
        <f t="shared" si="22"/>
        <v>15335.4</v>
      </c>
      <c r="K65" s="111">
        <f>819+234+4000+10833.0352-1.9-819-234-666.59821+1170.912</f>
        <v>15335.4</v>
      </c>
      <c r="L65" s="77" t="s">
        <v>278</v>
      </c>
      <c r="M65" s="77" t="s">
        <v>278</v>
      </c>
      <c r="N65" s="77" t="s">
        <v>278</v>
      </c>
      <c r="O65" s="111">
        <f t="shared" si="23"/>
        <v>1028.8</v>
      </c>
      <c r="P65" s="111">
        <f>1028.78</f>
        <v>1028.8</v>
      </c>
      <c r="Q65" s="77" t="s">
        <v>278</v>
      </c>
      <c r="R65" s="77" t="s">
        <v>278</v>
      </c>
      <c r="S65" s="77" t="s">
        <v>278</v>
      </c>
      <c r="T65" s="107">
        <f t="shared" si="25"/>
        <v>5586.3</v>
      </c>
      <c r="U65" s="111">
        <f>1500+500+1303.9327+2282.392</f>
        <v>5586.3</v>
      </c>
      <c r="V65" s="77" t="s">
        <v>278</v>
      </c>
      <c r="W65" s="77" t="s">
        <v>278</v>
      </c>
      <c r="X65" s="77" t="s">
        <v>278</v>
      </c>
      <c r="Y65" s="76">
        <f t="shared" si="24"/>
        <v>0</v>
      </c>
      <c r="Z65" s="77" t="s">
        <v>278</v>
      </c>
      <c r="AA65" s="77" t="s">
        <v>278</v>
      </c>
      <c r="AB65" s="77" t="s">
        <v>278</v>
      </c>
      <c r="AC65" s="77" t="s">
        <v>278</v>
      </c>
      <c r="AD65" s="107">
        <f t="shared" si="26"/>
        <v>294</v>
      </c>
      <c r="AE65" s="111">
        <f>294</f>
        <v>294</v>
      </c>
      <c r="AF65" s="77" t="s">
        <v>278</v>
      </c>
      <c r="AG65" s="77" t="s">
        <v>278</v>
      </c>
      <c r="AH65" s="77" t="s">
        <v>278</v>
      </c>
      <c r="AI65" s="76">
        <f t="shared" si="27"/>
        <v>0</v>
      </c>
      <c r="AJ65" s="77" t="s">
        <v>278</v>
      </c>
      <c r="AK65" s="77" t="s">
        <v>278</v>
      </c>
      <c r="AL65" s="77" t="s">
        <v>278</v>
      </c>
      <c r="AM65" s="77" t="s">
        <v>278</v>
      </c>
      <c r="AN65" s="115">
        <f t="shared" si="28"/>
        <v>51926.1</v>
      </c>
    </row>
    <row r="66" spans="1:40" s="31" customFormat="1" ht="120" customHeight="1">
      <c r="A66" s="35" t="s">
        <v>353</v>
      </c>
      <c r="B66" s="93" t="s">
        <v>352</v>
      </c>
      <c r="C66" s="26" t="s">
        <v>54</v>
      </c>
      <c r="D66" s="11" t="s">
        <v>237</v>
      </c>
      <c r="E66" s="107">
        <f t="shared" si="1"/>
        <v>2414</v>
      </c>
      <c r="F66" s="111">
        <f>2591-176.97228</f>
        <v>2414</v>
      </c>
      <c r="G66" s="26" t="s">
        <v>278</v>
      </c>
      <c r="H66" s="26" t="s">
        <v>278</v>
      </c>
      <c r="I66" s="26" t="s">
        <v>278</v>
      </c>
      <c r="J66" s="107">
        <f t="shared" si="22"/>
        <v>6221.9</v>
      </c>
      <c r="K66" s="111">
        <f>1417.63+32+1190+1755</f>
        <v>4394.6</v>
      </c>
      <c r="L66" s="77" t="s">
        <v>278</v>
      </c>
      <c r="M66" s="77" t="s">
        <v>278</v>
      </c>
      <c r="N66" s="111">
        <f>1827.33</f>
        <v>1827.3</v>
      </c>
      <c r="O66" s="107">
        <f>SUMIF(P66:S66,"&gt;0")</f>
        <v>1381</v>
      </c>
      <c r="P66" s="111">
        <f>3229-2033-744-452+1659.011-26.62174-0.54934-245.1-217.89419+0.03472+212.1</f>
        <v>1381</v>
      </c>
      <c r="Q66" s="77" t="s">
        <v>278</v>
      </c>
      <c r="R66" s="77" t="s">
        <v>278</v>
      </c>
      <c r="S66" s="77" t="s">
        <v>278</v>
      </c>
      <c r="T66" s="107">
        <f>SUMIF(U66:X66,"&gt;0")</f>
        <v>3750</v>
      </c>
      <c r="U66" s="111">
        <f>1750+500+1500</f>
        <v>3750</v>
      </c>
      <c r="V66" s="77" t="s">
        <v>278</v>
      </c>
      <c r="W66" s="77" t="s">
        <v>278</v>
      </c>
      <c r="X66" s="77" t="s">
        <v>278</v>
      </c>
      <c r="Y66" s="76">
        <f t="shared" si="24"/>
        <v>0</v>
      </c>
      <c r="Z66" s="77" t="s">
        <v>278</v>
      </c>
      <c r="AA66" s="77" t="s">
        <v>278</v>
      </c>
      <c r="AB66" s="77" t="s">
        <v>278</v>
      </c>
      <c r="AC66" s="77" t="s">
        <v>278</v>
      </c>
      <c r="AD66" s="76">
        <f t="shared" si="26"/>
        <v>0</v>
      </c>
      <c r="AE66" s="77" t="s">
        <v>278</v>
      </c>
      <c r="AF66" s="77" t="s">
        <v>278</v>
      </c>
      <c r="AG66" s="77" t="s">
        <v>278</v>
      </c>
      <c r="AH66" s="77" t="s">
        <v>278</v>
      </c>
      <c r="AI66" s="76">
        <f t="shared" si="27"/>
        <v>0</v>
      </c>
      <c r="AJ66" s="77" t="s">
        <v>278</v>
      </c>
      <c r="AK66" s="77" t="s">
        <v>278</v>
      </c>
      <c r="AL66" s="77" t="s">
        <v>278</v>
      </c>
      <c r="AM66" s="77" t="s">
        <v>278</v>
      </c>
      <c r="AN66" s="115">
        <f t="shared" si="28"/>
        <v>13766.9</v>
      </c>
    </row>
    <row r="67" spans="1:40" s="31" customFormat="1" ht="120" customHeight="1">
      <c r="A67" s="35" t="s">
        <v>358</v>
      </c>
      <c r="B67" s="93" t="s">
        <v>379</v>
      </c>
      <c r="C67" s="26" t="s">
        <v>54</v>
      </c>
      <c r="D67" s="96">
        <v>2021</v>
      </c>
      <c r="E67" s="107">
        <f>SUMIF(F67:I67,"&gt;0")</f>
        <v>619.9</v>
      </c>
      <c r="F67" s="111">
        <f>619.94697</f>
        <v>619.9</v>
      </c>
      <c r="G67" s="26" t="s">
        <v>278</v>
      </c>
      <c r="H67" s="26" t="s">
        <v>278</v>
      </c>
      <c r="I67" s="26" t="s">
        <v>278</v>
      </c>
      <c r="J67" s="76">
        <f t="shared" si="22"/>
        <v>0</v>
      </c>
      <c r="K67" s="77" t="s">
        <v>278</v>
      </c>
      <c r="L67" s="77" t="s">
        <v>278</v>
      </c>
      <c r="M67" s="77" t="s">
        <v>278</v>
      </c>
      <c r="N67" s="77" t="s">
        <v>278</v>
      </c>
      <c r="O67" s="76">
        <f>SUMIF(P67:S67,"&gt;0")</f>
        <v>0</v>
      </c>
      <c r="P67" s="77" t="s">
        <v>278</v>
      </c>
      <c r="Q67" s="77" t="s">
        <v>278</v>
      </c>
      <c r="R67" s="77" t="s">
        <v>278</v>
      </c>
      <c r="S67" s="77" t="s">
        <v>278</v>
      </c>
      <c r="T67" s="76">
        <f t="shared" si="25"/>
        <v>0</v>
      </c>
      <c r="U67" s="77" t="s">
        <v>278</v>
      </c>
      <c r="V67" s="77" t="s">
        <v>278</v>
      </c>
      <c r="W67" s="77" t="s">
        <v>278</v>
      </c>
      <c r="X67" s="77" t="s">
        <v>278</v>
      </c>
      <c r="Y67" s="76">
        <f t="shared" si="24"/>
        <v>0</v>
      </c>
      <c r="Z67" s="77" t="s">
        <v>278</v>
      </c>
      <c r="AA67" s="77" t="s">
        <v>278</v>
      </c>
      <c r="AB67" s="77" t="s">
        <v>278</v>
      </c>
      <c r="AC67" s="77" t="s">
        <v>278</v>
      </c>
      <c r="AD67" s="76">
        <f t="shared" si="26"/>
        <v>0</v>
      </c>
      <c r="AE67" s="77" t="s">
        <v>278</v>
      </c>
      <c r="AF67" s="77" t="s">
        <v>278</v>
      </c>
      <c r="AG67" s="77" t="s">
        <v>278</v>
      </c>
      <c r="AH67" s="77" t="s">
        <v>278</v>
      </c>
      <c r="AI67" s="76">
        <f t="shared" si="27"/>
        <v>0</v>
      </c>
      <c r="AJ67" s="77" t="s">
        <v>278</v>
      </c>
      <c r="AK67" s="77" t="s">
        <v>278</v>
      </c>
      <c r="AL67" s="77" t="s">
        <v>278</v>
      </c>
      <c r="AM67" s="77" t="s">
        <v>278</v>
      </c>
      <c r="AN67" s="115">
        <f t="shared" si="28"/>
        <v>619.9</v>
      </c>
    </row>
    <row r="68" spans="1:40" s="31" customFormat="1" ht="174.75" customHeight="1">
      <c r="A68" s="35" t="s">
        <v>380</v>
      </c>
      <c r="B68" s="93" t="s">
        <v>450</v>
      </c>
      <c r="C68" s="26" t="s">
        <v>54</v>
      </c>
      <c r="D68" s="96" t="s">
        <v>417</v>
      </c>
      <c r="E68" s="76">
        <f>SUMIF(F68:I68,"&gt;0")</f>
        <v>0</v>
      </c>
      <c r="F68" s="26" t="s">
        <v>278</v>
      </c>
      <c r="G68" s="26" t="s">
        <v>278</v>
      </c>
      <c r="H68" s="26" t="s">
        <v>278</v>
      </c>
      <c r="I68" s="26" t="s">
        <v>278</v>
      </c>
      <c r="J68" s="107">
        <f t="shared" si="22"/>
        <v>297516</v>
      </c>
      <c r="K68" s="111">
        <f>7278.81067+1350.20807-105.25547</f>
        <v>8523.8</v>
      </c>
      <c r="L68" s="111">
        <f>41246.5938+96728.90625-7540.50219</f>
        <v>130435</v>
      </c>
      <c r="M68" s="111">
        <f>171962.5-13405.33723</f>
        <v>158557.2</v>
      </c>
      <c r="N68" s="77" t="s">
        <v>278</v>
      </c>
      <c r="O68" s="107">
        <f>SUMIF(P68:S68,"&gt;0")</f>
        <v>50094.5</v>
      </c>
      <c r="P68" s="111">
        <f>13051-283+882.35294-882.35294-586.9-153-4357.39+341.61754+1.5</f>
        <v>8013.8</v>
      </c>
      <c r="Q68" s="111">
        <f>5000+34532.16+2550-1.5</f>
        <v>42080.7</v>
      </c>
      <c r="R68" s="77" t="s">
        <v>278</v>
      </c>
      <c r="S68" s="77" t="s">
        <v>278</v>
      </c>
      <c r="T68" s="107">
        <f t="shared" si="25"/>
        <v>215341.8</v>
      </c>
      <c r="U68" s="111">
        <f>5306-243.05+2492.54+824.86</f>
        <v>8380.4</v>
      </c>
      <c r="V68" s="111">
        <f>28690+14124.4+59092.93125</f>
        <v>101907.3</v>
      </c>
      <c r="W68" s="111">
        <f>105054.1</f>
        <v>105054.1</v>
      </c>
      <c r="X68" s="77" t="s">
        <v>278</v>
      </c>
      <c r="Y68" s="107">
        <f>SUMIF(Z68:AC68,"&gt;0")</f>
        <v>401227.6</v>
      </c>
      <c r="Z68" s="111">
        <f>3262-0.35+2503.47+1813.96766</f>
        <v>7579.1</v>
      </c>
      <c r="AA68" s="111">
        <f>14186.31+18482.66+111903.66522</f>
        <v>144572.6</v>
      </c>
      <c r="AB68" s="111">
        <f>249075.9</f>
        <v>249075.9</v>
      </c>
      <c r="AC68" s="77" t="s">
        <v>278</v>
      </c>
      <c r="AD68" s="107">
        <f t="shared" si="26"/>
        <v>143513.3</v>
      </c>
      <c r="AE68" s="111">
        <f>1764.71+658.74297</f>
        <v>2423.5</v>
      </c>
      <c r="AF68" s="111">
        <f>10000+43259.6</f>
        <v>53259.6</v>
      </c>
      <c r="AG68" s="111">
        <f>87830.2</f>
        <v>87830.2</v>
      </c>
      <c r="AH68" s="77" t="s">
        <v>278</v>
      </c>
      <c r="AI68" s="76">
        <f t="shared" si="27"/>
        <v>0</v>
      </c>
      <c r="AJ68" s="77" t="s">
        <v>278</v>
      </c>
      <c r="AK68" s="77" t="s">
        <v>278</v>
      </c>
      <c r="AL68" s="77" t="s">
        <v>278</v>
      </c>
      <c r="AM68" s="77" t="s">
        <v>278</v>
      </c>
      <c r="AN68" s="115">
        <f t="shared" si="28"/>
        <v>1107693.2</v>
      </c>
    </row>
    <row r="69" spans="1:40" s="31" customFormat="1" ht="111" customHeight="1">
      <c r="A69" s="35" t="s">
        <v>381</v>
      </c>
      <c r="B69" s="93" t="s">
        <v>451</v>
      </c>
      <c r="C69" s="26" t="s">
        <v>54</v>
      </c>
      <c r="D69" s="96" t="s">
        <v>565</v>
      </c>
      <c r="E69" s="76">
        <f t="shared" si="1"/>
        <v>0</v>
      </c>
      <c r="F69" s="26" t="s">
        <v>278</v>
      </c>
      <c r="G69" s="26" t="s">
        <v>278</v>
      </c>
      <c r="H69" s="26" t="s">
        <v>278</v>
      </c>
      <c r="I69" s="26" t="s">
        <v>278</v>
      </c>
      <c r="J69" s="107">
        <f t="shared" si="22"/>
        <v>8862.2</v>
      </c>
      <c r="K69" s="111">
        <f>3102</f>
        <v>3102</v>
      </c>
      <c r="L69" s="111">
        <f>5760.18</f>
        <v>5760.2</v>
      </c>
      <c r="M69" s="77" t="s">
        <v>278</v>
      </c>
      <c r="N69" s="77" t="s">
        <v>278</v>
      </c>
      <c r="O69" s="107">
        <f t="shared" si="23"/>
        <v>5241.1</v>
      </c>
      <c r="P69" s="111">
        <f>4537+374.76012+232.81492-2111.49812-790</f>
        <v>2243.1</v>
      </c>
      <c r="Q69" s="111">
        <f>695.9831+432.37057+1869.64633</f>
        <v>2998</v>
      </c>
      <c r="R69" s="77" t="s">
        <v>278</v>
      </c>
      <c r="S69" s="77" t="s">
        <v>278</v>
      </c>
      <c r="T69" s="107">
        <f t="shared" si="17"/>
        <v>8324.1</v>
      </c>
      <c r="U69" s="111">
        <f>1223.13396+680.19296+1010.1</f>
        <v>2913.4</v>
      </c>
      <c r="V69" s="111">
        <f>2271.5345+1263.2155+1875.9</f>
        <v>5410.7</v>
      </c>
      <c r="W69" s="77" t="s">
        <v>278</v>
      </c>
      <c r="X69" s="77" t="s">
        <v>278</v>
      </c>
      <c r="Y69" s="107">
        <f t="shared" si="18"/>
        <v>7923.1</v>
      </c>
      <c r="Z69" s="111">
        <f>1912.53885+188.53807+672</f>
        <v>2773.1</v>
      </c>
      <c r="AA69" s="111">
        <f>3551.85787+97.5+1500.64213</f>
        <v>5150</v>
      </c>
      <c r="AB69" s="77" t="s">
        <v>278</v>
      </c>
      <c r="AC69" s="77" t="s">
        <v>278</v>
      </c>
      <c r="AD69" s="76">
        <f t="shared" si="19"/>
        <v>0</v>
      </c>
      <c r="AE69" s="77" t="s">
        <v>278</v>
      </c>
      <c r="AF69" s="77" t="s">
        <v>278</v>
      </c>
      <c r="AG69" s="77" t="s">
        <v>278</v>
      </c>
      <c r="AH69" s="77" t="s">
        <v>278</v>
      </c>
      <c r="AI69" s="76">
        <f t="shared" si="20"/>
        <v>0</v>
      </c>
      <c r="AJ69" s="77" t="s">
        <v>278</v>
      </c>
      <c r="AK69" s="77" t="s">
        <v>278</v>
      </c>
      <c r="AL69" s="77" t="s">
        <v>278</v>
      </c>
      <c r="AM69" s="77" t="s">
        <v>278</v>
      </c>
      <c r="AN69" s="115">
        <f t="shared" si="21"/>
        <v>30350.5</v>
      </c>
    </row>
    <row r="70" spans="1:40" s="31" customFormat="1" ht="110.25">
      <c r="A70" s="35" t="s">
        <v>17</v>
      </c>
      <c r="B70" s="19" t="s">
        <v>561</v>
      </c>
      <c r="C70" s="26" t="s">
        <v>54</v>
      </c>
      <c r="D70" s="11" t="s">
        <v>312</v>
      </c>
      <c r="E70" s="76">
        <f>SUMIF(F70:I70,"&gt;0")</f>
        <v>0</v>
      </c>
      <c r="F70" s="26" t="s">
        <v>278</v>
      </c>
      <c r="G70" s="26" t="s">
        <v>278</v>
      </c>
      <c r="H70" s="26" t="s">
        <v>278</v>
      </c>
      <c r="I70" s="26" t="s">
        <v>278</v>
      </c>
      <c r="J70" s="76">
        <f aca="true" t="shared" si="29" ref="J70:J81">SUMIF(K70:N70,"&gt;0")</f>
        <v>0</v>
      </c>
      <c r="K70" s="77" t="s">
        <v>278</v>
      </c>
      <c r="L70" s="77" t="s">
        <v>278</v>
      </c>
      <c r="M70" s="77" t="s">
        <v>278</v>
      </c>
      <c r="N70" s="77" t="s">
        <v>278</v>
      </c>
      <c r="O70" s="107">
        <f t="shared" si="23"/>
        <v>2589.1</v>
      </c>
      <c r="P70" s="111">
        <f>3498.72-454.8336-454.8</f>
        <v>2589.1</v>
      </c>
      <c r="Q70" s="77" t="s">
        <v>278</v>
      </c>
      <c r="R70" s="77" t="s">
        <v>278</v>
      </c>
      <c r="S70" s="77" t="s">
        <v>278</v>
      </c>
      <c r="T70" s="107">
        <f t="shared" si="17"/>
        <v>250</v>
      </c>
      <c r="U70" s="111">
        <f>250</f>
        <v>250</v>
      </c>
      <c r="V70" s="77" t="s">
        <v>278</v>
      </c>
      <c r="W70" s="77" t="s">
        <v>278</v>
      </c>
      <c r="X70" s="77" t="s">
        <v>278</v>
      </c>
      <c r="Y70" s="76">
        <f t="shared" si="18"/>
        <v>0</v>
      </c>
      <c r="Z70" s="77" t="s">
        <v>278</v>
      </c>
      <c r="AA70" s="77" t="s">
        <v>278</v>
      </c>
      <c r="AB70" s="77" t="s">
        <v>278</v>
      </c>
      <c r="AC70" s="77" t="s">
        <v>278</v>
      </c>
      <c r="AD70" s="76">
        <f t="shared" si="19"/>
        <v>0</v>
      </c>
      <c r="AE70" s="77" t="s">
        <v>278</v>
      </c>
      <c r="AF70" s="77" t="s">
        <v>278</v>
      </c>
      <c r="AG70" s="77" t="s">
        <v>278</v>
      </c>
      <c r="AH70" s="77" t="s">
        <v>278</v>
      </c>
      <c r="AI70" s="76">
        <f t="shared" si="20"/>
        <v>0</v>
      </c>
      <c r="AJ70" s="77" t="s">
        <v>278</v>
      </c>
      <c r="AK70" s="77" t="s">
        <v>278</v>
      </c>
      <c r="AL70" s="77" t="s">
        <v>278</v>
      </c>
      <c r="AM70" s="77" t="s">
        <v>278</v>
      </c>
      <c r="AN70" s="131">
        <f t="shared" si="21"/>
        <v>2839.1</v>
      </c>
    </row>
    <row r="71" spans="1:41" s="31" customFormat="1" ht="146.25" customHeight="1">
      <c r="A71" s="35" t="s">
        <v>18</v>
      </c>
      <c r="B71" s="19" t="s">
        <v>452</v>
      </c>
      <c r="C71" s="26" t="s">
        <v>54</v>
      </c>
      <c r="D71" s="11" t="s">
        <v>228</v>
      </c>
      <c r="E71" s="107">
        <f t="shared" si="1"/>
        <v>31075</v>
      </c>
      <c r="F71" s="26" t="s">
        <v>278</v>
      </c>
      <c r="G71" s="26" t="s">
        <v>278</v>
      </c>
      <c r="H71" s="26" t="s">
        <v>278</v>
      </c>
      <c r="I71" s="111">
        <f>31083-8</f>
        <v>31075</v>
      </c>
      <c r="J71" s="107">
        <f t="shared" si="29"/>
        <v>33774</v>
      </c>
      <c r="K71" s="111">
        <v>3236</v>
      </c>
      <c r="L71" s="77" t="s">
        <v>278</v>
      </c>
      <c r="M71" s="77" t="s">
        <v>278</v>
      </c>
      <c r="N71" s="111">
        <f>30538</f>
        <v>30538</v>
      </c>
      <c r="O71" s="107">
        <f t="shared" si="16"/>
        <v>29836.8</v>
      </c>
      <c r="P71" s="111">
        <f>402+560.566</f>
        <v>962.6</v>
      </c>
      <c r="Q71" s="77" t="s">
        <v>278</v>
      </c>
      <c r="R71" s="77" t="s">
        <v>278</v>
      </c>
      <c r="S71" s="111">
        <f>28874.18526</f>
        <v>28874.2</v>
      </c>
      <c r="T71" s="107">
        <f t="shared" si="17"/>
        <v>20141.2</v>
      </c>
      <c r="U71" s="111">
        <f>1100</f>
        <v>1100</v>
      </c>
      <c r="V71" s="77" t="s">
        <v>278</v>
      </c>
      <c r="W71" s="77" t="s">
        <v>278</v>
      </c>
      <c r="X71" s="111">
        <f>19041.191</f>
        <v>19041.2</v>
      </c>
      <c r="Y71" s="107">
        <f t="shared" si="18"/>
        <v>19041.2</v>
      </c>
      <c r="Z71" s="77" t="s">
        <v>278</v>
      </c>
      <c r="AA71" s="77" t="s">
        <v>278</v>
      </c>
      <c r="AB71" s="77" t="s">
        <v>278</v>
      </c>
      <c r="AC71" s="111">
        <f>19041.191</f>
        <v>19041.2</v>
      </c>
      <c r="AD71" s="107">
        <f t="shared" si="19"/>
        <v>19041.2</v>
      </c>
      <c r="AE71" s="77" t="s">
        <v>278</v>
      </c>
      <c r="AF71" s="77" t="s">
        <v>278</v>
      </c>
      <c r="AG71" s="77" t="s">
        <v>278</v>
      </c>
      <c r="AH71" s="111">
        <f>19041.191</f>
        <v>19041.2</v>
      </c>
      <c r="AI71" s="107">
        <f t="shared" si="20"/>
        <v>33538</v>
      </c>
      <c r="AJ71" s="77" t="s">
        <v>278</v>
      </c>
      <c r="AK71" s="77" t="s">
        <v>278</v>
      </c>
      <c r="AL71" s="77" t="s">
        <v>278</v>
      </c>
      <c r="AM71" s="111">
        <v>33538</v>
      </c>
      <c r="AN71" s="115">
        <f t="shared" si="21"/>
        <v>186447.4</v>
      </c>
      <c r="AO71" s="58"/>
    </row>
    <row r="72" spans="1:41" s="31" customFormat="1" ht="110.25">
      <c r="A72" s="35" t="s">
        <v>320</v>
      </c>
      <c r="B72" s="19" t="s">
        <v>321</v>
      </c>
      <c r="C72" s="26" t="s">
        <v>54</v>
      </c>
      <c r="D72" s="11" t="s">
        <v>228</v>
      </c>
      <c r="E72" s="117">
        <f>SUMIF(F72:I72,"&gt;0")</f>
        <v>0</v>
      </c>
      <c r="F72" s="90">
        <f>140+29-29-140</f>
        <v>0</v>
      </c>
      <c r="G72" s="90">
        <f>533+2649-533-2649</f>
        <v>0</v>
      </c>
      <c r="H72" s="26" t="s">
        <v>278</v>
      </c>
      <c r="I72" s="26" t="s">
        <v>278</v>
      </c>
      <c r="J72" s="76">
        <f t="shared" si="29"/>
        <v>0</v>
      </c>
      <c r="K72" s="77" t="s">
        <v>278</v>
      </c>
      <c r="L72" s="77" t="s">
        <v>278</v>
      </c>
      <c r="M72" s="77" t="s">
        <v>278</v>
      </c>
      <c r="N72" s="77" t="s">
        <v>278</v>
      </c>
      <c r="O72" s="76">
        <f t="shared" si="16"/>
        <v>0</v>
      </c>
      <c r="P72" s="77" t="s">
        <v>278</v>
      </c>
      <c r="Q72" s="77" t="s">
        <v>278</v>
      </c>
      <c r="R72" s="77" t="s">
        <v>278</v>
      </c>
      <c r="S72" s="77" t="s">
        <v>278</v>
      </c>
      <c r="T72" s="76">
        <f>SUMIF(U72:X72,"&gt;0")</f>
        <v>0</v>
      </c>
      <c r="U72" s="77" t="s">
        <v>278</v>
      </c>
      <c r="V72" s="77" t="s">
        <v>278</v>
      </c>
      <c r="W72" s="77" t="s">
        <v>278</v>
      </c>
      <c r="X72" s="77" t="s">
        <v>278</v>
      </c>
      <c r="Y72" s="76">
        <f>SUMIF(Z72:AC72,"&gt;0")</f>
        <v>0</v>
      </c>
      <c r="Z72" s="77" t="s">
        <v>278</v>
      </c>
      <c r="AA72" s="77" t="s">
        <v>278</v>
      </c>
      <c r="AB72" s="77" t="s">
        <v>278</v>
      </c>
      <c r="AC72" s="77" t="s">
        <v>278</v>
      </c>
      <c r="AD72" s="76">
        <f>SUMIF(AE72:AH72,"&gt;0")</f>
        <v>0</v>
      </c>
      <c r="AE72" s="77" t="s">
        <v>278</v>
      </c>
      <c r="AF72" s="77" t="s">
        <v>278</v>
      </c>
      <c r="AG72" s="77" t="s">
        <v>278</v>
      </c>
      <c r="AH72" s="77" t="s">
        <v>278</v>
      </c>
      <c r="AI72" s="76">
        <f>SUMIF(AJ72:AM72,"&gt;0")</f>
        <v>0</v>
      </c>
      <c r="AJ72" s="77" t="s">
        <v>278</v>
      </c>
      <c r="AK72" s="77" t="s">
        <v>278</v>
      </c>
      <c r="AL72" s="77" t="s">
        <v>278</v>
      </c>
      <c r="AM72" s="77" t="s">
        <v>278</v>
      </c>
      <c r="AN72" s="76">
        <f>E72+J72+O72+T72+Y72+AD72+AI72</f>
        <v>0</v>
      </c>
      <c r="AO72" s="58"/>
    </row>
    <row r="73" spans="1:40" s="17" customFormat="1" ht="110.25">
      <c r="A73" s="41" t="s">
        <v>74</v>
      </c>
      <c r="B73" s="19" t="s">
        <v>453</v>
      </c>
      <c r="C73" s="26" t="s">
        <v>54</v>
      </c>
      <c r="D73" s="11" t="s">
        <v>228</v>
      </c>
      <c r="E73" s="107">
        <f t="shared" si="1"/>
        <v>368</v>
      </c>
      <c r="F73" s="111">
        <f>658-658+92</f>
        <v>92</v>
      </c>
      <c r="G73" s="111">
        <f>690+276-690</f>
        <v>276</v>
      </c>
      <c r="H73" s="26" t="s">
        <v>278</v>
      </c>
      <c r="I73" s="26" t="s">
        <v>278</v>
      </c>
      <c r="J73" s="107">
        <f t="shared" si="29"/>
        <v>2048.4</v>
      </c>
      <c r="K73" s="111">
        <f>1309-413.20807+413.20807-655-397.902+1135+274-385</f>
        <v>1280.1</v>
      </c>
      <c r="L73" s="111">
        <f>768.293</f>
        <v>768.3</v>
      </c>
      <c r="M73" s="77" t="s">
        <v>278</v>
      </c>
      <c r="N73" s="77" t="s">
        <v>278</v>
      </c>
      <c r="O73" s="107">
        <f t="shared" si="16"/>
        <v>2230.1</v>
      </c>
      <c r="P73" s="111">
        <f>256.098+313+892.73034</f>
        <v>1461.8</v>
      </c>
      <c r="Q73" s="114">
        <f>768.293</f>
        <v>768.3</v>
      </c>
      <c r="R73" s="77" t="s">
        <v>278</v>
      </c>
      <c r="S73" s="77" t="s">
        <v>278</v>
      </c>
      <c r="T73" s="107">
        <f t="shared" si="17"/>
        <v>3349.4</v>
      </c>
      <c r="U73" s="111">
        <f>2325+256+0.098</f>
        <v>2581.1</v>
      </c>
      <c r="V73" s="114">
        <f>768+0.293</f>
        <v>768.3</v>
      </c>
      <c r="W73" s="77" t="s">
        <v>278</v>
      </c>
      <c r="X73" s="77" t="s">
        <v>278</v>
      </c>
      <c r="Y73" s="107">
        <f t="shared" si="18"/>
        <v>2905.4</v>
      </c>
      <c r="Z73" s="111">
        <f>1881+256+0.098</f>
        <v>2137.1</v>
      </c>
      <c r="AA73" s="114">
        <f>768+0.293</f>
        <v>768.3</v>
      </c>
      <c r="AB73" s="77" t="s">
        <v>278</v>
      </c>
      <c r="AC73" s="77" t="s">
        <v>278</v>
      </c>
      <c r="AD73" s="107">
        <f t="shared" si="19"/>
        <v>1024.4</v>
      </c>
      <c r="AE73" s="111">
        <f>256.098</f>
        <v>256.1</v>
      </c>
      <c r="AF73" s="114">
        <f>768+0.293</f>
        <v>768.3</v>
      </c>
      <c r="AG73" s="77" t="s">
        <v>278</v>
      </c>
      <c r="AH73" s="77" t="s">
        <v>278</v>
      </c>
      <c r="AI73" s="76">
        <f t="shared" si="20"/>
        <v>0</v>
      </c>
      <c r="AJ73" s="77" t="s">
        <v>278</v>
      </c>
      <c r="AK73" s="77" t="s">
        <v>278</v>
      </c>
      <c r="AL73" s="77" t="s">
        <v>278</v>
      </c>
      <c r="AM73" s="77" t="s">
        <v>278</v>
      </c>
      <c r="AN73" s="115">
        <f t="shared" si="21"/>
        <v>11925.7</v>
      </c>
    </row>
    <row r="74" spans="1:40" s="17" customFormat="1" ht="110.25">
      <c r="A74" s="35" t="s">
        <v>19</v>
      </c>
      <c r="B74" s="19" t="s">
        <v>75</v>
      </c>
      <c r="C74" s="26" t="s">
        <v>54</v>
      </c>
      <c r="D74" s="11" t="s">
        <v>228</v>
      </c>
      <c r="E74" s="107">
        <f t="shared" si="1"/>
        <v>309</v>
      </c>
      <c r="F74" s="111">
        <v>309</v>
      </c>
      <c r="G74" s="26" t="s">
        <v>278</v>
      </c>
      <c r="H74" s="26" t="s">
        <v>278</v>
      </c>
      <c r="I74" s="26" t="s">
        <v>278</v>
      </c>
      <c r="J74" s="107">
        <f t="shared" si="29"/>
        <v>1948</v>
      </c>
      <c r="K74" s="111">
        <f>773+685+240+250</f>
        <v>1948</v>
      </c>
      <c r="L74" s="77" t="s">
        <v>278</v>
      </c>
      <c r="M74" s="77" t="s">
        <v>278</v>
      </c>
      <c r="N74" s="77" t="s">
        <v>278</v>
      </c>
      <c r="O74" s="107">
        <f t="shared" si="16"/>
        <v>45102.7</v>
      </c>
      <c r="P74" s="111">
        <f>5506+8561.5+5502.99+10923.9224+1600+13436.0776-45.15646-1367+578.28995+193.79425+544.71402-332.44217</f>
        <v>45102.7</v>
      </c>
      <c r="Q74" s="77" t="s">
        <v>278</v>
      </c>
      <c r="R74" s="77" t="s">
        <v>278</v>
      </c>
      <c r="S74" s="77" t="s">
        <v>278</v>
      </c>
      <c r="T74" s="107">
        <f t="shared" si="17"/>
        <v>33924</v>
      </c>
      <c r="U74" s="111">
        <f>1918+1200+11002+200+4863+800+13941</f>
        <v>33924</v>
      </c>
      <c r="V74" s="77" t="s">
        <v>278</v>
      </c>
      <c r="W74" s="77" t="s">
        <v>278</v>
      </c>
      <c r="X74" s="77" t="s">
        <v>278</v>
      </c>
      <c r="Y74" s="107">
        <f t="shared" si="18"/>
        <v>8438</v>
      </c>
      <c r="Z74" s="111">
        <f>2457+1400+4581</f>
        <v>8438</v>
      </c>
      <c r="AA74" s="77" t="s">
        <v>278</v>
      </c>
      <c r="AB74" s="77" t="s">
        <v>278</v>
      </c>
      <c r="AC74" s="77" t="s">
        <v>278</v>
      </c>
      <c r="AD74" s="107">
        <f t="shared" si="19"/>
        <v>7910</v>
      </c>
      <c r="AE74" s="111">
        <f>800+2580+4530</f>
        <v>7910</v>
      </c>
      <c r="AF74" s="77" t="s">
        <v>278</v>
      </c>
      <c r="AG74" s="77" t="s">
        <v>278</v>
      </c>
      <c r="AH74" s="77" t="s">
        <v>278</v>
      </c>
      <c r="AI74" s="76">
        <f t="shared" si="20"/>
        <v>0</v>
      </c>
      <c r="AJ74" s="77" t="s">
        <v>278</v>
      </c>
      <c r="AK74" s="77" t="s">
        <v>278</v>
      </c>
      <c r="AL74" s="77" t="s">
        <v>278</v>
      </c>
      <c r="AM74" s="77" t="s">
        <v>278</v>
      </c>
      <c r="AN74" s="107">
        <f t="shared" si="21"/>
        <v>97631.7</v>
      </c>
    </row>
    <row r="75" spans="1:40" s="17" customFormat="1" ht="110.25">
      <c r="A75" s="35" t="s">
        <v>20</v>
      </c>
      <c r="B75" s="19" t="s">
        <v>76</v>
      </c>
      <c r="C75" s="26" t="s">
        <v>54</v>
      </c>
      <c r="D75" s="11" t="s">
        <v>228</v>
      </c>
      <c r="E75" s="76">
        <f t="shared" si="1"/>
        <v>0</v>
      </c>
      <c r="F75" s="26" t="s">
        <v>278</v>
      </c>
      <c r="G75" s="26" t="s">
        <v>278</v>
      </c>
      <c r="H75" s="26" t="s">
        <v>278</v>
      </c>
      <c r="I75" s="26" t="s">
        <v>278</v>
      </c>
      <c r="J75" s="107">
        <f t="shared" si="29"/>
        <v>5061</v>
      </c>
      <c r="K75" s="111">
        <v>5061</v>
      </c>
      <c r="L75" s="77" t="s">
        <v>278</v>
      </c>
      <c r="M75" s="77" t="s">
        <v>278</v>
      </c>
      <c r="N75" s="77" t="s">
        <v>278</v>
      </c>
      <c r="O75" s="107">
        <f t="shared" si="16"/>
        <v>2676</v>
      </c>
      <c r="P75" s="111">
        <f>1773-296+605.6+593.41218</f>
        <v>2676</v>
      </c>
      <c r="Q75" s="77" t="s">
        <v>278</v>
      </c>
      <c r="R75" s="77" t="s">
        <v>278</v>
      </c>
      <c r="S75" s="77" t="s">
        <v>278</v>
      </c>
      <c r="T75" s="107">
        <f t="shared" si="17"/>
        <v>7635</v>
      </c>
      <c r="U75" s="111">
        <f>652+6488+495-776+776</f>
        <v>7635</v>
      </c>
      <c r="V75" s="77" t="s">
        <v>278</v>
      </c>
      <c r="W75" s="77" t="s">
        <v>278</v>
      </c>
      <c r="X75" s="77" t="s">
        <v>278</v>
      </c>
      <c r="Y75" s="107">
        <f t="shared" si="18"/>
        <v>1477</v>
      </c>
      <c r="Z75" s="111">
        <f>1477</f>
        <v>1477</v>
      </c>
      <c r="AA75" s="77" t="s">
        <v>278</v>
      </c>
      <c r="AB75" s="77" t="s">
        <v>278</v>
      </c>
      <c r="AC75" s="77" t="s">
        <v>278</v>
      </c>
      <c r="AD75" s="107">
        <f t="shared" si="19"/>
        <v>1477</v>
      </c>
      <c r="AE75" s="111">
        <f>1477</f>
        <v>1477</v>
      </c>
      <c r="AF75" s="77" t="s">
        <v>278</v>
      </c>
      <c r="AG75" s="77" t="s">
        <v>278</v>
      </c>
      <c r="AH75" s="77" t="s">
        <v>278</v>
      </c>
      <c r="AI75" s="107">
        <f t="shared" si="20"/>
        <v>312.2</v>
      </c>
      <c r="AJ75" s="111">
        <v>312.2</v>
      </c>
      <c r="AK75" s="77" t="s">
        <v>278</v>
      </c>
      <c r="AL75" s="77" t="s">
        <v>278</v>
      </c>
      <c r="AM75" s="77" t="s">
        <v>278</v>
      </c>
      <c r="AN75" s="115">
        <f t="shared" si="21"/>
        <v>18638.2</v>
      </c>
    </row>
    <row r="76" spans="1:40" s="17" customFormat="1" ht="110.25">
      <c r="A76" s="35" t="s">
        <v>313</v>
      </c>
      <c r="B76" s="19" t="s">
        <v>165</v>
      </c>
      <c r="C76" s="26" t="s">
        <v>34</v>
      </c>
      <c r="D76" s="11" t="s">
        <v>228</v>
      </c>
      <c r="E76" s="76">
        <f t="shared" si="1"/>
        <v>0</v>
      </c>
      <c r="F76" s="26" t="s">
        <v>278</v>
      </c>
      <c r="G76" s="26" t="s">
        <v>278</v>
      </c>
      <c r="H76" s="26" t="s">
        <v>278</v>
      </c>
      <c r="I76" s="26" t="s">
        <v>278</v>
      </c>
      <c r="J76" s="76">
        <f t="shared" si="29"/>
        <v>0</v>
      </c>
      <c r="K76" s="77" t="s">
        <v>278</v>
      </c>
      <c r="L76" s="77" t="s">
        <v>278</v>
      </c>
      <c r="M76" s="77" t="s">
        <v>278</v>
      </c>
      <c r="N76" s="77" t="s">
        <v>278</v>
      </c>
      <c r="O76" s="76">
        <f t="shared" si="16"/>
        <v>0</v>
      </c>
      <c r="P76" s="77" t="s">
        <v>278</v>
      </c>
      <c r="Q76" s="77" t="s">
        <v>278</v>
      </c>
      <c r="R76" s="77" t="s">
        <v>278</v>
      </c>
      <c r="S76" s="77" t="s">
        <v>278</v>
      </c>
      <c r="T76" s="76">
        <f t="shared" si="17"/>
        <v>0</v>
      </c>
      <c r="U76" s="77" t="s">
        <v>278</v>
      </c>
      <c r="V76" s="77" t="s">
        <v>278</v>
      </c>
      <c r="W76" s="77" t="s">
        <v>278</v>
      </c>
      <c r="X76" s="77" t="s">
        <v>278</v>
      </c>
      <c r="Y76" s="76">
        <f t="shared" si="18"/>
        <v>0</v>
      </c>
      <c r="Z76" s="77" t="s">
        <v>278</v>
      </c>
      <c r="AA76" s="77" t="s">
        <v>278</v>
      </c>
      <c r="AB76" s="77" t="s">
        <v>278</v>
      </c>
      <c r="AC76" s="77" t="s">
        <v>278</v>
      </c>
      <c r="AD76" s="76">
        <f t="shared" si="19"/>
        <v>0</v>
      </c>
      <c r="AE76" s="77" t="s">
        <v>278</v>
      </c>
      <c r="AF76" s="77" t="s">
        <v>278</v>
      </c>
      <c r="AG76" s="77" t="s">
        <v>278</v>
      </c>
      <c r="AH76" s="77" t="s">
        <v>278</v>
      </c>
      <c r="AI76" s="76">
        <f t="shared" si="20"/>
        <v>0</v>
      </c>
      <c r="AJ76" s="77" t="s">
        <v>278</v>
      </c>
      <c r="AK76" s="77" t="s">
        <v>278</v>
      </c>
      <c r="AL76" s="77" t="s">
        <v>278</v>
      </c>
      <c r="AM76" s="77" t="s">
        <v>278</v>
      </c>
      <c r="AN76" s="76">
        <f t="shared" si="21"/>
        <v>0</v>
      </c>
    </row>
    <row r="77" spans="1:40" s="17" customFormat="1" ht="126">
      <c r="A77" s="41" t="s">
        <v>314</v>
      </c>
      <c r="B77" s="19" t="s">
        <v>78</v>
      </c>
      <c r="C77" s="26" t="s">
        <v>54</v>
      </c>
      <c r="D77" s="11" t="s">
        <v>228</v>
      </c>
      <c r="E77" s="107">
        <f t="shared" si="1"/>
        <v>518499</v>
      </c>
      <c r="F77" s="26" t="s">
        <v>278</v>
      </c>
      <c r="G77" s="26" t="s">
        <v>278</v>
      </c>
      <c r="H77" s="26" t="s">
        <v>278</v>
      </c>
      <c r="I77" s="111">
        <f>518499</f>
        <v>518499</v>
      </c>
      <c r="J77" s="107">
        <f t="shared" si="29"/>
        <v>720671.7</v>
      </c>
      <c r="K77" s="77" t="s">
        <v>278</v>
      </c>
      <c r="L77" s="77" t="s">
        <v>278</v>
      </c>
      <c r="M77" s="77" t="s">
        <v>278</v>
      </c>
      <c r="N77" s="111">
        <f>722499-1827.33</f>
        <v>720671.7</v>
      </c>
      <c r="O77" s="107">
        <f t="shared" si="16"/>
        <v>778261.5</v>
      </c>
      <c r="P77" s="77" t="s">
        <v>278</v>
      </c>
      <c r="Q77" s="77" t="s">
        <v>278</v>
      </c>
      <c r="R77" s="77" t="s">
        <v>278</v>
      </c>
      <c r="S77" s="111">
        <f>778261.51331</f>
        <v>778261.5</v>
      </c>
      <c r="T77" s="107">
        <f t="shared" si="17"/>
        <v>779934.1</v>
      </c>
      <c r="U77" s="77" t="s">
        <v>278</v>
      </c>
      <c r="V77" s="77" t="s">
        <v>278</v>
      </c>
      <c r="W77" s="77" t="s">
        <v>278</v>
      </c>
      <c r="X77" s="111">
        <f>779934.13967</f>
        <v>779934.1</v>
      </c>
      <c r="Y77" s="107">
        <f t="shared" si="18"/>
        <v>779934.1</v>
      </c>
      <c r="Z77" s="77" t="s">
        <v>278</v>
      </c>
      <c r="AA77" s="77" t="s">
        <v>278</v>
      </c>
      <c r="AB77" s="77" t="s">
        <v>278</v>
      </c>
      <c r="AC77" s="111">
        <f>779934.13967</f>
        <v>779934.1</v>
      </c>
      <c r="AD77" s="107">
        <f t="shared" si="19"/>
        <v>779934.1</v>
      </c>
      <c r="AE77" s="77" t="s">
        <v>278</v>
      </c>
      <c r="AF77" s="77" t="s">
        <v>278</v>
      </c>
      <c r="AG77" s="77" t="s">
        <v>278</v>
      </c>
      <c r="AH77" s="111">
        <f>779934.13967</f>
        <v>779934.1</v>
      </c>
      <c r="AI77" s="107">
        <f t="shared" si="20"/>
        <v>273970</v>
      </c>
      <c r="AJ77" s="77" t="s">
        <v>278</v>
      </c>
      <c r="AK77" s="77" t="s">
        <v>278</v>
      </c>
      <c r="AL77" s="77" t="s">
        <v>278</v>
      </c>
      <c r="AM77" s="111">
        <v>273970</v>
      </c>
      <c r="AN77" s="115">
        <f t="shared" si="21"/>
        <v>4631204.5</v>
      </c>
    </row>
    <row r="78" spans="1:40" s="17" customFormat="1" ht="110.25">
      <c r="A78" s="41" t="s">
        <v>315</v>
      </c>
      <c r="B78" s="19" t="s">
        <v>427</v>
      </c>
      <c r="C78" s="26" t="s">
        <v>54</v>
      </c>
      <c r="D78" s="11" t="s">
        <v>228</v>
      </c>
      <c r="E78" s="117">
        <f t="shared" si="1"/>
        <v>0</v>
      </c>
      <c r="F78" s="90">
        <f>211-211</f>
        <v>0</v>
      </c>
      <c r="G78" s="90">
        <f>4000-4000</f>
        <v>0</v>
      </c>
      <c r="H78" s="26" t="s">
        <v>278</v>
      </c>
      <c r="I78" s="26" t="s">
        <v>278</v>
      </c>
      <c r="J78" s="76">
        <f t="shared" si="29"/>
        <v>0</v>
      </c>
      <c r="K78" s="26" t="s">
        <v>278</v>
      </c>
      <c r="L78" s="26" t="s">
        <v>278</v>
      </c>
      <c r="M78" s="26" t="s">
        <v>278</v>
      </c>
      <c r="N78" s="26" t="s">
        <v>278</v>
      </c>
      <c r="O78" s="76">
        <f t="shared" si="16"/>
        <v>0</v>
      </c>
      <c r="P78" s="26" t="s">
        <v>278</v>
      </c>
      <c r="Q78" s="26" t="s">
        <v>278</v>
      </c>
      <c r="R78" s="26" t="s">
        <v>278</v>
      </c>
      <c r="S78" s="26" t="s">
        <v>278</v>
      </c>
      <c r="T78" s="76">
        <f t="shared" si="17"/>
        <v>0</v>
      </c>
      <c r="U78" s="26" t="s">
        <v>278</v>
      </c>
      <c r="V78" s="26" t="s">
        <v>278</v>
      </c>
      <c r="W78" s="26" t="s">
        <v>278</v>
      </c>
      <c r="X78" s="26" t="s">
        <v>278</v>
      </c>
      <c r="Y78" s="76">
        <f t="shared" si="18"/>
        <v>0</v>
      </c>
      <c r="Z78" s="26" t="s">
        <v>278</v>
      </c>
      <c r="AA78" s="26" t="s">
        <v>278</v>
      </c>
      <c r="AB78" s="26" t="s">
        <v>278</v>
      </c>
      <c r="AC78" s="26" t="s">
        <v>278</v>
      </c>
      <c r="AD78" s="76">
        <f t="shared" si="19"/>
        <v>0</v>
      </c>
      <c r="AE78" s="26" t="s">
        <v>278</v>
      </c>
      <c r="AF78" s="26" t="s">
        <v>278</v>
      </c>
      <c r="AG78" s="26" t="s">
        <v>278</v>
      </c>
      <c r="AH78" s="26" t="s">
        <v>278</v>
      </c>
      <c r="AI78" s="76">
        <f t="shared" si="20"/>
        <v>0</v>
      </c>
      <c r="AJ78" s="26" t="s">
        <v>278</v>
      </c>
      <c r="AK78" s="26" t="s">
        <v>278</v>
      </c>
      <c r="AL78" s="26" t="s">
        <v>278</v>
      </c>
      <c r="AM78" s="26" t="s">
        <v>278</v>
      </c>
      <c r="AN78" s="76">
        <f t="shared" si="21"/>
        <v>0</v>
      </c>
    </row>
    <row r="79" spans="1:40" s="17" customFormat="1" ht="116.25" customHeight="1">
      <c r="A79" s="41" t="s">
        <v>199</v>
      </c>
      <c r="B79" s="19" t="s">
        <v>203</v>
      </c>
      <c r="C79" s="26" t="s">
        <v>54</v>
      </c>
      <c r="D79" s="11" t="s">
        <v>316</v>
      </c>
      <c r="E79" s="76">
        <f t="shared" si="1"/>
        <v>0</v>
      </c>
      <c r="F79" s="26" t="s">
        <v>278</v>
      </c>
      <c r="G79" s="26" t="s">
        <v>278</v>
      </c>
      <c r="H79" s="26" t="s">
        <v>278</v>
      </c>
      <c r="I79" s="26" t="s">
        <v>278</v>
      </c>
      <c r="J79" s="76">
        <f t="shared" si="29"/>
        <v>0</v>
      </c>
      <c r="K79" s="77" t="s">
        <v>278</v>
      </c>
      <c r="L79" s="77" t="s">
        <v>278</v>
      </c>
      <c r="M79" s="77" t="s">
        <v>278</v>
      </c>
      <c r="N79" s="77" t="s">
        <v>278</v>
      </c>
      <c r="O79" s="76">
        <f t="shared" si="16"/>
        <v>0</v>
      </c>
      <c r="P79" s="77" t="s">
        <v>278</v>
      </c>
      <c r="Q79" s="77" t="s">
        <v>278</v>
      </c>
      <c r="R79" s="77" t="s">
        <v>278</v>
      </c>
      <c r="S79" s="77" t="s">
        <v>278</v>
      </c>
      <c r="T79" s="76">
        <f t="shared" si="17"/>
        <v>0</v>
      </c>
      <c r="U79" s="77" t="s">
        <v>278</v>
      </c>
      <c r="V79" s="77" t="s">
        <v>278</v>
      </c>
      <c r="W79" s="77" t="s">
        <v>278</v>
      </c>
      <c r="X79" s="77" t="s">
        <v>278</v>
      </c>
      <c r="Y79" s="76">
        <f t="shared" si="18"/>
        <v>0</v>
      </c>
      <c r="Z79" s="77" t="s">
        <v>278</v>
      </c>
      <c r="AA79" s="77" t="s">
        <v>278</v>
      </c>
      <c r="AB79" s="77" t="s">
        <v>278</v>
      </c>
      <c r="AC79" s="77" t="s">
        <v>278</v>
      </c>
      <c r="AD79" s="76">
        <f t="shared" si="19"/>
        <v>0</v>
      </c>
      <c r="AE79" s="77" t="s">
        <v>278</v>
      </c>
      <c r="AF79" s="77" t="s">
        <v>278</v>
      </c>
      <c r="AG79" s="77" t="s">
        <v>278</v>
      </c>
      <c r="AH79" s="77" t="s">
        <v>278</v>
      </c>
      <c r="AI79" s="76">
        <f t="shared" si="20"/>
        <v>0</v>
      </c>
      <c r="AJ79" s="77" t="s">
        <v>278</v>
      </c>
      <c r="AK79" s="77" t="s">
        <v>278</v>
      </c>
      <c r="AL79" s="77" t="s">
        <v>278</v>
      </c>
      <c r="AM79" s="77" t="s">
        <v>278</v>
      </c>
      <c r="AN79" s="76">
        <f t="shared" si="21"/>
        <v>0</v>
      </c>
    </row>
    <row r="80" spans="1:40" s="17" customFormat="1" ht="136.5" customHeight="1">
      <c r="A80" s="41" t="s">
        <v>201</v>
      </c>
      <c r="B80" s="56" t="s">
        <v>317</v>
      </c>
      <c r="C80" s="26" t="s">
        <v>54</v>
      </c>
      <c r="D80" s="11" t="s">
        <v>228</v>
      </c>
      <c r="E80" s="76">
        <f t="shared" si="1"/>
        <v>0</v>
      </c>
      <c r="F80" s="26" t="s">
        <v>278</v>
      </c>
      <c r="G80" s="26" t="s">
        <v>278</v>
      </c>
      <c r="H80" s="26" t="s">
        <v>278</v>
      </c>
      <c r="I80" s="26" t="s">
        <v>278</v>
      </c>
      <c r="J80" s="76">
        <f t="shared" si="29"/>
        <v>0</v>
      </c>
      <c r="K80" s="77" t="s">
        <v>278</v>
      </c>
      <c r="L80" s="77" t="s">
        <v>278</v>
      </c>
      <c r="M80" s="77" t="s">
        <v>278</v>
      </c>
      <c r="N80" s="77" t="s">
        <v>278</v>
      </c>
      <c r="O80" s="76">
        <f t="shared" si="16"/>
        <v>0</v>
      </c>
      <c r="P80" s="77" t="s">
        <v>278</v>
      </c>
      <c r="Q80" s="77" t="s">
        <v>278</v>
      </c>
      <c r="R80" s="77" t="s">
        <v>278</v>
      </c>
      <c r="S80" s="77" t="s">
        <v>278</v>
      </c>
      <c r="T80" s="76">
        <f t="shared" si="17"/>
        <v>0</v>
      </c>
      <c r="U80" s="77" t="s">
        <v>278</v>
      </c>
      <c r="V80" s="77" t="s">
        <v>278</v>
      </c>
      <c r="W80" s="77" t="s">
        <v>278</v>
      </c>
      <c r="X80" s="77" t="s">
        <v>278</v>
      </c>
      <c r="Y80" s="76">
        <f t="shared" si="18"/>
        <v>0</v>
      </c>
      <c r="Z80" s="77" t="s">
        <v>278</v>
      </c>
      <c r="AA80" s="77" t="s">
        <v>278</v>
      </c>
      <c r="AB80" s="77" t="s">
        <v>278</v>
      </c>
      <c r="AC80" s="77" t="s">
        <v>278</v>
      </c>
      <c r="AD80" s="76">
        <f t="shared" si="19"/>
        <v>0</v>
      </c>
      <c r="AE80" s="77" t="s">
        <v>278</v>
      </c>
      <c r="AF80" s="77" t="s">
        <v>278</v>
      </c>
      <c r="AG80" s="77" t="s">
        <v>278</v>
      </c>
      <c r="AH80" s="77" t="s">
        <v>278</v>
      </c>
      <c r="AI80" s="76">
        <f t="shared" si="20"/>
        <v>0</v>
      </c>
      <c r="AJ80" s="77" t="s">
        <v>278</v>
      </c>
      <c r="AK80" s="77" t="s">
        <v>278</v>
      </c>
      <c r="AL80" s="77" t="s">
        <v>278</v>
      </c>
      <c r="AM80" s="77" t="s">
        <v>278</v>
      </c>
      <c r="AN80" s="76">
        <f t="shared" si="21"/>
        <v>0</v>
      </c>
    </row>
    <row r="81" spans="1:40" s="17" customFormat="1" ht="185.25" customHeight="1">
      <c r="A81" s="41" t="s">
        <v>202</v>
      </c>
      <c r="B81" s="78" t="s">
        <v>212</v>
      </c>
      <c r="C81" s="26" t="s">
        <v>34</v>
      </c>
      <c r="D81" s="11" t="s">
        <v>237</v>
      </c>
      <c r="E81" s="76">
        <f t="shared" si="1"/>
        <v>0</v>
      </c>
      <c r="F81" s="26" t="s">
        <v>278</v>
      </c>
      <c r="G81" s="26" t="s">
        <v>278</v>
      </c>
      <c r="H81" s="26" t="s">
        <v>278</v>
      </c>
      <c r="I81" s="26" t="s">
        <v>278</v>
      </c>
      <c r="J81" s="76">
        <f t="shared" si="29"/>
        <v>0</v>
      </c>
      <c r="K81" s="77" t="s">
        <v>278</v>
      </c>
      <c r="L81" s="77" t="s">
        <v>278</v>
      </c>
      <c r="M81" s="77" t="s">
        <v>278</v>
      </c>
      <c r="N81" s="77" t="s">
        <v>278</v>
      </c>
      <c r="O81" s="76">
        <f aca="true" t="shared" si="30" ref="O81:O87">SUMIF(P81:S81,"&gt;0")</f>
        <v>0</v>
      </c>
      <c r="P81" s="77" t="s">
        <v>278</v>
      </c>
      <c r="Q81" s="77" t="s">
        <v>278</v>
      </c>
      <c r="R81" s="77" t="s">
        <v>278</v>
      </c>
      <c r="S81" s="77" t="s">
        <v>278</v>
      </c>
      <c r="T81" s="76">
        <f t="shared" si="17"/>
        <v>0</v>
      </c>
      <c r="U81" s="77" t="s">
        <v>278</v>
      </c>
      <c r="V81" s="77" t="s">
        <v>278</v>
      </c>
      <c r="W81" s="77" t="s">
        <v>278</v>
      </c>
      <c r="X81" s="77" t="s">
        <v>278</v>
      </c>
      <c r="Y81" s="76">
        <f t="shared" si="18"/>
        <v>0</v>
      </c>
      <c r="Z81" s="77" t="s">
        <v>278</v>
      </c>
      <c r="AA81" s="77" t="s">
        <v>278</v>
      </c>
      <c r="AB81" s="77" t="s">
        <v>278</v>
      </c>
      <c r="AC81" s="77" t="s">
        <v>278</v>
      </c>
      <c r="AD81" s="76">
        <f t="shared" si="19"/>
        <v>0</v>
      </c>
      <c r="AE81" s="77" t="s">
        <v>278</v>
      </c>
      <c r="AF81" s="77" t="s">
        <v>278</v>
      </c>
      <c r="AG81" s="77" t="s">
        <v>278</v>
      </c>
      <c r="AH81" s="77" t="s">
        <v>278</v>
      </c>
      <c r="AI81" s="107">
        <f t="shared" si="20"/>
        <v>20750</v>
      </c>
      <c r="AJ81" s="111">
        <v>697.2</v>
      </c>
      <c r="AK81" s="111">
        <v>20052.8</v>
      </c>
      <c r="AL81" s="77" t="s">
        <v>278</v>
      </c>
      <c r="AM81" s="77" t="s">
        <v>278</v>
      </c>
      <c r="AN81" s="115">
        <f t="shared" si="21"/>
        <v>20750</v>
      </c>
    </row>
    <row r="82" spans="1:40" s="17" customFormat="1" ht="110.25">
      <c r="A82" s="41" t="s">
        <v>204</v>
      </c>
      <c r="B82" s="78" t="s">
        <v>329</v>
      </c>
      <c r="C82" s="26" t="s">
        <v>54</v>
      </c>
      <c r="D82" s="11" t="s">
        <v>228</v>
      </c>
      <c r="E82" s="76">
        <f t="shared" si="1"/>
        <v>0</v>
      </c>
      <c r="F82" s="26" t="s">
        <v>278</v>
      </c>
      <c r="G82" s="26" t="s">
        <v>278</v>
      </c>
      <c r="H82" s="26" t="s">
        <v>278</v>
      </c>
      <c r="I82" s="26" t="s">
        <v>278</v>
      </c>
      <c r="J82" s="76">
        <f aca="true" t="shared" si="31" ref="J82:J91">SUMIF(K82:N82,"&gt;0")</f>
        <v>0</v>
      </c>
      <c r="K82" s="77" t="s">
        <v>278</v>
      </c>
      <c r="L82" s="77" t="s">
        <v>278</v>
      </c>
      <c r="M82" s="77" t="s">
        <v>278</v>
      </c>
      <c r="N82" s="77" t="s">
        <v>278</v>
      </c>
      <c r="O82" s="76">
        <f t="shared" si="30"/>
        <v>0</v>
      </c>
      <c r="P82" s="77" t="s">
        <v>278</v>
      </c>
      <c r="Q82" s="77" t="s">
        <v>278</v>
      </c>
      <c r="R82" s="77" t="s">
        <v>278</v>
      </c>
      <c r="S82" s="77" t="s">
        <v>278</v>
      </c>
      <c r="T82" s="76">
        <f aca="true" t="shared" si="32" ref="T82:T88">SUMIF(U82:X82,"&gt;0")</f>
        <v>0</v>
      </c>
      <c r="U82" s="77" t="s">
        <v>278</v>
      </c>
      <c r="V82" s="77" t="s">
        <v>278</v>
      </c>
      <c r="W82" s="77" t="s">
        <v>278</v>
      </c>
      <c r="X82" s="77" t="s">
        <v>278</v>
      </c>
      <c r="Y82" s="76">
        <f aca="true" t="shared" si="33" ref="Y82:Y88">SUMIF(Z82:AC82,"&gt;0")</f>
        <v>0</v>
      </c>
      <c r="Z82" s="77" t="s">
        <v>278</v>
      </c>
      <c r="AA82" s="77" t="s">
        <v>278</v>
      </c>
      <c r="AB82" s="77" t="s">
        <v>278</v>
      </c>
      <c r="AC82" s="77" t="s">
        <v>278</v>
      </c>
      <c r="AD82" s="76">
        <f aca="true" t="shared" si="34" ref="AD82:AD88">SUMIF(AE82:AH82,"&gt;0")</f>
        <v>0</v>
      </c>
      <c r="AE82" s="77" t="s">
        <v>278</v>
      </c>
      <c r="AF82" s="77" t="s">
        <v>278</v>
      </c>
      <c r="AG82" s="77" t="s">
        <v>278</v>
      </c>
      <c r="AH82" s="77" t="s">
        <v>278</v>
      </c>
      <c r="AI82" s="76">
        <f aca="true" t="shared" si="35" ref="AI82:AI88">SUMIF(AJ82:AM82,"&gt;0")</f>
        <v>0</v>
      </c>
      <c r="AJ82" s="77" t="s">
        <v>278</v>
      </c>
      <c r="AK82" s="77" t="s">
        <v>278</v>
      </c>
      <c r="AL82" s="77" t="s">
        <v>278</v>
      </c>
      <c r="AM82" s="77" t="s">
        <v>278</v>
      </c>
      <c r="AN82" s="76">
        <f t="shared" si="21"/>
        <v>0</v>
      </c>
    </row>
    <row r="83" spans="1:42" s="17" customFormat="1" ht="183" customHeight="1">
      <c r="A83" s="41" t="s">
        <v>335</v>
      </c>
      <c r="B83" s="78" t="s">
        <v>454</v>
      </c>
      <c r="C83" s="26" t="s">
        <v>54</v>
      </c>
      <c r="D83" s="11" t="s">
        <v>228</v>
      </c>
      <c r="E83" s="76">
        <f t="shared" si="1"/>
        <v>0</v>
      </c>
      <c r="F83" s="26" t="s">
        <v>278</v>
      </c>
      <c r="G83" s="26" t="s">
        <v>278</v>
      </c>
      <c r="H83" s="26" t="s">
        <v>278</v>
      </c>
      <c r="I83" s="26" t="s">
        <v>278</v>
      </c>
      <c r="J83" s="107">
        <f t="shared" si="31"/>
        <v>3134.3</v>
      </c>
      <c r="K83" s="111">
        <f>3334+937-937-937</f>
        <v>2397</v>
      </c>
      <c r="L83" s="111">
        <f>1250-1250+737.286</f>
        <v>737.3</v>
      </c>
      <c r="M83" s="77" t="s">
        <v>278</v>
      </c>
      <c r="N83" s="77" t="s">
        <v>278</v>
      </c>
      <c r="O83" s="107">
        <f t="shared" si="30"/>
        <v>5890.7</v>
      </c>
      <c r="P83" s="111">
        <f>269+128+3860+0.001+1347.4-225.5-225.49164+0.00836</f>
        <v>5153.4</v>
      </c>
      <c r="Q83" s="114">
        <f>737.286</f>
        <v>737.3</v>
      </c>
      <c r="R83" s="77" t="s">
        <v>278</v>
      </c>
      <c r="S83" s="77" t="s">
        <v>278</v>
      </c>
      <c r="T83" s="107">
        <f t="shared" si="32"/>
        <v>3637.3</v>
      </c>
      <c r="U83" s="111">
        <f>2503+397+0.001</f>
        <v>2900</v>
      </c>
      <c r="V83" s="114">
        <f>737+0.286</f>
        <v>737.3</v>
      </c>
      <c r="W83" s="77" t="s">
        <v>278</v>
      </c>
      <c r="X83" s="77" t="s">
        <v>278</v>
      </c>
      <c r="Y83" s="107">
        <f t="shared" si="33"/>
        <v>4081.3</v>
      </c>
      <c r="Z83" s="111">
        <f>2947+397+0.001</f>
        <v>3344</v>
      </c>
      <c r="AA83" s="114">
        <f>737+0.286</f>
        <v>737.3</v>
      </c>
      <c r="AB83" s="77" t="s">
        <v>278</v>
      </c>
      <c r="AC83" s="77" t="s">
        <v>278</v>
      </c>
      <c r="AD83" s="107">
        <f t="shared" si="34"/>
        <v>5962.3</v>
      </c>
      <c r="AE83" s="111">
        <f>4828+397.001</f>
        <v>5225</v>
      </c>
      <c r="AF83" s="114">
        <f>737+0.286</f>
        <v>737.3</v>
      </c>
      <c r="AG83" s="77" t="s">
        <v>278</v>
      </c>
      <c r="AH83" s="77" t="s">
        <v>278</v>
      </c>
      <c r="AI83" s="76">
        <f t="shared" si="35"/>
        <v>0</v>
      </c>
      <c r="AJ83" s="77" t="s">
        <v>278</v>
      </c>
      <c r="AK83" s="77" t="s">
        <v>278</v>
      </c>
      <c r="AL83" s="77" t="s">
        <v>278</v>
      </c>
      <c r="AM83" s="77" t="s">
        <v>278</v>
      </c>
      <c r="AN83" s="115">
        <f aca="true" t="shared" si="36" ref="AN83:AN95">E83+J83+O83+T83+Y83+AD83+AI83</f>
        <v>22705.9</v>
      </c>
      <c r="AP83" s="17">
        <f>1881+2947</f>
        <v>4828</v>
      </c>
    </row>
    <row r="84" spans="1:40" s="17" customFormat="1" ht="110.25">
      <c r="A84" s="41" t="s">
        <v>347</v>
      </c>
      <c r="B84" s="78" t="s">
        <v>455</v>
      </c>
      <c r="C84" s="26" t="s">
        <v>54</v>
      </c>
      <c r="D84" s="11" t="s">
        <v>228</v>
      </c>
      <c r="E84" s="107">
        <f t="shared" si="1"/>
        <v>1098.3</v>
      </c>
      <c r="F84" s="111">
        <f>54.91745</f>
        <v>54.9</v>
      </c>
      <c r="G84" s="111">
        <f>1043.4316</f>
        <v>1043.4</v>
      </c>
      <c r="H84" s="26" t="s">
        <v>278</v>
      </c>
      <c r="I84" s="26" t="s">
        <v>278</v>
      </c>
      <c r="J84" s="107">
        <f t="shared" si="31"/>
        <v>613</v>
      </c>
      <c r="K84" s="111">
        <f>35+613-35</f>
        <v>613</v>
      </c>
      <c r="L84" s="77" t="s">
        <v>278</v>
      </c>
      <c r="M84" s="77" t="s">
        <v>278</v>
      </c>
      <c r="N84" s="77" t="s">
        <v>278</v>
      </c>
      <c r="O84" s="107">
        <f t="shared" si="30"/>
        <v>19309.1</v>
      </c>
      <c r="P84" s="111">
        <f>96+283+586.9</f>
        <v>965.9</v>
      </c>
      <c r="Q84" s="111">
        <f>7192.1+11151.1</f>
        <v>18343.2</v>
      </c>
      <c r="R84" s="77" t="s">
        <v>278</v>
      </c>
      <c r="S84" s="77" t="s">
        <v>278</v>
      </c>
      <c r="T84" s="107">
        <f t="shared" si="32"/>
        <v>11829.9</v>
      </c>
      <c r="U84" s="111">
        <f>524.17558+67.31904</f>
        <v>591.5</v>
      </c>
      <c r="V84" s="114">
        <f>9959.33602+1279.06176</f>
        <v>11238.4</v>
      </c>
      <c r="W84" s="77" t="s">
        <v>278</v>
      </c>
      <c r="X84" s="77" t="s">
        <v>278</v>
      </c>
      <c r="Y84" s="107">
        <f t="shared" si="33"/>
        <v>39834.5</v>
      </c>
      <c r="Z84" s="111">
        <f>513+1478.72555</f>
        <v>1991.7</v>
      </c>
      <c r="AA84" s="114">
        <f>37842.78545</f>
        <v>37842.8</v>
      </c>
      <c r="AB84" s="77" t="s">
        <v>278</v>
      </c>
      <c r="AC84" s="77" t="s">
        <v>278</v>
      </c>
      <c r="AD84" s="107">
        <f t="shared" si="34"/>
        <v>10448.2</v>
      </c>
      <c r="AE84" s="111">
        <f>121.0204+35.915+365.47366</f>
        <v>522.4</v>
      </c>
      <c r="AF84" s="114">
        <f>2299.3876+682.385+6943.99935</f>
        <v>9925.8</v>
      </c>
      <c r="AG84" s="77" t="s">
        <v>278</v>
      </c>
      <c r="AH84" s="77" t="s">
        <v>278</v>
      </c>
      <c r="AI84" s="76">
        <f t="shared" si="35"/>
        <v>0</v>
      </c>
      <c r="AJ84" s="77" t="s">
        <v>278</v>
      </c>
      <c r="AK84" s="77" t="s">
        <v>278</v>
      </c>
      <c r="AL84" s="77" t="s">
        <v>278</v>
      </c>
      <c r="AM84" s="77" t="s">
        <v>278</v>
      </c>
      <c r="AN84" s="115">
        <f t="shared" si="36"/>
        <v>83133</v>
      </c>
    </row>
    <row r="85" spans="1:40" s="17" customFormat="1" ht="110.25">
      <c r="A85" s="41" t="s">
        <v>359</v>
      </c>
      <c r="B85" s="78" t="s">
        <v>364</v>
      </c>
      <c r="C85" s="26" t="s">
        <v>54</v>
      </c>
      <c r="D85" s="96" t="s">
        <v>441</v>
      </c>
      <c r="E85" s="107">
        <f t="shared" si="1"/>
        <v>1556.9</v>
      </c>
      <c r="F85" s="111">
        <f>508.2-508.2+542.14933</f>
        <v>542.1</v>
      </c>
      <c r="G85" s="111">
        <f>1006.84876</f>
        <v>1006.8</v>
      </c>
      <c r="H85" s="26" t="s">
        <v>278</v>
      </c>
      <c r="I85" s="111">
        <f>8</f>
        <v>8</v>
      </c>
      <c r="J85" s="76">
        <f t="shared" si="31"/>
        <v>0</v>
      </c>
      <c r="K85" s="106">
        <f>3102-3102</f>
        <v>0</v>
      </c>
      <c r="L85" s="77" t="s">
        <v>278</v>
      </c>
      <c r="M85" s="77" t="s">
        <v>278</v>
      </c>
      <c r="N85" s="77" t="s">
        <v>278</v>
      </c>
      <c r="O85" s="107">
        <f>SUMIF(P85:S85,"&gt;0")</f>
        <v>4296.9</v>
      </c>
      <c r="P85" s="111">
        <f>518.55761+708.99146+276.37401</f>
        <v>1503.9</v>
      </c>
      <c r="Q85" s="111">
        <f>963.03555+1316.69845+513.266</f>
        <v>2793</v>
      </c>
      <c r="R85" s="77" t="s">
        <v>278</v>
      </c>
      <c r="S85" s="77" t="s">
        <v>278</v>
      </c>
      <c r="T85" s="107">
        <f t="shared" si="32"/>
        <v>6108.4</v>
      </c>
      <c r="U85" s="111">
        <f>239.47+1393+505.4665</f>
        <v>2137.9</v>
      </c>
      <c r="V85" s="114">
        <f>444.73+2587+938.7235</f>
        <v>3970.5</v>
      </c>
      <c r="W85" s="77" t="s">
        <v>278</v>
      </c>
      <c r="X85" s="77" t="s">
        <v>278</v>
      </c>
      <c r="Y85" s="76">
        <f t="shared" si="33"/>
        <v>0</v>
      </c>
      <c r="Z85" s="77" t="s">
        <v>278</v>
      </c>
      <c r="AA85" s="77" t="s">
        <v>278</v>
      </c>
      <c r="AB85" s="77" t="s">
        <v>278</v>
      </c>
      <c r="AC85" s="77" t="s">
        <v>278</v>
      </c>
      <c r="AD85" s="76">
        <f t="shared" si="34"/>
        <v>0</v>
      </c>
      <c r="AE85" s="77" t="s">
        <v>278</v>
      </c>
      <c r="AF85" s="77" t="s">
        <v>278</v>
      </c>
      <c r="AG85" s="77" t="s">
        <v>278</v>
      </c>
      <c r="AH85" s="77" t="s">
        <v>278</v>
      </c>
      <c r="AI85" s="76">
        <f t="shared" si="35"/>
        <v>0</v>
      </c>
      <c r="AJ85" s="77" t="s">
        <v>278</v>
      </c>
      <c r="AK85" s="77" t="s">
        <v>278</v>
      </c>
      <c r="AL85" s="77" t="s">
        <v>278</v>
      </c>
      <c r="AM85" s="77" t="s">
        <v>278</v>
      </c>
      <c r="AN85" s="115">
        <f t="shared" si="36"/>
        <v>11962.2</v>
      </c>
    </row>
    <row r="86" spans="1:40" s="17" customFormat="1" ht="147" customHeight="1">
      <c r="A86" s="41" t="s">
        <v>360</v>
      </c>
      <c r="B86" s="78" t="s">
        <v>456</v>
      </c>
      <c r="C86" s="26" t="s">
        <v>54</v>
      </c>
      <c r="D86" s="96" t="s">
        <v>303</v>
      </c>
      <c r="E86" s="107">
        <f t="shared" si="1"/>
        <v>12817.6</v>
      </c>
      <c r="F86" s="111">
        <f>550.02213+151.7647+1145.02766+75.83259</f>
        <v>1922.6</v>
      </c>
      <c r="G86" s="111">
        <f>3116.792+860+6488.49+429.718</f>
        <v>10895</v>
      </c>
      <c r="H86" s="26" t="s">
        <v>278</v>
      </c>
      <c r="I86" s="26" t="s">
        <v>278</v>
      </c>
      <c r="J86" s="107">
        <f t="shared" si="31"/>
        <v>5133.6</v>
      </c>
      <c r="K86" s="111">
        <f>532.05882+115.305-128.03214+12.72714+1774.3-127.92564+221.7+443.4</f>
        <v>2843.5</v>
      </c>
      <c r="L86" s="111">
        <f>653.395+1564.57247+72.12053</f>
        <v>2290.1</v>
      </c>
      <c r="M86" s="77" t="s">
        <v>278</v>
      </c>
      <c r="N86" s="77" t="s">
        <v>278</v>
      </c>
      <c r="O86" s="76">
        <f t="shared" si="30"/>
        <v>0</v>
      </c>
      <c r="P86" s="77" t="s">
        <v>278</v>
      </c>
      <c r="Q86" s="77" t="s">
        <v>278</v>
      </c>
      <c r="R86" s="77" t="s">
        <v>278</v>
      </c>
      <c r="S86" s="77" t="s">
        <v>278</v>
      </c>
      <c r="T86" s="76">
        <f t="shared" si="32"/>
        <v>0</v>
      </c>
      <c r="U86" s="77" t="s">
        <v>278</v>
      </c>
      <c r="V86" s="77" t="s">
        <v>278</v>
      </c>
      <c r="W86" s="77" t="s">
        <v>278</v>
      </c>
      <c r="X86" s="77" t="s">
        <v>278</v>
      </c>
      <c r="Y86" s="76">
        <f t="shared" si="33"/>
        <v>0</v>
      </c>
      <c r="Z86" s="77" t="s">
        <v>278</v>
      </c>
      <c r="AA86" s="77" t="s">
        <v>278</v>
      </c>
      <c r="AB86" s="77" t="s">
        <v>278</v>
      </c>
      <c r="AC86" s="77" t="s">
        <v>278</v>
      </c>
      <c r="AD86" s="76">
        <f t="shared" si="34"/>
        <v>0</v>
      </c>
      <c r="AE86" s="77" t="s">
        <v>278</v>
      </c>
      <c r="AF86" s="77" t="s">
        <v>278</v>
      </c>
      <c r="AG86" s="77" t="s">
        <v>278</v>
      </c>
      <c r="AH86" s="77" t="s">
        <v>278</v>
      </c>
      <c r="AI86" s="76">
        <f t="shared" si="35"/>
        <v>0</v>
      </c>
      <c r="AJ86" s="77" t="s">
        <v>278</v>
      </c>
      <c r="AK86" s="77" t="s">
        <v>278</v>
      </c>
      <c r="AL86" s="77" t="s">
        <v>278</v>
      </c>
      <c r="AM86" s="77" t="s">
        <v>278</v>
      </c>
      <c r="AN86" s="115">
        <f t="shared" si="36"/>
        <v>17951.2</v>
      </c>
    </row>
    <row r="87" spans="1:40" s="17" customFormat="1" ht="110.25">
      <c r="A87" s="41" t="s">
        <v>365</v>
      </c>
      <c r="B87" s="78" t="s">
        <v>366</v>
      </c>
      <c r="C87" s="26" t="s">
        <v>54</v>
      </c>
      <c r="D87" s="96">
        <v>2021</v>
      </c>
      <c r="E87" s="107">
        <f>SUMIF(F87:I87,"&gt;0")</f>
        <v>1194</v>
      </c>
      <c r="F87" s="111">
        <f>599+595</f>
        <v>1194</v>
      </c>
      <c r="G87" s="26" t="s">
        <v>278</v>
      </c>
      <c r="H87" s="26" t="s">
        <v>278</v>
      </c>
      <c r="I87" s="26" t="s">
        <v>278</v>
      </c>
      <c r="J87" s="76">
        <f t="shared" si="31"/>
        <v>0</v>
      </c>
      <c r="K87" s="77" t="s">
        <v>278</v>
      </c>
      <c r="L87" s="77" t="s">
        <v>278</v>
      </c>
      <c r="M87" s="77" t="s">
        <v>278</v>
      </c>
      <c r="N87" s="77" t="s">
        <v>278</v>
      </c>
      <c r="O87" s="76">
        <f t="shared" si="30"/>
        <v>0</v>
      </c>
      <c r="P87" s="77" t="s">
        <v>278</v>
      </c>
      <c r="Q87" s="77" t="s">
        <v>278</v>
      </c>
      <c r="R87" s="77" t="s">
        <v>278</v>
      </c>
      <c r="S87" s="77" t="s">
        <v>278</v>
      </c>
      <c r="T87" s="76">
        <f t="shared" si="32"/>
        <v>0</v>
      </c>
      <c r="U87" s="77" t="s">
        <v>278</v>
      </c>
      <c r="V87" s="77" t="s">
        <v>278</v>
      </c>
      <c r="W87" s="77" t="s">
        <v>278</v>
      </c>
      <c r="X87" s="77" t="s">
        <v>278</v>
      </c>
      <c r="Y87" s="76">
        <f t="shared" si="33"/>
        <v>0</v>
      </c>
      <c r="Z87" s="77" t="s">
        <v>278</v>
      </c>
      <c r="AA87" s="77" t="s">
        <v>278</v>
      </c>
      <c r="AB87" s="77" t="s">
        <v>278</v>
      </c>
      <c r="AC87" s="77" t="s">
        <v>278</v>
      </c>
      <c r="AD87" s="76">
        <f t="shared" si="34"/>
        <v>0</v>
      </c>
      <c r="AE87" s="77" t="s">
        <v>278</v>
      </c>
      <c r="AF87" s="77" t="s">
        <v>278</v>
      </c>
      <c r="AG87" s="77" t="s">
        <v>278</v>
      </c>
      <c r="AH87" s="77" t="s">
        <v>278</v>
      </c>
      <c r="AI87" s="76">
        <f t="shared" si="35"/>
        <v>0</v>
      </c>
      <c r="AJ87" s="77" t="s">
        <v>278</v>
      </c>
      <c r="AK87" s="77" t="s">
        <v>278</v>
      </c>
      <c r="AL87" s="77" t="s">
        <v>278</v>
      </c>
      <c r="AM87" s="77" t="s">
        <v>278</v>
      </c>
      <c r="AN87" s="115">
        <f t="shared" si="36"/>
        <v>1194</v>
      </c>
    </row>
    <row r="88" spans="1:40" s="17" customFormat="1" ht="110.25">
      <c r="A88" s="41" t="s">
        <v>415</v>
      </c>
      <c r="B88" s="78" t="s">
        <v>416</v>
      </c>
      <c r="C88" s="26" t="s">
        <v>54</v>
      </c>
      <c r="D88" s="96" t="s">
        <v>564</v>
      </c>
      <c r="E88" s="76">
        <f>SUMIF(F88:I88,"&gt;0")</f>
        <v>0</v>
      </c>
      <c r="F88" s="77" t="s">
        <v>278</v>
      </c>
      <c r="G88" s="26" t="s">
        <v>278</v>
      </c>
      <c r="H88" s="26" t="s">
        <v>278</v>
      </c>
      <c r="I88" s="26" t="s">
        <v>278</v>
      </c>
      <c r="J88" s="76">
        <f t="shared" si="31"/>
        <v>0</v>
      </c>
      <c r="K88" s="77" t="s">
        <v>278</v>
      </c>
      <c r="L88" s="77" t="s">
        <v>278</v>
      </c>
      <c r="M88" s="77" t="s">
        <v>278</v>
      </c>
      <c r="N88" s="77" t="s">
        <v>278</v>
      </c>
      <c r="O88" s="107">
        <f>SUMIF(P88:S88,"&gt;0")</f>
        <v>12375.2</v>
      </c>
      <c r="P88" s="111">
        <f>5000+7147.614+227.545</f>
        <v>12375.2</v>
      </c>
      <c r="Q88" s="77" t="s">
        <v>278</v>
      </c>
      <c r="R88" s="77" t="s">
        <v>278</v>
      </c>
      <c r="S88" s="77" t="s">
        <v>278</v>
      </c>
      <c r="T88" s="107">
        <f t="shared" si="32"/>
        <v>2114.8</v>
      </c>
      <c r="U88" s="111">
        <f>2114.8331</f>
        <v>2114.8</v>
      </c>
      <c r="V88" s="77" t="s">
        <v>278</v>
      </c>
      <c r="W88" s="77" t="s">
        <v>278</v>
      </c>
      <c r="X88" s="77" t="s">
        <v>278</v>
      </c>
      <c r="Y88" s="76">
        <f t="shared" si="33"/>
        <v>0</v>
      </c>
      <c r="Z88" s="77" t="s">
        <v>278</v>
      </c>
      <c r="AA88" s="77" t="s">
        <v>278</v>
      </c>
      <c r="AB88" s="77" t="s">
        <v>278</v>
      </c>
      <c r="AC88" s="77" t="s">
        <v>278</v>
      </c>
      <c r="AD88" s="76">
        <f t="shared" si="34"/>
        <v>0</v>
      </c>
      <c r="AE88" s="77" t="s">
        <v>278</v>
      </c>
      <c r="AF88" s="77" t="s">
        <v>278</v>
      </c>
      <c r="AG88" s="77" t="s">
        <v>278</v>
      </c>
      <c r="AH88" s="77" t="s">
        <v>278</v>
      </c>
      <c r="AI88" s="76">
        <f t="shared" si="35"/>
        <v>0</v>
      </c>
      <c r="AJ88" s="77" t="s">
        <v>278</v>
      </c>
      <c r="AK88" s="77" t="s">
        <v>278</v>
      </c>
      <c r="AL88" s="77" t="s">
        <v>278</v>
      </c>
      <c r="AM88" s="77" t="s">
        <v>278</v>
      </c>
      <c r="AN88" s="115">
        <f t="shared" si="36"/>
        <v>14490</v>
      </c>
    </row>
    <row r="89" spans="1:40" s="31" customFormat="1" ht="110.25">
      <c r="A89" s="35" t="s">
        <v>426</v>
      </c>
      <c r="B89" s="19" t="s">
        <v>460</v>
      </c>
      <c r="C89" s="26" t="s">
        <v>54</v>
      </c>
      <c r="D89" s="96">
        <v>2023</v>
      </c>
      <c r="E89" s="76">
        <f>SUMIF(F89:I89,"&gt;0")</f>
        <v>0</v>
      </c>
      <c r="F89" s="26" t="s">
        <v>278</v>
      </c>
      <c r="G89" s="26" t="s">
        <v>278</v>
      </c>
      <c r="H89" s="26" t="s">
        <v>278</v>
      </c>
      <c r="I89" s="26" t="s">
        <v>278</v>
      </c>
      <c r="J89" s="76">
        <f>SUMIF(K89:N89,"&gt;0")</f>
        <v>0</v>
      </c>
      <c r="K89" s="77" t="s">
        <v>278</v>
      </c>
      <c r="L89" s="77" t="s">
        <v>278</v>
      </c>
      <c r="M89" s="77" t="s">
        <v>278</v>
      </c>
      <c r="N89" s="77" t="s">
        <v>278</v>
      </c>
      <c r="O89" s="107">
        <f>SUMIF(P89:S89,"&gt;0")</f>
        <v>14557.3</v>
      </c>
      <c r="P89" s="111">
        <f>5184</f>
        <v>5184</v>
      </c>
      <c r="Q89" s="111">
        <f>9373.3</f>
        <v>9373.3</v>
      </c>
      <c r="R89" s="77" t="s">
        <v>278</v>
      </c>
      <c r="S89" s="77" t="s">
        <v>278</v>
      </c>
      <c r="T89" s="76">
        <f>SUMIF(U89:X89,"&gt;0")</f>
        <v>0</v>
      </c>
      <c r="U89" s="77" t="s">
        <v>278</v>
      </c>
      <c r="V89" s="77" t="s">
        <v>278</v>
      </c>
      <c r="W89" s="77" t="s">
        <v>278</v>
      </c>
      <c r="X89" s="77" t="s">
        <v>278</v>
      </c>
      <c r="Y89" s="76">
        <f>SUMIF(Z89:AC89,"&gt;0")</f>
        <v>0</v>
      </c>
      <c r="Z89" s="77" t="s">
        <v>278</v>
      </c>
      <c r="AA89" s="77" t="s">
        <v>278</v>
      </c>
      <c r="AB89" s="77" t="s">
        <v>278</v>
      </c>
      <c r="AC89" s="77" t="s">
        <v>278</v>
      </c>
      <c r="AD89" s="76">
        <f>SUMIF(AE89:AH89,"&gt;0")</f>
        <v>0</v>
      </c>
      <c r="AE89" s="77" t="s">
        <v>278</v>
      </c>
      <c r="AF89" s="77" t="s">
        <v>278</v>
      </c>
      <c r="AG89" s="77" t="s">
        <v>278</v>
      </c>
      <c r="AH89" s="77" t="s">
        <v>278</v>
      </c>
      <c r="AI89" s="76">
        <f>SUMIF(AJ89:AM89,"&gt;0")</f>
        <v>0</v>
      </c>
      <c r="AJ89" s="77" t="s">
        <v>278</v>
      </c>
      <c r="AK89" s="77" t="s">
        <v>278</v>
      </c>
      <c r="AL89" s="77" t="s">
        <v>278</v>
      </c>
      <c r="AM89" s="77" t="s">
        <v>278</v>
      </c>
      <c r="AN89" s="131">
        <f>E89+J89+O89+T89+Y89+AD89+AI89</f>
        <v>14557.3</v>
      </c>
    </row>
    <row r="90" spans="1:40" s="31" customFormat="1" ht="141.75">
      <c r="A90" s="35" t="s">
        <v>569</v>
      </c>
      <c r="B90" s="19" t="s">
        <v>571</v>
      </c>
      <c r="C90" s="26" t="s">
        <v>54</v>
      </c>
      <c r="D90" s="96">
        <v>2024</v>
      </c>
      <c r="E90" s="76">
        <f>SUMIF(F90:I90,"&gt;0")</f>
        <v>0</v>
      </c>
      <c r="F90" s="26" t="s">
        <v>278</v>
      </c>
      <c r="G90" s="26" t="s">
        <v>278</v>
      </c>
      <c r="H90" s="26" t="s">
        <v>278</v>
      </c>
      <c r="I90" s="26" t="s">
        <v>278</v>
      </c>
      <c r="J90" s="76">
        <f>SUMIF(K90:N90,"&gt;0")</f>
        <v>0</v>
      </c>
      <c r="K90" s="77" t="s">
        <v>278</v>
      </c>
      <c r="L90" s="77" t="s">
        <v>278</v>
      </c>
      <c r="M90" s="77" t="s">
        <v>278</v>
      </c>
      <c r="N90" s="77" t="s">
        <v>278</v>
      </c>
      <c r="O90" s="76">
        <f>SUMIF(P90:S90,"&gt;0")</f>
        <v>0</v>
      </c>
      <c r="P90" s="77" t="s">
        <v>278</v>
      </c>
      <c r="Q90" s="77" t="s">
        <v>278</v>
      </c>
      <c r="R90" s="77" t="s">
        <v>278</v>
      </c>
      <c r="S90" s="77" t="s">
        <v>278</v>
      </c>
      <c r="T90" s="107">
        <f>SUMIF(U90:X90,"&gt;0")</f>
        <v>35411.4</v>
      </c>
      <c r="U90" s="77" t="s">
        <v>278</v>
      </c>
      <c r="V90" s="111">
        <f>35411.43</f>
        <v>35411.43</v>
      </c>
      <c r="W90" s="77" t="s">
        <v>278</v>
      </c>
      <c r="X90" s="77" t="s">
        <v>278</v>
      </c>
      <c r="Y90" s="76">
        <f>SUMIF(Z90:AC90,"&gt;0")</f>
        <v>0</v>
      </c>
      <c r="Z90" s="77" t="s">
        <v>278</v>
      </c>
      <c r="AA90" s="77" t="s">
        <v>278</v>
      </c>
      <c r="AB90" s="77" t="s">
        <v>278</v>
      </c>
      <c r="AC90" s="77" t="s">
        <v>278</v>
      </c>
      <c r="AD90" s="76">
        <f>SUMIF(AE90:AH90,"&gt;0")</f>
        <v>0</v>
      </c>
      <c r="AE90" s="77" t="s">
        <v>278</v>
      </c>
      <c r="AF90" s="77" t="s">
        <v>278</v>
      </c>
      <c r="AG90" s="77" t="s">
        <v>278</v>
      </c>
      <c r="AH90" s="77" t="s">
        <v>278</v>
      </c>
      <c r="AI90" s="76">
        <f>SUMIF(AJ90:AM90,"&gt;0")</f>
        <v>0</v>
      </c>
      <c r="AJ90" s="77" t="s">
        <v>278</v>
      </c>
      <c r="AK90" s="77" t="s">
        <v>278</v>
      </c>
      <c r="AL90" s="77" t="s">
        <v>278</v>
      </c>
      <c r="AM90" s="77" t="s">
        <v>278</v>
      </c>
      <c r="AN90" s="131">
        <f>E90+J90+O90+T90+Y90+AD90+AI90</f>
        <v>35411.4</v>
      </c>
    </row>
    <row r="91" spans="1:40" s="31" customFormat="1" ht="190.5" customHeight="1">
      <c r="A91" s="35" t="s">
        <v>570</v>
      </c>
      <c r="B91" s="19" t="s">
        <v>572</v>
      </c>
      <c r="C91" s="26" t="s">
        <v>54</v>
      </c>
      <c r="D91" s="96">
        <v>2025</v>
      </c>
      <c r="E91" s="76">
        <f>SUMIF(F91:I91,"&gt;0")</f>
        <v>0</v>
      </c>
      <c r="F91" s="26" t="s">
        <v>278</v>
      </c>
      <c r="G91" s="26" t="s">
        <v>278</v>
      </c>
      <c r="H91" s="26" t="s">
        <v>278</v>
      </c>
      <c r="I91" s="26" t="s">
        <v>278</v>
      </c>
      <c r="J91" s="76">
        <f t="shared" si="31"/>
        <v>0</v>
      </c>
      <c r="K91" s="77" t="s">
        <v>278</v>
      </c>
      <c r="L91" s="77" t="s">
        <v>278</v>
      </c>
      <c r="M91" s="77" t="s">
        <v>278</v>
      </c>
      <c r="N91" s="77" t="s">
        <v>278</v>
      </c>
      <c r="O91" s="76">
        <f>SUMIF(P91:S91,"&gt;0")</f>
        <v>0</v>
      </c>
      <c r="P91" s="77" t="s">
        <v>278</v>
      </c>
      <c r="Q91" s="77" t="s">
        <v>278</v>
      </c>
      <c r="R91" s="77" t="s">
        <v>278</v>
      </c>
      <c r="S91" s="77" t="s">
        <v>278</v>
      </c>
      <c r="T91" s="76">
        <f>SUMIF(U91:X91,"&gt;0")</f>
        <v>0</v>
      </c>
      <c r="U91" s="77" t="s">
        <v>278</v>
      </c>
      <c r="V91" s="77" t="s">
        <v>278</v>
      </c>
      <c r="W91" s="77" t="s">
        <v>278</v>
      </c>
      <c r="X91" s="77" t="s">
        <v>278</v>
      </c>
      <c r="Y91" s="107">
        <f>SUMIF(Z91:AC91,"&gt;0")</f>
        <v>34858.4</v>
      </c>
      <c r="Z91" s="77" t="s">
        <v>278</v>
      </c>
      <c r="AA91" s="77" t="s">
        <v>278</v>
      </c>
      <c r="AB91" s="111">
        <f>34858.406</f>
        <v>34858.4</v>
      </c>
      <c r="AC91" s="77" t="s">
        <v>278</v>
      </c>
      <c r="AD91" s="76">
        <f>SUMIF(AE91:AH91,"&gt;0")</f>
        <v>0</v>
      </c>
      <c r="AE91" s="77" t="s">
        <v>278</v>
      </c>
      <c r="AF91" s="77" t="s">
        <v>278</v>
      </c>
      <c r="AG91" s="77" t="s">
        <v>278</v>
      </c>
      <c r="AH91" s="77" t="s">
        <v>278</v>
      </c>
      <c r="AI91" s="76">
        <f>SUMIF(AJ91:AM91,"&gt;0")</f>
        <v>0</v>
      </c>
      <c r="AJ91" s="77" t="s">
        <v>278</v>
      </c>
      <c r="AK91" s="77" t="s">
        <v>278</v>
      </c>
      <c r="AL91" s="77" t="s">
        <v>278</v>
      </c>
      <c r="AM91" s="77" t="s">
        <v>278</v>
      </c>
      <c r="AN91" s="131">
        <f t="shared" si="36"/>
        <v>34858.4</v>
      </c>
    </row>
    <row r="92" spans="1:41" s="24" customFormat="1" ht="31.5">
      <c r="A92" s="47"/>
      <c r="B92" s="177" t="s">
        <v>432</v>
      </c>
      <c r="C92" s="14"/>
      <c r="D92" s="14"/>
      <c r="E92" s="115">
        <f>SUM(F92:I92)</f>
        <v>1432313.5</v>
      </c>
      <c r="F92" s="115">
        <f>SUM(F25,F49,F51,F70:F91)</f>
        <v>84792.5</v>
      </c>
      <c r="G92" s="115">
        <f>SUM(G25,G49,G51,G70:G91)</f>
        <v>417415.2</v>
      </c>
      <c r="H92" s="115">
        <f>SUM(H25,H49,H51,H70:H91)</f>
        <v>380523.8</v>
      </c>
      <c r="I92" s="115">
        <f>SUM(I25,I49,I51,I70:I91)</f>
        <v>549582</v>
      </c>
      <c r="J92" s="115">
        <f>SUM(K92:N92)</f>
        <v>3171653.3</v>
      </c>
      <c r="K92" s="115">
        <f>SUM(K25,K49,K51,K70:K91)</f>
        <v>218597.5</v>
      </c>
      <c r="L92" s="115">
        <f>SUM(L25,L49,L51,L70:L91)</f>
        <v>1458348.3</v>
      </c>
      <c r="M92" s="115">
        <f>SUM(M25,M49,M51,M70:M91)</f>
        <v>741670.5</v>
      </c>
      <c r="N92" s="115">
        <f>SUM(N25,N49,N51,N70:N91)</f>
        <v>753037</v>
      </c>
      <c r="O92" s="115">
        <f>SUM(P92:S92)</f>
        <v>1072220.5</v>
      </c>
      <c r="P92" s="115">
        <f>SUM(P25,P49,P51,P70:P91)</f>
        <v>173717</v>
      </c>
      <c r="Q92" s="115">
        <f>SUM(Q25,Q49,Q51,Q70:Q91)</f>
        <v>91367.8</v>
      </c>
      <c r="R92" s="79">
        <f>SUM(R25,R49,R51,R70:R91)</f>
        <v>0</v>
      </c>
      <c r="S92" s="115">
        <f>SUM(S25,S49,S51,S70:S91)</f>
        <v>807135.7</v>
      </c>
      <c r="T92" s="115">
        <f>SUM(U92:X92)</f>
        <v>1207969.6</v>
      </c>
      <c r="U92" s="115">
        <f>SUM(U25,U49,U51,U70:U91)</f>
        <v>144496.3</v>
      </c>
      <c r="V92" s="115">
        <f>SUM(V25,V49,V51,V70:V91)</f>
        <v>159443.9</v>
      </c>
      <c r="W92" s="115">
        <f>SUM(W25,W49,W51,W70:W91)</f>
        <v>105054.1</v>
      </c>
      <c r="X92" s="115">
        <f>SUM(X25,X49,X51,X70:X91)</f>
        <v>798975.3</v>
      </c>
      <c r="Y92" s="115">
        <f>SUM(Z92:AC92)</f>
        <v>1396715.6</v>
      </c>
      <c r="Z92" s="115">
        <f>SUM(Z25,Z49,Z51,Z70:Z91)</f>
        <v>54735</v>
      </c>
      <c r="AA92" s="115">
        <f>SUM(AA25,AA49,AA51,AA70:AA91)</f>
        <v>259071</v>
      </c>
      <c r="AB92" s="115">
        <f>SUM(AB25,AB49,AB51,AB70:AB91)</f>
        <v>283934.3</v>
      </c>
      <c r="AC92" s="115">
        <f>SUM(AC25,AC49,AC51,AC70:AC91)</f>
        <v>798975.3</v>
      </c>
      <c r="AD92" s="115">
        <f>SUM(AE92:AH92)</f>
        <v>1004012.5</v>
      </c>
      <c r="AE92" s="115">
        <f>SUM(AE25,AE49,AE51,AE70:AE91)</f>
        <v>52516</v>
      </c>
      <c r="AF92" s="115">
        <f>SUM(AF25,AF49,AF51,AF70:AF91)</f>
        <v>64691</v>
      </c>
      <c r="AG92" s="115">
        <f>SUM(AG25,AG49,AG51,AG70:AG91)</f>
        <v>87830.2</v>
      </c>
      <c r="AH92" s="115">
        <f>SUM(AH25,AH49,AH51,AH70:AH91)</f>
        <v>798975.3</v>
      </c>
      <c r="AI92" s="112">
        <f>SUM(AJ92:AM92)</f>
        <v>558985.2</v>
      </c>
      <c r="AJ92" s="115">
        <f>SUM(AJ25,AJ49,AJ51,AJ70:AJ91)</f>
        <v>133366.7</v>
      </c>
      <c r="AK92" s="115">
        <f>SUM(AK25,AK49,AK51,AK70:AK91)</f>
        <v>118110.5</v>
      </c>
      <c r="AL92" s="79">
        <f>SUM(AL25,AL49,AL51,AL70:AL91)</f>
        <v>0</v>
      </c>
      <c r="AM92" s="115">
        <f>SUM(AM25,AM49,AM51,AM70:AM91)</f>
        <v>307508</v>
      </c>
      <c r="AN92" s="115">
        <f>E92+J92+O92+T92+Y92+AD92+AI92</f>
        <v>9843870.2</v>
      </c>
      <c r="AO92" s="32"/>
    </row>
    <row r="93" spans="1:40" s="17" customFormat="1" ht="18.75">
      <c r="A93" s="47"/>
      <c r="B93" s="118" t="s">
        <v>357</v>
      </c>
      <c r="C93" s="14"/>
      <c r="D93" s="96">
        <v>2021</v>
      </c>
      <c r="E93" s="107">
        <f>SUMIF(F93:I93,"&gt;0")</f>
        <v>10677.2</v>
      </c>
      <c r="F93" s="115">
        <f>F26+F50</f>
        <v>10677.2</v>
      </c>
      <c r="G93" s="26" t="s">
        <v>278</v>
      </c>
      <c r="H93" s="26" t="s">
        <v>278</v>
      </c>
      <c r="I93" s="26" t="s">
        <v>278</v>
      </c>
      <c r="J93" s="76">
        <f>SUMIF(K93:N93,"&gt;0")</f>
        <v>0</v>
      </c>
      <c r="K93" s="26" t="s">
        <v>278</v>
      </c>
      <c r="L93" s="26" t="s">
        <v>278</v>
      </c>
      <c r="M93" s="26" t="s">
        <v>278</v>
      </c>
      <c r="N93" s="26" t="s">
        <v>278</v>
      </c>
      <c r="O93" s="76">
        <f>SUMIF(P93:S93,"&gt;0")</f>
        <v>0</v>
      </c>
      <c r="P93" s="26" t="s">
        <v>278</v>
      </c>
      <c r="Q93" s="26" t="s">
        <v>278</v>
      </c>
      <c r="R93" s="26" t="s">
        <v>278</v>
      </c>
      <c r="S93" s="26" t="s">
        <v>278</v>
      </c>
      <c r="T93" s="76">
        <f>SUMIF(U93:X93,"&gt;0")</f>
        <v>0</v>
      </c>
      <c r="U93" s="26" t="s">
        <v>278</v>
      </c>
      <c r="V93" s="26" t="s">
        <v>278</v>
      </c>
      <c r="W93" s="26" t="s">
        <v>278</v>
      </c>
      <c r="X93" s="26" t="s">
        <v>278</v>
      </c>
      <c r="Y93" s="76">
        <f>SUMIF(Z93:AC93,"&gt;0")</f>
        <v>0</v>
      </c>
      <c r="Z93" s="26" t="s">
        <v>278</v>
      </c>
      <c r="AA93" s="26" t="s">
        <v>278</v>
      </c>
      <c r="AB93" s="26" t="s">
        <v>278</v>
      </c>
      <c r="AC93" s="26" t="s">
        <v>278</v>
      </c>
      <c r="AD93" s="76">
        <f>SUMIF(AE93:AH93,"&gt;0")</f>
        <v>0</v>
      </c>
      <c r="AE93" s="26" t="s">
        <v>278</v>
      </c>
      <c r="AF93" s="26" t="s">
        <v>278</v>
      </c>
      <c r="AG93" s="26" t="s">
        <v>278</v>
      </c>
      <c r="AH93" s="26" t="s">
        <v>278</v>
      </c>
      <c r="AI93" s="76">
        <f>SUMIF(AJ93:AM93,"&gt;0")</f>
        <v>0</v>
      </c>
      <c r="AJ93" s="26" t="s">
        <v>278</v>
      </c>
      <c r="AK93" s="26" t="s">
        <v>278</v>
      </c>
      <c r="AL93" s="26" t="s">
        <v>278</v>
      </c>
      <c r="AM93" s="26" t="s">
        <v>278</v>
      </c>
      <c r="AN93" s="107">
        <f t="shared" si="36"/>
        <v>10677.2</v>
      </c>
    </row>
    <row r="94" spans="1:40" s="17" customFormat="1" ht="18.75">
      <c r="A94" s="47"/>
      <c r="B94" s="118" t="s">
        <v>378</v>
      </c>
      <c r="C94" s="14"/>
      <c r="D94" s="96">
        <v>2021</v>
      </c>
      <c r="E94" s="107">
        <f>SUMIF(F94:I94,"&gt;0")</f>
        <v>605.2</v>
      </c>
      <c r="F94" s="115">
        <f>F52</f>
        <v>605.2</v>
      </c>
      <c r="G94" s="26" t="s">
        <v>278</v>
      </c>
      <c r="H94" s="26" t="s">
        <v>278</v>
      </c>
      <c r="I94" s="26" t="s">
        <v>278</v>
      </c>
      <c r="J94" s="76">
        <f>SUMIF(K94:N94,"&gt;0")</f>
        <v>0</v>
      </c>
      <c r="K94" s="26" t="s">
        <v>278</v>
      </c>
      <c r="L94" s="26" t="s">
        <v>278</v>
      </c>
      <c r="M94" s="26" t="s">
        <v>278</v>
      </c>
      <c r="N94" s="26" t="s">
        <v>278</v>
      </c>
      <c r="O94" s="76">
        <f>SUMIF(P94:S94,"&gt;0")</f>
        <v>0</v>
      </c>
      <c r="P94" s="26" t="s">
        <v>278</v>
      </c>
      <c r="Q94" s="26" t="s">
        <v>278</v>
      </c>
      <c r="R94" s="26" t="s">
        <v>278</v>
      </c>
      <c r="S94" s="26" t="s">
        <v>278</v>
      </c>
      <c r="T94" s="76">
        <f>SUMIF(U94:X94,"&gt;0")</f>
        <v>0</v>
      </c>
      <c r="U94" s="26" t="s">
        <v>278</v>
      </c>
      <c r="V94" s="26" t="s">
        <v>278</v>
      </c>
      <c r="W94" s="26" t="s">
        <v>278</v>
      </c>
      <c r="X94" s="26" t="s">
        <v>278</v>
      </c>
      <c r="Y94" s="76">
        <f>SUMIF(Z94:AC94,"&gt;0")</f>
        <v>0</v>
      </c>
      <c r="Z94" s="26" t="s">
        <v>278</v>
      </c>
      <c r="AA94" s="26" t="s">
        <v>278</v>
      </c>
      <c r="AB94" s="26" t="s">
        <v>278</v>
      </c>
      <c r="AC94" s="26" t="s">
        <v>278</v>
      </c>
      <c r="AD94" s="76">
        <f>SUMIF(AE94:AH94,"&gt;0")</f>
        <v>0</v>
      </c>
      <c r="AE94" s="26" t="s">
        <v>278</v>
      </c>
      <c r="AF94" s="26" t="s">
        <v>278</v>
      </c>
      <c r="AG94" s="26" t="s">
        <v>278</v>
      </c>
      <c r="AH94" s="26" t="s">
        <v>278</v>
      </c>
      <c r="AI94" s="76">
        <f>SUMIF(AJ94:AM94,"&gt;0")</f>
        <v>0</v>
      </c>
      <c r="AJ94" s="26" t="s">
        <v>278</v>
      </c>
      <c r="AK94" s="26" t="s">
        <v>278</v>
      </c>
      <c r="AL94" s="26" t="s">
        <v>278</v>
      </c>
      <c r="AM94" s="26" t="s">
        <v>278</v>
      </c>
      <c r="AN94" s="107">
        <f t="shared" si="36"/>
        <v>605.2</v>
      </c>
    </row>
    <row r="95" spans="1:40" s="17" customFormat="1" ht="18.75">
      <c r="A95" s="47"/>
      <c r="B95" s="118" t="s">
        <v>384</v>
      </c>
      <c r="C95" s="14"/>
      <c r="D95" s="96">
        <v>2022</v>
      </c>
      <c r="E95" s="76">
        <f>SUMIF(F95:I95,"&gt;0")</f>
        <v>0</v>
      </c>
      <c r="F95" s="115" t="str">
        <f>F53</f>
        <v>–</v>
      </c>
      <c r="G95" s="26" t="s">
        <v>278</v>
      </c>
      <c r="H95" s="26" t="s">
        <v>278</v>
      </c>
      <c r="I95" s="26" t="s">
        <v>278</v>
      </c>
      <c r="J95" s="124">
        <f>SUMIF(K95:N95,"&gt;0")</f>
        <v>1380.4</v>
      </c>
      <c r="K95" s="115">
        <f>K27</f>
        <v>1380.4</v>
      </c>
      <c r="L95" s="13" t="s">
        <v>278</v>
      </c>
      <c r="M95" s="26" t="s">
        <v>278</v>
      </c>
      <c r="N95" s="26" t="s">
        <v>278</v>
      </c>
      <c r="O95" s="76">
        <f>SUMIF(P95:S95,"&gt;0")</f>
        <v>0</v>
      </c>
      <c r="P95" s="26" t="s">
        <v>278</v>
      </c>
      <c r="Q95" s="26" t="s">
        <v>278</v>
      </c>
      <c r="R95" s="26" t="s">
        <v>278</v>
      </c>
      <c r="S95" s="26" t="s">
        <v>278</v>
      </c>
      <c r="T95" s="76">
        <f>SUMIF(U95:X95,"&gt;0")</f>
        <v>0</v>
      </c>
      <c r="U95" s="26" t="s">
        <v>278</v>
      </c>
      <c r="V95" s="26" t="s">
        <v>278</v>
      </c>
      <c r="W95" s="26" t="s">
        <v>278</v>
      </c>
      <c r="X95" s="26" t="s">
        <v>278</v>
      </c>
      <c r="Y95" s="76">
        <f>SUMIF(Z95:AC95,"&gt;0")</f>
        <v>0</v>
      </c>
      <c r="Z95" s="26" t="s">
        <v>278</v>
      </c>
      <c r="AA95" s="26" t="s">
        <v>278</v>
      </c>
      <c r="AB95" s="26" t="s">
        <v>278</v>
      </c>
      <c r="AC95" s="26" t="s">
        <v>278</v>
      </c>
      <c r="AD95" s="76">
        <f>SUMIF(AE95:AH95,"&gt;0")</f>
        <v>0</v>
      </c>
      <c r="AE95" s="26" t="s">
        <v>278</v>
      </c>
      <c r="AF95" s="26" t="s">
        <v>278</v>
      </c>
      <c r="AG95" s="26" t="s">
        <v>278</v>
      </c>
      <c r="AH95" s="26" t="s">
        <v>278</v>
      </c>
      <c r="AI95" s="76">
        <f>SUMIF(AJ95:AM95,"&gt;0")</f>
        <v>0</v>
      </c>
      <c r="AJ95" s="26" t="s">
        <v>278</v>
      </c>
      <c r="AK95" s="26" t="s">
        <v>278</v>
      </c>
      <c r="AL95" s="26" t="s">
        <v>278</v>
      </c>
      <c r="AM95" s="26" t="s">
        <v>278</v>
      </c>
      <c r="AN95" s="107">
        <f t="shared" si="36"/>
        <v>1380.4</v>
      </c>
    </row>
    <row r="96" spans="1:40" s="17" customFormat="1" ht="18.75">
      <c r="A96" s="47"/>
      <c r="B96" s="118" t="s">
        <v>442</v>
      </c>
      <c r="C96" s="14"/>
      <c r="D96" s="96">
        <v>2024</v>
      </c>
      <c r="E96" s="76">
        <f>SUMIF(F96:I96,"&gt;0")</f>
        <v>0</v>
      </c>
      <c r="F96" s="26" t="s">
        <v>278</v>
      </c>
      <c r="G96" s="26" t="s">
        <v>278</v>
      </c>
      <c r="H96" s="26" t="s">
        <v>278</v>
      </c>
      <c r="I96" s="26" t="s">
        <v>278</v>
      </c>
      <c r="J96" s="124">
        <f>SUMIF(K96:N96,"&gt;0")</f>
        <v>0</v>
      </c>
      <c r="K96" s="26" t="s">
        <v>278</v>
      </c>
      <c r="L96" s="13" t="s">
        <v>278</v>
      </c>
      <c r="M96" s="26" t="s">
        <v>278</v>
      </c>
      <c r="N96" s="26" t="s">
        <v>278</v>
      </c>
      <c r="O96" s="76">
        <f>SUMIF(P96:S96,"&gt;0")</f>
        <v>0</v>
      </c>
      <c r="P96" s="26" t="s">
        <v>278</v>
      </c>
      <c r="Q96" s="26" t="s">
        <v>278</v>
      </c>
      <c r="R96" s="26" t="s">
        <v>278</v>
      </c>
      <c r="S96" s="26" t="s">
        <v>278</v>
      </c>
      <c r="T96" s="115">
        <f>SUMIF(U96:X96,"&gt;0")</f>
        <v>1006.2</v>
      </c>
      <c r="U96" s="111">
        <f>U28</f>
        <v>1006.2</v>
      </c>
      <c r="V96" s="26" t="s">
        <v>278</v>
      </c>
      <c r="W96" s="26" t="s">
        <v>278</v>
      </c>
      <c r="X96" s="26" t="s">
        <v>278</v>
      </c>
      <c r="Y96" s="76">
        <f>SUMIF(Z96:AC96,"&gt;0")</f>
        <v>0</v>
      </c>
      <c r="Z96" s="26" t="s">
        <v>278</v>
      </c>
      <c r="AA96" s="26" t="s">
        <v>278</v>
      </c>
      <c r="AB96" s="26" t="s">
        <v>278</v>
      </c>
      <c r="AC96" s="26" t="s">
        <v>278</v>
      </c>
      <c r="AD96" s="76">
        <f>SUMIF(AE96:AH96,"&gt;0")</f>
        <v>0</v>
      </c>
      <c r="AE96" s="26" t="s">
        <v>278</v>
      </c>
      <c r="AF96" s="26" t="s">
        <v>278</v>
      </c>
      <c r="AG96" s="26" t="s">
        <v>278</v>
      </c>
      <c r="AH96" s="26" t="s">
        <v>278</v>
      </c>
      <c r="AI96" s="76">
        <f>SUMIF(AJ96:AM96,"&gt;0")</f>
        <v>0</v>
      </c>
      <c r="AJ96" s="26" t="s">
        <v>278</v>
      </c>
      <c r="AK96" s="26" t="s">
        <v>278</v>
      </c>
      <c r="AL96" s="26" t="s">
        <v>278</v>
      </c>
      <c r="AM96" s="26" t="s">
        <v>278</v>
      </c>
      <c r="AN96" s="107">
        <f>E96+J96+O96+T96+Y96+AD96+AI96</f>
        <v>1006.2</v>
      </c>
    </row>
    <row r="97" spans="1:41" ht="15.75">
      <c r="A97" s="37" t="s">
        <v>21</v>
      </c>
      <c r="B97" s="150" t="s">
        <v>277</v>
      </c>
      <c r="C97" s="151"/>
      <c r="D97" s="151"/>
      <c r="E97" s="151"/>
      <c r="F97" s="151"/>
      <c r="G97" s="151"/>
      <c r="H97" s="151"/>
      <c r="I97" s="151"/>
      <c r="J97" s="151"/>
      <c r="K97" s="151"/>
      <c r="L97" s="151"/>
      <c r="M97" s="151"/>
      <c r="N97" s="151"/>
      <c r="O97" s="151"/>
      <c r="P97" s="151"/>
      <c r="Q97" s="151"/>
      <c r="R97" s="151"/>
      <c r="S97" s="151"/>
      <c r="T97" s="151"/>
      <c r="U97" s="151"/>
      <c r="V97" s="151"/>
      <c r="W97" s="151"/>
      <c r="X97" s="151"/>
      <c r="Y97" s="151"/>
      <c r="Z97" s="151"/>
      <c r="AA97" s="151"/>
      <c r="AB97" s="151"/>
      <c r="AC97" s="151"/>
      <c r="AD97" s="87"/>
      <c r="AE97" s="87"/>
      <c r="AF97" s="87"/>
      <c r="AG97" s="87"/>
      <c r="AH97" s="87"/>
      <c r="AI97" s="88"/>
      <c r="AJ97" s="87"/>
      <c r="AK97" s="87"/>
      <c r="AL97" s="87"/>
      <c r="AM97" s="87"/>
      <c r="AN97" s="89"/>
      <c r="AO97" s="33"/>
    </row>
    <row r="98" spans="1:41" ht="54" customHeight="1">
      <c r="A98" s="41" t="s">
        <v>22</v>
      </c>
      <c r="B98" s="42" t="s">
        <v>563</v>
      </c>
      <c r="C98" s="11"/>
      <c r="D98" s="11"/>
      <c r="E98" s="43"/>
      <c r="F98" s="73"/>
      <c r="G98" s="90"/>
      <c r="H98" s="90"/>
      <c r="I98" s="90"/>
      <c r="J98" s="90"/>
      <c r="K98" s="90"/>
      <c r="L98" s="90"/>
      <c r="M98" s="90"/>
      <c r="N98" s="90"/>
      <c r="O98" s="90"/>
      <c r="P98" s="90"/>
      <c r="Q98" s="90"/>
      <c r="R98" s="90"/>
      <c r="S98" s="90"/>
      <c r="T98" s="90"/>
      <c r="U98" s="90"/>
      <c r="V98" s="90"/>
      <c r="W98" s="90"/>
      <c r="X98" s="90"/>
      <c r="Y98" s="90"/>
      <c r="Z98" s="90"/>
      <c r="AA98" s="90"/>
      <c r="AB98" s="90"/>
      <c r="AC98" s="90"/>
      <c r="AD98" s="90"/>
      <c r="AE98" s="90"/>
      <c r="AF98" s="90"/>
      <c r="AG98" s="90"/>
      <c r="AH98" s="90"/>
      <c r="AI98" s="43"/>
      <c r="AJ98" s="73"/>
      <c r="AK98" s="90"/>
      <c r="AL98" s="90"/>
      <c r="AM98" s="90"/>
      <c r="AN98" s="22"/>
      <c r="AO98" s="91"/>
    </row>
    <row r="99" spans="1:41" ht="111.75" customHeight="1">
      <c r="A99" s="41" t="s">
        <v>90</v>
      </c>
      <c r="B99" s="40" t="s">
        <v>457</v>
      </c>
      <c r="C99" s="92" t="s">
        <v>85</v>
      </c>
      <c r="D99" s="11" t="s">
        <v>228</v>
      </c>
      <c r="E99" s="107">
        <f>SUMIF(F99:I99,"&gt;0")</f>
        <v>449.2</v>
      </c>
      <c r="F99" s="113">
        <f>450-0.82634</f>
        <v>449.2</v>
      </c>
      <c r="G99" s="26" t="s">
        <v>278</v>
      </c>
      <c r="H99" s="26" t="s">
        <v>278</v>
      </c>
      <c r="I99" s="26" t="s">
        <v>278</v>
      </c>
      <c r="J99" s="107">
        <f aca="true" t="shared" si="37" ref="J99:J134">SUMIF(K99:N99,"&gt;0")</f>
        <v>508.3</v>
      </c>
      <c r="K99" s="111">
        <f>477+24+5+2.29781</f>
        <v>508.3</v>
      </c>
      <c r="L99" s="77" t="s">
        <v>278</v>
      </c>
      <c r="M99" s="77" t="s">
        <v>278</v>
      </c>
      <c r="N99" s="77" t="s">
        <v>278</v>
      </c>
      <c r="O99" s="107">
        <f aca="true" t="shared" si="38" ref="O99:O131">SUMIF(P99:S99,"&gt;0")</f>
        <v>499.1</v>
      </c>
      <c r="P99" s="113">
        <f>477+4.1+18</f>
        <v>499.1</v>
      </c>
      <c r="Q99" s="77" t="s">
        <v>278</v>
      </c>
      <c r="R99" s="77" t="s">
        <v>278</v>
      </c>
      <c r="S99" s="77" t="s">
        <v>278</v>
      </c>
      <c r="T99" s="107">
        <f>SUMIF(U99:X99,"&gt;0")</f>
        <v>532</v>
      </c>
      <c r="U99" s="113">
        <f>527+5</f>
        <v>532</v>
      </c>
      <c r="V99" s="77" t="s">
        <v>278</v>
      </c>
      <c r="W99" s="77" t="s">
        <v>278</v>
      </c>
      <c r="X99" s="77" t="s">
        <v>278</v>
      </c>
      <c r="Y99" s="107">
        <f aca="true" t="shared" si="39" ref="Y99:Y114">SUMIF(Z99:AC99,"&gt;0")</f>
        <v>532</v>
      </c>
      <c r="Z99" s="113">
        <f>527+5</f>
        <v>532</v>
      </c>
      <c r="AA99" s="77" t="s">
        <v>278</v>
      </c>
      <c r="AB99" s="77" t="s">
        <v>278</v>
      </c>
      <c r="AC99" s="77" t="s">
        <v>278</v>
      </c>
      <c r="AD99" s="107">
        <f>SUMIF(AE99:AH99,"&gt;0")</f>
        <v>532</v>
      </c>
      <c r="AE99" s="113">
        <f>527+5</f>
        <v>532</v>
      </c>
      <c r="AF99" s="77" t="s">
        <v>278</v>
      </c>
      <c r="AG99" s="77" t="s">
        <v>278</v>
      </c>
      <c r="AH99" s="77" t="s">
        <v>278</v>
      </c>
      <c r="AI99" s="107">
        <f>SUMIF(AJ99:AM99,"&gt;0")</f>
        <v>477</v>
      </c>
      <c r="AJ99" s="113">
        <v>477</v>
      </c>
      <c r="AK99" s="77" t="s">
        <v>278</v>
      </c>
      <c r="AL99" s="77" t="s">
        <v>278</v>
      </c>
      <c r="AM99" s="77" t="s">
        <v>278</v>
      </c>
      <c r="AN99" s="115">
        <f>E99+J99+O99+T99+Y99+AD99+AI99</f>
        <v>3529.6</v>
      </c>
      <c r="AO99" s="91"/>
    </row>
    <row r="100" spans="1:41" ht="54.75" customHeight="1">
      <c r="A100" s="41" t="s">
        <v>246</v>
      </c>
      <c r="B100" s="40" t="s">
        <v>81</v>
      </c>
      <c r="C100" s="92" t="s">
        <v>85</v>
      </c>
      <c r="D100" s="11" t="s">
        <v>228</v>
      </c>
      <c r="E100" s="107">
        <f aca="true" t="shared" si="40" ref="E100:E134">SUMIF(F100:I100,"&gt;0")</f>
        <v>75</v>
      </c>
      <c r="F100" s="113">
        <f>50+25</f>
        <v>75</v>
      </c>
      <c r="G100" s="26" t="s">
        <v>278</v>
      </c>
      <c r="H100" s="26" t="s">
        <v>278</v>
      </c>
      <c r="I100" s="26" t="s">
        <v>278</v>
      </c>
      <c r="J100" s="107">
        <f t="shared" si="37"/>
        <v>136</v>
      </c>
      <c r="K100" s="111">
        <f>160-24</f>
        <v>136</v>
      </c>
      <c r="L100" s="77" t="s">
        <v>278</v>
      </c>
      <c r="M100" s="77" t="s">
        <v>278</v>
      </c>
      <c r="N100" s="77" t="s">
        <v>278</v>
      </c>
      <c r="O100" s="107">
        <f t="shared" si="38"/>
        <v>142</v>
      </c>
      <c r="P100" s="113">
        <f>160-18</f>
        <v>142</v>
      </c>
      <c r="Q100" s="77" t="s">
        <v>278</v>
      </c>
      <c r="R100" s="77" t="s">
        <v>278</v>
      </c>
      <c r="S100" s="77" t="s">
        <v>278</v>
      </c>
      <c r="T100" s="107">
        <f>SUMIF(U100:X100,"&gt;0")</f>
        <v>250</v>
      </c>
      <c r="U100" s="113">
        <v>250</v>
      </c>
      <c r="V100" s="77" t="s">
        <v>278</v>
      </c>
      <c r="W100" s="77" t="s">
        <v>278</v>
      </c>
      <c r="X100" s="77" t="s">
        <v>278</v>
      </c>
      <c r="Y100" s="107">
        <f t="shared" si="39"/>
        <v>250</v>
      </c>
      <c r="Z100" s="113">
        <v>250</v>
      </c>
      <c r="AA100" s="77" t="s">
        <v>278</v>
      </c>
      <c r="AB100" s="77" t="s">
        <v>278</v>
      </c>
      <c r="AC100" s="77" t="s">
        <v>278</v>
      </c>
      <c r="AD100" s="107">
        <f aca="true" t="shared" si="41" ref="AD100:AD135">SUMIF(AE100:AH100,"&gt;0")</f>
        <v>250</v>
      </c>
      <c r="AE100" s="113">
        <v>250</v>
      </c>
      <c r="AF100" s="77" t="s">
        <v>278</v>
      </c>
      <c r="AG100" s="77" t="s">
        <v>278</v>
      </c>
      <c r="AH100" s="77" t="s">
        <v>278</v>
      </c>
      <c r="AI100" s="107">
        <f aca="true" t="shared" si="42" ref="AI100:AI134">SUMIF(AJ100:AM100,"&gt;0")</f>
        <v>200</v>
      </c>
      <c r="AJ100" s="113">
        <v>200</v>
      </c>
      <c r="AK100" s="77" t="s">
        <v>278</v>
      </c>
      <c r="AL100" s="77" t="s">
        <v>278</v>
      </c>
      <c r="AM100" s="77" t="s">
        <v>278</v>
      </c>
      <c r="AN100" s="115">
        <f aca="true" t="shared" si="43" ref="AN100:AN175">E100+J100+O100+T100+Y100+AD100+AI100</f>
        <v>1303</v>
      </c>
      <c r="AO100" s="91"/>
    </row>
    <row r="101" spans="1:41" ht="96.75" customHeight="1">
      <c r="A101" s="41" t="s">
        <v>91</v>
      </c>
      <c r="B101" s="40" t="s">
        <v>458</v>
      </c>
      <c r="C101" s="92" t="s">
        <v>86</v>
      </c>
      <c r="D101" s="11" t="s">
        <v>237</v>
      </c>
      <c r="E101" s="107">
        <f t="shared" si="40"/>
        <v>10</v>
      </c>
      <c r="F101" s="113">
        <v>10</v>
      </c>
      <c r="G101" s="26" t="s">
        <v>278</v>
      </c>
      <c r="H101" s="26" t="s">
        <v>278</v>
      </c>
      <c r="I101" s="26" t="s">
        <v>278</v>
      </c>
      <c r="J101" s="107">
        <f t="shared" si="37"/>
        <v>10</v>
      </c>
      <c r="K101" s="111">
        <v>10</v>
      </c>
      <c r="L101" s="77" t="s">
        <v>278</v>
      </c>
      <c r="M101" s="77" t="s">
        <v>278</v>
      </c>
      <c r="N101" s="77" t="s">
        <v>278</v>
      </c>
      <c r="O101" s="107">
        <f t="shared" si="38"/>
        <v>10</v>
      </c>
      <c r="P101" s="113">
        <v>10</v>
      </c>
      <c r="Q101" s="77" t="s">
        <v>278</v>
      </c>
      <c r="R101" s="77" t="s">
        <v>278</v>
      </c>
      <c r="S101" s="77" t="s">
        <v>278</v>
      </c>
      <c r="T101" s="124">
        <f>SUMIF(U101:X101,"&gt;0")</f>
        <v>0</v>
      </c>
      <c r="U101" s="137">
        <f>10-10</f>
        <v>0</v>
      </c>
      <c r="V101" s="77" t="s">
        <v>278</v>
      </c>
      <c r="W101" s="77" t="s">
        <v>278</v>
      </c>
      <c r="X101" s="77" t="s">
        <v>278</v>
      </c>
      <c r="Y101" s="124">
        <f t="shared" si="39"/>
        <v>0</v>
      </c>
      <c r="Z101" s="137">
        <f>10-10</f>
        <v>0</v>
      </c>
      <c r="AA101" s="77" t="s">
        <v>278</v>
      </c>
      <c r="AB101" s="77" t="s">
        <v>278</v>
      </c>
      <c r="AC101" s="77" t="s">
        <v>278</v>
      </c>
      <c r="AD101" s="124">
        <f t="shared" si="41"/>
        <v>0</v>
      </c>
      <c r="AE101" s="137">
        <f>10-10</f>
        <v>0</v>
      </c>
      <c r="AF101" s="77" t="s">
        <v>278</v>
      </c>
      <c r="AG101" s="77" t="s">
        <v>278</v>
      </c>
      <c r="AH101" s="77" t="s">
        <v>278</v>
      </c>
      <c r="AI101" s="107">
        <f t="shared" si="42"/>
        <v>10</v>
      </c>
      <c r="AJ101" s="113">
        <v>10</v>
      </c>
      <c r="AK101" s="77" t="s">
        <v>278</v>
      </c>
      <c r="AL101" s="77" t="s">
        <v>278</v>
      </c>
      <c r="AM101" s="77" t="s">
        <v>278</v>
      </c>
      <c r="AN101" s="115">
        <f t="shared" si="43"/>
        <v>40</v>
      </c>
      <c r="AO101" s="91"/>
    </row>
    <row r="102" spans="1:41" ht="114" customHeight="1">
      <c r="A102" s="41" t="s">
        <v>247</v>
      </c>
      <c r="B102" s="40" t="s">
        <v>459</v>
      </c>
      <c r="C102" s="92" t="s">
        <v>86</v>
      </c>
      <c r="D102" s="11" t="s">
        <v>228</v>
      </c>
      <c r="E102" s="107">
        <f t="shared" si="40"/>
        <v>100</v>
      </c>
      <c r="F102" s="113">
        <v>100</v>
      </c>
      <c r="G102" s="26" t="s">
        <v>278</v>
      </c>
      <c r="H102" s="26" t="s">
        <v>278</v>
      </c>
      <c r="I102" s="26" t="s">
        <v>278</v>
      </c>
      <c r="J102" s="107">
        <f t="shared" si="37"/>
        <v>130</v>
      </c>
      <c r="K102" s="111">
        <v>130</v>
      </c>
      <c r="L102" s="77" t="s">
        <v>278</v>
      </c>
      <c r="M102" s="77" t="s">
        <v>278</v>
      </c>
      <c r="N102" s="77" t="s">
        <v>278</v>
      </c>
      <c r="O102" s="107">
        <f t="shared" si="38"/>
        <v>130</v>
      </c>
      <c r="P102" s="113">
        <v>130</v>
      </c>
      <c r="Q102" s="77" t="s">
        <v>278</v>
      </c>
      <c r="R102" s="77" t="s">
        <v>278</v>
      </c>
      <c r="S102" s="77" t="s">
        <v>278</v>
      </c>
      <c r="T102" s="107">
        <f>SUMIF(U102:X102,"&gt;0")</f>
        <v>130</v>
      </c>
      <c r="U102" s="113">
        <v>130</v>
      </c>
      <c r="V102" s="77" t="s">
        <v>278</v>
      </c>
      <c r="W102" s="77" t="s">
        <v>278</v>
      </c>
      <c r="X102" s="77" t="s">
        <v>278</v>
      </c>
      <c r="Y102" s="107">
        <f t="shared" si="39"/>
        <v>130</v>
      </c>
      <c r="Z102" s="113">
        <v>130</v>
      </c>
      <c r="AA102" s="77" t="s">
        <v>278</v>
      </c>
      <c r="AB102" s="77" t="s">
        <v>278</v>
      </c>
      <c r="AC102" s="77" t="s">
        <v>278</v>
      </c>
      <c r="AD102" s="107">
        <f t="shared" si="41"/>
        <v>130</v>
      </c>
      <c r="AE102" s="113">
        <v>130</v>
      </c>
      <c r="AF102" s="77" t="s">
        <v>278</v>
      </c>
      <c r="AG102" s="77" t="s">
        <v>278</v>
      </c>
      <c r="AH102" s="77" t="s">
        <v>278</v>
      </c>
      <c r="AI102" s="107">
        <f t="shared" si="42"/>
        <v>200</v>
      </c>
      <c r="AJ102" s="113">
        <v>200</v>
      </c>
      <c r="AK102" s="77" t="s">
        <v>278</v>
      </c>
      <c r="AL102" s="77" t="s">
        <v>278</v>
      </c>
      <c r="AM102" s="77" t="s">
        <v>278</v>
      </c>
      <c r="AN102" s="115">
        <f t="shared" si="43"/>
        <v>950</v>
      </c>
      <c r="AO102" s="91"/>
    </row>
    <row r="103" spans="1:41" ht="81.75" customHeight="1">
      <c r="A103" s="41" t="s">
        <v>248</v>
      </c>
      <c r="B103" s="40" t="s">
        <v>461</v>
      </c>
      <c r="C103" s="92" t="s">
        <v>86</v>
      </c>
      <c r="D103" s="11" t="s">
        <v>228</v>
      </c>
      <c r="E103" s="76">
        <f>SUMIF(F103:I103,"&gt;0")</f>
        <v>0</v>
      </c>
      <c r="F103" s="111" t="s">
        <v>278</v>
      </c>
      <c r="G103" s="26" t="s">
        <v>278</v>
      </c>
      <c r="H103" s="26" t="s">
        <v>278</v>
      </c>
      <c r="I103" s="26" t="s">
        <v>278</v>
      </c>
      <c r="J103" s="76">
        <f t="shared" si="37"/>
        <v>0</v>
      </c>
      <c r="K103" s="11" t="s">
        <v>278</v>
      </c>
      <c r="L103" s="77" t="s">
        <v>278</v>
      </c>
      <c r="M103" s="77" t="s">
        <v>278</v>
      </c>
      <c r="N103" s="77" t="s">
        <v>278</v>
      </c>
      <c r="O103" s="76">
        <f t="shared" si="38"/>
        <v>0</v>
      </c>
      <c r="P103" s="77" t="s">
        <v>278</v>
      </c>
      <c r="Q103" s="77" t="s">
        <v>278</v>
      </c>
      <c r="R103" s="77" t="s">
        <v>278</v>
      </c>
      <c r="S103" s="77" t="s">
        <v>278</v>
      </c>
      <c r="T103" s="76">
        <f aca="true" t="shared" si="44" ref="T103:T134">SUMIF(U103:X103,"&gt;0")</f>
        <v>0</v>
      </c>
      <c r="U103" s="77" t="s">
        <v>278</v>
      </c>
      <c r="V103" s="77" t="s">
        <v>278</v>
      </c>
      <c r="W103" s="77" t="s">
        <v>278</v>
      </c>
      <c r="X103" s="77" t="s">
        <v>278</v>
      </c>
      <c r="Y103" s="76">
        <f t="shared" si="39"/>
        <v>0</v>
      </c>
      <c r="Z103" s="77" t="s">
        <v>278</v>
      </c>
      <c r="AA103" s="77" t="s">
        <v>278</v>
      </c>
      <c r="AB103" s="77" t="s">
        <v>278</v>
      </c>
      <c r="AC103" s="77" t="s">
        <v>278</v>
      </c>
      <c r="AD103" s="76">
        <f t="shared" si="41"/>
        <v>0</v>
      </c>
      <c r="AE103" s="77" t="s">
        <v>278</v>
      </c>
      <c r="AF103" s="77" t="s">
        <v>278</v>
      </c>
      <c r="AG103" s="77" t="s">
        <v>278</v>
      </c>
      <c r="AH103" s="77" t="s">
        <v>278</v>
      </c>
      <c r="AI103" s="107">
        <f t="shared" si="42"/>
        <v>10</v>
      </c>
      <c r="AJ103" s="113">
        <v>10</v>
      </c>
      <c r="AK103" s="77" t="s">
        <v>278</v>
      </c>
      <c r="AL103" s="77" t="s">
        <v>278</v>
      </c>
      <c r="AM103" s="77" t="s">
        <v>278</v>
      </c>
      <c r="AN103" s="115">
        <f t="shared" si="43"/>
        <v>10</v>
      </c>
      <c r="AO103" s="91"/>
    </row>
    <row r="104" spans="1:41" ht="129.75" customHeight="1">
      <c r="A104" s="41" t="s">
        <v>249</v>
      </c>
      <c r="B104" s="40" t="s">
        <v>462</v>
      </c>
      <c r="C104" s="92" t="s">
        <v>86</v>
      </c>
      <c r="D104" s="11" t="s">
        <v>228</v>
      </c>
      <c r="E104" s="107">
        <f t="shared" si="40"/>
        <v>20</v>
      </c>
      <c r="F104" s="113">
        <v>20</v>
      </c>
      <c r="G104" s="26" t="s">
        <v>278</v>
      </c>
      <c r="H104" s="26" t="s">
        <v>278</v>
      </c>
      <c r="I104" s="26" t="s">
        <v>278</v>
      </c>
      <c r="J104" s="107">
        <f t="shared" si="37"/>
        <v>20</v>
      </c>
      <c r="K104" s="111">
        <v>20</v>
      </c>
      <c r="L104" s="77" t="s">
        <v>278</v>
      </c>
      <c r="M104" s="77" t="s">
        <v>278</v>
      </c>
      <c r="N104" s="77" t="s">
        <v>278</v>
      </c>
      <c r="O104" s="107">
        <f t="shared" si="38"/>
        <v>20</v>
      </c>
      <c r="P104" s="113">
        <v>20</v>
      </c>
      <c r="Q104" s="77" t="s">
        <v>278</v>
      </c>
      <c r="R104" s="77" t="s">
        <v>278</v>
      </c>
      <c r="S104" s="77" t="s">
        <v>278</v>
      </c>
      <c r="T104" s="107">
        <f t="shared" si="44"/>
        <v>20</v>
      </c>
      <c r="U104" s="113">
        <v>20</v>
      </c>
      <c r="V104" s="77" t="s">
        <v>278</v>
      </c>
      <c r="W104" s="77" t="s">
        <v>278</v>
      </c>
      <c r="X104" s="77" t="s">
        <v>278</v>
      </c>
      <c r="Y104" s="107">
        <f t="shared" si="39"/>
        <v>20</v>
      </c>
      <c r="Z104" s="113">
        <v>20</v>
      </c>
      <c r="AA104" s="77" t="s">
        <v>278</v>
      </c>
      <c r="AB104" s="77" t="s">
        <v>278</v>
      </c>
      <c r="AC104" s="77" t="s">
        <v>278</v>
      </c>
      <c r="AD104" s="107">
        <f t="shared" si="41"/>
        <v>20</v>
      </c>
      <c r="AE104" s="113">
        <v>20</v>
      </c>
      <c r="AF104" s="77" t="s">
        <v>278</v>
      </c>
      <c r="AG104" s="77" t="s">
        <v>278</v>
      </c>
      <c r="AH104" s="77" t="s">
        <v>278</v>
      </c>
      <c r="AI104" s="107">
        <f t="shared" si="42"/>
        <v>50</v>
      </c>
      <c r="AJ104" s="113">
        <v>50</v>
      </c>
      <c r="AK104" s="77" t="s">
        <v>278</v>
      </c>
      <c r="AL104" s="77" t="s">
        <v>278</v>
      </c>
      <c r="AM104" s="77" t="s">
        <v>278</v>
      </c>
      <c r="AN104" s="115">
        <f t="shared" si="43"/>
        <v>170</v>
      </c>
      <c r="AO104" s="91"/>
    </row>
    <row r="105" spans="1:41" ht="114" customHeight="1">
      <c r="A105" s="41" t="s">
        <v>250</v>
      </c>
      <c r="B105" s="93" t="s">
        <v>463</v>
      </c>
      <c r="C105" s="92" t="s">
        <v>86</v>
      </c>
      <c r="D105" s="11" t="s">
        <v>228</v>
      </c>
      <c r="E105" s="76">
        <f>SUMIF(F105:I105,"&gt;0")</f>
        <v>0</v>
      </c>
      <c r="F105" s="26" t="s">
        <v>278</v>
      </c>
      <c r="G105" s="26" t="s">
        <v>278</v>
      </c>
      <c r="H105" s="26" t="s">
        <v>278</v>
      </c>
      <c r="I105" s="26" t="s">
        <v>278</v>
      </c>
      <c r="J105" s="107">
        <f t="shared" si="37"/>
        <v>30</v>
      </c>
      <c r="K105" s="111">
        <v>30</v>
      </c>
      <c r="L105" s="77" t="s">
        <v>278</v>
      </c>
      <c r="M105" s="77" t="s">
        <v>278</v>
      </c>
      <c r="N105" s="77" t="s">
        <v>278</v>
      </c>
      <c r="O105" s="107">
        <f>SUMIF(P105:S105,"&gt;0")</f>
        <v>30</v>
      </c>
      <c r="P105" s="113">
        <v>30</v>
      </c>
      <c r="Q105" s="77" t="s">
        <v>278</v>
      </c>
      <c r="R105" s="77" t="s">
        <v>278</v>
      </c>
      <c r="S105" s="77" t="s">
        <v>278</v>
      </c>
      <c r="T105" s="107">
        <f t="shared" si="44"/>
        <v>30</v>
      </c>
      <c r="U105" s="113">
        <v>30</v>
      </c>
      <c r="V105" s="77" t="s">
        <v>278</v>
      </c>
      <c r="W105" s="77" t="s">
        <v>278</v>
      </c>
      <c r="X105" s="77" t="s">
        <v>278</v>
      </c>
      <c r="Y105" s="107">
        <f t="shared" si="39"/>
        <v>30</v>
      </c>
      <c r="Z105" s="113">
        <v>30</v>
      </c>
      <c r="AA105" s="77" t="s">
        <v>278</v>
      </c>
      <c r="AB105" s="77" t="s">
        <v>278</v>
      </c>
      <c r="AC105" s="77" t="s">
        <v>278</v>
      </c>
      <c r="AD105" s="107">
        <f t="shared" si="41"/>
        <v>30</v>
      </c>
      <c r="AE105" s="113">
        <v>30</v>
      </c>
      <c r="AF105" s="77" t="s">
        <v>278</v>
      </c>
      <c r="AG105" s="77" t="s">
        <v>278</v>
      </c>
      <c r="AH105" s="77" t="s">
        <v>278</v>
      </c>
      <c r="AI105" s="107">
        <f t="shared" si="42"/>
        <v>100</v>
      </c>
      <c r="AJ105" s="113">
        <v>100</v>
      </c>
      <c r="AK105" s="77" t="s">
        <v>278</v>
      </c>
      <c r="AL105" s="77" t="s">
        <v>278</v>
      </c>
      <c r="AM105" s="77" t="s">
        <v>278</v>
      </c>
      <c r="AN105" s="115">
        <f t="shared" si="43"/>
        <v>250</v>
      </c>
      <c r="AO105" s="91"/>
    </row>
    <row r="106" spans="1:41" ht="130.5" customHeight="1">
      <c r="A106" s="41" t="s">
        <v>251</v>
      </c>
      <c r="B106" s="93" t="s">
        <v>464</v>
      </c>
      <c r="C106" s="92" t="s">
        <v>86</v>
      </c>
      <c r="D106" s="11" t="s">
        <v>228</v>
      </c>
      <c r="E106" s="76">
        <f>SUMIF(F106:I106,"&gt;0")</f>
        <v>0</v>
      </c>
      <c r="F106" s="26" t="s">
        <v>278</v>
      </c>
      <c r="G106" s="26" t="s">
        <v>278</v>
      </c>
      <c r="H106" s="26" t="s">
        <v>278</v>
      </c>
      <c r="I106" s="26" t="s">
        <v>278</v>
      </c>
      <c r="J106" s="107">
        <f t="shared" si="37"/>
        <v>5</v>
      </c>
      <c r="K106" s="111">
        <v>5</v>
      </c>
      <c r="L106" s="77" t="s">
        <v>278</v>
      </c>
      <c r="M106" s="77" t="s">
        <v>278</v>
      </c>
      <c r="N106" s="77" t="s">
        <v>278</v>
      </c>
      <c r="O106" s="107">
        <f>SUMIF(P106:S106,"&gt;0")</f>
        <v>5</v>
      </c>
      <c r="P106" s="113">
        <v>5</v>
      </c>
      <c r="Q106" s="77" t="s">
        <v>278</v>
      </c>
      <c r="R106" s="77" t="s">
        <v>278</v>
      </c>
      <c r="S106" s="77" t="s">
        <v>278</v>
      </c>
      <c r="T106" s="107">
        <f t="shared" si="44"/>
        <v>5</v>
      </c>
      <c r="U106" s="113">
        <v>5</v>
      </c>
      <c r="V106" s="77" t="s">
        <v>278</v>
      </c>
      <c r="W106" s="77" t="s">
        <v>278</v>
      </c>
      <c r="X106" s="77" t="s">
        <v>278</v>
      </c>
      <c r="Y106" s="107">
        <f t="shared" si="39"/>
        <v>5</v>
      </c>
      <c r="Z106" s="113">
        <v>5</v>
      </c>
      <c r="AA106" s="77" t="s">
        <v>278</v>
      </c>
      <c r="AB106" s="77" t="s">
        <v>278</v>
      </c>
      <c r="AC106" s="77" t="s">
        <v>278</v>
      </c>
      <c r="AD106" s="107">
        <f t="shared" si="41"/>
        <v>5</v>
      </c>
      <c r="AE106" s="113">
        <v>5</v>
      </c>
      <c r="AF106" s="77" t="s">
        <v>278</v>
      </c>
      <c r="AG106" s="77" t="s">
        <v>278</v>
      </c>
      <c r="AH106" s="77" t="s">
        <v>278</v>
      </c>
      <c r="AI106" s="107">
        <f t="shared" si="42"/>
        <v>30</v>
      </c>
      <c r="AJ106" s="113">
        <v>30</v>
      </c>
      <c r="AK106" s="77" t="s">
        <v>278</v>
      </c>
      <c r="AL106" s="77" t="s">
        <v>278</v>
      </c>
      <c r="AM106" s="77" t="s">
        <v>278</v>
      </c>
      <c r="AN106" s="115">
        <f t="shared" si="43"/>
        <v>55</v>
      </c>
      <c r="AO106" s="91"/>
    </row>
    <row r="107" spans="1:41" ht="98.25" customHeight="1">
      <c r="A107" s="41" t="s">
        <v>92</v>
      </c>
      <c r="B107" s="19" t="s">
        <v>465</v>
      </c>
      <c r="C107" s="92" t="s">
        <v>84</v>
      </c>
      <c r="D107" s="11" t="s">
        <v>228</v>
      </c>
      <c r="E107" s="76">
        <f>SUMIF(F107:I107,"&gt;0")</f>
        <v>0</v>
      </c>
      <c r="F107" s="26" t="s">
        <v>278</v>
      </c>
      <c r="G107" s="26" t="s">
        <v>278</v>
      </c>
      <c r="H107" s="26" t="s">
        <v>278</v>
      </c>
      <c r="I107" s="26" t="s">
        <v>278</v>
      </c>
      <c r="J107" s="76">
        <f t="shared" si="37"/>
        <v>0</v>
      </c>
      <c r="K107" s="11" t="s">
        <v>278</v>
      </c>
      <c r="L107" s="77" t="s">
        <v>278</v>
      </c>
      <c r="M107" s="77" t="s">
        <v>278</v>
      </c>
      <c r="N107" s="77" t="s">
        <v>278</v>
      </c>
      <c r="O107" s="76">
        <f t="shared" si="38"/>
        <v>0</v>
      </c>
      <c r="P107" s="77" t="s">
        <v>278</v>
      </c>
      <c r="Q107" s="77" t="s">
        <v>278</v>
      </c>
      <c r="R107" s="77" t="s">
        <v>278</v>
      </c>
      <c r="S107" s="77" t="s">
        <v>278</v>
      </c>
      <c r="T107" s="76">
        <f t="shared" si="44"/>
        <v>0</v>
      </c>
      <c r="U107" s="77" t="s">
        <v>278</v>
      </c>
      <c r="V107" s="77" t="s">
        <v>278</v>
      </c>
      <c r="W107" s="77" t="s">
        <v>278</v>
      </c>
      <c r="X107" s="77" t="s">
        <v>278</v>
      </c>
      <c r="Y107" s="76">
        <f t="shared" si="39"/>
        <v>0</v>
      </c>
      <c r="Z107" s="77" t="s">
        <v>278</v>
      </c>
      <c r="AA107" s="77" t="s">
        <v>278</v>
      </c>
      <c r="AB107" s="77" t="s">
        <v>278</v>
      </c>
      <c r="AC107" s="77" t="s">
        <v>278</v>
      </c>
      <c r="AD107" s="76">
        <f t="shared" si="41"/>
        <v>0</v>
      </c>
      <c r="AE107" s="77" t="s">
        <v>278</v>
      </c>
      <c r="AF107" s="77" t="s">
        <v>278</v>
      </c>
      <c r="AG107" s="77" t="s">
        <v>278</v>
      </c>
      <c r="AH107" s="77" t="s">
        <v>278</v>
      </c>
      <c r="AI107" s="107">
        <f t="shared" si="42"/>
        <v>10</v>
      </c>
      <c r="AJ107" s="113">
        <v>10</v>
      </c>
      <c r="AK107" s="77" t="s">
        <v>278</v>
      </c>
      <c r="AL107" s="77" t="s">
        <v>278</v>
      </c>
      <c r="AM107" s="77" t="s">
        <v>278</v>
      </c>
      <c r="AN107" s="115">
        <f t="shared" si="43"/>
        <v>10</v>
      </c>
      <c r="AO107" s="91"/>
    </row>
    <row r="108" spans="1:41" ht="157.5">
      <c r="A108" s="94" t="s">
        <v>93</v>
      </c>
      <c r="B108" s="40" t="s">
        <v>466</v>
      </c>
      <c r="C108" s="95" t="s">
        <v>175</v>
      </c>
      <c r="D108" s="11" t="s">
        <v>228</v>
      </c>
      <c r="E108" s="107">
        <f t="shared" si="40"/>
        <v>8.6</v>
      </c>
      <c r="F108" s="111">
        <f>9-0.4</f>
        <v>8.6</v>
      </c>
      <c r="G108" s="26" t="s">
        <v>278</v>
      </c>
      <c r="H108" s="26" t="s">
        <v>278</v>
      </c>
      <c r="I108" s="26" t="s">
        <v>278</v>
      </c>
      <c r="J108" s="107">
        <f t="shared" si="37"/>
        <v>13</v>
      </c>
      <c r="K108" s="111">
        <f>9+4</f>
        <v>13</v>
      </c>
      <c r="L108" s="77" t="s">
        <v>278</v>
      </c>
      <c r="M108" s="77" t="s">
        <v>278</v>
      </c>
      <c r="N108" s="77" t="s">
        <v>278</v>
      </c>
      <c r="O108" s="107">
        <f t="shared" si="38"/>
        <v>9</v>
      </c>
      <c r="P108" s="113">
        <v>9</v>
      </c>
      <c r="Q108" s="77" t="s">
        <v>278</v>
      </c>
      <c r="R108" s="77" t="s">
        <v>278</v>
      </c>
      <c r="S108" s="77" t="s">
        <v>278</v>
      </c>
      <c r="T108" s="107">
        <f>SUMIF(U108:X108,"&gt;0")</f>
        <v>9</v>
      </c>
      <c r="U108" s="113">
        <v>9</v>
      </c>
      <c r="V108" s="77" t="s">
        <v>278</v>
      </c>
      <c r="W108" s="77" t="s">
        <v>278</v>
      </c>
      <c r="X108" s="77" t="s">
        <v>278</v>
      </c>
      <c r="Y108" s="107">
        <f t="shared" si="39"/>
        <v>9</v>
      </c>
      <c r="Z108" s="113">
        <v>9</v>
      </c>
      <c r="AA108" s="77" t="s">
        <v>278</v>
      </c>
      <c r="AB108" s="77" t="s">
        <v>278</v>
      </c>
      <c r="AC108" s="77" t="s">
        <v>278</v>
      </c>
      <c r="AD108" s="107">
        <f t="shared" si="41"/>
        <v>9</v>
      </c>
      <c r="AE108" s="111">
        <v>9</v>
      </c>
      <c r="AF108" s="77" t="s">
        <v>278</v>
      </c>
      <c r="AG108" s="77" t="s">
        <v>278</v>
      </c>
      <c r="AH108" s="77" t="s">
        <v>278</v>
      </c>
      <c r="AI108" s="107">
        <f t="shared" si="42"/>
        <v>20</v>
      </c>
      <c r="AJ108" s="111">
        <v>20</v>
      </c>
      <c r="AK108" s="77" t="s">
        <v>278</v>
      </c>
      <c r="AL108" s="77" t="s">
        <v>278</v>
      </c>
      <c r="AM108" s="77" t="s">
        <v>278</v>
      </c>
      <c r="AN108" s="115">
        <f t="shared" si="43"/>
        <v>77.6</v>
      </c>
      <c r="AO108" s="91"/>
    </row>
    <row r="109" spans="1:41" ht="47.25">
      <c r="A109" s="94" t="s">
        <v>94</v>
      </c>
      <c r="B109" s="40" t="s">
        <v>377</v>
      </c>
      <c r="C109" s="92" t="s">
        <v>84</v>
      </c>
      <c r="D109" s="11" t="s">
        <v>228</v>
      </c>
      <c r="E109" s="76">
        <f>SUMIF(F109:I109,"&gt;0")</f>
        <v>0</v>
      </c>
      <c r="F109" s="26" t="s">
        <v>278</v>
      </c>
      <c r="G109" s="26" t="s">
        <v>278</v>
      </c>
      <c r="H109" s="26" t="s">
        <v>278</v>
      </c>
      <c r="I109" s="26" t="s">
        <v>278</v>
      </c>
      <c r="J109" s="76">
        <f t="shared" si="37"/>
        <v>0</v>
      </c>
      <c r="K109" s="11" t="s">
        <v>278</v>
      </c>
      <c r="L109" s="77" t="s">
        <v>278</v>
      </c>
      <c r="M109" s="77" t="s">
        <v>278</v>
      </c>
      <c r="N109" s="77" t="s">
        <v>278</v>
      </c>
      <c r="O109" s="76">
        <f t="shared" si="38"/>
        <v>0</v>
      </c>
      <c r="P109" s="77" t="s">
        <v>278</v>
      </c>
      <c r="Q109" s="77" t="s">
        <v>278</v>
      </c>
      <c r="R109" s="77" t="s">
        <v>278</v>
      </c>
      <c r="S109" s="77" t="s">
        <v>278</v>
      </c>
      <c r="T109" s="76">
        <f t="shared" si="44"/>
        <v>0</v>
      </c>
      <c r="U109" s="77" t="s">
        <v>278</v>
      </c>
      <c r="V109" s="77" t="s">
        <v>278</v>
      </c>
      <c r="W109" s="77" t="s">
        <v>278</v>
      </c>
      <c r="X109" s="77" t="s">
        <v>278</v>
      </c>
      <c r="Y109" s="76">
        <f t="shared" si="39"/>
        <v>0</v>
      </c>
      <c r="Z109" s="77" t="s">
        <v>278</v>
      </c>
      <c r="AA109" s="77" t="s">
        <v>278</v>
      </c>
      <c r="AB109" s="77" t="s">
        <v>278</v>
      </c>
      <c r="AC109" s="77" t="s">
        <v>278</v>
      </c>
      <c r="AD109" s="76">
        <f>SUMIF(AE109:AH109,"&gt;0")</f>
        <v>0</v>
      </c>
      <c r="AE109" s="77" t="s">
        <v>278</v>
      </c>
      <c r="AF109" s="77" t="s">
        <v>278</v>
      </c>
      <c r="AG109" s="77" t="s">
        <v>278</v>
      </c>
      <c r="AH109" s="77" t="s">
        <v>278</v>
      </c>
      <c r="AI109" s="107">
        <f t="shared" si="42"/>
        <v>6</v>
      </c>
      <c r="AJ109" s="111">
        <v>6</v>
      </c>
      <c r="AK109" s="77" t="s">
        <v>278</v>
      </c>
      <c r="AL109" s="77" t="s">
        <v>278</v>
      </c>
      <c r="AM109" s="77" t="s">
        <v>278</v>
      </c>
      <c r="AN109" s="115">
        <f t="shared" si="43"/>
        <v>6</v>
      </c>
      <c r="AO109" s="91"/>
    </row>
    <row r="110" spans="1:41" ht="173.25">
      <c r="A110" s="94" t="s">
        <v>95</v>
      </c>
      <c r="B110" s="40" t="s">
        <v>467</v>
      </c>
      <c r="C110" s="95" t="s">
        <v>331</v>
      </c>
      <c r="D110" s="11" t="s">
        <v>228</v>
      </c>
      <c r="E110" s="107">
        <f t="shared" si="40"/>
        <v>8</v>
      </c>
      <c r="F110" s="111">
        <v>8</v>
      </c>
      <c r="G110" s="26" t="s">
        <v>278</v>
      </c>
      <c r="H110" s="26" t="s">
        <v>278</v>
      </c>
      <c r="I110" s="26" t="s">
        <v>278</v>
      </c>
      <c r="J110" s="107">
        <f t="shared" si="37"/>
        <v>5</v>
      </c>
      <c r="K110" s="111">
        <v>5</v>
      </c>
      <c r="L110" s="77" t="s">
        <v>278</v>
      </c>
      <c r="M110" s="77" t="s">
        <v>278</v>
      </c>
      <c r="N110" s="77" t="s">
        <v>278</v>
      </c>
      <c r="O110" s="107">
        <f>SUMIF(P110:S110,"&gt;0")</f>
        <v>5</v>
      </c>
      <c r="P110" s="113">
        <v>5</v>
      </c>
      <c r="Q110" s="77" t="s">
        <v>278</v>
      </c>
      <c r="R110" s="77" t="s">
        <v>278</v>
      </c>
      <c r="S110" s="77" t="s">
        <v>278</v>
      </c>
      <c r="T110" s="107">
        <f>SUMIF(U110:X110,"&gt;0")</f>
        <v>5</v>
      </c>
      <c r="U110" s="113">
        <v>5</v>
      </c>
      <c r="V110" s="77" t="s">
        <v>278</v>
      </c>
      <c r="W110" s="77" t="s">
        <v>278</v>
      </c>
      <c r="X110" s="77" t="s">
        <v>278</v>
      </c>
      <c r="Y110" s="107">
        <f t="shared" si="39"/>
        <v>5</v>
      </c>
      <c r="Z110" s="113">
        <v>5</v>
      </c>
      <c r="AA110" s="77" t="s">
        <v>278</v>
      </c>
      <c r="AB110" s="77" t="s">
        <v>278</v>
      </c>
      <c r="AC110" s="77" t="s">
        <v>278</v>
      </c>
      <c r="AD110" s="107">
        <f t="shared" si="41"/>
        <v>5</v>
      </c>
      <c r="AE110" s="111">
        <v>5</v>
      </c>
      <c r="AF110" s="77" t="s">
        <v>278</v>
      </c>
      <c r="AG110" s="77" t="s">
        <v>278</v>
      </c>
      <c r="AH110" s="77" t="s">
        <v>278</v>
      </c>
      <c r="AI110" s="107">
        <f t="shared" si="42"/>
        <v>10</v>
      </c>
      <c r="AJ110" s="111">
        <v>10</v>
      </c>
      <c r="AK110" s="77" t="s">
        <v>278</v>
      </c>
      <c r="AL110" s="77" t="s">
        <v>278</v>
      </c>
      <c r="AM110" s="77" t="s">
        <v>278</v>
      </c>
      <c r="AN110" s="115">
        <f t="shared" si="43"/>
        <v>43</v>
      </c>
      <c r="AO110" s="91"/>
    </row>
    <row r="111" spans="1:41" ht="126">
      <c r="A111" s="94" t="s">
        <v>96</v>
      </c>
      <c r="B111" s="40" t="s">
        <v>468</v>
      </c>
      <c r="C111" s="92" t="s">
        <v>85</v>
      </c>
      <c r="D111" s="11" t="s">
        <v>228</v>
      </c>
      <c r="E111" s="117">
        <f t="shared" si="40"/>
        <v>0</v>
      </c>
      <c r="F111" s="90">
        <f>5-5</f>
        <v>0</v>
      </c>
      <c r="G111" s="26" t="s">
        <v>278</v>
      </c>
      <c r="H111" s="26" t="s">
        <v>278</v>
      </c>
      <c r="I111" s="26" t="s">
        <v>278</v>
      </c>
      <c r="J111" s="76">
        <f t="shared" si="37"/>
        <v>0</v>
      </c>
      <c r="K111" s="106">
        <f>5-5</f>
        <v>0</v>
      </c>
      <c r="L111" s="77" t="s">
        <v>278</v>
      </c>
      <c r="M111" s="77" t="s">
        <v>278</v>
      </c>
      <c r="N111" s="77" t="s">
        <v>278</v>
      </c>
      <c r="O111" s="76">
        <f>SUMIF(P111:S111,"&gt;0")</f>
        <v>0</v>
      </c>
      <c r="P111" s="134">
        <f>5-0.91936-4.1</f>
        <v>0</v>
      </c>
      <c r="Q111" s="77" t="s">
        <v>278</v>
      </c>
      <c r="R111" s="77" t="s">
        <v>278</v>
      </c>
      <c r="S111" s="77" t="s">
        <v>278</v>
      </c>
      <c r="T111" s="124">
        <f>SUMIF(U111:X111,"&gt;0")</f>
        <v>5</v>
      </c>
      <c r="U111" s="137">
        <f>5</f>
        <v>5</v>
      </c>
      <c r="V111" s="77" t="s">
        <v>278</v>
      </c>
      <c r="W111" s="77" t="s">
        <v>278</v>
      </c>
      <c r="X111" s="77" t="s">
        <v>278</v>
      </c>
      <c r="Y111" s="124">
        <f>SUMIF(Z111:AC111,"&gt;0")</f>
        <v>5</v>
      </c>
      <c r="Z111" s="137">
        <f>5</f>
        <v>5</v>
      </c>
      <c r="AA111" s="77" t="s">
        <v>278</v>
      </c>
      <c r="AB111" s="77" t="s">
        <v>278</v>
      </c>
      <c r="AC111" s="77" t="s">
        <v>278</v>
      </c>
      <c r="AD111" s="124">
        <f>SUMIF(AE111:AH111,"&gt;0")</f>
        <v>5</v>
      </c>
      <c r="AE111" s="137">
        <f>5</f>
        <v>5</v>
      </c>
      <c r="AF111" s="77" t="s">
        <v>278</v>
      </c>
      <c r="AG111" s="77" t="s">
        <v>278</v>
      </c>
      <c r="AH111" s="77" t="s">
        <v>278</v>
      </c>
      <c r="AI111" s="107">
        <f t="shared" si="42"/>
        <v>8</v>
      </c>
      <c r="AJ111" s="111">
        <v>8</v>
      </c>
      <c r="AK111" s="77" t="s">
        <v>278</v>
      </c>
      <c r="AL111" s="77" t="s">
        <v>278</v>
      </c>
      <c r="AM111" s="77" t="s">
        <v>278</v>
      </c>
      <c r="AN111" s="115">
        <f t="shared" si="43"/>
        <v>23</v>
      </c>
      <c r="AO111" s="91"/>
    </row>
    <row r="112" spans="1:41" ht="63">
      <c r="A112" s="94" t="s">
        <v>97</v>
      </c>
      <c r="B112" s="40" t="s">
        <v>388</v>
      </c>
      <c r="C112" s="92" t="s">
        <v>231</v>
      </c>
      <c r="D112" s="11" t="s">
        <v>228</v>
      </c>
      <c r="E112" s="76">
        <f>SUMIF(F112:I112,"&gt;0")</f>
        <v>0</v>
      </c>
      <c r="F112" s="26" t="s">
        <v>278</v>
      </c>
      <c r="G112" s="26" t="s">
        <v>278</v>
      </c>
      <c r="H112" s="26" t="s">
        <v>278</v>
      </c>
      <c r="I112" s="26" t="s">
        <v>278</v>
      </c>
      <c r="J112" s="76">
        <f t="shared" si="37"/>
        <v>0</v>
      </c>
      <c r="K112" s="11" t="s">
        <v>278</v>
      </c>
      <c r="L112" s="77" t="s">
        <v>278</v>
      </c>
      <c r="M112" s="77" t="s">
        <v>278</v>
      </c>
      <c r="N112" s="77" t="s">
        <v>278</v>
      </c>
      <c r="O112" s="76">
        <f t="shared" si="38"/>
        <v>0</v>
      </c>
      <c r="P112" s="77" t="s">
        <v>278</v>
      </c>
      <c r="Q112" s="77" t="s">
        <v>278</v>
      </c>
      <c r="R112" s="77" t="s">
        <v>278</v>
      </c>
      <c r="S112" s="77" t="s">
        <v>278</v>
      </c>
      <c r="T112" s="76">
        <f t="shared" si="44"/>
        <v>0</v>
      </c>
      <c r="U112" s="77" t="s">
        <v>278</v>
      </c>
      <c r="V112" s="77" t="s">
        <v>278</v>
      </c>
      <c r="W112" s="77" t="s">
        <v>278</v>
      </c>
      <c r="X112" s="77" t="s">
        <v>278</v>
      </c>
      <c r="Y112" s="76">
        <f t="shared" si="39"/>
        <v>0</v>
      </c>
      <c r="Z112" s="77" t="s">
        <v>278</v>
      </c>
      <c r="AA112" s="77" t="s">
        <v>278</v>
      </c>
      <c r="AB112" s="77" t="s">
        <v>278</v>
      </c>
      <c r="AC112" s="77" t="s">
        <v>278</v>
      </c>
      <c r="AD112" s="76">
        <f t="shared" si="41"/>
        <v>0</v>
      </c>
      <c r="AE112" s="77" t="s">
        <v>278</v>
      </c>
      <c r="AF112" s="77" t="s">
        <v>278</v>
      </c>
      <c r="AG112" s="77" t="s">
        <v>278</v>
      </c>
      <c r="AH112" s="77" t="s">
        <v>278</v>
      </c>
      <c r="AI112" s="107">
        <f t="shared" si="42"/>
        <v>8</v>
      </c>
      <c r="AJ112" s="111">
        <v>8</v>
      </c>
      <c r="AK112" s="77" t="s">
        <v>278</v>
      </c>
      <c r="AL112" s="77" t="s">
        <v>278</v>
      </c>
      <c r="AM112" s="77" t="s">
        <v>278</v>
      </c>
      <c r="AN112" s="115">
        <f t="shared" si="43"/>
        <v>8</v>
      </c>
      <c r="AO112" s="91"/>
    </row>
    <row r="113" spans="1:41" ht="63">
      <c r="A113" s="94" t="s">
        <v>98</v>
      </c>
      <c r="B113" s="93" t="s">
        <v>389</v>
      </c>
      <c r="C113" s="92" t="s">
        <v>232</v>
      </c>
      <c r="D113" s="11" t="s">
        <v>228</v>
      </c>
      <c r="E113" s="76">
        <f>SUMIF(F113:I113,"&gt;0")</f>
        <v>0</v>
      </c>
      <c r="F113" s="26" t="s">
        <v>278</v>
      </c>
      <c r="G113" s="26" t="s">
        <v>278</v>
      </c>
      <c r="H113" s="26" t="s">
        <v>278</v>
      </c>
      <c r="I113" s="26" t="s">
        <v>278</v>
      </c>
      <c r="J113" s="76">
        <f t="shared" si="37"/>
        <v>0</v>
      </c>
      <c r="K113" s="11" t="s">
        <v>278</v>
      </c>
      <c r="L113" s="77" t="s">
        <v>278</v>
      </c>
      <c r="M113" s="77" t="s">
        <v>278</v>
      </c>
      <c r="N113" s="77" t="s">
        <v>278</v>
      </c>
      <c r="O113" s="76">
        <f t="shared" si="38"/>
        <v>0</v>
      </c>
      <c r="P113" s="77" t="s">
        <v>278</v>
      </c>
      <c r="Q113" s="77" t="s">
        <v>278</v>
      </c>
      <c r="R113" s="77" t="s">
        <v>278</v>
      </c>
      <c r="S113" s="77" t="s">
        <v>278</v>
      </c>
      <c r="T113" s="124">
        <f t="shared" si="44"/>
        <v>5</v>
      </c>
      <c r="U113" s="137">
        <f>5</f>
        <v>5</v>
      </c>
      <c r="V113" s="77" t="s">
        <v>278</v>
      </c>
      <c r="W113" s="77" t="s">
        <v>278</v>
      </c>
      <c r="X113" s="77" t="s">
        <v>278</v>
      </c>
      <c r="Y113" s="76">
        <f>SUMIF(Z113:AC113,"&gt;0")</f>
        <v>0</v>
      </c>
      <c r="Z113" s="77" t="s">
        <v>278</v>
      </c>
      <c r="AA113" s="77" t="s">
        <v>278</v>
      </c>
      <c r="AB113" s="77" t="s">
        <v>278</v>
      </c>
      <c r="AC113" s="77" t="s">
        <v>278</v>
      </c>
      <c r="AD113" s="76">
        <f t="shared" si="41"/>
        <v>0</v>
      </c>
      <c r="AE113" s="77" t="s">
        <v>278</v>
      </c>
      <c r="AF113" s="77" t="s">
        <v>278</v>
      </c>
      <c r="AG113" s="77" t="s">
        <v>278</v>
      </c>
      <c r="AH113" s="77" t="s">
        <v>278</v>
      </c>
      <c r="AI113" s="107">
        <f t="shared" si="42"/>
        <v>8</v>
      </c>
      <c r="AJ113" s="111">
        <v>8</v>
      </c>
      <c r="AK113" s="77" t="s">
        <v>278</v>
      </c>
      <c r="AL113" s="77" t="s">
        <v>278</v>
      </c>
      <c r="AM113" s="77" t="s">
        <v>278</v>
      </c>
      <c r="AN113" s="115">
        <f t="shared" si="43"/>
        <v>13</v>
      </c>
      <c r="AO113" s="91"/>
    </row>
    <row r="114" spans="1:41" ht="95.25" customHeight="1">
      <c r="A114" s="94" t="s">
        <v>252</v>
      </c>
      <c r="B114" s="93" t="s">
        <v>469</v>
      </c>
      <c r="C114" s="92" t="s">
        <v>86</v>
      </c>
      <c r="D114" s="11" t="s">
        <v>228</v>
      </c>
      <c r="E114" s="76">
        <f>SUMIF(F114:I114,"&gt;0")</f>
        <v>0</v>
      </c>
      <c r="F114" s="26" t="s">
        <v>278</v>
      </c>
      <c r="G114" s="26" t="s">
        <v>278</v>
      </c>
      <c r="H114" s="26" t="s">
        <v>278</v>
      </c>
      <c r="I114" s="26" t="s">
        <v>278</v>
      </c>
      <c r="J114" s="76">
        <f t="shared" si="37"/>
        <v>0</v>
      </c>
      <c r="K114" s="11" t="s">
        <v>278</v>
      </c>
      <c r="L114" s="77" t="s">
        <v>278</v>
      </c>
      <c r="M114" s="77" t="s">
        <v>278</v>
      </c>
      <c r="N114" s="77" t="s">
        <v>278</v>
      </c>
      <c r="O114" s="76">
        <f t="shared" si="38"/>
        <v>0</v>
      </c>
      <c r="P114" s="77" t="s">
        <v>278</v>
      </c>
      <c r="Q114" s="77" t="s">
        <v>278</v>
      </c>
      <c r="R114" s="77" t="s">
        <v>278</v>
      </c>
      <c r="S114" s="77" t="s">
        <v>278</v>
      </c>
      <c r="T114" s="76">
        <f t="shared" si="44"/>
        <v>0</v>
      </c>
      <c r="U114" s="77" t="s">
        <v>278</v>
      </c>
      <c r="V114" s="77" t="s">
        <v>278</v>
      </c>
      <c r="W114" s="77" t="s">
        <v>278</v>
      </c>
      <c r="X114" s="77" t="s">
        <v>278</v>
      </c>
      <c r="Y114" s="76">
        <f t="shared" si="39"/>
        <v>0</v>
      </c>
      <c r="Z114" s="77" t="s">
        <v>278</v>
      </c>
      <c r="AA114" s="77" t="s">
        <v>278</v>
      </c>
      <c r="AB114" s="77" t="s">
        <v>278</v>
      </c>
      <c r="AC114" s="77" t="s">
        <v>278</v>
      </c>
      <c r="AD114" s="76">
        <f t="shared" si="41"/>
        <v>0</v>
      </c>
      <c r="AE114" s="77" t="s">
        <v>278</v>
      </c>
      <c r="AF114" s="77" t="s">
        <v>278</v>
      </c>
      <c r="AG114" s="77" t="s">
        <v>278</v>
      </c>
      <c r="AH114" s="77" t="s">
        <v>278</v>
      </c>
      <c r="AI114" s="107">
        <f t="shared" si="42"/>
        <v>8</v>
      </c>
      <c r="AJ114" s="111">
        <v>8</v>
      </c>
      <c r="AK114" s="77" t="s">
        <v>278</v>
      </c>
      <c r="AL114" s="77" t="s">
        <v>278</v>
      </c>
      <c r="AM114" s="77" t="s">
        <v>278</v>
      </c>
      <c r="AN114" s="115">
        <f t="shared" si="43"/>
        <v>8</v>
      </c>
      <c r="AO114" s="91"/>
    </row>
    <row r="115" spans="1:41" ht="47.25">
      <c r="A115" s="94" t="s">
        <v>99</v>
      </c>
      <c r="B115" s="125" t="s">
        <v>390</v>
      </c>
      <c r="C115" s="92" t="s">
        <v>219</v>
      </c>
      <c r="D115" s="11" t="s">
        <v>228</v>
      </c>
      <c r="E115" s="76">
        <f>SUMIF(F115:I115,"&gt;0")</f>
        <v>0</v>
      </c>
      <c r="F115" s="26" t="s">
        <v>278</v>
      </c>
      <c r="G115" s="26" t="s">
        <v>278</v>
      </c>
      <c r="H115" s="26" t="s">
        <v>278</v>
      </c>
      <c r="I115" s="26" t="s">
        <v>278</v>
      </c>
      <c r="J115" s="76">
        <f t="shared" si="37"/>
        <v>0</v>
      </c>
      <c r="K115" s="11" t="s">
        <v>278</v>
      </c>
      <c r="L115" s="77" t="s">
        <v>278</v>
      </c>
      <c r="M115" s="77" t="s">
        <v>278</v>
      </c>
      <c r="N115" s="77" t="s">
        <v>278</v>
      </c>
      <c r="O115" s="76">
        <f t="shared" si="38"/>
        <v>0</v>
      </c>
      <c r="P115" s="77" t="s">
        <v>278</v>
      </c>
      <c r="Q115" s="77" t="s">
        <v>278</v>
      </c>
      <c r="R115" s="77" t="s">
        <v>278</v>
      </c>
      <c r="S115" s="77" t="s">
        <v>278</v>
      </c>
      <c r="T115" s="76">
        <f t="shared" si="44"/>
        <v>0</v>
      </c>
      <c r="U115" s="77" t="s">
        <v>278</v>
      </c>
      <c r="V115" s="77" t="s">
        <v>278</v>
      </c>
      <c r="W115" s="77" t="s">
        <v>278</v>
      </c>
      <c r="X115" s="77" t="s">
        <v>278</v>
      </c>
      <c r="Y115" s="76">
        <f aca="true" t="shared" si="45" ref="Y115:Y122">SUMIF(Z115:AC115,"&gt;0")</f>
        <v>0</v>
      </c>
      <c r="Z115" s="77" t="s">
        <v>278</v>
      </c>
      <c r="AA115" s="77" t="s">
        <v>278</v>
      </c>
      <c r="AB115" s="77" t="s">
        <v>278</v>
      </c>
      <c r="AC115" s="77" t="s">
        <v>278</v>
      </c>
      <c r="AD115" s="76">
        <f t="shared" si="41"/>
        <v>0</v>
      </c>
      <c r="AE115" s="77" t="s">
        <v>278</v>
      </c>
      <c r="AF115" s="77" t="s">
        <v>278</v>
      </c>
      <c r="AG115" s="77" t="s">
        <v>278</v>
      </c>
      <c r="AH115" s="77" t="s">
        <v>278</v>
      </c>
      <c r="AI115" s="107">
        <f t="shared" si="42"/>
        <v>8</v>
      </c>
      <c r="AJ115" s="111">
        <v>8</v>
      </c>
      <c r="AK115" s="77" t="s">
        <v>278</v>
      </c>
      <c r="AL115" s="77" t="s">
        <v>278</v>
      </c>
      <c r="AM115" s="77" t="s">
        <v>278</v>
      </c>
      <c r="AN115" s="115">
        <f t="shared" si="43"/>
        <v>8</v>
      </c>
      <c r="AO115" s="91"/>
    </row>
    <row r="116" spans="1:41" ht="80.25" customHeight="1">
      <c r="A116" s="94" t="s">
        <v>100</v>
      </c>
      <c r="B116" s="40" t="s">
        <v>470</v>
      </c>
      <c r="C116" s="92" t="s">
        <v>85</v>
      </c>
      <c r="D116" s="11" t="s">
        <v>228</v>
      </c>
      <c r="E116" s="76">
        <f>SUMIF(F116:I116,"&gt;0")</f>
        <v>0</v>
      </c>
      <c r="F116" s="26" t="s">
        <v>278</v>
      </c>
      <c r="G116" s="26" t="s">
        <v>278</v>
      </c>
      <c r="H116" s="26" t="s">
        <v>278</v>
      </c>
      <c r="I116" s="26" t="s">
        <v>278</v>
      </c>
      <c r="J116" s="76">
        <f t="shared" si="37"/>
        <v>0</v>
      </c>
      <c r="K116" s="106">
        <f>5-2.70219-2.29781</f>
        <v>0</v>
      </c>
      <c r="L116" s="77" t="s">
        <v>278</v>
      </c>
      <c r="M116" s="77" t="s">
        <v>278</v>
      </c>
      <c r="N116" s="77" t="s">
        <v>278</v>
      </c>
      <c r="O116" s="76">
        <f t="shared" si="38"/>
        <v>0</v>
      </c>
      <c r="P116" s="134">
        <f>5-5</f>
        <v>0</v>
      </c>
      <c r="Q116" s="77" t="s">
        <v>278</v>
      </c>
      <c r="R116" s="77" t="s">
        <v>278</v>
      </c>
      <c r="S116" s="77" t="s">
        <v>278</v>
      </c>
      <c r="T116" s="76">
        <f t="shared" si="44"/>
        <v>0</v>
      </c>
      <c r="U116" s="134">
        <f>5-5</f>
        <v>0</v>
      </c>
      <c r="V116" s="77" t="s">
        <v>278</v>
      </c>
      <c r="W116" s="77" t="s">
        <v>278</v>
      </c>
      <c r="X116" s="77" t="s">
        <v>278</v>
      </c>
      <c r="Y116" s="76">
        <f t="shared" si="45"/>
        <v>0</v>
      </c>
      <c r="Z116" s="134">
        <f>5-5</f>
        <v>0</v>
      </c>
      <c r="AA116" s="77" t="s">
        <v>278</v>
      </c>
      <c r="AB116" s="77" t="s">
        <v>278</v>
      </c>
      <c r="AC116" s="77" t="s">
        <v>278</v>
      </c>
      <c r="AD116" s="76">
        <f t="shared" si="41"/>
        <v>0</v>
      </c>
      <c r="AE116" s="134">
        <f>5-5</f>
        <v>0</v>
      </c>
      <c r="AF116" s="77" t="s">
        <v>278</v>
      </c>
      <c r="AG116" s="77" t="s">
        <v>278</v>
      </c>
      <c r="AH116" s="77" t="s">
        <v>278</v>
      </c>
      <c r="AI116" s="107">
        <f t="shared" si="42"/>
        <v>8</v>
      </c>
      <c r="AJ116" s="111">
        <v>8</v>
      </c>
      <c r="AK116" s="77" t="s">
        <v>278</v>
      </c>
      <c r="AL116" s="77" t="s">
        <v>278</v>
      </c>
      <c r="AM116" s="77" t="s">
        <v>278</v>
      </c>
      <c r="AN116" s="115">
        <f t="shared" si="43"/>
        <v>8</v>
      </c>
      <c r="AO116" s="91"/>
    </row>
    <row r="117" spans="1:41" ht="126">
      <c r="A117" s="94" t="s">
        <v>101</v>
      </c>
      <c r="B117" s="40" t="s">
        <v>471</v>
      </c>
      <c r="C117" s="95" t="s">
        <v>336</v>
      </c>
      <c r="D117" s="11" t="s">
        <v>228</v>
      </c>
      <c r="E117" s="107">
        <f t="shared" si="40"/>
        <v>17</v>
      </c>
      <c r="F117" s="111">
        <v>17</v>
      </c>
      <c r="G117" s="26" t="s">
        <v>278</v>
      </c>
      <c r="H117" s="26" t="s">
        <v>278</v>
      </c>
      <c r="I117" s="26" t="s">
        <v>278</v>
      </c>
      <c r="J117" s="107">
        <f t="shared" si="37"/>
        <v>15</v>
      </c>
      <c r="K117" s="111">
        <v>15</v>
      </c>
      <c r="L117" s="77" t="s">
        <v>278</v>
      </c>
      <c r="M117" s="77" t="s">
        <v>278</v>
      </c>
      <c r="N117" s="77" t="s">
        <v>278</v>
      </c>
      <c r="O117" s="107">
        <f>SUMIF(P117:S117,"&gt;0")</f>
        <v>15</v>
      </c>
      <c r="P117" s="113">
        <f>14+1</f>
        <v>15</v>
      </c>
      <c r="Q117" s="77" t="s">
        <v>278</v>
      </c>
      <c r="R117" s="77" t="s">
        <v>278</v>
      </c>
      <c r="S117" s="77" t="s">
        <v>278</v>
      </c>
      <c r="T117" s="107">
        <f>SUMIF(U117:X117,"&gt;0")</f>
        <v>15</v>
      </c>
      <c r="U117" s="113">
        <f>14+1</f>
        <v>15</v>
      </c>
      <c r="V117" s="77" t="s">
        <v>278</v>
      </c>
      <c r="W117" s="77" t="s">
        <v>278</v>
      </c>
      <c r="X117" s="77" t="s">
        <v>278</v>
      </c>
      <c r="Y117" s="107">
        <f t="shared" si="45"/>
        <v>15</v>
      </c>
      <c r="Z117" s="113">
        <f>14+1</f>
        <v>15</v>
      </c>
      <c r="AA117" s="77" t="s">
        <v>278</v>
      </c>
      <c r="AB117" s="77" t="s">
        <v>278</v>
      </c>
      <c r="AC117" s="77" t="s">
        <v>278</v>
      </c>
      <c r="AD117" s="107">
        <f t="shared" si="41"/>
        <v>15</v>
      </c>
      <c r="AE117" s="111">
        <v>15</v>
      </c>
      <c r="AF117" s="77" t="s">
        <v>278</v>
      </c>
      <c r="AG117" s="77" t="s">
        <v>278</v>
      </c>
      <c r="AH117" s="77" t="s">
        <v>278</v>
      </c>
      <c r="AI117" s="107">
        <f t="shared" si="42"/>
        <v>27</v>
      </c>
      <c r="AJ117" s="111">
        <v>27</v>
      </c>
      <c r="AK117" s="77" t="s">
        <v>278</v>
      </c>
      <c r="AL117" s="77" t="s">
        <v>278</v>
      </c>
      <c r="AM117" s="77" t="s">
        <v>278</v>
      </c>
      <c r="AN117" s="115">
        <f t="shared" si="43"/>
        <v>119</v>
      </c>
      <c r="AO117" s="91"/>
    </row>
    <row r="118" spans="1:41" ht="113.25" customHeight="1">
      <c r="A118" s="94" t="s">
        <v>102</v>
      </c>
      <c r="B118" s="93" t="s">
        <v>472</v>
      </c>
      <c r="C118" s="92" t="s">
        <v>87</v>
      </c>
      <c r="D118" s="11" t="s">
        <v>228</v>
      </c>
      <c r="E118" s="107">
        <f t="shared" si="40"/>
        <v>5</v>
      </c>
      <c r="F118" s="111">
        <v>5</v>
      </c>
      <c r="G118" s="26" t="s">
        <v>278</v>
      </c>
      <c r="H118" s="26" t="s">
        <v>278</v>
      </c>
      <c r="I118" s="26" t="s">
        <v>278</v>
      </c>
      <c r="J118" s="107">
        <f t="shared" si="37"/>
        <v>5</v>
      </c>
      <c r="K118" s="111">
        <v>5</v>
      </c>
      <c r="L118" s="77" t="s">
        <v>278</v>
      </c>
      <c r="M118" s="77" t="s">
        <v>278</v>
      </c>
      <c r="N118" s="77" t="s">
        <v>278</v>
      </c>
      <c r="O118" s="107">
        <f>SUMIF(P118:S118,"&gt;0")</f>
        <v>5</v>
      </c>
      <c r="P118" s="113">
        <v>5</v>
      </c>
      <c r="Q118" s="77" t="s">
        <v>278</v>
      </c>
      <c r="R118" s="77" t="s">
        <v>278</v>
      </c>
      <c r="S118" s="77" t="s">
        <v>278</v>
      </c>
      <c r="T118" s="107">
        <f>SUMIF(U118:X118,"&gt;0")</f>
        <v>5</v>
      </c>
      <c r="U118" s="113">
        <v>5</v>
      </c>
      <c r="V118" s="77" t="s">
        <v>278</v>
      </c>
      <c r="W118" s="77" t="s">
        <v>278</v>
      </c>
      <c r="X118" s="77" t="s">
        <v>278</v>
      </c>
      <c r="Y118" s="107">
        <f t="shared" si="45"/>
        <v>5</v>
      </c>
      <c r="Z118" s="113">
        <v>5</v>
      </c>
      <c r="AA118" s="77" t="s">
        <v>278</v>
      </c>
      <c r="AB118" s="77" t="s">
        <v>278</v>
      </c>
      <c r="AC118" s="77" t="s">
        <v>278</v>
      </c>
      <c r="AD118" s="107">
        <f t="shared" si="41"/>
        <v>5</v>
      </c>
      <c r="AE118" s="111">
        <v>5</v>
      </c>
      <c r="AF118" s="77" t="s">
        <v>278</v>
      </c>
      <c r="AG118" s="77" t="s">
        <v>278</v>
      </c>
      <c r="AH118" s="77" t="s">
        <v>278</v>
      </c>
      <c r="AI118" s="107">
        <f t="shared" si="42"/>
        <v>6</v>
      </c>
      <c r="AJ118" s="111">
        <v>6</v>
      </c>
      <c r="AK118" s="77" t="s">
        <v>278</v>
      </c>
      <c r="AL118" s="77" t="s">
        <v>278</v>
      </c>
      <c r="AM118" s="77" t="s">
        <v>278</v>
      </c>
      <c r="AN118" s="115">
        <f t="shared" si="43"/>
        <v>36</v>
      </c>
      <c r="AO118" s="91"/>
    </row>
    <row r="119" spans="1:41" ht="101.25" customHeight="1">
      <c r="A119" s="94" t="s">
        <v>103</v>
      </c>
      <c r="B119" s="40" t="s">
        <v>559</v>
      </c>
      <c r="C119" s="92" t="s">
        <v>88</v>
      </c>
      <c r="D119" s="11" t="s">
        <v>228</v>
      </c>
      <c r="E119" s="107">
        <f t="shared" si="40"/>
        <v>3</v>
      </c>
      <c r="F119" s="111">
        <v>3</v>
      </c>
      <c r="G119" s="26" t="s">
        <v>278</v>
      </c>
      <c r="H119" s="26" t="s">
        <v>278</v>
      </c>
      <c r="I119" s="26" t="s">
        <v>278</v>
      </c>
      <c r="J119" s="107">
        <f t="shared" si="37"/>
        <v>3</v>
      </c>
      <c r="K119" s="111">
        <v>3</v>
      </c>
      <c r="L119" s="77" t="s">
        <v>278</v>
      </c>
      <c r="M119" s="77" t="s">
        <v>278</v>
      </c>
      <c r="N119" s="77" t="s">
        <v>278</v>
      </c>
      <c r="O119" s="107">
        <f>SUMIF(P119:S119,"&gt;0")</f>
        <v>3</v>
      </c>
      <c r="P119" s="113">
        <v>3</v>
      </c>
      <c r="Q119" s="77" t="s">
        <v>278</v>
      </c>
      <c r="R119" s="77" t="s">
        <v>278</v>
      </c>
      <c r="S119" s="77" t="s">
        <v>278</v>
      </c>
      <c r="T119" s="107">
        <f>SUMIF(U119:X119,"&gt;0")</f>
        <v>3</v>
      </c>
      <c r="U119" s="113">
        <v>3</v>
      </c>
      <c r="V119" s="77" t="s">
        <v>278</v>
      </c>
      <c r="W119" s="77" t="s">
        <v>278</v>
      </c>
      <c r="X119" s="77" t="s">
        <v>278</v>
      </c>
      <c r="Y119" s="107">
        <f t="shared" si="45"/>
        <v>3</v>
      </c>
      <c r="Z119" s="113">
        <v>3</v>
      </c>
      <c r="AA119" s="77" t="s">
        <v>278</v>
      </c>
      <c r="AB119" s="77" t="s">
        <v>278</v>
      </c>
      <c r="AC119" s="77" t="s">
        <v>278</v>
      </c>
      <c r="AD119" s="107">
        <f t="shared" si="41"/>
        <v>3</v>
      </c>
      <c r="AE119" s="111">
        <v>3</v>
      </c>
      <c r="AF119" s="77" t="s">
        <v>278</v>
      </c>
      <c r="AG119" s="77" t="s">
        <v>278</v>
      </c>
      <c r="AH119" s="77" t="s">
        <v>278</v>
      </c>
      <c r="AI119" s="107">
        <f t="shared" si="42"/>
        <v>4</v>
      </c>
      <c r="AJ119" s="111">
        <v>4</v>
      </c>
      <c r="AK119" s="77" t="s">
        <v>278</v>
      </c>
      <c r="AL119" s="77" t="s">
        <v>278</v>
      </c>
      <c r="AM119" s="77" t="s">
        <v>278</v>
      </c>
      <c r="AN119" s="115">
        <f t="shared" si="43"/>
        <v>22</v>
      </c>
      <c r="AO119" s="91"/>
    </row>
    <row r="120" spans="1:41" ht="63">
      <c r="A120" s="94" t="s">
        <v>168</v>
      </c>
      <c r="B120" s="40" t="s">
        <v>82</v>
      </c>
      <c r="C120" s="95" t="s">
        <v>191</v>
      </c>
      <c r="D120" s="11" t="s">
        <v>228</v>
      </c>
      <c r="E120" s="76">
        <f>SUMIF(F120:I120,"&gt;0")</f>
        <v>0</v>
      </c>
      <c r="F120" s="26" t="s">
        <v>278</v>
      </c>
      <c r="G120" s="26" t="s">
        <v>278</v>
      </c>
      <c r="H120" s="26" t="s">
        <v>278</v>
      </c>
      <c r="I120" s="26" t="s">
        <v>278</v>
      </c>
      <c r="J120" s="76">
        <f t="shared" si="37"/>
        <v>0</v>
      </c>
      <c r="K120" s="11" t="s">
        <v>278</v>
      </c>
      <c r="L120" s="77" t="s">
        <v>278</v>
      </c>
      <c r="M120" s="77" t="s">
        <v>278</v>
      </c>
      <c r="N120" s="77" t="s">
        <v>278</v>
      </c>
      <c r="O120" s="76">
        <f t="shared" si="38"/>
        <v>0</v>
      </c>
      <c r="P120" s="77" t="s">
        <v>278</v>
      </c>
      <c r="Q120" s="77" t="s">
        <v>278</v>
      </c>
      <c r="R120" s="77" t="s">
        <v>278</v>
      </c>
      <c r="S120" s="77" t="s">
        <v>278</v>
      </c>
      <c r="T120" s="76">
        <f t="shared" si="44"/>
        <v>0</v>
      </c>
      <c r="U120" s="77" t="s">
        <v>278</v>
      </c>
      <c r="V120" s="77" t="s">
        <v>278</v>
      </c>
      <c r="W120" s="77" t="s">
        <v>278</v>
      </c>
      <c r="X120" s="77" t="s">
        <v>278</v>
      </c>
      <c r="Y120" s="76">
        <f t="shared" si="45"/>
        <v>0</v>
      </c>
      <c r="Z120" s="77" t="s">
        <v>278</v>
      </c>
      <c r="AA120" s="77" t="s">
        <v>278</v>
      </c>
      <c r="AB120" s="77" t="s">
        <v>278</v>
      </c>
      <c r="AC120" s="77" t="s">
        <v>278</v>
      </c>
      <c r="AD120" s="76">
        <f t="shared" si="41"/>
        <v>0</v>
      </c>
      <c r="AE120" s="77" t="s">
        <v>278</v>
      </c>
      <c r="AF120" s="77" t="s">
        <v>278</v>
      </c>
      <c r="AG120" s="77" t="s">
        <v>278</v>
      </c>
      <c r="AH120" s="77" t="s">
        <v>278</v>
      </c>
      <c r="AI120" s="107">
        <f t="shared" si="42"/>
        <v>27</v>
      </c>
      <c r="AJ120" s="111">
        <v>27</v>
      </c>
      <c r="AK120" s="77" t="s">
        <v>278</v>
      </c>
      <c r="AL120" s="77" t="s">
        <v>278</v>
      </c>
      <c r="AM120" s="77" t="s">
        <v>278</v>
      </c>
      <c r="AN120" s="115">
        <f t="shared" si="43"/>
        <v>27</v>
      </c>
      <c r="AO120" s="91"/>
    </row>
    <row r="121" spans="1:41" ht="93.75" customHeight="1">
      <c r="A121" s="94" t="s">
        <v>171</v>
      </c>
      <c r="B121" s="93" t="s">
        <v>473</v>
      </c>
      <c r="C121" s="92" t="s">
        <v>86</v>
      </c>
      <c r="D121" s="11" t="s">
        <v>228</v>
      </c>
      <c r="E121" s="107">
        <f t="shared" si="40"/>
        <v>46</v>
      </c>
      <c r="F121" s="111">
        <v>46</v>
      </c>
      <c r="G121" s="26" t="s">
        <v>278</v>
      </c>
      <c r="H121" s="26" t="s">
        <v>278</v>
      </c>
      <c r="I121" s="26" t="s">
        <v>278</v>
      </c>
      <c r="J121" s="107">
        <f t="shared" si="37"/>
        <v>72</v>
      </c>
      <c r="K121" s="111">
        <f>62+5+5</f>
        <v>72</v>
      </c>
      <c r="L121" s="77" t="s">
        <v>278</v>
      </c>
      <c r="M121" s="77" t="s">
        <v>278</v>
      </c>
      <c r="N121" s="77" t="s">
        <v>278</v>
      </c>
      <c r="O121" s="107">
        <f t="shared" si="38"/>
        <v>62</v>
      </c>
      <c r="P121" s="113">
        <v>62</v>
      </c>
      <c r="Q121" s="77" t="s">
        <v>278</v>
      </c>
      <c r="R121" s="77" t="s">
        <v>278</v>
      </c>
      <c r="S121" s="77" t="s">
        <v>278</v>
      </c>
      <c r="T121" s="107">
        <f t="shared" si="44"/>
        <v>62</v>
      </c>
      <c r="U121" s="113">
        <v>62</v>
      </c>
      <c r="V121" s="77" t="s">
        <v>278</v>
      </c>
      <c r="W121" s="77" t="s">
        <v>278</v>
      </c>
      <c r="X121" s="77" t="s">
        <v>278</v>
      </c>
      <c r="Y121" s="107">
        <f t="shared" si="45"/>
        <v>62</v>
      </c>
      <c r="Z121" s="113">
        <v>62</v>
      </c>
      <c r="AA121" s="77" t="s">
        <v>278</v>
      </c>
      <c r="AB121" s="77" t="s">
        <v>278</v>
      </c>
      <c r="AC121" s="77" t="s">
        <v>278</v>
      </c>
      <c r="AD121" s="107">
        <f t="shared" si="41"/>
        <v>62</v>
      </c>
      <c r="AE121" s="111">
        <v>62</v>
      </c>
      <c r="AF121" s="77" t="s">
        <v>278</v>
      </c>
      <c r="AG121" s="77" t="s">
        <v>278</v>
      </c>
      <c r="AH121" s="77" t="s">
        <v>278</v>
      </c>
      <c r="AI121" s="107">
        <f t="shared" si="42"/>
        <v>66</v>
      </c>
      <c r="AJ121" s="111">
        <v>66</v>
      </c>
      <c r="AK121" s="77" t="s">
        <v>278</v>
      </c>
      <c r="AL121" s="77" t="s">
        <v>278</v>
      </c>
      <c r="AM121" s="77" t="s">
        <v>278</v>
      </c>
      <c r="AN121" s="115">
        <f t="shared" si="43"/>
        <v>432</v>
      </c>
      <c r="AO121" s="91"/>
    </row>
    <row r="122" spans="1:41" ht="80.25" customHeight="1">
      <c r="A122" s="94" t="s">
        <v>253</v>
      </c>
      <c r="B122" s="93" t="s">
        <v>474</v>
      </c>
      <c r="C122" s="92" t="s">
        <v>83</v>
      </c>
      <c r="D122" s="11" t="s">
        <v>228</v>
      </c>
      <c r="E122" s="107">
        <f t="shared" si="40"/>
        <v>10</v>
      </c>
      <c r="F122" s="111">
        <v>10</v>
      </c>
      <c r="G122" s="26" t="s">
        <v>278</v>
      </c>
      <c r="H122" s="26" t="s">
        <v>278</v>
      </c>
      <c r="I122" s="26" t="s">
        <v>278</v>
      </c>
      <c r="J122" s="107">
        <f t="shared" si="37"/>
        <v>6</v>
      </c>
      <c r="K122" s="111">
        <f>10-4</f>
        <v>6</v>
      </c>
      <c r="L122" s="77" t="s">
        <v>278</v>
      </c>
      <c r="M122" s="77" t="s">
        <v>278</v>
      </c>
      <c r="N122" s="77" t="s">
        <v>278</v>
      </c>
      <c r="O122" s="107">
        <f>SUMIF(P122:S122,"&gt;0")</f>
        <v>10</v>
      </c>
      <c r="P122" s="113">
        <v>10</v>
      </c>
      <c r="Q122" s="77" t="s">
        <v>278</v>
      </c>
      <c r="R122" s="77" t="s">
        <v>278</v>
      </c>
      <c r="S122" s="77" t="s">
        <v>278</v>
      </c>
      <c r="T122" s="107">
        <f>SUMIF(U122:X122,"&gt;0")</f>
        <v>10</v>
      </c>
      <c r="U122" s="113">
        <v>10</v>
      </c>
      <c r="V122" s="77" t="s">
        <v>278</v>
      </c>
      <c r="W122" s="77" t="s">
        <v>278</v>
      </c>
      <c r="X122" s="77" t="s">
        <v>278</v>
      </c>
      <c r="Y122" s="107">
        <f t="shared" si="45"/>
        <v>10</v>
      </c>
      <c r="Z122" s="113">
        <v>10</v>
      </c>
      <c r="AA122" s="77" t="s">
        <v>278</v>
      </c>
      <c r="AB122" s="77" t="s">
        <v>278</v>
      </c>
      <c r="AC122" s="77" t="s">
        <v>278</v>
      </c>
      <c r="AD122" s="107">
        <f t="shared" si="41"/>
        <v>10</v>
      </c>
      <c r="AE122" s="111">
        <v>10</v>
      </c>
      <c r="AF122" s="77" t="s">
        <v>278</v>
      </c>
      <c r="AG122" s="77" t="s">
        <v>278</v>
      </c>
      <c r="AH122" s="77" t="s">
        <v>278</v>
      </c>
      <c r="AI122" s="107">
        <f t="shared" si="42"/>
        <v>15</v>
      </c>
      <c r="AJ122" s="111">
        <v>15</v>
      </c>
      <c r="AK122" s="77" t="s">
        <v>278</v>
      </c>
      <c r="AL122" s="77" t="s">
        <v>278</v>
      </c>
      <c r="AM122" s="77" t="s">
        <v>278</v>
      </c>
      <c r="AN122" s="115">
        <f t="shared" si="43"/>
        <v>71</v>
      </c>
      <c r="AO122" s="91"/>
    </row>
    <row r="123" spans="1:41" ht="99" customHeight="1">
      <c r="A123" s="94" t="s">
        <v>176</v>
      </c>
      <c r="B123" s="93" t="s">
        <v>475</v>
      </c>
      <c r="C123" s="92" t="s">
        <v>269</v>
      </c>
      <c r="D123" s="11" t="s">
        <v>228</v>
      </c>
      <c r="E123" s="76">
        <f>SUMIF(F123:I123,"&gt;0")</f>
        <v>0</v>
      </c>
      <c r="F123" s="26" t="s">
        <v>278</v>
      </c>
      <c r="G123" s="26" t="s">
        <v>278</v>
      </c>
      <c r="H123" s="26" t="s">
        <v>278</v>
      </c>
      <c r="I123" s="26" t="s">
        <v>278</v>
      </c>
      <c r="J123" s="76">
        <f t="shared" si="37"/>
        <v>0</v>
      </c>
      <c r="K123" s="11" t="s">
        <v>278</v>
      </c>
      <c r="L123" s="77" t="s">
        <v>278</v>
      </c>
      <c r="M123" s="77" t="s">
        <v>278</v>
      </c>
      <c r="N123" s="77" t="s">
        <v>278</v>
      </c>
      <c r="O123" s="76">
        <f t="shared" si="38"/>
        <v>0</v>
      </c>
      <c r="P123" s="77" t="s">
        <v>278</v>
      </c>
      <c r="Q123" s="77" t="s">
        <v>278</v>
      </c>
      <c r="R123" s="77" t="s">
        <v>278</v>
      </c>
      <c r="S123" s="77" t="s">
        <v>278</v>
      </c>
      <c r="T123" s="76">
        <f t="shared" si="44"/>
        <v>0</v>
      </c>
      <c r="U123" s="77" t="s">
        <v>278</v>
      </c>
      <c r="V123" s="77" t="s">
        <v>278</v>
      </c>
      <c r="W123" s="77" t="s">
        <v>278</v>
      </c>
      <c r="X123" s="77" t="s">
        <v>278</v>
      </c>
      <c r="Y123" s="76">
        <f>SUMIF(Z123:AC123,"&gt;0")</f>
        <v>0</v>
      </c>
      <c r="Z123" s="77" t="s">
        <v>278</v>
      </c>
      <c r="AA123" s="77" t="s">
        <v>278</v>
      </c>
      <c r="AB123" s="77" t="s">
        <v>278</v>
      </c>
      <c r="AC123" s="77" t="s">
        <v>278</v>
      </c>
      <c r="AD123" s="76">
        <f t="shared" si="41"/>
        <v>0</v>
      </c>
      <c r="AE123" s="77" t="s">
        <v>278</v>
      </c>
      <c r="AF123" s="77" t="s">
        <v>278</v>
      </c>
      <c r="AG123" s="77" t="s">
        <v>278</v>
      </c>
      <c r="AH123" s="77" t="s">
        <v>278</v>
      </c>
      <c r="AI123" s="107">
        <f t="shared" si="42"/>
        <v>8</v>
      </c>
      <c r="AJ123" s="111">
        <v>8</v>
      </c>
      <c r="AK123" s="77" t="s">
        <v>278</v>
      </c>
      <c r="AL123" s="77" t="s">
        <v>278</v>
      </c>
      <c r="AM123" s="77" t="s">
        <v>278</v>
      </c>
      <c r="AN123" s="115">
        <f t="shared" si="43"/>
        <v>8</v>
      </c>
      <c r="AO123" s="91"/>
    </row>
    <row r="124" spans="1:41" ht="80.25" customHeight="1">
      <c r="A124" s="94" t="s">
        <v>178</v>
      </c>
      <c r="B124" s="126" t="s">
        <v>476</v>
      </c>
      <c r="C124" s="92" t="s">
        <v>443</v>
      </c>
      <c r="D124" s="11" t="s">
        <v>237</v>
      </c>
      <c r="E124" s="107">
        <f t="shared" si="40"/>
        <v>3</v>
      </c>
      <c r="F124" s="113">
        <v>3</v>
      </c>
      <c r="G124" s="26" t="s">
        <v>278</v>
      </c>
      <c r="H124" s="26" t="s">
        <v>278</v>
      </c>
      <c r="I124" s="26" t="s">
        <v>278</v>
      </c>
      <c r="J124" s="107">
        <f t="shared" si="37"/>
        <v>3</v>
      </c>
      <c r="K124" s="111">
        <v>3</v>
      </c>
      <c r="L124" s="77" t="s">
        <v>278</v>
      </c>
      <c r="M124" s="77" t="s">
        <v>278</v>
      </c>
      <c r="N124" s="77" t="s">
        <v>278</v>
      </c>
      <c r="O124" s="107">
        <f t="shared" si="38"/>
        <v>3</v>
      </c>
      <c r="P124" s="113">
        <v>3</v>
      </c>
      <c r="Q124" s="77" t="s">
        <v>278</v>
      </c>
      <c r="R124" s="77" t="s">
        <v>278</v>
      </c>
      <c r="S124" s="77" t="s">
        <v>278</v>
      </c>
      <c r="T124" s="107">
        <f t="shared" si="44"/>
        <v>7</v>
      </c>
      <c r="U124" s="113">
        <f>3+1+3</f>
        <v>7</v>
      </c>
      <c r="V124" s="77" t="s">
        <v>278</v>
      </c>
      <c r="W124" s="77" t="s">
        <v>278</v>
      </c>
      <c r="X124" s="77" t="s">
        <v>278</v>
      </c>
      <c r="Y124" s="107">
        <f>SUMIF(Z124:AC124,"&gt;0")</f>
        <v>4</v>
      </c>
      <c r="Z124" s="113">
        <f>3+1</f>
        <v>4</v>
      </c>
      <c r="AA124" s="77" t="s">
        <v>278</v>
      </c>
      <c r="AB124" s="77" t="s">
        <v>278</v>
      </c>
      <c r="AC124" s="77" t="s">
        <v>278</v>
      </c>
      <c r="AD124" s="107">
        <f t="shared" si="41"/>
        <v>4</v>
      </c>
      <c r="AE124" s="113">
        <f>3+1</f>
        <v>4</v>
      </c>
      <c r="AF124" s="77" t="s">
        <v>278</v>
      </c>
      <c r="AG124" s="77" t="s">
        <v>278</v>
      </c>
      <c r="AH124" s="77" t="s">
        <v>278</v>
      </c>
      <c r="AI124" s="107">
        <f t="shared" si="42"/>
        <v>15</v>
      </c>
      <c r="AJ124" s="113">
        <v>15</v>
      </c>
      <c r="AK124" s="77" t="s">
        <v>278</v>
      </c>
      <c r="AL124" s="77" t="s">
        <v>278</v>
      </c>
      <c r="AM124" s="77" t="s">
        <v>278</v>
      </c>
      <c r="AN124" s="115">
        <f t="shared" si="43"/>
        <v>39</v>
      </c>
      <c r="AO124" s="91"/>
    </row>
    <row r="125" spans="1:41" ht="97.5" customHeight="1">
      <c r="A125" s="94" t="s">
        <v>196</v>
      </c>
      <c r="B125" s="126" t="s">
        <v>477</v>
      </c>
      <c r="C125" s="92" t="s">
        <v>241</v>
      </c>
      <c r="D125" s="11" t="s">
        <v>237</v>
      </c>
      <c r="E125" s="107">
        <f t="shared" si="40"/>
        <v>3</v>
      </c>
      <c r="F125" s="113">
        <v>3</v>
      </c>
      <c r="G125" s="26" t="s">
        <v>278</v>
      </c>
      <c r="H125" s="26" t="s">
        <v>278</v>
      </c>
      <c r="I125" s="26" t="s">
        <v>278</v>
      </c>
      <c r="J125" s="107">
        <f t="shared" si="37"/>
        <v>3</v>
      </c>
      <c r="K125" s="111">
        <v>3</v>
      </c>
      <c r="L125" s="77" t="s">
        <v>278</v>
      </c>
      <c r="M125" s="77" t="s">
        <v>278</v>
      </c>
      <c r="N125" s="77" t="s">
        <v>278</v>
      </c>
      <c r="O125" s="107">
        <f>SUMIF(P125:S125,"&gt;0")</f>
        <v>3</v>
      </c>
      <c r="P125" s="113">
        <v>3</v>
      </c>
      <c r="Q125" s="77" t="s">
        <v>278</v>
      </c>
      <c r="R125" s="77" t="s">
        <v>278</v>
      </c>
      <c r="S125" s="77" t="s">
        <v>278</v>
      </c>
      <c r="T125" s="107">
        <f>SUMIF(U125:X125,"&gt;0")</f>
        <v>4</v>
      </c>
      <c r="U125" s="113">
        <f>3+1</f>
        <v>4</v>
      </c>
      <c r="V125" s="77" t="s">
        <v>278</v>
      </c>
      <c r="W125" s="77" t="s">
        <v>278</v>
      </c>
      <c r="X125" s="77" t="s">
        <v>278</v>
      </c>
      <c r="Y125" s="107">
        <f aca="true" t="shared" si="46" ref="Y125:Y133">SUMIF(Z125:AC125,"&gt;0")</f>
        <v>4</v>
      </c>
      <c r="Z125" s="113">
        <f>3+1</f>
        <v>4</v>
      </c>
      <c r="AA125" s="77" t="s">
        <v>278</v>
      </c>
      <c r="AB125" s="77" t="s">
        <v>278</v>
      </c>
      <c r="AC125" s="77" t="s">
        <v>278</v>
      </c>
      <c r="AD125" s="107">
        <f aca="true" t="shared" si="47" ref="AD125:AD130">SUMIF(AE125:AH125,"&gt;0")</f>
        <v>4</v>
      </c>
      <c r="AE125" s="113">
        <f>3+1</f>
        <v>4</v>
      </c>
      <c r="AF125" s="77" t="s">
        <v>278</v>
      </c>
      <c r="AG125" s="77" t="s">
        <v>278</v>
      </c>
      <c r="AH125" s="77" t="s">
        <v>278</v>
      </c>
      <c r="AI125" s="107">
        <f t="shared" si="42"/>
        <v>15</v>
      </c>
      <c r="AJ125" s="113">
        <v>15</v>
      </c>
      <c r="AK125" s="77" t="s">
        <v>278</v>
      </c>
      <c r="AL125" s="77" t="s">
        <v>278</v>
      </c>
      <c r="AM125" s="77" t="s">
        <v>278</v>
      </c>
      <c r="AN125" s="115">
        <f t="shared" si="43"/>
        <v>36</v>
      </c>
      <c r="AO125" s="91"/>
    </row>
    <row r="126" spans="1:41" ht="96" customHeight="1">
      <c r="A126" s="94" t="s">
        <v>254</v>
      </c>
      <c r="B126" s="126" t="s">
        <v>478</v>
      </c>
      <c r="C126" s="92" t="s">
        <v>405</v>
      </c>
      <c r="D126" s="96" t="s">
        <v>237</v>
      </c>
      <c r="E126" s="107">
        <f t="shared" si="40"/>
        <v>10</v>
      </c>
      <c r="F126" s="111">
        <v>10</v>
      </c>
      <c r="G126" s="26" t="s">
        <v>278</v>
      </c>
      <c r="H126" s="26" t="s">
        <v>278</v>
      </c>
      <c r="I126" s="26" t="s">
        <v>278</v>
      </c>
      <c r="J126" s="107">
        <f t="shared" si="37"/>
        <v>10</v>
      </c>
      <c r="K126" s="111">
        <v>10</v>
      </c>
      <c r="L126" s="77" t="s">
        <v>278</v>
      </c>
      <c r="M126" s="77" t="s">
        <v>278</v>
      </c>
      <c r="N126" s="77" t="s">
        <v>278</v>
      </c>
      <c r="O126" s="107">
        <f>SUMIF(P126:S126,"&gt;0")</f>
        <v>10</v>
      </c>
      <c r="P126" s="113">
        <v>10</v>
      </c>
      <c r="Q126" s="77" t="s">
        <v>278</v>
      </c>
      <c r="R126" s="77" t="s">
        <v>278</v>
      </c>
      <c r="S126" s="77" t="s">
        <v>278</v>
      </c>
      <c r="T126" s="107">
        <f>SUMIF(U126:X126,"&gt;0")</f>
        <v>10</v>
      </c>
      <c r="U126" s="113">
        <v>10</v>
      </c>
      <c r="V126" s="77" t="s">
        <v>278</v>
      </c>
      <c r="W126" s="77" t="s">
        <v>278</v>
      </c>
      <c r="X126" s="77" t="s">
        <v>278</v>
      </c>
      <c r="Y126" s="107">
        <f t="shared" si="46"/>
        <v>10</v>
      </c>
      <c r="Z126" s="113">
        <v>10</v>
      </c>
      <c r="AA126" s="77" t="s">
        <v>278</v>
      </c>
      <c r="AB126" s="77" t="s">
        <v>278</v>
      </c>
      <c r="AC126" s="77" t="s">
        <v>278</v>
      </c>
      <c r="AD126" s="107">
        <f t="shared" si="47"/>
        <v>10</v>
      </c>
      <c r="AE126" s="113">
        <v>10</v>
      </c>
      <c r="AF126" s="77" t="s">
        <v>278</v>
      </c>
      <c r="AG126" s="77" t="s">
        <v>278</v>
      </c>
      <c r="AH126" s="77" t="s">
        <v>278</v>
      </c>
      <c r="AI126" s="107">
        <f t="shared" si="42"/>
        <v>50</v>
      </c>
      <c r="AJ126" s="111">
        <v>50</v>
      </c>
      <c r="AK126" s="77" t="s">
        <v>278</v>
      </c>
      <c r="AL126" s="77" t="s">
        <v>278</v>
      </c>
      <c r="AM126" s="77" t="s">
        <v>278</v>
      </c>
      <c r="AN126" s="115">
        <f t="shared" si="43"/>
        <v>110</v>
      </c>
      <c r="AO126" s="91"/>
    </row>
    <row r="127" spans="1:41" ht="97.5" customHeight="1">
      <c r="A127" s="94" t="s">
        <v>233</v>
      </c>
      <c r="B127" s="93" t="s">
        <v>479</v>
      </c>
      <c r="C127" s="92" t="s">
        <v>406</v>
      </c>
      <c r="D127" s="11" t="s">
        <v>228</v>
      </c>
      <c r="E127" s="107">
        <f t="shared" si="40"/>
        <v>5</v>
      </c>
      <c r="F127" s="113">
        <v>5</v>
      </c>
      <c r="G127" s="26" t="s">
        <v>278</v>
      </c>
      <c r="H127" s="26" t="s">
        <v>278</v>
      </c>
      <c r="I127" s="26" t="s">
        <v>278</v>
      </c>
      <c r="J127" s="107">
        <f t="shared" si="37"/>
        <v>5</v>
      </c>
      <c r="K127" s="111">
        <v>5</v>
      </c>
      <c r="L127" s="77" t="s">
        <v>278</v>
      </c>
      <c r="M127" s="77" t="s">
        <v>278</v>
      </c>
      <c r="N127" s="77" t="s">
        <v>278</v>
      </c>
      <c r="O127" s="107">
        <f>SUMIF(P127:S127,"&gt;0")</f>
        <v>5</v>
      </c>
      <c r="P127" s="113">
        <v>5</v>
      </c>
      <c r="Q127" s="77" t="s">
        <v>278</v>
      </c>
      <c r="R127" s="77" t="s">
        <v>278</v>
      </c>
      <c r="S127" s="77" t="s">
        <v>278</v>
      </c>
      <c r="T127" s="107">
        <f>SUMIF(U127:X127,"&gt;0")</f>
        <v>10</v>
      </c>
      <c r="U127" s="113">
        <f>5+5</f>
        <v>10</v>
      </c>
      <c r="V127" s="77" t="s">
        <v>278</v>
      </c>
      <c r="W127" s="77" t="s">
        <v>278</v>
      </c>
      <c r="X127" s="77" t="s">
        <v>278</v>
      </c>
      <c r="Y127" s="107">
        <f t="shared" si="46"/>
        <v>10</v>
      </c>
      <c r="Z127" s="113">
        <f>5+5</f>
        <v>10</v>
      </c>
      <c r="AA127" s="77" t="s">
        <v>278</v>
      </c>
      <c r="AB127" s="77" t="s">
        <v>278</v>
      </c>
      <c r="AC127" s="77" t="s">
        <v>278</v>
      </c>
      <c r="AD127" s="107">
        <f t="shared" si="47"/>
        <v>10</v>
      </c>
      <c r="AE127" s="113">
        <f>5+5</f>
        <v>10</v>
      </c>
      <c r="AF127" s="77" t="s">
        <v>278</v>
      </c>
      <c r="AG127" s="77" t="s">
        <v>278</v>
      </c>
      <c r="AH127" s="77" t="s">
        <v>278</v>
      </c>
      <c r="AI127" s="107">
        <f t="shared" si="42"/>
        <v>28</v>
      </c>
      <c r="AJ127" s="113">
        <v>28</v>
      </c>
      <c r="AK127" s="77" t="s">
        <v>278</v>
      </c>
      <c r="AL127" s="77" t="s">
        <v>278</v>
      </c>
      <c r="AM127" s="77" t="s">
        <v>278</v>
      </c>
      <c r="AN127" s="115">
        <f t="shared" si="43"/>
        <v>73</v>
      </c>
      <c r="AO127" s="91"/>
    </row>
    <row r="128" spans="1:41" ht="82.5" customHeight="1">
      <c r="A128" s="94" t="s">
        <v>234</v>
      </c>
      <c r="B128" s="93" t="s">
        <v>480</v>
      </c>
      <c r="C128" s="92" t="s">
        <v>89</v>
      </c>
      <c r="D128" s="11" t="s">
        <v>228</v>
      </c>
      <c r="E128" s="107">
        <f t="shared" si="40"/>
        <v>5</v>
      </c>
      <c r="F128" s="113">
        <v>5</v>
      </c>
      <c r="G128" s="26" t="s">
        <v>278</v>
      </c>
      <c r="H128" s="26" t="s">
        <v>278</v>
      </c>
      <c r="I128" s="26" t="s">
        <v>278</v>
      </c>
      <c r="J128" s="107">
        <f t="shared" si="37"/>
        <v>5</v>
      </c>
      <c r="K128" s="111">
        <v>5</v>
      </c>
      <c r="L128" s="77" t="s">
        <v>278</v>
      </c>
      <c r="M128" s="77" t="s">
        <v>278</v>
      </c>
      <c r="N128" s="77" t="s">
        <v>278</v>
      </c>
      <c r="O128" s="107">
        <f>SUMIF(P128:S128,"&gt;0")</f>
        <v>5</v>
      </c>
      <c r="P128" s="113">
        <v>5</v>
      </c>
      <c r="Q128" s="77" t="s">
        <v>278</v>
      </c>
      <c r="R128" s="77" t="s">
        <v>278</v>
      </c>
      <c r="S128" s="77" t="s">
        <v>278</v>
      </c>
      <c r="T128" s="107">
        <f>SUMIF(U128:X128,"&gt;0")</f>
        <v>10</v>
      </c>
      <c r="U128" s="113">
        <f>5+5</f>
        <v>10</v>
      </c>
      <c r="V128" s="77" t="s">
        <v>278</v>
      </c>
      <c r="W128" s="77" t="s">
        <v>278</v>
      </c>
      <c r="X128" s="77" t="s">
        <v>278</v>
      </c>
      <c r="Y128" s="107">
        <f t="shared" si="46"/>
        <v>10</v>
      </c>
      <c r="Z128" s="113">
        <f>5+5</f>
        <v>10</v>
      </c>
      <c r="AA128" s="77" t="s">
        <v>278</v>
      </c>
      <c r="AB128" s="77" t="s">
        <v>278</v>
      </c>
      <c r="AC128" s="77" t="s">
        <v>278</v>
      </c>
      <c r="AD128" s="107">
        <f t="shared" si="47"/>
        <v>10</v>
      </c>
      <c r="AE128" s="113">
        <f>5+5</f>
        <v>10</v>
      </c>
      <c r="AF128" s="77" t="s">
        <v>278</v>
      </c>
      <c r="AG128" s="77" t="s">
        <v>278</v>
      </c>
      <c r="AH128" s="77" t="s">
        <v>278</v>
      </c>
      <c r="AI128" s="107">
        <f t="shared" si="42"/>
        <v>20</v>
      </c>
      <c r="AJ128" s="113">
        <v>20</v>
      </c>
      <c r="AK128" s="77" t="s">
        <v>278</v>
      </c>
      <c r="AL128" s="77" t="s">
        <v>278</v>
      </c>
      <c r="AM128" s="77" t="s">
        <v>278</v>
      </c>
      <c r="AN128" s="115">
        <f t="shared" si="43"/>
        <v>65</v>
      </c>
      <c r="AO128" s="91"/>
    </row>
    <row r="129" spans="1:41" ht="79.5" customHeight="1">
      <c r="A129" s="94" t="s">
        <v>235</v>
      </c>
      <c r="B129" s="93" t="s">
        <v>481</v>
      </c>
      <c r="C129" s="92" t="s">
        <v>169</v>
      </c>
      <c r="D129" s="11" t="s">
        <v>228</v>
      </c>
      <c r="E129" s="107">
        <f t="shared" si="40"/>
        <v>3</v>
      </c>
      <c r="F129" s="113">
        <v>3</v>
      </c>
      <c r="G129" s="26" t="s">
        <v>278</v>
      </c>
      <c r="H129" s="26" t="s">
        <v>278</v>
      </c>
      <c r="I129" s="26" t="s">
        <v>278</v>
      </c>
      <c r="J129" s="76">
        <f t="shared" si="37"/>
        <v>0</v>
      </c>
      <c r="K129" s="106">
        <f>3-3</f>
        <v>0</v>
      </c>
      <c r="L129" s="77" t="s">
        <v>278</v>
      </c>
      <c r="M129" s="77" t="s">
        <v>278</v>
      </c>
      <c r="N129" s="77" t="s">
        <v>278</v>
      </c>
      <c r="O129" s="107">
        <f>SUMIF(P129:S129,"&gt;0")</f>
        <v>5</v>
      </c>
      <c r="P129" s="113">
        <v>5</v>
      </c>
      <c r="Q129" s="77" t="s">
        <v>278</v>
      </c>
      <c r="R129" s="77" t="s">
        <v>278</v>
      </c>
      <c r="S129" s="77" t="s">
        <v>278</v>
      </c>
      <c r="T129" s="107">
        <f>SUMIF(U129:X129,"&gt;0")</f>
        <v>10</v>
      </c>
      <c r="U129" s="113">
        <f>5+5</f>
        <v>10</v>
      </c>
      <c r="V129" s="77" t="s">
        <v>278</v>
      </c>
      <c r="W129" s="77" t="s">
        <v>278</v>
      </c>
      <c r="X129" s="77" t="s">
        <v>278</v>
      </c>
      <c r="Y129" s="107">
        <f t="shared" si="46"/>
        <v>10</v>
      </c>
      <c r="Z129" s="113">
        <f>5+5</f>
        <v>10</v>
      </c>
      <c r="AA129" s="77" t="s">
        <v>278</v>
      </c>
      <c r="AB129" s="77" t="s">
        <v>278</v>
      </c>
      <c r="AC129" s="77" t="s">
        <v>278</v>
      </c>
      <c r="AD129" s="107">
        <f t="shared" si="47"/>
        <v>10</v>
      </c>
      <c r="AE129" s="113">
        <f>5+5</f>
        <v>10</v>
      </c>
      <c r="AF129" s="77" t="s">
        <v>278</v>
      </c>
      <c r="AG129" s="77" t="s">
        <v>278</v>
      </c>
      <c r="AH129" s="77" t="s">
        <v>278</v>
      </c>
      <c r="AI129" s="107">
        <f t="shared" si="42"/>
        <v>16</v>
      </c>
      <c r="AJ129" s="113">
        <v>16</v>
      </c>
      <c r="AK129" s="77" t="s">
        <v>278</v>
      </c>
      <c r="AL129" s="77" t="s">
        <v>278</v>
      </c>
      <c r="AM129" s="77" t="s">
        <v>278</v>
      </c>
      <c r="AN129" s="115">
        <f t="shared" si="43"/>
        <v>54</v>
      </c>
      <c r="AO129" s="91"/>
    </row>
    <row r="130" spans="1:41" s="23" customFormat="1" ht="80.25" customHeight="1">
      <c r="A130" s="94" t="s">
        <v>255</v>
      </c>
      <c r="B130" s="40" t="s">
        <v>482</v>
      </c>
      <c r="C130" s="92" t="s">
        <v>337</v>
      </c>
      <c r="D130" s="11" t="s">
        <v>228</v>
      </c>
      <c r="E130" s="107">
        <f t="shared" si="40"/>
        <v>7</v>
      </c>
      <c r="F130" s="113">
        <v>7</v>
      </c>
      <c r="G130" s="26" t="s">
        <v>278</v>
      </c>
      <c r="H130" s="26" t="s">
        <v>278</v>
      </c>
      <c r="I130" s="26" t="s">
        <v>278</v>
      </c>
      <c r="J130" s="107">
        <f t="shared" si="37"/>
        <v>7</v>
      </c>
      <c r="K130" s="111">
        <v>7</v>
      </c>
      <c r="L130" s="77" t="s">
        <v>278</v>
      </c>
      <c r="M130" s="77" t="s">
        <v>278</v>
      </c>
      <c r="N130" s="77" t="s">
        <v>278</v>
      </c>
      <c r="O130" s="76">
        <f t="shared" si="38"/>
        <v>0</v>
      </c>
      <c r="P130" s="77" t="s">
        <v>278</v>
      </c>
      <c r="Q130" s="77" t="s">
        <v>278</v>
      </c>
      <c r="R130" s="77" t="s">
        <v>278</v>
      </c>
      <c r="S130" s="77" t="s">
        <v>278</v>
      </c>
      <c r="T130" s="76">
        <f t="shared" si="44"/>
        <v>0</v>
      </c>
      <c r="U130" s="77" t="s">
        <v>278</v>
      </c>
      <c r="V130" s="77" t="s">
        <v>278</v>
      </c>
      <c r="W130" s="77" t="s">
        <v>278</v>
      </c>
      <c r="X130" s="77" t="s">
        <v>278</v>
      </c>
      <c r="Y130" s="76">
        <f t="shared" si="46"/>
        <v>0</v>
      </c>
      <c r="Z130" s="77" t="s">
        <v>278</v>
      </c>
      <c r="AA130" s="77" t="s">
        <v>278</v>
      </c>
      <c r="AB130" s="77" t="s">
        <v>278</v>
      </c>
      <c r="AC130" s="77" t="s">
        <v>278</v>
      </c>
      <c r="AD130" s="76">
        <f t="shared" si="47"/>
        <v>0</v>
      </c>
      <c r="AE130" s="77" t="s">
        <v>278</v>
      </c>
      <c r="AF130" s="77" t="s">
        <v>278</v>
      </c>
      <c r="AG130" s="77" t="s">
        <v>278</v>
      </c>
      <c r="AH130" s="77" t="s">
        <v>278</v>
      </c>
      <c r="AI130" s="107">
        <f t="shared" si="42"/>
        <v>18</v>
      </c>
      <c r="AJ130" s="113">
        <v>18</v>
      </c>
      <c r="AK130" s="77" t="s">
        <v>278</v>
      </c>
      <c r="AL130" s="77" t="s">
        <v>278</v>
      </c>
      <c r="AM130" s="77" t="s">
        <v>278</v>
      </c>
      <c r="AN130" s="115">
        <f t="shared" si="43"/>
        <v>32</v>
      </c>
      <c r="AO130" s="91"/>
    </row>
    <row r="131" spans="1:41" ht="97.5" customHeight="1">
      <c r="A131" s="94" t="s">
        <v>256</v>
      </c>
      <c r="B131" s="93" t="s">
        <v>483</v>
      </c>
      <c r="C131" s="92" t="s">
        <v>172</v>
      </c>
      <c r="D131" s="11" t="s">
        <v>228</v>
      </c>
      <c r="E131" s="107">
        <f t="shared" si="40"/>
        <v>3</v>
      </c>
      <c r="F131" s="113">
        <v>3</v>
      </c>
      <c r="G131" s="26" t="s">
        <v>278</v>
      </c>
      <c r="H131" s="26" t="s">
        <v>278</v>
      </c>
      <c r="I131" s="26" t="s">
        <v>278</v>
      </c>
      <c r="J131" s="107">
        <f t="shared" si="37"/>
        <v>3</v>
      </c>
      <c r="K131" s="111">
        <v>3</v>
      </c>
      <c r="L131" s="77" t="s">
        <v>278</v>
      </c>
      <c r="M131" s="77" t="s">
        <v>278</v>
      </c>
      <c r="N131" s="77" t="s">
        <v>278</v>
      </c>
      <c r="O131" s="107">
        <f t="shared" si="38"/>
        <v>3</v>
      </c>
      <c r="P131" s="113">
        <v>3</v>
      </c>
      <c r="Q131" s="77" t="s">
        <v>278</v>
      </c>
      <c r="R131" s="77" t="s">
        <v>278</v>
      </c>
      <c r="S131" s="77" t="s">
        <v>278</v>
      </c>
      <c r="T131" s="107">
        <f t="shared" si="44"/>
        <v>9</v>
      </c>
      <c r="U131" s="113">
        <f>3+1+5</f>
        <v>9</v>
      </c>
      <c r="V131" s="77" t="s">
        <v>278</v>
      </c>
      <c r="W131" s="77" t="s">
        <v>278</v>
      </c>
      <c r="X131" s="77" t="s">
        <v>278</v>
      </c>
      <c r="Y131" s="107">
        <f t="shared" si="46"/>
        <v>9</v>
      </c>
      <c r="Z131" s="113">
        <f>3+1+5</f>
        <v>9</v>
      </c>
      <c r="AA131" s="77" t="s">
        <v>278</v>
      </c>
      <c r="AB131" s="77" t="s">
        <v>278</v>
      </c>
      <c r="AC131" s="77" t="s">
        <v>278</v>
      </c>
      <c r="AD131" s="107">
        <f t="shared" si="41"/>
        <v>9</v>
      </c>
      <c r="AE131" s="113">
        <f>3+1+5</f>
        <v>9</v>
      </c>
      <c r="AF131" s="77" t="s">
        <v>278</v>
      </c>
      <c r="AG131" s="77" t="s">
        <v>278</v>
      </c>
      <c r="AH131" s="77" t="s">
        <v>278</v>
      </c>
      <c r="AI131" s="107">
        <f t="shared" si="42"/>
        <v>16</v>
      </c>
      <c r="AJ131" s="113">
        <v>16</v>
      </c>
      <c r="AK131" s="77" t="s">
        <v>278</v>
      </c>
      <c r="AL131" s="77" t="s">
        <v>278</v>
      </c>
      <c r="AM131" s="77" t="s">
        <v>278</v>
      </c>
      <c r="AN131" s="115">
        <f t="shared" si="43"/>
        <v>52</v>
      </c>
      <c r="AO131" s="91"/>
    </row>
    <row r="132" spans="1:41" ht="99" customHeight="1">
      <c r="A132" s="94" t="s">
        <v>257</v>
      </c>
      <c r="B132" s="127" t="s">
        <v>484</v>
      </c>
      <c r="C132" s="92" t="s">
        <v>403</v>
      </c>
      <c r="D132" s="11" t="s">
        <v>237</v>
      </c>
      <c r="E132" s="107">
        <f t="shared" si="40"/>
        <v>3</v>
      </c>
      <c r="F132" s="113">
        <v>3</v>
      </c>
      <c r="G132" s="26" t="s">
        <v>278</v>
      </c>
      <c r="H132" s="26" t="s">
        <v>278</v>
      </c>
      <c r="I132" s="26" t="s">
        <v>278</v>
      </c>
      <c r="J132" s="107">
        <f t="shared" si="37"/>
        <v>6</v>
      </c>
      <c r="K132" s="111">
        <f>3+3</f>
        <v>6</v>
      </c>
      <c r="L132" s="77" t="s">
        <v>278</v>
      </c>
      <c r="M132" s="77" t="s">
        <v>278</v>
      </c>
      <c r="N132" s="77" t="s">
        <v>278</v>
      </c>
      <c r="O132" s="107">
        <f aca="true" t="shared" si="48" ref="O132:O141">SUMIF(P132:S132,"&gt;0")</f>
        <v>3</v>
      </c>
      <c r="P132" s="113">
        <v>3</v>
      </c>
      <c r="Q132" s="77" t="s">
        <v>278</v>
      </c>
      <c r="R132" s="77" t="s">
        <v>278</v>
      </c>
      <c r="S132" s="77" t="s">
        <v>278</v>
      </c>
      <c r="T132" s="107">
        <f>SUMIF(U132:X132,"&gt;0")</f>
        <v>4</v>
      </c>
      <c r="U132" s="113">
        <f>3+1</f>
        <v>4</v>
      </c>
      <c r="V132" s="77" t="s">
        <v>278</v>
      </c>
      <c r="W132" s="77" t="s">
        <v>278</v>
      </c>
      <c r="X132" s="77" t="s">
        <v>278</v>
      </c>
      <c r="Y132" s="107">
        <f t="shared" si="46"/>
        <v>4</v>
      </c>
      <c r="Z132" s="113">
        <f>3+1</f>
        <v>4</v>
      </c>
      <c r="AA132" s="77" t="s">
        <v>278</v>
      </c>
      <c r="AB132" s="77" t="s">
        <v>278</v>
      </c>
      <c r="AC132" s="77" t="s">
        <v>278</v>
      </c>
      <c r="AD132" s="107">
        <f>SUMIF(AE132:AH132,"&gt;0")</f>
        <v>4</v>
      </c>
      <c r="AE132" s="113">
        <f>3+1</f>
        <v>4</v>
      </c>
      <c r="AF132" s="77" t="s">
        <v>278</v>
      </c>
      <c r="AG132" s="77" t="s">
        <v>278</v>
      </c>
      <c r="AH132" s="77" t="s">
        <v>278</v>
      </c>
      <c r="AI132" s="107">
        <f t="shared" si="42"/>
        <v>16</v>
      </c>
      <c r="AJ132" s="113">
        <v>16</v>
      </c>
      <c r="AK132" s="77" t="s">
        <v>278</v>
      </c>
      <c r="AL132" s="77" t="s">
        <v>278</v>
      </c>
      <c r="AM132" s="77" t="s">
        <v>278</v>
      </c>
      <c r="AN132" s="115">
        <f t="shared" si="43"/>
        <v>40</v>
      </c>
      <c r="AO132" s="91"/>
    </row>
    <row r="133" spans="1:41" ht="97.5" customHeight="1">
      <c r="A133" s="94" t="s">
        <v>258</v>
      </c>
      <c r="B133" s="127" t="s">
        <v>485</v>
      </c>
      <c r="C133" s="92" t="s">
        <v>404</v>
      </c>
      <c r="D133" s="11" t="s">
        <v>237</v>
      </c>
      <c r="E133" s="107">
        <f t="shared" si="40"/>
        <v>3</v>
      </c>
      <c r="F133" s="113">
        <v>3</v>
      </c>
      <c r="G133" s="26" t="s">
        <v>278</v>
      </c>
      <c r="H133" s="26" t="s">
        <v>278</v>
      </c>
      <c r="I133" s="26" t="s">
        <v>278</v>
      </c>
      <c r="J133" s="107">
        <f t="shared" si="37"/>
        <v>3</v>
      </c>
      <c r="K133" s="111">
        <v>3</v>
      </c>
      <c r="L133" s="77" t="s">
        <v>278</v>
      </c>
      <c r="M133" s="77" t="s">
        <v>278</v>
      </c>
      <c r="N133" s="77" t="s">
        <v>278</v>
      </c>
      <c r="O133" s="107">
        <f t="shared" si="48"/>
        <v>3</v>
      </c>
      <c r="P133" s="113">
        <v>3</v>
      </c>
      <c r="Q133" s="77" t="s">
        <v>278</v>
      </c>
      <c r="R133" s="77" t="s">
        <v>278</v>
      </c>
      <c r="S133" s="77" t="s">
        <v>278</v>
      </c>
      <c r="T133" s="107">
        <f>SUMIF(U133:X133,"&gt;0")</f>
        <v>8</v>
      </c>
      <c r="U133" s="113">
        <f>3+5</f>
        <v>8</v>
      </c>
      <c r="V133" s="77" t="s">
        <v>278</v>
      </c>
      <c r="W133" s="77" t="s">
        <v>278</v>
      </c>
      <c r="X133" s="77" t="s">
        <v>278</v>
      </c>
      <c r="Y133" s="107">
        <f t="shared" si="46"/>
        <v>8</v>
      </c>
      <c r="Z133" s="113">
        <f>3+5</f>
        <v>8</v>
      </c>
      <c r="AA133" s="77" t="s">
        <v>278</v>
      </c>
      <c r="AB133" s="77" t="s">
        <v>278</v>
      </c>
      <c r="AC133" s="77" t="s">
        <v>278</v>
      </c>
      <c r="AD133" s="107">
        <f>SUMIF(AE133:AH133,"&gt;0")</f>
        <v>8</v>
      </c>
      <c r="AE133" s="113">
        <f>3+5</f>
        <v>8</v>
      </c>
      <c r="AF133" s="77" t="s">
        <v>278</v>
      </c>
      <c r="AG133" s="77" t="s">
        <v>278</v>
      </c>
      <c r="AH133" s="77" t="s">
        <v>278</v>
      </c>
      <c r="AI133" s="107">
        <f t="shared" si="42"/>
        <v>16</v>
      </c>
      <c r="AJ133" s="113">
        <v>16</v>
      </c>
      <c r="AK133" s="77" t="s">
        <v>278</v>
      </c>
      <c r="AL133" s="77" t="s">
        <v>278</v>
      </c>
      <c r="AM133" s="77" t="s">
        <v>278</v>
      </c>
      <c r="AN133" s="115">
        <f t="shared" si="43"/>
        <v>49</v>
      </c>
      <c r="AO133" s="91"/>
    </row>
    <row r="134" spans="1:41" ht="82.5" customHeight="1">
      <c r="A134" s="94" t="s">
        <v>259</v>
      </c>
      <c r="B134" s="127" t="s">
        <v>486</v>
      </c>
      <c r="C134" s="92" t="s">
        <v>271</v>
      </c>
      <c r="D134" s="11" t="s">
        <v>237</v>
      </c>
      <c r="E134" s="107">
        <f t="shared" si="40"/>
        <v>5</v>
      </c>
      <c r="F134" s="113">
        <v>5</v>
      </c>
      <c r="G134" s="26" t="s">
        <v>278</v>
      </c>
      <c r="H134" s="26" t="s">
        <v>278</v>
      </c>
      <c r="I134" s="26" t="s">
        <v>278</v>
      </c>
      <c r="J134" s="76">
        <f t="shared" si="37"/>
        <v>0</v>
      </c>
      <c r="K134" s="106">
        <f>5-5</f>
        <v>0</v>
      </c>
      <c r="L134" s="77" t="s">
        <v>278</v>
      </c>
      <c r="M134" s="77" t="s">
        <v>278</v>
      </c>
      <c r="N134" s="77" t="s">
        <v>278</v>
      </c>
      <c r="O134" s="107">
        <f t="shared" si="48"/>
        <v>5</v>
      </c>
      <c r="P134" s="113">
        <v>5</v>
      </c>
      <c r="Q134" s="77" t="s">
        <v>278</v>
      </c>
      <c r="R134" s="77" t="s">
        <v>278</v>
      </c>
      <c r="S134" s="77" t="s">
        <v>278</v>
      </c>
      <c r="T134" s="107">
        <f t="shared" si="44"/>
        <v>5</v>
      </c>
      <c r="U134" s="113">
        <v>5</v>
      </c>
      <c r="V134" s="77" t="s">
        <v>278</v>
      </c>
      <c r="W134" s="77" t="s">
        <v>278</v>
      </c>
      <c r="X134" s="77" t="s">
        <v>278</v>
      </c>
      <c r="Y134" s="107">
        <f aca="true" t="shared" si="49" ref="Y134:Y140">SUMIF(Z134:AC134,"&gt;0")</f>
        <v>5</v>
      </c>
      <c r="Z134" s="113">
        <v>5</v>
      </c>
      <c r="AA134" s="77" t="s">
        <v>278</v>
      </c>
      <c r="AB134" s="77" t="s">
        <v>278</v>
      </c>
      <c r="AC134" s="77" t="s">
        <v>278</v>
      </c>
      <c r="AD134" s="107">
        <f t="shared" si="41"/>
        <v>5</v>
      </c>
      <c r="AE134" s="113">
        <v>5</v>
      </c>
      <c r="AF134" s="77" t="s">
        <v>278</v>
      </c>
      <c r="AG134" s="77" t="s">
        <v>278</v>
      </c>
      <c r="AH134" s="77" t="s">
        <v>278</v>
      </c>
      <c r="AI134" s="107">
        <f t="shared" si="42"/>
        <v>10</v>
      </c>
      <c r="AJ134" s="113">
        <v>10</v>
      </c>
      <c r="AK134" s="77" t="s">
        <v>278</v>
      </c>
      <c r="AL134" s="77" t="s">
        <v>278</v>
      </c>
      <c r="AM134" s="77" t="s">
        <v>278</v>
      </c>
      <c r="AN134" s="115">
        <f t="shared" si="43"/>
        <v>35</v>
      </c>
      <c r="AO134" s="91"/>
    </row>
    <row r="135" spans="1:41" ht="110.25">
      <c r="A135" s="94" t="s">
        <v>270</v>
      </c>
      <c r="B135" s="93" t="s">
        <v>391</v>
      </c>
      <c r="C135" s="92" t="s">
        <v>177</v>
      </c>
      <c r="D135" s="11" t="s">
        <v>228</v>
      </c>
      <c r="E135" s="76">
        <f aca="true" t="shared" si="50" ref="E135:E140">SUMIF(F135:I135,"&gt;0")</f>
        <v>0</v>
      </c>
      <c r="F135" s="26" t="s">
        <v>278</v>
      </c>
      <c r="G135" s="26" t="s">
        <v>278</v>
      </c>
      <c r="H135" s="26" t="s">
        <v>278</v>
      </c>
      <c r="I135" s="26" t="s">
        <v>278</v>
      </c>
      <c r="J135" s="76">
        <f aca="true" t="shared" si="51" ref="J135:J140">SUMIF(K135:N135,"&gt;0")</f>
        <v>0</v>
      </c>
      <c r="K135" s="11" t="s">
        <v>278</v>
      </c>
      <c r="L135" s="77" t="s">
        <v>278</v>
      </c>
      <c r="M135" s="77" t="s">
        <v>278</v>
      </c>
      <c r="N135" s="77" t="s">
        <v>278</v>
      </c>
      <c r="O135" s="76">
        <f t="shared" si="48"/>
        <v>0</v>
      </c>
      <c r="P135" s="77" t="s">
        <v>278</v>
      </c>
      <c r="Q135" s="77" t="s">
        <v>278</v>
      </c>
      <c r="R135" s="77" t="s">
        <v>278</v>
      </c>
      <c r="S135" s="77" t="s">
        <v>278</v>
      </c>
      <c r="T135" s="76">
        <f aca="true" t="shared" si="52" ref="T135:T140">SUMIF(U135:X135,"&gt;0")</f>
        <v>0</v>
      </c>
      <c r="U135" s="77" t="s">
        <v>278</v>
      </c>
      <c r="V135" s="77" t="s">
        <v>278</v>
      </c>
      <c r="W135" s="77" t="s">
        <v>278</v>
      </c>
      <c r="X135" s="77" t="s">
        <v>278</v>
      </c>
      <c r="Y135" s="76">
        <f t="shared" si="49"/>
        <v>0</v>
      </c>
      <c r="Z135" s="77" t="s">
        <v>278</v>
      </c>
      <c r="AA135" s="77" t="s">
        <v>278</v>
      </c>
      <c r="AB135" s="77" t="s">
        <v>278</v>
      </c>
      <c r="AC135" s="77" t="s">
        <v>278</v>
      </c>
      <c r="AD135" s="76">
        <f t="shared" si="41"/>
        <v>0</v>
      </c>
      <c r="AE135" s="77" t="s">
        <v>278</v>
      </c>
      <c r="AF135" s="77" t="s">
        <v>278</v>
      </c>
      <c r="AG135" s="77" t="s">
        <v>278</v>
      </c>
      <c r="AH135" s="77" t="s">
        <v>278</v>
      </c>
      <c r="AI135" s="107">
        <f aca="true" t="shared" si="53" ref="AI135:AI140">SUMIF(AJ135:AM135,"&gt;0")</f>
        <v>120</v>
      </c>
      <c r="AJ135" s="111">
        <v>120</v>
      </c>
      <c r="AK135" s="77" t="s">
        <v>278</v>
      </c>
      <c r="AL135" s="77" t="s">
        <v>278</v>
      </c>
      <c r="AM135" s="77" t="s">
        <v>278</v>
      </c>
      <c r="AN135" s="115">
        <f aca="true" t="shared" si="54" ref="AN135:AN140">E135+J135+O135+T135+Y135+AD135+AI135</f>
        <v>120</v>
      </c>
      <c r="AO135" s="91"/>
    </row>
    <row r="136" spans="1:41" ht="97.5" customHeight="1">
      <c r="A136" s="94" t="s">
        <v>363</v>
      </c>
      <c r="B136" s="93" t="s">
        <v>487</v>
      </c>
      <c r="C136" s="92" t="s">
        <v>400</v>
      </c>
      <c r="D136" s="11" t="s">
        <v>237</v>
      </c>
      <c r="E136" s="107">
        <f t="shared" si="50"/>
        <v>3</v>
      </c>
      <c r="F136" s="111">
        <v>3</v>
      </c>
      <c r="G136" s="26" t="s">
        <v>278</v>
      </c>
      <c r="H136" s="26" t="s">
        <v>278</v>
      </c>
      <c r="I136" s="26" t="s">
        <v>278</v>
      </c>
      <c r="J136" s="107">
        <f t="shared" si="51"/>
        <v>3</v>
      </c>
      <c r="K136" s="111">
        <v>3</v>
      </c>
      <c r="L136" s="77" t="s">
        <v>278</v>
      </c>
      <c r="M136" s="77" t="s">
        <v>278</v>
      </c>
      <c r="N136" s="77" t="s">
        <v>278</v>
      </c>
      <c r="O136" s="107">
        <f t="shared" si="48"/>
        <v>3</v>
      </c>
      <c r="P136" s="113">
        <v>3</v>
      </c>
      <c r="Q136" s="77" t="s">
        <v>278</v>
      </c>
      <c r="R136" s="77" t="s">
        <v>278</v>
      </c>
      <c r="S136" s="77" t="s">
        <v>278</v>
      </c>
      <c r="T136" s="107">
        <f t="shared" si="52"/>
        <v>9</v>
      </c>
      <c r="U136" s="113">
        <f>3+1+5</f>
        <v>9</v>
      </c>
      <c r="V136" s="77" t="s">
        <v>278</v>
      </c>
      <c r="W136" s="77" t="s">
        <v>278</v>
      </c>
      <c r="X136" s="77" t="s">
        <v>278</v>
      </c>
      <c r="Y136" s="107">
        <f t="shared" si="49"/>
        <v>9</v>
      </c>
      <c r="Z136" s="113">
        <f>3+1+5</f>
        <v>9</v>
      </c>
      <c r="AA136" s="77" t="s">
        <v>278</v>
      </c>
      <c r="AB136" s="77" t="s">
        <v>278</v>
      </c>
      <c r="AC136" s="77" t="s">
        <v>278</v>
      </c>
      <c r="AD136" s="107">
        <f aca="true" t="shared" si="55" ref="AD136:AD141">SUMIF(AE136:AH136,"&gt;0")</f>
        <v>9</v>
      </c>
      <c r="AE136" s="113">
        <f>3+1+5</f>
        <v>9</v>
      </c>
      <c r="AF136" s="77" t="s">
        <v>278</v>
      </c>
      <c r="AG136" s="77" t="s">
        <v>278</v>
      </c>
      <c r="AH136" s="77" t="s">
        <v>278</v>
      </c>
      <c r="AI136" s="76">
        <f t="shared" si="53"/>
        <v>0</v>
      </c>
      <c r="AJ136" s="77" t="s">
        <v>278</v>
      </c>
      <c r="AK136" s="77" t="s">
        <v>278</v>
      </c>
      <c r="AL136" s="77" t="s">
        <v>278</v>
      </c>
      <c r="AM136" s="77" t="s">
        <v>278</v>
      </c>
      <c r="AN136" s="115">
        <f t="shared" si="54"/>
        <v>36</v>
      </c>
      <c r="AO136" s="91"/>
    </row>
    <row r="137" spans="1:41" ht="95.25" customHeight="1">
      <c r="A137" s="94" t="s">
        <v>369</v>
      </c>
      <c r="B137" s="93" t="s">
        <v>488</v>
      </c>
      <c r="C137" s="92" t="s">
        <v>372</v>
      </c>
      <c r="D137" s="11" t="s">
        <v>237</v>
      </c>
      <c r="E137" s="76">
        <f t="shared" si="50"/>
        <v>0</v>
      </c>
      <c r="F137" s="77" t="s">
        <v>278</v>
      </c>
      <c r="G137" s="77" t="s">
        <v>278</v>
      </c>
      <c r="H137" s="77" t="s">
        <v>278</v>
      </c>
      <c r="I137" s="77" t="s">
        <v>278</v>
      </c>
      <c r="J137" s="76">
        <f t="shared" si="51"/>
        <v>0</v>
      </c>
      <c r="K137" s="77" t="s">
        <v>278</v>
      </c>
      <c r="L137" s="77" t="s">
        <v>278</v>
      </c>
      <c r="M137" s="77" t="s">
        <v>278</v>
      </c>
      <c r="N137" s="77" t="s">
        <v>278</v>
      </c>
      <c r="O137" s="107">
        <f t="shared" si="48"/>
        <v>3</v>
      </c>
      <c r="P137" s="113">
        <v>3</v>
      </c>
      <c r="Q137" s="77" t="s">
        <v>278</v>
      </c>
      <c r="R137" s="77" t="s">
        <v>278</v>
      </c>
      <c r="S137" s="77" t="s">
        <v>278</v>
      </c>
      <c r="T137" s="107">
        <f>SUMIF(U137:X137,"&gt;0")</f>
        <v>9</v>
      </c>
      <c r="U137" s="113">
        <f>3+1+5</f>
        <v>9</v>
      </c>
      <c r="V137" s="77" t="s">
        <v>278</v>
      </c>
      <c r="W137" s="77" t="s">
        <v>278</v>
      </c>
      <c r="X137" s="77" t="s">
        <v>278</v>
      </c>
      <c r="Y137" s="107">
        <f t="shared" si="49"/>
        <v>9</v>
      </c>
      <c r="Z137" s="113">
        <f>3+1+5</f>
        <v>9</v>
      </c>
      <c r="AA137" s="77" t="s">
        <v>278</v>
      </c>
      <c r="AB137" s="77" t="s">
        <v>278</v>
      </c>
      <c r="AC137" s="77" t="s">
        <v>278</v>
      </c>
      <c r="AD137" s="107">
        <f t="shared" si="55"/>
        <v>9</v>
      </c>
      <c r="AE137" s="113">
        <f>3+1+5</f>
        <v>9</v>
      </c>
      <c r="AF137" s="77" t="s">
        <v>278</v>
      </c>
      <c r="AG137" s="77" t="s">
        <v>278</v>
      </c>
      <c r="AH137" s="77" t="s">
        <v>278</v>
      </c>
      <c r="AI137" s="76">
        <f t="shared" si="53"/>
        <v>0</v>
      </c>
      <c r="AJ137" s="77" t="s">
        <v>278</v>
      </c>
      <c r="AK137" s="77" t="s">
        <v>278</v>
      </c>
      <c r="AL137" s="77" t="s">
        <v>278</v>
      </c>
      <c r="AM137" s="77" t="s">
        <v>278</v>
      </c>
      <c r="AN137" s="115">
        <f t="shared" si="54"/>
        <v>30</v>
      </c>
      <c r="AO137" s="91"/>
    </row>
    <row r="138" spans="1:41" ht="113.25" customHeight="1">
      <c r="A138" s="94" t="s">
        <v>370</v>
      </c>
      <c r="B138" s="93" t="s">
        <v>489</v>
      </c>
      <c r="C138" s="92" t="s">
        <v>373</v>
      </c>
      <c r="D138" s="11" t="s">
        <v>237</v>
      </c>
      <c r="E138" s="76">
        <f t="shared" si="50"/>
        <v>0</v>
      </c>
      <c r="F138" s="77" t="s">
        <v>278</v>
      </c>
      <c r="G138" s="77" t="s">
        <v>278</v>
      </c>
      <c r="H138" s="77" t="s">
        <v>278</v>
      </c>
      <c r="I138" s="77" t="s">
        <v>278</v>
      </c>
      <c r="J138" s="107">
        <f t="shared" si="51"/>
        <v>3</v>
      </c>
      <c r="K138" s="111">
        <v>3</v>
      </c>
      <c r="L138" s="77" t="s">
        <v>278</v>
      </c>
      <c r="M138" s="77" t="s">
        <v>278</v>
      </c>
      <c r="N138" s="77" t="s">
        <v>278</v>
      </c>
      <c r="O138" s="107">
        <f t="shared" si="48"/>
        <v>3</v>
      </c>
      <c r="P138" s="113">
        <v>3</v>
      </c>
      <c r="Q138" s="77" t="s">
        <v>278</v>
      </c>
      <c r="R138" s="77" t="s">
        <v>278</v>
      </c>
      <c r="S138" s="77" t="s">
        <v>278</v>
      </c>
      <c r="T138" s="107">
        <f>SUMIF(U138:X138,"&gt;0")</f>
        <v>7.6</v>
      </c>
      <c r="U138" s="113">
        <f>3+1+3.64</f>
        <v>7.6</v>
      </c>
      <c r="V138" s="77" t="s">
        <v>278</v>
      </c>
      <c r="W138" s="77" t="s">
        <v>278</v>
      </c>
      <c r="X138" s="77" t="s">
        <v>278</v>
      </c>
      <c r="Y138" s="107">
        <f t="shared" si="49"/>
        <v>4</v>
      </c>
      <c r="Z138" s="113">
        <f>3+1</f>
        <v>4</v>
      </c>
      <c r="AA138" s="77" t="s">
        <v>278</v>
      </c>
      <c r="AB138" s="77" t="s">
        <v>278</v>
      </c>
      <c r="AC138" s="77" t="s">
        <v>278</v>
      </c>
      <c r="AD138" s="107">
        <f t="shared" si="55"/>
        <v>4</v>
      </c>
      <c r="AE138" s="113">
        <f>3+1</f>
        <v>4</v>
      </c>
      <c r="AF138" s="77" t="s">
        <v>278</v>
      </c>
      <c r="AG138" s="77" t="s">
        <v>278</v>
      </c>
      <c r="AH138" s="77" t="s">
        <v>278</v>
      </c>
      <c r="AI138" s="76">
        <f t="shared" si="53"/>
        <v>0</v>
      </c>
      <c r="AJ138" s="77" t="s">
        <v>278</v>
      </c>
      <c r="AK138" s="77" t="s">
        <v>278</v>
      </c>
      <c r="AL138" s="77" t="s">
        <v>278</v>
      </c>
      <c r="AM138" s="77" t="s">
        <v>278</v>
      </c>
      <c r="AN138" s="115">
        <f t="shared" si="54"/>
        <v>21.6</v>
      </c>
      <c r="AO138" s="91"/>
    </row>
    <row r="139" spans="1:41" ht="96" customHeight="1">
      <c r="A139" s="94" t="s">
        <v>371</v>
      </c>
      <c r="B139" s="93" t="s">
        <v>490</v>
      </c>
      <c r="C139" s="92" t="s">
        <v>401</v>
      </c>
      <c r="D139" s="11" t="s">
        <v>237</v>
      </c>
      <c r="E139" s="76">
        <f t="shared" si="50"/>
        <v>0</v>
      </c>
      <c r="F139" s="77" t="s">
        <v>278</v>
      </c>
      <c r="G139" s="77" t="s">
        <v>278</v>
      </c>
      <c r="H139" s="77" t="s">
        <v>278</v>
      </c>
      <c r="I139" s="77" t="s">
        <v>278</v>
      </c>
      <c r="J139" s="107">
        <f t="shared" si="51"/>
        <v>15.2</v>
      </c>
      <c r="K139" s="111">
        <f>30-14.81</f>
        <v>15.2</v>
      </c>
      <c r="L139" s="77" t="s">
        <v>278</v>
      </c>
      <c r="M139" s="77" t="s">
        <v>278</v>
      </c>
      <c r="N139" s="77" t="s">
        <v>278</v>
      </c>
      <c r="O139" s="107">
        <f t="shared" si="48"/>
        <v>30</v>
      </c>
      <c r="P139" s="113">
        <v>30</v>
      </c>
      <c r="Q139" s="77" t="s">
        <v>278</v>
      </c>
      <c r="R139" s="77" t="s">
        <v>278</v>
      </c>
      <c r="S139" s="77" t="s">
        <v>278</v>
      </c>
      <c r="T139" s="107">
        <f t="shared" si="52"/>
        <v>30</v>
      </c>
      <c r="U139" s="113">
        <v>30</v>
      </c>
      <c r="V139" s="77" t="s">
        <v>278</v>
      </c>
      <c r="W139" s="77" t="s">
        <v>278</v>
      </c>
      <c r="X139" s="77" t="s">
        <v>278</v>
      </c>
      <c r="Y139" s="107">
        <f t="shared" si="49"/>
        <v>30</v>
      </c>
      <c r="Z139" s="113">
        <v>30</v>
      </c>
      <c r="AA139" s="77" t="s">
        <v>278</v>
      </c>
      <c r="AB139" s="77" t="s">
        <v>278</v>
      </c>
      <c r="AC139" s="77" t="s">
        <v>278</v>
      </c>
      <c r="AD139" s="107">
        <f t="shared" si="55"/>
        <v>30</v>
      </c>
      <c r="AE139" s="113">
        <v>30</v>
      </c>
      <c r="AF139" s="77" t="s">
        <v>278</v>
      </c>
      <c r="AG139" s="77" t="s">
        <v>278</v>
      </c>
      <c r="AH139" s="77" t="s">
        <v>278</v>
      </c>
      <c r="AI139" s="76">
        <f t="shared" si="53"/>
        <v>0</v>
      </c>
      <c r="AJ139" s="77" t="s">
        <v>278</v>
      </c>
      <c r="AK139" s="77" t="s">
        <v>278</v>
      </c>
      <c r="AL139" s="77" t="s">
        <v>278</v>
      </c>
      <c r="AM139" s="77" t="s">
        <v>278</v>
      </c>
      <c r="AN139" s="115">
        <f t="shared" si="54"/>
        <v>135.2</v>
      </c>
      <c r="AO139" s="91"/>
    </row>
    <row r="140" spans="1:41" ht="96" customHeight="1">
      <c r="A140" s="94" t="s">
        <v>402</v>
      </c>
      <c r="B140" s="93" t="s">
        <v>491</v>
      </c>
      <c r="C140" s="92" t="s">
        <v>337</v>
      </c>
      <c r="D140" s="11" t="s">
        <v>237</v>
      </c>
      <c r="E140" s="76">
        <f t="shared" si="50"/>
        <v>0</v>
      </c>
      <c r="F140" s="77" t="s">
        <v>278</v>
      </c>
      <c r="G140" s="77" t="s">
        <v>278</v>
      </c>
      <c r="H140" s="77" t="s">
        <v>278</v>
      </c>
      <c r="I140" s="77" t="s">
        <v>278</v>
      </c>
      <c r="J140" s="76">
        <f t="shared" si="51"/>
        <v>0</v>
      </c>
      <c r="K140" s="77" t="s">
        <v>278</v>
      </c>
      <c r="L140" s="77" t="s">
        <v>278</v>
      </c>
      <c r="M140" s="77" t="s">
        <v>278</v>
      </c>
      <c r="N140" s="77" t="s">
        <v>278</v>
      </c>
      <c r="O140" s="107">
        <f t="shared" si="48"/>
        <v>7</v>
      </c>
      <c r="P140" s="113">
        <v>7</v>
      </c>
      <c r="Q140" s="77" t="s">
        <v>278</v>
      </c>
      <c r="R140" s="77" t="s">
        <v>278</v>
      </c>
      <c r="S140" s="77" t="s">
        <v>278</v>
      </c>
      <c r="T140" s="107">
        <f t="shared" si="52"/>
        <v>12</v>
      </c>
      <c r="U140" s="113">
        <f>7+5</f>
        <v>12</v>
      </c>
      <c r="V140" s="77" t="s">
        <v>278</v>
      </c>
      <c r="W140" s="77" t="s">
        <v>278</v>
      </c>
      <c r="X140" s="77" t="s">
        <v>278</v>
      </c>
      <c r="Y140" s="107">
        <f t="shared" si="49"/>
        <v>12</v>
      </c>
      <c r="Z140" s="113">
        <f>7+5</f>
        <v>12</v>
      </c>
      <c r="AA140" s="77" t="s">
        <v>278</v>
      </c>
      <c r="AB140" s="77" t="s">
        <v>278</v>
      </c>
      <c r="AC140" s="77" t="s">
        <v>278</v>
      </c>
      <c r="AD140" s="107">
        <f t="shared" si="55"/>
        <v>12</v>
      </c>
      <c r="AE140" s="113">
        <f>7+5</f>
        <v>12</v>
      </c>
      <c r="AF140" s="77" t="s">
        <v>278</v>
      </c>
      <c r="AG140" s="77" t="s">
        <v>278</v>
      </c>
      <c r="AH140" s="77" t="s">
        <v>278</v>
      </c>
      <c r="AI140" s="76">
        <f t="shared" si="53"/>
        <v>0</v>
      </c>
      <c r="AJ140" s="77" t="s">
        <v>278</v>
      </c>
      <c r="AK140" s="77" t="s">
        <v>278</v>
      </c>
      <c r="AL140" s="77" t="s">
        <v>278</v>
      </c>
      <c r="AM140" s="77" t="s">
        <v>278</v>
      </c>
      <c r="AN140" s="115">
        <f t="shared" si="54"/>
        <v>43</v>
      </c>
      <c r="AO140" s="91"/>
    </row>
    <row r="141" spans="1:41" ht="125.25" customHeight="1">
      <c r="A141" s="94" t="s">
        <v>556</v>
      </c>
      <c r="B141" s="93" t="s">
        <v>558</v>
      </c>
      <c r="C141" s="92" t="s">
        <v>88</v>
      </c>
      <c r="D141" s="11" t="s">
        <v>557</v>
      </c>
      <c r="E141" s="76">
        <f>SUMIF(F141:I141,"&gt;0")</f>
        <v>0</v>
      </c>
      <c r="F141" s="77" t="s">
        <v>278</v>
      </c>
      <c r="G141" s="77" t="s">
        <v>278</v>
      </c>
      <c r="H141" s="77" t="s">
        <v>278</v>
      </c>
      <c r="I141" s="77" t="s">
        <v>278</v>
      </c>
      <c r="J141" s="76">
        <f>SUMIF(K141:N141,"&gt;0")</f>
        <v>0</v>
      </c>
      <c r="K141" s="77" t="s">
        <v>278</v>
      </c>
      <c r="L141" s="77" t="s">
        <v>278</v>
      </c>
      <c r="M141" s="77" t="s">
        <v>278</v>
      </c>
      <c r="N141" s="77" t="s">
        <v>278</v>
      </c>
      <c r="O141" s="76">
        <f t="shared" si="48"/>
        <v>0</v>
      </c>
      <c r="P141" s="77" t="s">
        <v>278</v>
      </c>
      <c r="Q141" s="77" t="s">
        <v>278</v>
      </c>
      <c r="R141" s="77" t="s">
        <v>278</v>
      </c>
      <c r="S141" s="77" t="s">
        <v>278</v>
      </c>
      <c r="T141" s="107">
        <f>SUMIF(U141:X141,"&gt;0")</f>
        <v>20</v>
      </c>
      <c r="U141" s="113">
        <f>10+10</f>
        <v>20</v>
      </c>
      <c r="V141" s="77" t="s">
        <v>278</v>
      </c>
      <c r="W141" s="77" t="s">
        <v>278</v>
      </c>
      <c r="X141" s="77" t="s">
        <v>278</v>
      </c>
      <c r="Y141" s="107">
        <f>SUMIF(Z141:AC141,"&gt;0")</f>
        <v>20</v>
      </c>
      <c r="Z141" s="113">
        <f>10+10</f>
        <v>20</v>
      </c>
      <c r="AA141" s="77" t="s">
        <v>278</v>
      </c>
      <c r="AB141" s="77" t="s">
        <v>278</v>
      </c>
      <c r="AC141" s="77" t="s">
        <v>278</v>
      </c>
      <c r="AD141" s="107">
        <f t="shared" si="55"/>
        <v>20</v>
      </c>
      <c r="AE141" s="113">
        <f>10+10</f>
        <v>20</v>
      </c>
      <c r="AF141" s="77" t="s">
        <v>278</v>
      </c>
      <c r="AG141" s="77" t="s">
        <v>278</v>
      </c>
      <c r="AH141" s="77" t="s">
        <v>278</v>
      </c>
      <c r="AI141" s="76">
        <f>SUMIF(AJ141:AM141,"&gt;0")</f>
        <v>0</v>
      </c>
      <c r="AJ141" s="77" t="s">
        <v>278</v>
      </c>
      <c r="AK141" s="77" t="s">
        <v>278</v>
      </c>
      <c r="AL141" s="77" t="s">
        <v>278</v>
      </c>
      <c r="AM141" s="77" t="s">
        <v>278</v>
      </c>
      <c r="AN141" s="115">
        <f>E141+J141+O141+T141+Y141+AD141+AI141</f>
        <v>60</v>
      </c>
      <c r="AO141" s="91"/>
    </row>
    <row r="142" spans="1:41" ht="31.5">
      <c r="A142" s="41" t="s">
        <v>23</v>
      </c>
      <c r="B142" s="42" t="s">
        <v>163</v>
      </c>
      <c r="C142" s="11"/>
      <c r="D142" s="11"/>
      <c r="E142" s="43"/>
      <c r="F142" s="73"/>
      <c r="G142" s="90"/>
      <c r="H142" s="90"/>
      <c r="I142" s="90"/>
      <c r="J142" s="90"/>
      <c r="K142" s="90"/>
      <c r="L142" s="90"/>
      <c r="M142" s="90"/>
      <c r="N142" s="90"/>
      <c r="O142" s="90"/>
      <c r="P142" s="90"/>
      <c r="Q142" s="90"/>
      <c r="R142" s="90"/>
      <c r="S142" s="90"/>
      <c r="T142" s="90"/>
      <c r="U142" s="90"/>
      <c r="V142" s="90"/>
      <c r="W142" s="90"/>
      <c r="X142" s="90"/>
      <c r="Y142" s="90"/>
      <c r="Z142" s="90"/>
      <c r="AA142" s="90"/>
      <c r="AB142" s="90"/>
      <c r="AC142" s="90"/>
      <c r="AD142" s="90"/>
      <c r="AE142" s="90"/>
      <c r="AF142" s="90"/>
      <c r="AG142" s="90"/>
      <c r="AH142" s="90"/>
      <c r="AI142" s="43"/>
      <c r="AJ142" s="73"/>
      <c r="AK142" s="90"/>
      <c r="AL142" s="90"/>
      <c r="AM142" s="90"/>
      <c r="AN142" s="22"/>
      <c r="AO142" s="91"/>
    </row>
    <row r="143" spans="1:41" ht="78.75" customHeight="1">
      <c r="A143" s="94" t="s">
        <v>110</v>
      </c>
      <c r="B143" s="40" t="s">
        <v>492</v>
      </c>
      <c r="C143" s="92" t="s">
        <v>179</v>
      </c>
      <c r="D143" s="11" t="s">
        <v>228</v>
      </c>
      <c r="E143" s="107">
        <f aca="true" t="shared" si="56" ref="E143:E168">SUMIF(F143:I143,"&gt;0")</f>
        <v>3</v>
      </c>
      <c r="F143" s="111">
        <v>3</v>
      </c>
      <c r="G143" s="26" t="s">
        <v>278</v>
      </c>
      <c r="H143" s="26" t="s">
        <v>278</v>
      </c>
      <c r="I143" s="26" t="s">
        <v>278</v>
      </c>
      <c r="J143" s="107">
        <f aca="true" t="shared" si="57" ref="J143:J152">SUMIF(K143:N143,"&gt;0")</f>
        <v>3</v>
      </c>
      <c r="K143" s="111">
        <v>3</v>
      </c>
      <c r="L143" s="77" t="s">
        <v>278</v>
      </c>
      <c r="M143" s="77" t="s">
        <v>278</v>
      </c>
      <c r="N143" s="77" t="s">
        <v>278</v>
      </c>
      <c r="O143" s="107">
        <f aca="true" t="shared" si="58" ref="O143:O152">SUMIF(P143:S143,"&gt;0")</f>
        <v>3</v>
      </c>
      <c r="P143" s="113">
        <v>3</v>
      </c>
      <c r="Q143" s="77" t="s">
        <v>278</v>
      </c>
      <c r="R143" s="77" t="s">
        <v>278</v>
      </c>
      <c r="S143" s="77" t="s">
        <v>278</v>
      </c>
      <c r="T143" s="107">
        <f>SUMIF(U143:X143,"&gt;0")</f>
        <v>3</v>
      </c>
      <c r="U143" s="113">
        <v>3</v>
      </c>
      <c r="V143" s="77" t="s">
        <v>278</v>
      </c>
      <c r="W143" s="77" t="s">
        <v>278</v>
      </c>
      <c r="X143" s="77" t="s">
        <v>278</v>
      </c>
      <c r="Y143" s="107">
        <f aca="true" t="shared" si="59" ref="Y143:Y170">SUMIF(Z143:AC143,"&gt;0")</f>
        <v>3</v>
      </c>
      <c r="Z143" s="113">
        <v>3</v>
      </c>
      <c r="AA143" s="77" t="s">
        <v>278</v>
      </c>
      <c r="AB143" s="77" t="s">
        <v>278</v>
      </c>
      <c r="AC143" s="77" t="s">
        <v>278</v>
      </c>
      <c r="AD143" s="107">
        <f aca="true" t="shared" si="60" ref="AD143:AD170">SUMIF(AE143:AH143,"&gt;0")</f>
        <v>3</v>
      </c>
      <c r="AE143" s="111">
        <v>3</v>
      </c>
      <c r="AF143" s="77" t="s">
        <v>278</v>
      </c>
      <c r="AG143" s="77" t="s">
        <v>278</v>
      </c>
      <c r="AH143" s="77" t="s">
        <v>278</v>
      </c>
      <c r="AI143" s="107">
        <f>SUMIF(AJ143:AM143,"&gt;0")</f>
        <v>3</v>
      </c>
      <c r="AJ143" s="111">
        <v>3</v>
      </c>
      <c r="AK143" s="77" t="s">
        <v>278</v>
      </c>
      <c r="AL143" s="77" t="s">
        <v>278</v>
      </c>
      <c r="AM143" s="77" t="s">
        <v>278</v>
      </c>
      <c r="AN143" s="115">
        <f t="shared" si="43"/>
        <v>21</v>
      </c>
      <c r="AO143" s="91"/>
    </row>
    <row r="144" spans="1:41" ht="81.75" customHeight="1">
      <c r="A144" s="94" t="s">
        <v>111</v>
      </c>
      <c r="B144" s="40" t="s">
        <v>493</v>
      </c>
      <c r="C144" s="92" t="s">
        <v>104</v>
      </c>
      <c r="D144" s="11" t="s">
        <v>228</v>
      </c>
      <c r="E144" s="107">
        <f t="shared" si="56"/>
        <v>5</v>
      </c>
      <c r="F144" s="111">
        <v>5</v>
      </c>
      <c r="G144" s="26" t="s">
        <v>278</v>
      </c>
      <c r="H144" s="26" t="s">
        <v>278</v>
      </c>
      <c r="I144" s="26" t="s">
        <v>278</v>
      </c>
      <c r="J144" s="76">
        <f t="shared" si="57"/>
        <v>0</v>
      </c>
      <c r="K144" s="76">
        <f>5-5</f>
        <v>0</v>
      </c>
      <c r="L144" s="77" t="s">
        <v>278</v>
      </c>
      <c r="M144" s="77" t="s">
        <v>278</v>
      </c>
      <c r="N144" s="77" t="s">
        <v>278</v>
      </c>
      <c r="O144" s="107">
        <f t="shared" si="58"/>
        <v>5</v>
      </c>
      <c r="P144" s="113">
        <v>5</v>
      </c>
      <c r="Q144" s="77" t="s">
        <v>278</v>
      </c>
      <c r="R144" s="77" t="s">
        <v>278</v>
      </c>
      <c r="S144" s="77" t="s">
        <v>278</v>
      </c>
      <c r="T144" s="107">
        <f>SUMIF(U144:X144,"&gt;0")</f>
        <v>5</v>
      </c>
      <c r="U144" s="113">
        <v>5</v>
      </c>
      <c r="V144" s="77" t="s">
        <v>278</v>
      </c>
      <c r="W144" s="77" t="s">
        <v>278</v>
      </c>
      <c r="X144" s="77" t="s">
        <v>278</v>
      </c>
      <c r="Y144" s="107">
        <f t="shared" si="59"/>
        <v>5</v>
      </c>
      <c r="Z144" s="113">
        <v>5</v>
      </c>
      <c r="AA144" s="77" t="s">
        <v>278</v>
      </c>
      <c r="AB144" s="77" t="s">
        <v>278</v>
      </c>
      <c r="AC144" s="77" t="s">
        <v>278</v>
      </c>
      <c r="AD144" s="107">
        <f t="shared" si="60"/>
        <v>5</v>
      </c>
      <c r="AE144" s="113">
        <v>5</v>
      </c>
      <c r="AF144" s="77" t="s">
        <v>278</v>
      </c>
      <c r="AG144" s="77" t="s">
        <v>278</v>
      </c>
      <c r="AH144" s="77" t="s">
        <v>278</v>
      </c>
      <c r="AI144" s="107">
        <f aca="true" t="shared" si="61" ref="AI144:AI172">SUMIF(AJ144:AM144,"&gt;0")</f>
        <v>10</v>
      </c>
      <c r="AJ144" s="111">
        <v>10</v>
      </c>
      <c r="AK144" s="77" t="s">
        <v>278</v>
      </c>
      <c r="AL144" s="77" t="s">
        <v>278</v>
      </c>
      <c r="AM144" s="77" t="s">
        <v>278</v>
      </c>
      <c r="AN144" s="115">
        <f t="shared" si="43"/>
        <v>35</v>
      </c>
      <c r="AO144" s="91"/>
    </row>
    <row r="145" spans="1:41" ht="98.25" customHeight="1">
      <c r="A145" s="94" t="s">
        <v>112</v>
      </c>
      <c r="B145" s="40" t="s">
        <v>494</v>
      </c>
      <c r="C145" s="92" t="s">
        <v>109</v>
      </c>
      <c r="D145" s="11" t="s">
        <v>228</v>
      </c>
      <c r="E145" s="107">
        <f t="shared" si="56"/>
        <v>4.2</v>
      </c>
      <c r="F145" s="111">
        <f>5-0.816</f>
        <v>4.2</v>
      </c>
      <c r="G145" s="26" t="s">
        <v>278</v>
      </c>
      <c r="H145" s="26" t="s">
        <v>278</v>
      </c>
      <c r="I145" s="26" t="s">
        <v>278</v>
      </c>
      <c r="J145" s="107">
        <f t="shared" si="57"/>
        <v>5</v>
      </c>
      <c r="K145" s="111">
        <v>5</v>
      </c>
      <c r="L145" s="77" t="s">
        <v>278</v>
      </c>
      <c r="M145" s="77" t="s">
        <v>278</v>
      </c>
      <c r="N145" s="77" t="s">
        <v>278</v>
      </c>
      <c r="O145" s="107">
        <f t="shared" si="58"/>
        <v>5</v>
      </c>
      <c r="P145" s="113">
        <v>5</v>
      </c>
      <c r="Q145" s="77" t="s">
        <v>278</v>
      </c>
      <c r="R145" s="77" t="s">
        <v>278</v>
      </c>
      <c r="S145" s="77" t="s">
        <v>278</v>
      </c>
      <c r="T145" s="107">
        <f>SUMIF(U145:X145,"&gt;0")</f>
        <v>5</v>
      </c>
      <c r="U145" s="113">
        <v>5</v>
      </c>
      <c r="V145" s="77" t="s">
        <v>278</v>
      </c>
      <c r="W145" s="77" t="s">
        <v>278</v>
      </c>
      <c r="X145" s="77" t="s">
        <v>278</v>
      </c>
      <c r="Y145" s="107">
        <f t="shared" si="59"/>
        <v>5</v>
      </c>
      <c r="Z145" s="113">
        <v>5</v>
      </c>
      <c r="AA145" s="77" t="s">
        <v>278</v>
      </c>
      <c r="AB145" s="77" t="s">
        <v>278</v>
      </c>
      <c r="AC145" s="77" t="s">
        <v>278</v>
      </c>
      <c r="AD145" s="107">
        <f t="shared" si="60"/>
        <v>5</v>
      </c>
      <c r="AE145" s="111">
        <v>5</v>
      </c>
      <c r="AF145" s="77" t="s">
        <v>278</v>
      </c>
      <c r="AG145" s="77" t="s">
        <v>278</v>
      </c>
      <c r="AH145" s="77" t="s">
        <v>278</v>
      </c>
      <c r="AI145" s="107">
        <f t="shared" si="61"/>
        <v>5</v>
      </c>
      <c r="AJ145" s="111">
        <v>5</v>
      </c>
      <c r="AK145" s="77" t="s">
        <v>278</v>
      </c>
      <c r="AL145" s="77" t="s">
        <v>278</v>
      </c>
      <c r="AM145" s="77" t="s">
        <v>278</v>
      </c>
      <c r="AN145" s="115">
        <f t="shared" si="43"/>
        <v>34.2</v>
      </c>
      <c r="AO145" s="91"/>
    </row>
    <row r="146" spans="1:41" ht="98.25" customHeight="1">
      <c r="A146" s="94" t="s">
        <v>113</v>
      </c>
      <c r="B146" s="40" t="s">
        <v>495</v>
      </c>
      <c r="C146" s="92" t="s">
        <v>83</v>
      </c>
      <c r="D146" s="11" t="s">
        <v>228</v>
      </c>
      <c r="E146" s="107">
        <f t="shared" si="56"/>
        <v>16</v>
      </c>
      <c r="F146" s="114">
        <v>16</v>
      </c>
      <c r="G146" s="26" t="s">
        <v>278</v>
      </c>
      <c r="H146" s="26" t="s">
        <v>278</v>
      </c>
      <c r="I146" s="26" t="s">
        <v>278</v>
      </c>
      <c r="J146" s="107">
        <f t="shared" si="57"/>
        <v>16</v>
      </c>
      <c r="K146" s="111">
        <v>16</v>
      </c>
      <c r="L146" s="77" t="s">
        <v>278</v>
      </c>
      <c r="M146" s="77" t="s">
        <v>278</v>
      </c>
      <c r="N146" s="77" t="s">
        <v>278</v>
      </c>
      <c r="O146" s="107">
        <f t="shared" si="58"/>
        <v>16</v>
      </c>
      <c r="P146" s="113">
        <v>16</v>
      </c>
      <c r="Q146" s="77" t="s">
        <v>278</v>
      </c>
      <c r="R146" s="77" t="s">
        <v>278</v>
      </c>
      <c r="S146" s="77" t="s">
        <v>278</v>
      </c>
      <c r="T146" s="107">
        <f>SUMIF(U146:X146,"&gt;0")</f>
        <v>70</v>
      </c>
      <c r="U146" s="114">
        <v>70</v>
      </c>
      <c r="V146" s="77" t="s">
        <v>278</v>
      </c>
      <c r="W146" s="77" t="s">
        <v>278</v>
      </c>
      <c r="X146" s="77" t="s">
        <v>278</v>
      </c>
      <c r="Y146" s="107">
        <f t="shared" si="59"/>
        <v>70</v>
      </c>
      <c r="Z146" s="114">
        <v>70</v>
      </c>
      <c r="AA146" s="77" t="s">
        <v>278</v>
      </c>
      <c r="AB146" s="77" t="s">
        <v>278</v>
      </c>
      <c r="AC146" s="77" t="s">
        <v>278</v>
      </c>
      <c r="AD146" s="107">
        <f t="shared" si="60"/>
        <v>70</v>
      </c>
      <c r="AE146" s="114">
        <v>70</v>
      </c>
      <c r="AF146" s="77" t="s">
        <v>278</v>
      </c>
      <c r="AG146" s="77" t="s">
        <v>278</v>
      </c>
      <c r="AH146" s="77" t="s">
        <v>278</v>
      </c>
      <c r="AI146" s="107">
        <f t="shared" si="61"/>
        <v>20</v>
      </c>
      <c r="AJ146" s="114">
        <v>20</v>
      </c>
      <c r="AK146" s="77" t="s">
        <v>278</v>
      </c>
      <c r="AL146" s="77" t="s">
        <v>278</v>
      </c>
      <c r="AM146" s="77" t="s">
        <v>278</v>
      </c>
      <c r="AN146" s="115">
        <f t="shared" si="43"/>
        <v>278</v>
      </c>
      <c r="AO146" s="91"/>
    </row>
    <row r="147" spans="1:41" ht="81.75" customHeight="1">
      <c r="A147" s="94" t="s">
        <v>114</v>
      </c>
      <c r="B147" s="40" t="s">
        <v>496</v>
      </c>
      <c r="C147" s="92" t="s">
        <v>83</v>
      </c>
      <c r="D147" s="11" t="s">
        <v>228</v>
      </c>
      <c r="E147" s="107">
        <f t="shared" si="56"/>
        <v>3</v>
      </c>
      <c r="F147" s="111">
        <v>3</v>
      </c>
      <c r="G147" s="26" t="s">
        <v>278</v>
      </c>
      <c r="H147" s="26" t="s">
        <v>278</v>
      </c>
      <c r="I147" s="26" t="s">
        <v>278</v>
      </c>
      <c r="J147" s="107">
        <f t="shared" si="57"/>
        <v>3</v>
      </c>
      <c r="K147" s="111">
        <v>3</v>
      </c>
      <c r="L147" s="77" t="s">
        <v>278</v>
      </c>
      <c r="M147" s="77" t="s">
        <v>278</v>
      </c>
      <c r="N147" s="77" t="s">
        <v>278</v>
      </c>
      <c r="O147" s="107">
        <f t="shared" si="58"/>
        <v>3</v>
      </c>
      <c r="P147" s="113">
        <v>3</v>
      </c>
      <c r="Q147" s="77" t="s">
        <v>278</v>
      </c>
      <c r="R147" s="77" t="s">
        <v>278</v>
      </c>
      <c r="S147" s="77" t="s">
        <v>278</v>
      </c>
      <c r="T147" s="107">
        <f>SUMIF(U147:X147,"&gt;0")</f>
        <v>40</v>
      </c>
      <c r="U147" s="113">
        <v>40</v>
      </c>
      <c r="V147" s="77" t="s">
        <v>278</v>
      </c>
      <c r="W147" s="77" t="s">
        <v>278</v>
      </c>
      <c r="X147" s="77" t="s">
        <v>278</v>
      </c>
      <c r="Y147" s="107">
        <f>SUMIF(Z147:AC147,"&gt;0")</f>
        <v>40</v>
      </c>
      <c r="Z147" s="113">
        <v>40</v>
      </c>
      <c r="AA147" s="77" t="s">
        <v>278</v>
      </c>
      <c r="AB147" s="77" t="s">
        <v>278</v>
      </c>
      <c r="AC147" s="77" t="s">
        <v>278</v>
      </c>
      <c r="AD147" s="107">
        <f>SUMIF(AE147:AH147,"&gt;0")</f>
        <v>40</v>
      </c>
      <c r="AE147" s="113">
        <v>40</v>
      </c>
      <c r="AF147" s="77" t="s">
        <v>278</v>
      </c>
      <c r="AG147" s="77" t="s">
        <v>278</v>
      </c>
      <c r="AH147" s="77" t="s">
        <v>278</v>
      </c>
      <c r="AI147" s="107">
        <f t="shared" si="61"/>
        <v>8</v>
      </c>
      <c r="AJ147" s="111">
        <v>8</v>
      </c>
      <c r="AK147" s="77" t="s">
        <v>278</v>
      </c>
      <c r="AL147" s="77" t="s">
        <v>278</v>
      </c>
      <c r="AM147" s="77" t="s">
        <v>278</v>
      </c>
      <c r="AN147" s="115">
        <f t="shared" si="43"/>
        <v>137</v>
      </c>
      <c r="AO147" s="91"/>
    </row>
    <row r="148" spans="1:41" ht="79.5" customHeight="1">
      <c r="A148" s="94" t="s">
        <v>115</v>
      </c>
      <c r="B148" s="40" t="s">
        <v>497</v>
      </c>
      <c r="C148" s="92" t="s">
        <v>83</v>
      </c>
      <c r="D148" s="11" t="s">
        <v>228</v>
      </c>
      <c r="E148" s="76">
        <f>SUMIF(F148:I148,"&gt;0")</f>
        <v>0</v>
      </c>
      <c r="F148" s="26" t="s">
        <v>278</v>
      </c>
      <c r="G148" s="26" t="s">
        <v>278</v>
      </c>
      <c r="H148" s="26" t="s">
        <v>278</v>
      </c>
      <c r="I148" s="26" t="s">
        <v>278</v>
      </c>
      <c r="J148" s="76">
        <f t="shared" si="57"/>
        <v>0</v>
      </c>
      <c r="K148" s="11" t="s">
        <v>278</v>
      </c>
      <c r="L148" s="77" t="s">
        <v>278</v>
      </c>
      <c r="M148" s="77" t="s">
        <v>278</v>
      </c>
      <c r="N148" s="77" t="s">
        <v>278</v>
      </c>
      <c r="O148" s="76">
        <f t="shared" si="58"/>
        <v>0</v>
      </c>
      <c r="P148" s="77" t="s">
        <v>278</v>
      </c>
      <c r="Q148" s="77" t="s">
        <v>278</v>
      </c>
      <c r="R148" s="77" t="s">
        <v>278</v>
      </c>
      <c r="S148" s="77" t="s">
        <v>278</v>
      </c>
      <c r="T148" s="76">
        <f aca="true" t="shared" si="62" ref="T148:T169">SUMIF(U148:X148,"&gt;0")</f>
        <v>0</v>
      </c>
      <c r="U148" s="77" t="s">
        <v>278</v>
      </c>
      <c r="V148" s="77" t="s">
        <v>278</v>
      </c>
      <c r="W148" s="77" t="s">
        <v>278</v>
      </c>
      <c r="X148" s="77" t="s">
        <v>278</v>
      </c>
      <c r="Y148" s="76">
        <f t="shared" si="59"/>
        <v>0</v>
      </c>
      <c r="Z148" s="77" t="s">
        <v>278</v>
      </c>
      <c r="AA148" s="77" t="s">
        <v>278</v>
      </c>
      <c r="AB148" s="77" t="s">
        <v>278</v>
      </c>
      <c r="AC148" s="77" t="s">
        <v>278</v>
      </c>
      <c r="AD148" s="76">
        <f aca="true" t="shared" si="63" ref="AD148:AD153">SUMIF(AE148:AH148,"&gt;0")</f>
        <v>0</v>
      </c>
      <c r="AE148" s="77" t="s">
        <v>278</v>
      </c>
      <c r="AF148" s="77" t="s">
        <v>278</v>
      </c>
      <c r="AG148" s="77" t="s">
        <v>278</v>
      </c>
      <c r="AH148" s="77" t="s">
        <v>278</v>
      </c>
      <c r="AI148" s="107">
        <f t="shared" si="61"/>
        <v>10</v>
      </c>
      <c r="AJ148" s="111">
        <v>10</v>
      </c>
      <c r="AK148" s="77" t="s">
        <v>278</v>
      </c>
      <c r="AL148" s="77" t="s">
        <v>278</v>
      </c>
      <c r="AM148" s="77" t="s">
        <v>278</v>
      </c>
      <c r="AN148" s="115">
        <f t="shared" si="43"/>
        <v>10</v>
      </c>
      <c r="AO148" s="91"/>
    </row>
    <row r="149" spans="1:41" ht="96" customHeight="1">
      <c r="A149" s="94" t="s">
        <v>116</v>
      </c>
      <c r="B149" s="40" t="s">
        <v>498</v>
      </c>
      <c r="C149" s="92" t="s">
        <v>83</v>
      </c>
      <c r="D149" s="11" t="s">
        <v>228</v>
      </c>
      <c r="E149" s="107">
        <f t="shared" si="56"/>
        <v>3</v>
      </c>
      <c r="F149" s="111">
        <v>3</v>
      </c>
      <c r="G149" s="26" t="s">
        <v>278</v>
      </c>
      <c r="H149" s="26" t="s">
        <v>278</v>
      </c>
      <c r="I149" s="26" t="s">
        <v>278</v>
      </c>
      <c r="J149" s="107">
        <f t="shared" si="57"/>
        <v>18</v>
      </c>
      <c r="K149" s="111">
        <f>3+10+5</f>
        <v>18</v>
      </c>
      <c r="L149" s="77" t="s">
        <v>278</v>
      </c>
      <c r="M149" s="77" t="s">
        <v>278</v>
      </c>
      <c r="N149" s="77" t="s">
        <v>278</v>
      </c>
      <c r="O149" s="107">
        <f t="shared" si="58"/>
        <v>3</v>
      </c>
      <c r="P149" s="113">
        <v>3</v>
      </c>
      <c r="Q149" s="77" t="s">
        <v>278</v>
      </c>
      <c r="R149" s="77" t="s">
        <v>278</v>
      </c>
      <c r="S149" s="77" t="s">
        <v>278</v>
      </c>
      <c r="T149" s="107">
        <f t="shared" si="62"/>
        <v>50</v>
      </c>
      <c r="U149" s="113">
        <v>50</v>
      </c>
      <c r="V149" s="77" t="s">
        <v>278</v>
      </c>
      <c r="W149" s="77" t="s">
        <v>278</v>
      </c>
      <c r="X149" s="77" t="s">
        <v>278</v>
      </c>
      <c r="Y149" s="107">
        <f t="shared" si="59"/>
        <v>50</v>
      </c>
      <c r="Z149" s="113">
        <v>50</v>
      </c>
      <c r="AA149" s="77" t="s">
        <v>278</v>
      </c>
      <c r="AB149" s="77" t="s">
        <v>278</v>
      </c>
      <c r="AC149" s="77" t="s">
        <v>278</v>
      </c>
      <c r="AD149" s="107">
        <f t="shared" si="63"/>
        <v>50</v>
      </c>
      <c r="AE149" s="113">
        <v>50</v>
      </c>
      <c r="AF149" s="77" t="s">
        <v>278</v>
      </c>
      <c r="AG149" s="77" t="s">
        <v>278</v>
      </c>
      <c r="AH149" s="77" t="s">
        <v>278</v>
      </c>
      <c r="AI149" s="107">
        <f t="shared" si="61"/>
        <v>10</v>
      </c>
      <c r="AJ149" s="111">
        <v>10</v>
      </c>
      <c r="AK149" s="77" t="s">
        <v>278</v>
      </c>
      <c r="AL149" s="77" t="s">
        <v>278</v>
      </c>
      <c r="AM149" s="77" t="s">
        <v>278</v>
      </c>
      <c r="AN149" s="115">
        <f t="shared" si="43"/>
        <v>184</v>
      </c>
      <c r="AO149" s="91"/>
    </row>
    <row r="150" spans="1:41" ht="111" customHeight="1">
      <c r="A150" s="94" t="s">
        <v>117</v>
      </c>
      <c r="B150" s="40" t="s">
        <v>499</v>
      </c>
      <c r="C150" s="92" t="s">
        <v>83</v>
      </c>
      <c r="D150" s="11" t="s">
        <v>228</v>
      </c>
      <c r="E150" s="107">
        <f t="shared" si="56"/>
        <v>21</v>
      </c>
      <c r="F150" s="114">
        <v>21</v>
      </c>
      <c r="G150" s="26" t="s">
        <v>278</v>
      </c>
      <c r="H150" s="26" t="s">
        <v>278</v>
      </c>
      <c r="I150" s="26" t="s">
        <v>278</v>
      </c>
      <c r="J150" s="107">
        <f t="shared" si="57"/>
        <v>21</v>
      </c>
      <c r="K150" s="111">
        <v>21</v>
      </c>
      <c r="L150" s="77" t="s">
        <v>278</v>
      </c>
      <c r="M150" s="77" t="s">
        <v>278</v>
      </c>
      <c r="N150" s="77" t="s">
        <v>278</v>
      </c>
      <c r="O150" s="107">
        <f t="shared" si="58"/>
        <v>21</v>
      </c>
      <c r="P150" s="113">
        <v>21</v>
      </c>
      <c r="Q150" s="77" t="s">
        <v>278</v>
      </c>
      <c r="R150" s="77" t="s">
        <v>278</v>
      </c>
      <c r="S150" s="77" t="s">
        <v>278</v>
      </c>
      <c r="T150" s="107">
        <f t="shared" si="62"/>
        <v>100</v>
      </c>
      <c r="U150" s="113">
        <v>100</v>
      </c>
      <c r="V150" s="77" t="s">
        <v>278</v>
      </c>
      <c r="W150" s="77" t="s">
        <v>278</v>
      </c>
      <c r="X150" s="77" t="s">
        <v>278</v>
      </c>
      <c r="Y150" s="107">
        <f t="shared" si="59"/>
        <v>100</v>
      </c>
      <c r="Z150" s="113">
        <v>100</v>
      </c>
      <c r="AA150" s="77" t="s">
        <v>278</v>
      </c>
      <c r="AB150" s="77" t="s">
        <v>278</v>
      </c>
      <c r="AC150" s="77" t="s">
        <v>278</v>
      </c>
      <c r="AD150" s="107">
        <f t="shared" si="63"/>
        <v>100</v>
      </c>
      <c r="AE150" s="113">
        <v>100</v>
      </c>
      <c r="AF150" s="77" t="s">
        <v>278</v>
      </c>
      <c r="AG150" s="77" t="s">
        <v>278</v>
      </c>
      <c r="AH150" s="77" t="s">
        <v>278</v>
      </c>
      <c r="AI150" s="107">
        <f t="shared" si="61"/>
        <v>25</v>
      </c>
      <c r="AJ150" s="114">
        <v>25</v>
      </c>
      <c r="AK150" s="77" t="s">
        <v>278</v>
      </c>
      <c r="AL150" s="77" t="s">
        <v>278</v>
      </c>
      <c r="AM150" s="77" t="s">
        <v>278</v>
      </c>
      <c r="AN150" s="115">
        <f t="shared" si="43"/>
        <v>388</v>
      </c>
      <c r="AO150" s="91"/>
    </row>
    <row r="151" spans="1:41" ht="97.5" customHeight="1">
      <c r="A151" s="94" t="s">
        <v>118</v>
      </c>
      <c r="B151" s="40" t="s">
        <v>500</v>
      </c>
      <c r="C151" s="92" t="s">
        <v>83</v>
      </c>
      <c r="D151" s="11" t="s">
        <v>228</v>
      </c>
      <c r="E151" s="107">
        <f t="shared" si="56"/>
        <v>3</v>
      </c>
      <c r="F151" s="111">
        <v>3</v>
      </c>
      <c r="G151" s="26" t="s">
        <v>278</v>
      </c>
      <c r="H151" s="26" t="s">
        <v>278</v>
      </c>
      <c r="I151" s="26" t="s">
        <v>278</v>
      </c>
      <c r="J151" s="107">
        <f t="shared" si="57"/>
        <v>3</v>
      </c>
      <c r="K151" s="111">
        <v>3</v>
      </c>
      <c r="L151" s="77" t="s">
        <v>278</v>
      </c>
      <c r="M151" s="77" t="s">
        <v>278</v>
      </c>
      <c r="N151" s="77" t="s">
        <v>278</v>
      </c>
      <c r="O151" s="107">
        <f t="shared" si="58"/>
        <v>3</v>
      </c>
      <c r="P151" s="113">
        <v>3</v>
      </c>
      <c r="Q151" s="77" t="s">
        <v>278</v>
      </c>
      <c r="R151" s="77" t="s">
        <v>278</v>
      </c>
      <c r="S151" s="77" t="s">
        <v>278</v>
      </c>
      <c r="T151" s="107">
        <f t="shared" si="62"/>
        <v>10</v>
      </c>
      <c r="U151" s="113">
        <v>10</v>
      </c>
      <c r="V151" s="77" t="s">
        <v>278</v>
      </c>
      <c r="W151" s="77" t="s">
        <v>278</v>
      </c>
      <c r="X151" s="77" t="s">
        <v>278</v>
      </c>
      <c r="Y151" s="107">
        <f t="shared" si="59"/>
        <v>10</v>
      </c>
      <c r="Z151" s="113">
        <v>10</v>
      </c>
      <c r="AA151" s="77" t="s">
        <v>278</v>
      </c>
      <c r="AB151" s="77" t="s">
        <v>278</v>
      </c>
      <c r="AC151" s="77" t="s">
        <v>278</v>
      </c>
      <c r="AD151" s="107">
        <f t="shared" si="63"/>
        <v>10</v>
      </c>
      <c r="AE151" s="113">
        <v>10</v>
      </c>
      <c r="AF151" s="77" t="s">
        <v>278</v>
      </c>
      <c r="AG151" s="77" t="s">
        <v>278</v>
      </c>
      <c r="AH151" s="77" t="s">
        <v>278</v>
      </c>
      <c r="AI151" s="107">
        <f t="shared" si="61"/>
        <v>8</v>
      </c>
      <c r="AJ151" s="111">
        <v>8</v>
      </c>
      <c r="AK151" s="77" t="s">
        <v>278</v>
      </c>
      <c r="AL151" s="77" t="s">
        <v>278</v>
      </c>
      <c r="AM151" s="77" t="s">
        <v>278</v>
      </c>
      <c r="AN151" s="115">
        <f t="shared" si="43"/>
        <v>47</v>
      </c>
      <c r="AO151" s="91"/>
    </row>
    <row r="152" spans="1:41" ht="121.5" customHeight="1">
      <c r="A152" s="94" t="s">
        <v>119</v>
      </c>
      <c r="B152" s="40" t="s">
        <v>501</v>
      </c>
      <c r="C152" s="95" t="s">
        <v>245</v>
      </c>
      <c r="D152" s="11" t="s">
        <v>228</v>
      </c>
      <c r="E152" s="107">
        <f t="shared" si="56"/>
        <v>14.5</v>
      </c>
      <c r="F152" s="111">
        <f>20-0.5-5</f>
        <v>14.5</v>
      </c>
      <c r="G152" s="26" t="s">
        <v>278</v>
      </c>
      <c r="H152" s="26" t="s">
        <v>278</v>
      </c>
      <c r="I152" s="26" t="s">
        <v>278</v>
      </c>
      <c r="J152" s="107">
        <f t="shared" si="57"/>
        <v>15</v>
      </c>
      <c r="K152" s="111">
        <v>15</v>
      </c>
      <c r="L152" s="77" t="s">
        <v>278</v>
      </c>
      <c r="M152" s="77" t="s">
        <v>278</v>
      </c>
      <c r="N152" s="77" t="s">
        <v>278</v>
      </c>
      <c r="O152" s="107">
        <f t="shared" si="58"/>
        <v>16</v>
      </c>
      <c r="P152" s="113">
        <v>16</v>
      </c>
      <c r="Q152" s="77" t="s">
        <v>278</v>
      </c>
      <c r="R152" s="77" t="s">
        <v>278</v>
      </c>
      <c r="S152" s="77" t="s">
        <v>278</v>
      </c>
      <c r="T152" s="107">
        <f t="shared" si="62"/>
        <v>38</v>
      </c>
      <c r="U152" s="113">
        <v>38</v>
      </c>
      <c r="V152" s="77" t="s">
        <v>278</v>
      </c>
      <c r="W152" s="77" t="s">
        <v>278</v>
      </c>
      <c r="X152" s="77" t="s">
        <v>278</v>
      </c>
      <c r="Y152" s="107">
        <f t="shared" si="59"/>
        <v>38</v>
      </c>
      <c r="Z152" s="113">
        <v>38</v>
      </c>
      <c r="AA152" s="77" t="s">
        <v>278</v>
      </c>
      <c r="AB152" s="77" t="s">
        <v>278</v>
      </c>
      <c r="AC152" s="77" t="s">
        <v>278</v>
      </c>
      <c r="AD152" s="107">
        <f t="shared" si="63"/>
        <v>38</v>
      </c>
      <c r="AE152" s="113">
        <v>38</v>
      </c>
      <c r="AF152" s="77" t="s">
        <v>278</v>
      </c>
      <c r="AG152" s="77" t="s">
        <v>278</v>
      </c>
      <c r="AH152" s="77" t="s">
        <v>278</v>
      </c>
      <c r="AI152" s="107">
        <f t="shared" si="61"/>
        <v>50</v>
      </c>
      <c r="AJ152" s="111">
        <v>50</v>
      </c>
      <c r="AK152" s="77" t="s">
        <v>278</v>
      </c>
      <c r="AL152" s="77" t="s">
        <v>278</v>
      </c>
      <c r="AM152" s="77" t="s">
        <v>278</v>
      </c>
      <c r="AN152" s="115">
        <f t="shared" si="43"/>
        <v>209.5</v>
      </c>
      <c r="AO152" s="91"/>
    </row>
    <row r="153" spans="1:41" ht="98.25" customHeight="1">
      <c r="A153" s="94" t="s">
        <v>120</v>
      </c>
      <c r="B153" s="40" t="s">
        <v>502</v>
      </c>
      <c r="C153" s="92" t="s">
        <v>243</v>
      </c>
      <c r="D153" s="11" t="s">
        <v>237</v>
      </c>
      <c r="E153" s="76">
        <f t="shared" si="56"/>
        <v>0</v>
      </c>
      <c r="F153" s="26" t="s">
        <v>278</v>
      </c>
      <c r="G153" s="26" t="s">
        <v>278</v>
      </c>
      <c r="H153" s="26" t="s">
        <v>278</v>
      </c>
      <c r="I153" s="26" t="s">
        <v>278</v>
      </c>
      <c r="J153" s="76">
        <f aca="true" t="shared" si="64" ref="J153:J168">SUMIF(K153:N153,"&gt;0")</f>
        <v>0</v>
      </c>
      <c r="K153" s="11" t="s">
        <v>278</v>
      </c>
      <c r="L153" s="77" t="s">
        <v>278</v>
      </c>
      <c r="M153" s="77" t="s">
        <v>278</v>
      </c>
      <c r="N153" s="77" t="s">
        <v>278</v>
      </c>
      <c r="O153" s="76">
        <f aca="true" t="shared" si="65" ref="O153:O170">SUMIF(P153:S153,"&gt;0")</f>
        <v>0</v>
      </c>
      <c r="P153" s="77" t="s">
        <v>278</v>
      </c>
      <c r="Q153" s="77" t="s">
        <v>278</v>
      </c>
      <c r="R153" s="77" t="s">
        <v>278</v>
      </c>
      <c r="S153" s="77" t="s">
        <v>278</v>
      </c>
      <c r="T153" s="76">
        <f t="shared" si="62"/>
        <v>0</v>
      </c>
      <c r="U153" s="77" t="s">
        <v>278</v>
      </c>
      <c r="V153" s="77" t="s">
        <v>278</v>
      </c>
      <c r="W153" s="77" t="s">
        <v>278</v>
      </c>
      <c r="X153" s="77" t="s">
        <v>278</v>
      </c>
      <c r="Y153" s="76">
        <f t="shared" si="59"/>
        <v>0</v>
      </c>
      <c r="Z153" s="77" t="s">
        <v>278</v>
      </c>
      <c r="AA153" s="77" t="s">
        <v>278</v>
      </c>
      <c r="AB153" s="77" t="s">
        <v>278</v>
      </c>
      <c r="AC153" s="77" t="s">
        <v>278</v>
      </c>
      <c r="AD153" s="76">
        <f t="shared" si="63"/>
        <v>0</v>
      </c>
      <c r="AE153" s="77" t="s">
        <v>278</v>
      </c>
      <c r="AF153" s="77" t="s">
        <v>278</v>
      </c>
      <c r="AG153" s="77" t="s">
        <v>278</v>
      </c>
      <c r="AH153" s="77" t="s">
        <v>278</v>
      </c>
      <c r="AI153" s="107">
        <f t="shared" si="61"/>
        <v>5</v>
      </c>
      <c r="AJ153" s="111">
        <v>5</v>
      </c>
      <c r="AK153" s="77" t="s">
        <v>278</v>
      </c>
      <c r="AL153" s="77" t="s">
        <v>278</v>
      </c>
      <c r="AM153" s="77" t="s">
        <v>278</v>
      </c>
      <c r="AN153" s="115">
        <f t="shared" si="43"/>
        <v>5</v>
      </c>
      <c r="AO153" s="91"/>
    </row>
    <row r="154" spans="1:41" ht="97.5" customHeight="1">
      <c r="A154" s="94" t="s">
        <v>121</v>
      </c>
      <c r="B154" s="40" t="s">
        <v>503</v>
      </c>
      <c r="C154" s="92" t="s">
        <v>244</v>
      </c>
      <c r="D154" s="11" t="s">
        <v>237</v>
      </c>
      <c r="E154" s="76">
        <f t="shared" si="56"/>
        <v>0</v>
      </c>
      <c r="F154" s="26" t="s">
        <v>278</v>
      </c>
      <c r="G154" s="26" t="s">
        <v>278</v>
      </c>
      <c r="H154" s="26" t="s">
        <v>278</v>
      </c>
      <c r="I154" s="26" t="s">
        <v>278</v>
      </c>
      <c r="J154" s="107">
        <f t="shared" si="64"/>
        <v>5</v>
      </c>
      <c r="K154" s="111">
        <v>5</v>
      </c>
      <c r="L154" s="77" t="s">
        <v>278</v>
      </c>
      <c r="M154" s="77" t="s">
        <v>278</v>
      </c>
      <c r="N154" s="77" t="s">
        <v>278</v>
      </c>
      <c r="O154" s="107">
        <f t="shared" si="65"/>
        <v>2</v>
      </c>
      <c r="P154" s="113">
        <v>2</v>
      </c>
      <c r="Q154" s="77" t="s">
        <v>278</v>
      </c>
      <c r="R154" s="77" t="s">
        <v>278</v>
      </c>
      <c r="S154" s="77" t="s">
        <v>278</v>
      </c>
      <c r="T154" s="107">
        <f t="shared" si="62"/>
        <v>2</v>
      </c>
      <c r="U154" s="113">
        <v>2</v>
      </c>
      <c r="V154" s="77" t="s">
        <v>278</v>
      </c>
      <c r="W154" s="77" t="s">
        <v>278</v>
      </c>
      <c r="X154" s="77" t="s">
        <v>278</v>
      </c>
      <c r="Y154" s="107">
        <f t="shared" si="59"/>
        <v>2</v>
      </c>
      <c r="Z154" s="113">
        <v>2</v>
      </c>
      <c r="AA154" s="77" t="s">
        <v>278</v>
      </c>
      <c r="AB154" s="77" t="s">
        <v>278</v>
      </c>
      <c r="AC154" s="77" t="s">
        <v>278</v>
      </c>
      <c r="AD154" s="107">
        <f t="shared" si="60"/>
        <v>2</v>
      </c>
      <c r="AE154" s="111">
        <v>2</v>
      </c>
      <c r="AF154" s="77" t="s">
        <v>278</v>
      </c>
      <c r="AG154" s="77" t="s">
        <v>278</v>
      </c>
      <c r="AH154" s="77" t="s">
        <v>278</v>
      </c>
      <c r="AI154" s="107">
        <f t="shared" si="61"/>
        <v>10</v>
      </c>
      <c r="AJ154" s="111">
        <v>10</v>
      </c>
      <c r="AK154" s="77" t="s">
        <v>278</v>
      </c>
      <c r="AL154" s="77" t="s">
        <v>278</v>
      </c>
      <c r="AM154" s="77" t="s">
        <v>278</v>
      </c>
      <c r="AN154" s="115">
        <f t="shared" si="43"/>
        <v>23</v>
      </c>
      <c r="AO154" s="91"/>
    </row>
    <row r="155" spans="1:41" ht="111.75" customHeight="1">
      <c r="A155" s="94" t="s">
        <v>122</v>
      </c>
      <c r="B155" s="40" t="s">
        <v>504</v>
      </c>
      <c r="C155" s="95" t="s">
        <v>242</v>
      </c>
      <c r="D155" s="11" t="s">
        <v>228</v>
      </c>
      <c r="E155" s="76">
        <f t="shared" si="56"/>
        <v>0</v>
      </c>
      <c r="F155" s="26" t="s">
        <v>278</v>
      </c>
      <c r="G155" s="26" t="s">
        <v>278</v>
      </c>
      <c r="H155" s="26" t="s">
        <v>278</v>
      </c>
      <c r="I155" s="26" t="s">
        <v>278</v>
      </c>
      <c r="J155" s="76">
        <f t="shared" si="64"/>
        <v>0</v>
      </c>
      <c r="K155" s="11" t="s">
        <v>278</v>
      </c>
      <c r="L155" s="77" t="s">
        <v>278</v>
      </c>
      <c r="M155" s="77" t="s">
        <v>278</v>
      </c>
      <c r="N155" s="77" t="s">
        <v>278</v>
      </c>
      <c r="O155" s="76">
        <f t="shared" si="65"/>
        <v>0</v>
      </c>
      <c r="P155" s="77" t="s">
        <v>278</v>
      </c>
      <c r="Q155" s="77" t="s">
        <v>278</v>
      </c>
      <c r="R155" s="77" t="s">
        <v>278</v>
      </c>
      <c r="S155" s="77" t="s">
        <v>278</v>
      </c>
      <c r="T155" s="76">
        <f t="shared" si="62"/>
        <v>0</v>
      </c>
      <c r="U155" s="77" t="s">
        <v>278</v>
      </c>
      <c r="V155" s="77" t="s">
        <v>278</v>
      </c>
      <c r="W155" s="77" t="s">
        <v>278</v>
      </c>
      <c r="X155" s="77" t="s">
        <v>278</v>
      </c>
      <c r="Y155" s="76">
        <f t="shared" si="59"/>
        <v>0</v>
      </c>
      <c r="Z155" s="77" t="s">
        <v>278</v>
      </c>
      <c r="AA155" s="77" t="s">
        <v>278</v>
      </c>
      <c r="AB155" s="77" t="s">
        <v>278</v>
      </c>
      <c r="AC155" s="77" t="s">
        <v>278</v>
      </c>
      <c r="AD155" s="76">
        <f t="shared" si="60"/>
        <v>0</v>
      </c>
      <c r="AE155" s="77" t="s">
        <v>278</v>
      </c>
      <c r="AF155" s="77" t="s">
        <v>278</v>
      </c>
      <c r="AG155" s="77" t="s">
        <v>278</v>
      </c>
      <c r="AH155" s="77" t="s">
        <v>278</v>
      </c>
      <c r="AI155" s="107">
        <f t="shared" si="61"/>
        <v>70</v>
      </c>
      <c r="AJ155" s="111">
        <v>70</v>
      </c>
      <c r="AK155" s="77" t="s">
        <v>278</v>
      </c>
      <c r="AL155" s="77" t="s">
        <v>278</v>
      </c>
      <c r="AM155" s="77" t="s">
        <v>278</v>
      </c>
      <c r="AN155" s="115">
        <f t="shared" si="43"/>
        <v>70</v>
      </c>
      <c r="AO155" s="91"/>
    </row>
    <row r="156" spans="1:41" ht="97.5" customHeight="1">
      <c r="A156" s="94" t="s">
        <v>123</v>
      </c>
      <c r="B156" s="40" t="s">
        <v>505</v>
      </c>
      <c r="C156" s="92" t="s">
        <v>240</v>
      </c>
      <c r="D156" s="11" t="s">
        <v>237</v>
      </c>
      <c r="E156" s="107">
        <f t="shared" si="56"/>
        <v>6</v>
      </c>
      <c r="F156" s="113">
        <f>3+3</f>
        <v>6</v>
      </c>
      <c r="G156" s="26" t="s">
        <v>278</v>
      </c>
      <c r="H156" s="26" t="s">
        <v>278</v>
      </c>
      <c r="I156" s="26" t="s">
        <v>278</v>
      </c>
      <c r="J156" s="107">
        <f t="shared" si="64"/>
        <v>3</v>
      </c>
      <c r="K156" s="111">
        <v>3</v>
      </c>
      <c r="L156" s="77" t="s">
        <v>278</v>
      </c>
      <c r="M156" s="77" t="s">
        <v>278</v>
      </c>
      <c r="N156" s="77" t="s">
        <v>278</v>
      </c>
      <c r="O156" s="107">
        <f aca="true" t="shared" si="66" ref="O156:O163">SUMIF(P156:S156,"&gt;0")</f>
        <v>3</v>
      </c>
      <c r="P156" s="113">
        <v>3</v>
      </c>
      <c r="Q156" s="77" t="s">
        <v>278</v>
      </c>
      <c r="R156" s="77" t="s">
        <v>278</v>
      </c>
      <c r="S156" s="77" t="s">
        <v>278</v>
      </c>
      <c r="T156" s="107">
        <f t="shared" si="62"/>
        <v>14</v>
      </c>
      <c r="U156" s="113">
        <v>14</v>
      </c>
      <c r="V156" s="77" t="s">
        <v>278</v>
      </c>
      <c r="W156" s="77" t="s">
        <v>278</v>
      </c>
      <c r="X156" s="77" t="s">
        <v>278</v>
      </c>
      <c r="Y156" s="107">
        <f t="shared" si="59"/>
        <v>14</v>
      </c>
      <c r="Z156" s="113">
        <v>14</v>
      </c>
      <c r="AA156" s="77" t="s">
        <v>278</v>
      </c>
      <c r="AB156" s="77" t="s">
        <v>278</v>
      </c>
      <c r="AC156" s="77" t="s">
        <v>278</v>
      </c>
      <c r="AD156" s="107">
        <f t="shared" si="60"/>
        <v>14</v>
      </c>
      <c r="AE156" s="113">
        <v>14</v>
      </c>
      <c r="AF156" s="77" t="s">
        <v>278</v>
      </c>
      <c r="AG156" s="77" t="s">
        <v>278</v>
      </c>
      <c r="AH156" s="77" t="s">
        <v>278</v>
      </c>
      <c r="AI156" s="107">
        <f t="shared" si="61"/>
        <v>15</v>
      </c>
      <c r="AJ156" s="111">
        <v>15</v>
      </c>
      <c r="AK156" s="77" t="s">
        <v>278</v>
      </c>
      <c r="AL156" s="77" t="s">
        <v>278</v>
      </c>
      <c r="AM156" s="77" t="s">
        <v>278</v>
      </c>
      <c r="AN156" s="115">
        <f t="shared" si="43"/>
        <v>69</v>
      </c>
      <c r="AO156" s="91"/>
    </row>
    <row r="157" spans="1:41" ht="114" customHeight="1">
      <c r="A157" s="94" t="s">
        <v>170</v>
      </c>
      <c r="B157" s="40" t="s">
        <v>506</v>
      </c>
      <c r="C157" s="92" t="s">
        <v>83</v>
      </c>
      <c r="D157" s="11" t="s">
        <v>237</v>
      </c>
      <c r="E157" s="107">
        <f t="shared" si="56"/>
        <v>3</v>
      </c>
      <c r="F157" s="113">
        <v>3</v>
      </c>
      <c r="G157" s="26" t="s">
        <v>278</v>
      </c>
      <c r="H157" s="26" t="s">
        <v>278</v>
      </c>
      <c r="I157" s="26" t="s">
        <v>278</v>
      </c>
      <c r="J157" s="107">
        <f t="shared" si="64"/>
        <v>3</v>
      </c>
      <c r="K157" s="111">
        <v>3</v>
      </c>
      <c r="L157" s="77" t="s">
        <v>278</v>
      </c>
      <c r="M157" s="77" t="s">
        <v>278</v>
      </c>
      <c r="N157" s="77" t="s">
        <v>278</v>
      </c>
      <c r="O157" s="107">
        <f t="shared" si="66"/>
        <v>3</v>
      </c>
      <c r="P157" s="113">
        <v>3</v>
      </c>
      <c r="Q157" s="77" t="s">
        <v>278</v>
      </c>
      <c r="R157" s="77" t="s">
        <v>278</v>
      </c>
      <c r="S157" s="77" t="s">
        <v>278</v>
      </c>
      <c r="T157" s="107">
        <f t="shared" si="62"/>
        <v>15</v>
      </c>
      <c r="U157" s="111">
        <v>15</v>
      </c>
      <c r="V157" s="77" t="s">
        <v>278</v>
      </c>
      <c r="W157" s="77" t="s">
        <v>278</v>
      </c>
      <c r="X157" s="77" t="s">
        <v>278</v>
      </c>
      <c r="Y157" s="107">
        <f t="shared" si="59"/>
        <v>15</v>
      </c>
      <c r="Z157" s="111">
        <v>15</v>
      </c>
      <c r="AA157" s="77" t="s">
        <v>278</v>
      </c>
      <c r="AB157" s="77" t="s">
        <v>278</v>
      </c>
      <c r="AC157" s="77" t="s">
        <v>278</v>
      </c>
      <c r="AD157" s="107">
        <f t="shared" si="60"/>
        <v>15</v>
      </c>
      <c r="AE157" s="111">
        <v>15</v>
      </c>
      <c r="AF157" s="77" t="s">
        <v>278</v>
      </c>
      <c r="AG157" s="77" t="s">
        <v>278</v>
      </c>
      <c r="AH157" s="77" t="s">
        <v>278</v>
      </c>
      <c r="AI157" s="107">
        <f t="shared" si="61"/>
        <v>15</v>
      </c>
      <c r="AJ157" s="111">
        <v>15</v>
      </c>
      <c r="AK157" s="77" t="s">
        <v>278</v>
      </c>
      <c r="AL157" s="77" t="s">
        <v>278</v>
      </c>
      <c r="AM157" s="77" t="s">
        <v>278</v>
      </c>
      <c r="AN157" s="115">
        <f t="shared" si="43"/>
        <v>69</v>
      </c>
      <c r="AO157" s="91"/>
    </row>
    <row r="158" spans="1:41" ht="111.75" customHeight="1">
      <c r="A158" s="94" t="s">
        <v>173</v>
      </c>
      <c r="B158" s="19" t="s">
        <v>507</v>
      </c>
      <c r="C158" s="92" t="s">
        <v>187</v>
      </c>
      <c r="D158" s="11" t="s">
        <v>228</v>
      </c>
      <c r="E158" s="107">
        <f t="shared" si="56"/>
        <v>7</v>
      </c>
      <c r="F158" s="114">
        <v>7</v>
      </c>
      <c r="G158" s="26" t="s">
        <v>278</v>
      </c>
      <c r="H158" s="26" t="s">
        <v>278</v>
      </c>
      <c r="I158" s="26" t="s">
        <v>278</v>
      </c>
      <c r="J158" s="107">
        <f t="shared" si="64"/>
        <v>5</v>
      </c>
      <c r="K158" s="111">
        <v>5</v>
      </c>
      <c r="L158" s="77" t="s">
        <v>278</v>
      </c>
      <c r="M158" s="77" t="s">
        <v>278</v>
      </c>
      <c r="N158" s="77" t="s">
        <v>278</v>
      </c>
      <c r="O158" s="107">
        <f t="shared" si="66"/>
        <v>5</v>
      </c>
      <c r="P158" s="113">
        <v>5</v>
      </c>
      <c r="Q158" s="77" t="s">
        <v>278</v>
      </c>
      <c r="R158" s="77" t="s">
        <v>278</v>
      </c>
      <c r="S158" s="77" t="s">
        <v>278</v>
      </c>
      <c r="T158" s="107">
        <f t="shared" si="62"/>
        <v>50</v>
      </c>
      <c r="U158" s="113">
        <v>50</v>
      </c>
      <c r="V158" s="77" t="s">
        <v>278</v>
      </c>
      <c r="W158" s="77" t="s">
        <v>278</v>
      </c>
      <c r="X158" s="77" t="s">
        <v>278</v>
      </c>
      <c r="Y158" s="107">
        <f t="shared" si="59"/>
        <v>50</v>
      </c>
      <c r="Z158" s="113">
        <v>50</v>
      </c>
      <c r="AA158" s="77" t="s">
        <v>278</v>
      </c>
      <c r="AB158" s="77" t="s">
        <v>278</v>
      </c>
      <c r="AC158" s="77" t="s">
        <v>278</v>
      </c>
      <c r="AD158" s="107">
        <f t="shared" si="60"/>
        <v>50</v>
      </c>
      <c r="AE158" s="113">
        <v>50</v>
      </c>
      <c r="AF158" s="77" t="s">
        <v>278</v>
      </c>
      <c r="AG158" s="77" t="s">
        <v>278</v>
      </c>
      <c r="AH158" s="77" t="s">
        <v>278</v>
      </c>
      <c r="AI158" s="107">
        <f t="shared" si="61"/>
        <v>38</v>
      </c>
      <c r="AJ158" s="114">
        <v>38</v>
      </c>
      <c r="AK158" s="77" t="s">
        <v>278</v>
      </c>
      <c r="AL158" s="77" t="s">
        <v>278</v>
      </c>
      <c r="AM158" s="77" t="s">
        <v>278</v>
      </c>
      <c r="AN158" s="115">
        <f t="shared" si="43"/>
        <v>205</v>
      </c>
      <c r="AO158" s="91"/>
    </row>
    <row r="159" spans="1:41" ht="82.5" customHeight="1">
      <c r="A159" s="94" t="s">
        <v>180</v>
      </c>
      <c r="B159" s="19" t="s">
        <v>508</v>
      </c>
      <c r="C159" s="92" t="s">
        <v>105</v>
      </c>
      <c r="D159" s="11" t="s">
        <v>228</v>
      </c>
      <c r="E159" s="107">
        <f t="shared" si="56"/>
        <v>7</v>
      </c>
      <c r="F159" s="114">
        <v>7</v>
      </c>
      <c r="G159" s="26" t="s">
        <v>278</v>
      </c>
      <c r="H159" s="26" t="s">
        <v>278</v>
      </c>
      <c r="I159" s="26" t="s">
        <v>278</v>
      </c>
      <c r="J159" s="76">
        <f t="shared" si="64"/>
        <v>0</v>
      </c>
      <c r="K159" s="106">
        <f>3-3</f>
        <v>0</v>
      </c>
      <c r="L159" s="77" t="s">
        <v>278</v>
      </c>
      <c r="M159" s="77" t="s">
        <v>278</v>
      </c>
      <c r="N159" s="77" t="s">
        <v>278</v>
      </c>
      <c r="O159" s="107">
        <f t="shared" si="66"/>
        <v>3</v>
      </c>
      <c r="P159" s="113">
        <v>3</v>
      </c>
      <c r="Q159" s="77" t="s">
        <v>278</v>
      </c>
      <c r="R159" s="77" t="s">
        <v>278</v>
      </c>
      <c r="S159" s="77" t="s">
        <v>278</v>
      </c>
      <c r="T159" s="107">
        <f t="shared" si="62"/>
        <v>9</v>
      </c>
      <c r="U159" s="113">
        <f>4+5</f>
        <v>9</v>
      </c>
      <c r="V159" s="77" t="s">
        <v>278</v>
      </c>
      <c r="W159" s="77" t="s">
        <v>278</v>
      </c>
      <c r="X159" s="77" t="s">
        <v>278</v>
      </c>
      <c r="Y159" s="107">
        <f t="shared" si="59"/>
        <v>9</v>
      </c>
      <c r="Z159" s="113">
        <f>4+5</f>
        <v>9</v>
      </c>
      <c r="AA159" s="77" t="s">
        <v>278</v>
      </c>
      <c r="AB159" s="77" t="s">
        <v>278</v>
      </c>
      <c r="AC159" s="77" t="s">
        <v>278</v>
      </c>
      <c r="AD159" s="107">
        <f t="shared" si="60"/>
        <v>9</v>
      </c>
      <c r="AE159" s="113">
        <f>4+5</f>
        <v>9</v>
      </c>
      <c r="AF159" s="77" t="s">
        <v>278</v>
      </c>
      <c r="AG159" s="77" t="s">
        <v>278</v>
      </c>
      <c r="AH159" s="77" t="s">
        <v>278</v>
      </c>
      <c r="AI159" s="107">
        <f t="shared" si="61"/>
        <v>28</v>
      </c>
      <c r="AJ159" s="114">
        <v>28</v>
      </c>
      <c r="AK159" s="77" t="s">
        <v>278</v>
      </c>
      <c r="AL159" s="77" t="s">
        <v>278</v>
      </c>
      <c r="AM159" s="77" t="s">
        <v>278</v>
      </c>
      <c r="AN159" s="115">
        <f t="shared" si="43"/>
        <v>65</v>
      </c>
      <c r="AO159" s="91"/>
    </row>
    <row r="160" spans="1:41" ht="98.25" customHeight="1">
      <c r="A160" s="94" t="s">
        <v>260</v>
      </c>
      <c r="B160" s="19" t="s">
        <v>509</v>
      </c>
      <c r="C160" s="92" t="s">
        <v>106</v>
      </c>
      <c r="D160" s="11" t="s">
        <v>228</v>
      </c>
      <c r="E160" s="107">
        <f t="shared" si="56"/>
        <v>7</v>
      </c>
      <c r="F160" s="114">
        <v>7</v>
      </c>
      <c r="G160" s="26" t="s">
        <v>278</v>
      </c>
      <c r="H160" s="26" t="s">
        <v>278</v>
      </c>
      <c r="I160" s="26" t="s">
        <v>278</v>
      </c>
      <c r="J160" s="76">
        <f t="shared" si="64"/>
        <v>0</v>
      </c>
      <c r="K160" s="106">
        <f>5-5</f>
        <v>0</v>
      </c>
      <c r="L160" s="77" t="s">
        <v>278</v>
      </c>
      <c r="M160" s="77" t="s">
        <v>278</v>
      </c>
      <c r="N160" s="77" t="s">
        <v>278</v>
      </c>
      <c r="O160" s="107">
        <f t="shared" si="66"/>
        <v>5</v>
      </c>
      <c r="P160" s="113">
        <v>5</v>
      </c>
      <c r="Q160" s="77" t="s">
        <v>278</v>
      </c>
      <c r="R160" s="77" t="s">
        <v>278</v>
      </c>
      <c r="S160" s="77" t="s">
        <v>278</v>
      </c>
      <c r="T160" s="107">
        <f t="shared" si="62"/>
        <v>3.4</v>
      </c>
      <c r="U160" s="113">
        <f>5+5-3.64-3</f>
        <v>3.4</v>
      </c>
      <c r="V160" s="77" t="s">
        <v>278</v>
      </c>
      <c r="W160" s="77" t="s">
        <v>278</v>
      </c>
      <c r="X160" s="77" t="s">
        <v>278</v>
      </c>
      <c r="Y160" s="107">
        <f t="shared" si="59"/>
        <v>10</v>
      </c>
      <c r="Z160" s="113">
        <f>5+5</f>
        <v>10</v>
      </c>
      <c r="AA160" s="77" t="s">
        <v>278</v>
      </c>
      <c r="AB160" s="77" t="s">
        <v>278</v>
      </c>
      <c r="AC160" s="77" t="s">
        <v>278</v>
      </c>
      <c r="AD160" s="107">
        <f t="shared" si="60"/>
        <v>10</v>
      </c>
      <c r="AE160" s="113">
        <f>5+5</f>
        <v>10</v>
      </c>
      <c r="AF160" s="77" t="s">
        <v>278</v>
      </c>
      <c r="AG160" s="77" t="s">
        <v>278</v>
      </c>
      <c r="AH160" s="77" t="s">
        <v>278</v>
      </c>
      <c r="AI160" s="107">
        <f t="shared" si="61"/>
        <v>48</v>
      </c>
      <c r="AJ160" s="114">
        <v>48</v>
      </c>
      <c r="AK160" s="77" t="s">
        <v>278</v>
      </c>
      <c r="AL160" s="77" t="s">
        <v>278</v>
      </c>
      <c r="AM160" s="77" t="s">
        <v>278</v>
      </c>
      <c r="AN160" s="115">
        <f t="shared" si="43"/>
        <v>83.4</v>
      </c>
      <c r="AO160" s="91"/>
    </row>
    <row r="161" spans="1:41" ht="98.25" customHeight="1">
      <c r="A161" s="94" t="s">
        <v>217</v>
      </c>
      <c r="B161" s="19" t="s">
        <v>510</v>
      </c>
      <c r="C161" s="92" t="s">
        <v>107</v>
      </c>
      <c r="D161" s="11" t="s">
        <v>228</v>
      </c>
      <c r="E161" s="107">
        <f t="shared" si="56"/>
        <v>5</v>
      </c>
      <c r="F161" s="114">
        <v>5</v>
      </c>
      <c r="G161" s="26" t="s">
        <v>278</v>
      </c>
      <c r="H161" s="26" t="s">
        <v>278</v>
      </c>
      <c r="I161" s="26" t="s">
        <v>278</v>
      </c>
      <c r="J161" s="107">
        <f t="shared" si="64"/>
        <v>8</v>
      </c>
      <c r="K161" s="111">
        <f>5+3-0.0053</f>
        <v>8</v>
      </c>
      <c r="L161" s="77" t="s">
        <v>278</v>
      </c>
      <c r="M161" s="77" t="s">
        <v>278</v>
      </c>
      <c r="N161" s="77" t="s">
        <v>278</v>
      </c>
      <c r="O161" s="107">
        <f t="shared" si="66"/>
        <v>5</v>
      </c>
      <c r="P161" s="113">
        <v>5</v>
      </c>
      <c r="Q161" s="77" t="s">
        <v>278</v>
      </c>
      <c r="R161" s="77" t="s">
        <v>278</v>
      </c>
      <c r="S161" s="77" t="s">
        <v>278</v>
      </c>
      <c r="T161" s="107">
        <f t="shared" si="62"/>
        <v>10</v>
      </c>
      <c r="U161" s="113">
        <f>5+5</f>
        <v>10</v>
      </c>
      <c r="V161" s="77" t="s">
        <v>278</v>
      </c>
      <c r="W161" s="77" t="s">
        <v>278</v>
      </c>
      <c r="X161" s="77" t="s">
        <v>278</v>
      </c>
      <c r="Y161" s="107">
        <f t="shared" si="59"/>
        <v>10</v>
      </c>
      <c r="Z161" s="113">
        <f>5+5</f>
        <v>10</v>
      </c>
      <c r="AA161" s="77" t="s">
        <v>278</v>
      </c>
      <c r="AB161" s="77" t="s">
        <v>278</v>
      </c>
      <c r="AC161" s="77" t="s">
        <v>278</v>
      </c>
      <c r="AD161" s="107">
        <f t="shared" si="60"/>
        <v>10</v>
      </c>
      <c r="AE161" s="113">
        <f>5+5</f>
        <v>10</v>
      </c>
      <c r="AF161" s="77" t="s">
        <v>278</v>
      </c>
      <c r="AG161" s="77" t="s">
        <v>278</v>
      </c>
      <c r="AH161" s="77" t="s">
        <v>278</v>
      </c>
      <c r="AI161" s="107">
        <f t="shared" si="61"/>
        <v>16</v>
      </c>
      <c r="AJ161" s="114">
        <v>16</v>
      </c>
      <c r="AK161" s="77" t="s">
        <v>278</v>
      </c>
      <c r="AL161" s="77" t="s">
        <v>278</v>
      </c>
      <c r="AM161" s="77" t="s">
        <v>278</v>
      </c>
      <c r="AN161" s="115">
        <f t="shared" si="43"/>
        <v>64</v>
      </c>
      <c r="AO161" s="91"/>
    </row>
    <row r="162" spans="1:41" ht="96.75" customHeight="1">
      <c r="A162" s="94" t="s">
        <v>261</v>
      </c>
      <c r="B162" s="19" t="s">
        <v>511</v>
      </c>
      <c r="C162" s="92" t="s">
        <v>108</v>
      </c>
      <c r="D162" s="11" t="s">
        <v>228</v>
      </c>
      <c r="E162" s="107">
        <f t="shared" si="56"/>
        <v>3</v>
      </c>
      <c r="F162" s="114">
        <v>3</v>
      </c>
      <c r="G162" s="26" t="s">
        <v>278</v>
      </c>
      <c r="H162" s="26" t="s">
        <v>278</v>
      </c>
      <c r="I162" s="26" t="s">
        <v>278</v>
      </c>
      <c r="J162" s="76">
        <f t="shared" si="64"/>
        <v>0</v>
      </c>
      <c r="K162" s="130">
        <f>3-3</f>
        <v>0</v>
      </c>
      <c r="L162" s="77" t="s">
        <v>278</v>
      </c>
      <c r="M162" s="77" t="s">
        <v>278</v>
      </c>
      <c r="N162" s="77" t="s">
        <v>278</v>
      </c>
      <c r="O162" s="107">
        <f t="shared" si="66"/>
        <v>3</v>
      </c>
      <c r="P162" s="113">
        <v>3</v>
      </c>
      <c r="Q162" s="77" t="s">
        <v>278</v>
      </c>
      <c r="R162" s="77" t="s">
        <v>278</v>
      </c>
      <c r="S162" s="77" t="s">
        <v>278</v>
      </c>
      <c r="T162" s="107">
        <f t="shared" si="62"/>
        <v>9</v>
      </c>
      <c r="U162" s="113">
        <f>3+1+5</f>
        <v>9</v>
      </c>
      <c r="V162" s="77" t="s">
        <v>278</v>
      </c>
      <c r="W162" s="77" t="s">
        <v>278</v>
      </c>
      <c r="X162" s="77" t="s">
        <v>278</v>
      </c>
      <c r="Y162" s="107">
        <f t="shared" si="59"/>
        <v>9</v>
      </c>
      <c r="Z162" s="113">
        <f>3+1+5</f>
        <v>9</v>
      </c>
      <c r="AA162" s="77" t="s">
        <v>278</v>
      </c>
      <c r="AB162" s="77" t="s">
        <v>278</v>
      </c>
      <c r="AC162" s="77" t="s">
        <v>278</v>
      </c>
      <c r="AD162" s="107">
        <f t="shared" si="60"/>
        <v>9</v>
      </c>
      <c r="AE162" s="113">
        <f>3+1+5</f>
        <v>9</v>
      </c>
      <c r="AF162" s="77" t="s">
        <v>278</v>
      </c>
      <c r="AG162" s="77" t="s">
        <v>278</v>
      </c>
      <c r="AH162" s="77" t="s">
        <v>278</v>
      </c>
      <c r="AI162" s="107">
        <f t="shared" si="61"/>
        <v>16</v>
      </c>
      <c r="AJ162" s="114">
        <v>16</v>
      </c>
      <c r="AK162" s="77" t="s">
        <v>278</v>
      </c>
      <c r="AL162" s="77" t="s">
        <v>278</v>
      </c>
      <c r="AM162" s="77" t="s">
        <v>278</v>
      </c>
      <c r="AN162" s="115">
        <f t="shared" si="43"/>
        <v>49</v>
      </c>
      <c r="AO162" s="91"/>
    </row>
    <row r="163" spans="1:41" ht="96.75" customHeight="1">
      <c r="A163" s="94" t="s">
        <v>262</v>
      </c>
      <c r="B163" s="19" t="s">
        <v>512</v>
      </c>
      <c r="C163" s="92" t="s">
        <v>407</v>
      </c>
      <c r="D163" s="11" t="s">
        <v>228</v>
      </c>
      <c r="E163" s="107">
        <f t="shared" si="56"/>
        <v>3</v>
      </c>
      <c r="F163" s="114">
        <v>3</v>
      </c>
      <c r="G163" s="26" t="s">
        <v>278</v>
      </c>
      <c r="H163" s="26" t="s">
        <v>278</v>
      </c>
      <c r="I163" s="26" t="s">
        <v>278</v>
      </c>
      <c r="J163" s="76">
        <f t="shared" si="64"/>
        <v>0</v>
      </c>
      <c r="K163" s="106">
        <f>3-3</f>
        <v>0</v>
      </c>
      <c r="L163" s="77" t="s">
        <v>278</v>
      </c>
      <c r="M163" s="77" t="s">
        <v>278</v>
      </c>
      <c r="N163" s="77" t="s">
        <v>278</v>
      </c>
      <c r="O163" s="76">
        <f t="shared" si="66"/>
        <v>0</v>
      </c>
      <c r="P163" s="134">
        <f>3-3</f>
        <v>0</v>
      </c>
      <c r="Q163" s="77" t="s">
        <v>278</v>
      </c>
      <c r="R163" s="77" t="s">
        <v>278</v>
      </c>
      <c r="S163" s="77" t="s">
        <v>278</v>
      </c>
      <c r="T163" s="107">
        <f>SUMIF(U163:X163,"&gt;0")</f>
        <v>9</v>
      </c>
      <c r="U163" s="113">
        <f>3+1+5</f>
        <v>9</v>
      </c>
      <c r="V163" s="77" t="s">
        <v>278</v>
      </c>
      <c r="W163" s="77" t="s">
        <v>278</v>
      </c>
      <c r="X163" s="77" t="s">
        <v>278</v>
      </c>
      <c r="Y163" s="107">
        <f>SUMIF(Z163:AC163,"&gt;0")</f>
        <v>9</v>
      </c>
      <c r="Z163" s="113">
        <f>3+1+5</f>
        <v>9</v>
      </c>
      <c r="AA163" s="77" t="s">
        <v>278</v>
      </c>
      <c r="AB163" s="77" t="s">
        <v>278</v>
      </c>
      <c r="AC163" s="77" t="s">
        <v>278</v>
      </c>
      <c r="AD163" s="107">
        <f>SUMIF(AE163:AH163,"&gt;0")</f>
        <v>9</v>
      </c>
      <c r="AE163" s="113">
        <f>3+1+5</f>
        <v>9</v>
      </c>
      <c r="AF163" s="77" t="s">
        <v>278</v>
      </c>
      <c r="AG163" s="77" t="s">
        <v>278</v>
      </c>
      <c r="AH163" s="77" t="s">
        <v>278</v>
      </c>
      <c r="AI163" s="107">
        <f t="shared" si="61"/>
        <v>16</v>
      </c>
      <c r="AJ163" s="114">
        <v>16</v>
      </c>
      <c r="AK163" s="77" t="s">
        <v>278</v>
      </c>
      <c r="AL163" s="77" t="s">
        <v>278</v>
      </c>
      <c r="AM163" s="77" t="s">
        <v>278</v>
      </c>
      <c r="AN163" s="115">
        <f t="shared" si="43"/>
        <v>46</v>
      </c>
      <c r="AO163" s="91"/>
    </row>
    <row r="164" spans="1:41" ht="96" customHeight="1">
      <c r="A164" s="94" t="s">
        <v>263</v>
      </c>
      <c r="B164" s="19" t="s">
        <v>513</v>
      </c>
      <c r="C164" s="92" t="s">
        <v>174</v>
      </c>
      <c r="D164" s="11" t="s">
        <v>228</v>
      </c>
      <c r="E164" s="107">
        <f t="shared" si="56"/>
        <v>7</v>
      </c>
      <c r="F164" s="114">
        <v>7</v>
      </c>
      <c r="G164" s="26" t="s">
        <v>278</v>
      </c>
      <c r="H164" s="26" t="s">
        <v>278</v>
      </c>
      <c r="I164" s="26" t="s">
        <v>278</v>
      </c>
      <c r="J164" s="107">
        <f t="shared" si="64"/>
        <v>7</v>
      </c>
      <c r="K164" s="111">
        <v>7</v>
      </c>
      <c r="L164" s="77" t="s">
        <v>278</v>
      </c>
      <c r="M164" s="77" t="s">
        <v>278</v>
      </c>
      <c r="N164" s="77" t="s">
        <v>278</v>
      </c>
      <c r="O164" s="76">
        <f t="shared" si="65"/>
        <v>0</v>
      </c>
      <c r="P164" s="77" t="s">
        <v>278</v>
      </c>
      <c r="Q164" s="77" t="s">
        <v>278</v>
      </c>
      <c r="R164" s="77" t="s">
        <v>278</v>
      </c>
      <c r="S164" s="77" t="s">
        <v>278</v>
      </c>
      <c r="T164" s="107">
        <f>SUMIF(U164:X164,"&gt;0")</f>
        <v>13</v>
      </c>
      <c r="U164" s="113">
        <f>8+5</f>
        <v>13</v>
      </c>
      <c r="V164" s="77" t="s">
        <v>278</v>
      </c>
      <c r="W164" s="77" t="s">
        <v>278</v>
      </c>
      <c r="X164" s="77" t="s">
        <v>278</v>
      </c>
      <c r="Y164" s="107">
        <f>SUMIF(Z164:AC164,"&gt;0")</f>
        <v>13</v>
      </c>
      <c r="Z164" s="113">
        <f>8+5</f>
        <v>13</v>
      </c>
      <c r="AA164" s="77" t="s">
        <v>278</v>
      </c>
      <c r="AB164" s="77" t="s">
        <v>278</v>
      </c>
      <c r="AC164" s="77" t="s">
        <v>278</v>
      </c>
      <c r="AD164" s="107">
        <f>SUMIF(AE164:AH164,"&gt;0")</f>
        <v>13</v>
      </c>
      <c r="AE164" s="113">
        <f>8+5</f>
        <v>13</v>
      </c>
      <c r="AF164" s="77" t="s">
        <v>278</v>
      </c>
      <c r="AG164" s="77" t="s">
        <v>278</v>
      </c>
      <c r="AH164" s="77" t="s">
        <v>278</v>
      </c>
      <c r="AI164" s="107">
        <f t="shared" si="61"/>
        <v>16</v>
      </c>
      <c r="AJ164" s="114">
        <v>16</v>
      </c>
      <c r="AK164" s="77" t="s">
        <v>278</v>
      </c>
      <c r="AL164" s="77" t="s">
        <v>278</v>
      </c>
      <c r="AM164" s="77" t="s">
        <v>278</v>
      </c>
      <c r="AN164" s="115">
        <f t="shared" si="43"/>
        <v>69</v>
      </c>
      <c r="AO164" s="91"/>
    </row>
    <row r="165" spans="1:41" ht="114" customHeight="1">
      <c r="A165" s="94" t="s">
        <v>264</v>
      </c>
      <c r="B165" s="19" t="s">
        <v>514</v>
      </c>
      <c r="C165" s="92" t="s">
        <v>328</v>
      </c>
      <c r="D165" s="11" t="s">
        <v>228</v>
      </c>
      <c r="E165" s="107">
        <f>SUMIF(F165:I165,"&gt;0")</f>
        <v>3</v>
      </c>
      <c r="F165" s="114">
        <v>3</v>
      </c>
      <c r="G165" s="26" t="s">
        <v>278</v>
      </c>
      <c r="H165" s="26" t="s">
        <v>278</v>
      </c>
      <c r="I165" s="26" t="s">
        <v>278</v>
      </c>
      <c r="J165" s="107">
        <f t="shared" si="64"/>
        <v>3</v>
      </c>
      <c r="K165" s="111">
        <v>3</v>
      </c>
      <c r="L165" s="77" t="s">
        <v>278</v>
      </c>
      <c r="M165" s="77" t="s">
        <v>278</v>
      </c>
      <c r="N165" s="77" t="s">
        <v>278</v>
      </c>
      <c r="O165" s="107">
        <f t="shared" si="65"/>
        <v>3</v>
      </c>
      <c r="P165" s="113">
        <v>3</v>
      </c>
      <c r="Q165" s="77" t="s">
        <v>278</v>
      </c>
      <c r="R165" s="77" t="s">
        <v>278</v>
      </c>
      <c r="S165" s="77" t="s">
        <v>278</v>
      </c>
      <c r="T165" s="107">
        <f>SUMIF(U165:X165,"&gt;0")</f>
        <v>8</v>
      </c>
      <c r="U165" s="113">
        <f>3+5</f>
        <v>8</v>
      </c>
      <c r="V165" s="77" t="s">
        <v>278</v>
      </c>
      <c r="W165" s="77" t="s">
        <v>278</v>
      </c>
      <c r="X165" s="77" t="s">
        <v>278</v>
      </c>
      <c r="Y165" s="107">
        <f>SUMIF(Z165:AC165,"&gt;0")</f>
        <v>8</v>
      </c>
      <c r="Z165" s="113">
        <f>3+5</f>
        <v>8</v>
      </c>
      <c r="AA165" s="77" t="s">
        <v>278</v>
      </c>
      <c r="AB165" s="77" t="s">
        <v>278</v>
      </c>
      <c r="AC165" s="77" t="s">
        <v>278</v>
      </c>
      <c r="AD165" s="107">
        <f>SUMIF(AE165:AH165,"&gt;0")</f>
        <v>8</v>
      </c>
      <c r="AE165" s="113">
        <f>3+5</f>
        <v>8</v>
      </c>
      <c r="AF165" s="77" t="s">
        <v>278</v>
      </c>
      <c r="AG165" s="77" t="s">
        <v>278</v>
      </c>
      <c r="AH165" s="77" t="s">
        <v>278</v>
      </c>
      <c r="AI165" s="107">
        <f>SUMIF(AJ165:AM165,"&gt;0")</f>
        <v>20</v>
      </c>
      <c r="AJ165" s="114">
        <v>20</v>
      </c>
      <c r="AK165" s="77" t="s">
        <v>278</v>
      </c>
      <c r="AL165" s="77" t="s">
        <v>278</v>
      </c>
      <c r="AM165" s="77" t="s">
        <v>278</v>
      </c>
      <c r="AN165" s="115">
        <f>E165+J165+O165+T165+Y165+AD165+AI165</f>
        <v>53</v>
      </c>
      <c r="AO165" s="91"/>
    </row>
    <row r="166" spans="1:41" ht="96.75" customHeight="1">
      <c r="A166" s="94" t="s">
        <v>265</v>
      </c>
      <c r="B166" s="19" t="s">
        <v>515</v>
      </c>
      <c r="C166" s="92" t="s">
        <v>239</v>
      </c>
      <c r="D166" s="11" t="s">
        <v>228</v>
      </c>
      <c r="E166" s="107">
        <f t="shared" si="56"/>
        <v>7</v>
      </c>
      <c r="F166" s="114">
        <v>7</v>
      </c>
      <c r="G166" s="26" t="s">
        <v>278</v>
      </c>
      <c r="H166" s="26" t="s">
        <v>278</v>
      </c>
      <c r="I166" s="26" t="s">
        <v>278</v>
      </c>
      <c r="J166" s="107">
        <f t="shared" si="64"/>
        <v>5</v>
      </c>
      <c r="K166" s="111">
        <v>5</v>
      </c>
      <c r="L166" s="77" t="s">
        <v>278</v>
      </c>
      <c r="M166" s="77" t="s">
        <v>278</v>
      </c>
      <c r="N166" s="77" t="s">
        <v>278</v>
      </c>
      <c r="O166" s="107">
        <f t="shared" si="65"/>
        <v>6</v>
      </c>
      <c r="P166" s="113">
        <v>6</v>
      </c>
      <c r="Q166" s="77" t="s">
        <v>278</v>
      </c>
      <c r="R166" s="77" t="s">
        <v>278</v>
      </c>
      <c r="S166" s="77" t="s">
        <v>278</v>
      </c>
      <c r="T166" s="107">
        <f>SUMIF(U166:X166,"&gt;0")</f>
        <v>7</v>
      </c>
      <c r="U166" s="113">
        <v>7</v>
      </c>
      <c r="V166" s="77" t="s">
        <v>278</v>
      </c>
      <c r="W166" s="77" t="s">
        <v>278</v>
      </c>
      <c r="X166" s="77" t="s">
        <v>278</v>
      </c>
      <c r="Y166" s="107">
        <f>SUMIF(Z166:AC166,"&gt;0")</f>
        <v>7</v>
      </c>
      <c r="Z166" s="113">
        <v>7</v>
      </c>
      <c r="AA166" s="77" t="s">
        <v>278</v>
      </c>
      <c r="AB166" s="77" t="s">
        <v>278</v>
      </c>
      <c r="AC166" s="77" t="s">
        <v>278</v>
      </c>
      <c r="AD166" s="107">
        <f>SUMIF(AE166:AH166,"&gt;0")</f>
        <v>7</v>
      </c>
      <c r="AE166" s="113">
        <v>7</v>
      </c>
      <c r="AF166" s="77" t="s">
        <v>278</v>
      </c>
      <c r="AG166" s="77" t="s">
        <v>278</v>
      </c>
      <c r="AH166" s="77" t="s">
        <v>278</v>
      </c>
      <c r="AI166" s="107">
        <f t="shared" si="61"/>
        <v>16</v>
      </c>
      <c r="AJ166" s="114">
        <v>16</v>
      </c>
      <c r="AK166" s="77" t="s">
        <v>278</v>
      </c>
      <c r="AL166" s="77" t="s">
        <v>278</v>
      </c>
      <c r="AM166" s="77" t="s">
        <v>278</v>
      </c>
      <c r="AN166" s="115">
        <f t="shared" si="43"/>
        <v>55</v>
      </c>
      <c r="AO166" s="91"/>
    </row>
    <row r="167" spans="1:41" ht="97.5" customHeight="1">
      <c r="A167" s="94" t="s">
        <v>266</v>
      </c>
      <c r="B167" s="19" t="s">
        <v>516</v>
      </c>
      <c r="C167" s="92" t="s">
        <v>408</v>
      </c>
      <c r="D167" s="11" t="s">
        <v>228</v>
      </c>
      <c r="E167" s="117">
        <f t="shared" si="56"/>
        <v>0</v>
      </c>
      <c r="F167" s="90">
        <f>3-3</f>
        <v>0</v>
      </c>
      <c r="G167" s="26" t="s">
        <v>278</v>
      </c>
      <c r="H167" s="26" t="s">
        <v>278</v>
      </c>
      <c r="I167" s="26" t="s">
        <v>278</v>
      </c>
      <c r="J167" s="107">
        <f t="shared" si="64"/>
        <v>3</v>
      </c>
      <c r="K167" s="111">
        <v>3</v>
      </c>
      <c r="L167" s="77" t="s">
        <v>278</v>
      </c>
      <c r="M167" s="77" t="s">
        <v>278</v>
      </c>
      <c r="N167" s="77" t="s">
        <v>278</v>
      </c>
      <c r="O167" s="107">
        <f t="shared" si="65"/>
        <v>3</v>
      </c>
      <c r="P167" s="113">
        <v>3</v>
      </c>
      <c r="Q167" s="77" t="s">
        <v>278</v>
      </c>
      <c r="R167" s="77" t="s">
        <v>278</v>
      </c>
      <c r="S167" s="77" t="s">
        <v>278</v>
      </c>
      <c r="T167" s="107">
        <f>SUMIF(U167:X167,"&gt;0")</f>
        <v>8</v>
      </c>
      <c r="U167" s="113">
        <f>3+5</f>
        <v>8</v>
      </c>
      <c r="V167" s="77" t="s">
        <v>278</v>
      </c>
      <c r="W167" s="77" t="s">
        <v>278</v>
      </c>
      <c r="X167" s="77" t="s">
        <v>278</v>
      </c>
      <c r="Y167" s="107">
        <f>SUMIF(Z167:AC167,"&gt;0")</f>
        <v>8</v>
      </c>
      <c r="Z167" s="113">
        <f>3+5</f>
        <v>8</v>
      </c>
      <c r="AA167" s="77" t="s">
        <v>278</v>
      </c>
      <c r="AB167" s="77" t="s">
        <v>278</v>
      </c>
      <c r="AC167" s="77" t="s">
        <v>278</v>
      </c>
      <c r="AD167" s="107">
        <f>SUMIF(AE167:AH167,"&gt;0")</f>
        <v>8</v>
      </c>
      <c r="AE167" s="113">
        <f>3+5</f>
        <v>8</v>
      </c>
      <c r="AF167" s="77" t="s">
        <v>278</v>
      </c>
      <c r="AG167" s="77" t="s">
        <v>278</v>
      </c>
      <c r="AH167" s="77" t="s">
        <v>278</v>
      </c>
      <c r="AI167" s="107">
        <f t="shared" si="61"/>
        <v>16</v>
      </c>
      <c r="AJ167" s="114">
        <v>16</v>
      </c>
      <c r="AK167" s="77" t="s">
        <v>278</v>
      </c>
      <c r="AL167" s="77" t="s">
        <v>278</v>
      </c>
      <c r="AM167" s="77" t="s">
        <v>278</v>
      </c>
      <c r="AN167" s="115">
        <f t="shared" si="43"/>
        <v>46</v>
      </c>
      <c r="AO167" s="91"/>
    </row>
    <row r="168" spans="1:41" ht="98.25" customHeight="1">
      <c r="A168" s="94" t="s">
        <v>267</v>
      </c>
      <c r="B168" s="19" t="s">
        <v>517</v>
      </c>
      <c r="C168" s="92" t="s">
        <v>181</v>
      </c>
      <c r="D168" s="11" t="s">
        <v>228</v>
      </c>
      <c r="E168" s="107">
        <f t="shared" si="56"/>
        <v>3</v>
      </c>
      <c r="F168" s="111">
        <v>3</v>
      </c>
      <c r="G168" s="26" t="s">
        <v>278</v>
      </c>
      <c r="H168" s="26" t="s">
        <v>278</v>
      </c>
      <c r="I168" s="26" t="s">
        <v>278</v>
      </c>
      <c r="J168" s="107">
        <f t="shared" si="64"/>
        <v>3</v>
      </c>
      <c r="K168" s="111">
        <v>3</v>
      </c>
      <c r="L168" s="77" t="s">
        <v>278</v>
      </c>
      <c r="M168" s="77" t="s">
        <v>278</v>
      </c>
      <c r="N168" s="77" t="s">
        <v>278</v>
      </c>
      <c r="O168" s="107">
        <f t="shared" si="65"/>
        <v>3</v>
      </c>
      <c r="P168" s="113">
        <v>3</v>
      </c>
      <c r="Q168" s="77" t="s">
        <v>278</v>
      </c>
      <c r="R168" s="77" t="s">
        <v>278</v>
      </c>
      <c r="S168" s="77" t="s">
        <v>278</v>
      </c>
      <c r="T168" s="107">
        <f t="shared" si="62"/>
        <v>3</v>
      </c>
      <c r="U168" s="113">
        <v>3</v>
      </c>
      <c r="V168" s="77" t="s">
        <v>278</v>
      </c>
      <c r="W168" s="77" t="s">
        <v>278</v>
      </c>
      <c r="X168" s="77" t="s">
        <v>278</v>
      </c>
      <c r="Y168" s="107">
        <f t="shared" si="59"/>
        <v>3</v>
      </c>
      <c r="Z168" s="113">
        <v>3</v>
      </c>
      <c r="AA168" s="77" t="s">
        <v>278</v>
      </c>
      <c r="AB168" s="77" t="s">
        <v>278</v>
      </c>
      <c r="AC168" s="77" t="s">
        <v>278</v>
      </c>
      <c r="AD168" s="107">
        <f t="shared" si="60"/>
        <v>3</v>
      </c>
      <c r="AE168" s="111">
        <v>3</v>
      </c>
      <c r="AF168" s="77" t="s">
        <v>278</v>
      </c>
      <c r="AG168" s="77" t="s">
        <v>278</v>
      </c>
      <c r="AH168" s="77" t="s">
        <v>278</v>
      </c>
      <c r="AI168" s="107">
        <f t="shared" si="61"/>
        <v>3</v>
      </c>
      <c r="AJ168" s="111">
        <v>3</v>
      </c>
      <c r="AK168" s="77" t="s">
        <v>278</v>
      </c>
      <c r="AL168" s="77" t="s">
        <v>278</v>
      </c>
      <c r="AM168" s="77" t="s">
        <v>278</v>
      </c>
      <c r="AN168" s="115">
        <f t="shared" si="43"/>
        <v>21</v>
      </c>
      <c r="AO168" s="91"/>
    </row>
    <row r="169" spans="1:41" ht="129.75" customHeight="1">
      <c r="A169" s="94" t="s">
        <v>327</v>
      </c>
      <c r="B169" s="19" t="s">
        <v>518</v>
      </c>
      <c r="C169" s="92" t="s">
        <v>109</v>
      </c>
      <c r="D169" s="11" t="s">
        <v>228</v>
      </c>
      <c r="E169" s="107">
        <f>SUMIF(F169:I169,"&gt;0")</f>
        <v>6</v>
      </c>
      <c r="F169" s="111">
        <v>6</v>
      </c>
      <c r="G169" s="26" t="s">
        <v>278</v>
      </c>
      <c r="H169" s="26" t="s">
        <v>278</v>
      </c>
      <c r="I169" s="26" t="s">
        <v>278</v>
      </c>
      <c r="J169" s="76">
        <f>SUMIF(K169:N169,"&gt;0")</f>
        <v>0</v>
      </c>
      <c r="K169" s="106">
        <f>5-5</f>
        <v>0</v>
      </c>
      <c r="L169" s="77" t="s">
        <v>278</v>
      </c>
      <c r="M169" s="77" t="s">
        <v>278</v>
      </c>
      <c r="N169" s="77" t="s">
        <v>278</v>
      </c>
      <c r="O169" s="107">
        <f t="shared" si="65"/>
        <v>2</v>
      </c>
      <c r="P169" s="113">
        <v>2</v>
      </c>
      <c r="Q169" s="77" t="s">
        <v>278</v>
      </c>
      <c r="R169" s="77" t="s">
        <v>278</v>
      </c>
      <c r="S169" s="77" t="s">
        <v>278</v>
      </c>
      <c r="T169" s="107">
        <f t="shared" si="62"/>
        <v>2</v>
      </c>
      <c r="U169" s="113">
        <v>2</v>
      </c>
      <c r="V169" s="77" t="s">
        <v>278</v>
      </c>
      <c r="W169" s="77" t="s">
        <v>278</v>
      </c>
      <c r="X169" s="77" t="s">
        <v>278</v>
      </c>
      <c r="Y169" s="107">
        <f t="shared" si="59"/>
        <v>2</v>
      </c>
      <c r="Z169" s="113">
        <v>2</v>
      </c>
      <c r="AA169" s="77" t="s">
        <v>278</v>
      </c>
      <c r="AB169" s="77" t="s">
        <v>278</v>
      </c>
      <c r="AC169" s="77" t="s">
        <v>278</v>
      </c>
      <c r="AD169" s="107">
        <f t="shared" si="60"/>
        <v>2</v>
      </c>
      <c r="AE169" s="113">
        <v>2</v>
      </c>
      <c r="AF169" s="77" t="s">
        <v>278</v>
      </c>
      <c r="AG169" s="77" t="s">
        <v>278</v>
      </c>
      <c r="AH169" s="77" t="s">
        <v>278</v>
      </c>
      <c r="AI169" s="107">
        <f>SUMIF(AJ169:AM169,"&gt;0")</f>
        <v>10</v>
      </c>
      <c r="AJ169" s="111">
        <v>10</v>
      </c>
      <c r="AK169" s="77" t="s">
        <v>278</v>
      </c>
      <c r="AL169" s="77" t="s">
        <v>278</v>
      </c>
      <c r="AM169" s="77" t="s">
        <v>278</v>
      </c>
      <c r="AN169" s="115">
        <f>E169+J169+O169+T169+Y169+AD169+AI169</f>
        <v>24</v>
      </c>
      <c r="AO169" s="91"/>
    </row>
    <row r="170" spans="1:41" ht="47.25">
      <c r="A170" s="94" t="s">
        <v>374</v>
      </c>
      <c r="B170" s="19" t="s">
        <v>375</v>
      </c>
      <c r="C170" s="92" t="s">
        <v>376</v>
      </c>
      <c r="D170" s="11" t="s">
        <v>228</v>
      </c>
      <c r="E170" s="76">
        <f>SUMIF(F170:I170,"&gt;0")</f>
        <v>0</v>
      </c>
      <c r="F170" s="77" t="s">
        <v>278</v>
      </c>
      <c r="G170" s="77" t="s">
        <v>278</v>
      </c>
      <c r="H170" s="77" t="s">
        <v>278</v>
      </c>
      <c r="I170" s="77" t="s">
        <v>278</v>
      </c>
      <c r="J170" s="107">
        <f>SUMIF(K170:N170,"&gt;0")</f>
        <v>3</v>
      </c>
      <c r="K170" s="111">
        <f>3+0.0053</f>
        <v>3</v>
      </c>
      <c r="L170" s="77" t="s">
        <v>278</v>
      </c>
      <c r="M170" s="77" t="s">
        <v>278</v>
      </c>
      <c r="N170" s="77" t="s">
        <v>278</v>
      </c>
      <c r="O170" s="107">
        <f t="shared" si="65"/>
        <v>6</v>
      </c>
      <c r="P170" s="113">
        <f>3+3</f>
        <v>6</v>
      </c>
      <c r="Q170" s="77" t="s">
        <v>278</v>
      </c>
      <c r="R170" s="77" t="s">
        <v>278</v>
      </c>
      <c r="S170" s="77" t="s">
        <v>278</v>
      </c>
      <c r="T170" s="107">
        <f>SUMIF(U170:X170,"&gt;0")</f>
        <v>9</v>
      </c>
      <c r="U170" s="113">
        <f>3+1+5</f>
        <v>9</v>
      </c>
      <c r="V170" s="77" t="s">
        <v>278</v>
      </c>
      <c r="W170" s="77" t="s">
        <v>278</v>
      </c>
      <c r="X170" s="77" t="s">
        <v>278</v>
      </c>
      <c r="Y170" s="107">
        <f t="shared" si="59"/>
        <v>9</v>
      </c>
      <c r="Z170" s="113">
        <f>3+1+5</f>
        <v>9</v>
      </c>
      <c r="AA170" s="77" t="s">
        <v>278</v>
      </c>
      <c r="AB170" s="77" t="s">
        <v>278</v>
      </c>
      <c r="AC170" s="77" t="s">
        <v>278</v>
      </c>
      <c r="AD170" s="107">
        <f t="shared" si="60"/>
        <v>9</v>
      </c>
      <c r="AE170" s="113">
        <f>3+1+5</f>
        <v>9</v>
      </c>
      <c r="AF170" s="77" t="s">
        <v>278</v>
      </c>
      <c r="AG170" s="77" t="s">
        <v>278</v>
      </c>
      <c r="AH170" s="77" t="s">
        <v>278</v>
      </c>
      <c r="AI170" s="76">
        <f>SUMIF(AJ170:AM170,"&gt;0")</f>
        <v>0</v>
      </c>
      <c r="AJ170" s="77" t="s">
        <v>278</v>
      </c>
      <c r="AK170" s="77" t="s">
        <v>278</v>
      </c>
      <c r="AL170" s="77" t="s">
        <v>278</v>
      </c>
      <c r="AM170" s="77" t="s">
        <v>278</v>
      </c>
      <c r="AN170" s="115">
        <f>E170+J170+O170+T170+Y170+AD170+AI170</f>
        <v>36</v>
      </c>
      <c r="AO170" s="91"/>
    </row>
    <row r="171" spans="1:41" ht="62.25" customHeight="1">
      <c r="A171" s="94" t="s">
        <v>409</v>
      </c>
      <c r="B171" s="19" t="s">
        <v>410</v>
      </c>
      <c r="C171" s="92" t="s">
        <v>411</v>
      </c>
      <c r="D171" s="11" t="s">
        <v>228</v>
      </c>
      <c r="E171" s="76">
        <f>SUMIF(F171:I171,"&gt;0")</f>
        <v>0</v>
      </c>
      <c r="F171" s="77" t="s">
        <v>278</v>
      </c>
      <c r="G171" s="77" t="s">
        <v>278</v>
      </c>
      <c r="H171" s="77" t="s">
        <v>278</v>
      </c>
      <c r="I171" s="77" t="s">
        <v>278</v>
      </c>
      <c r="J171" s="76">
        <f>SUMIF(K171:N171,"&gt;0")</f>
        <v>0</v>
      </c>
      <c r="K171" s="77" t="s">
        <v>278</v>
      </c>
      <c r="L171" s="77" t="s">
        <v>278</v>
      </c>
      <c r="M171" s="77" t="s">
        <v>278</v>
      </c>
      <c r="N171" s="77" t="s">
        <v>278</v>
      </c>
      <c r="O171" s="107">
        <f>SUMIF(P171:S171,"&gt;0")</f>
        <v>3</v>
      </c>
      <c r="P171" s="113">
        <v>3</v>
      </c>
      <c r="Q171" s="77" t="s">
        <v>278</v>
      </c>
      <c r="R171" s="77" t="s">
        <v>278</v>
      </c>
      <c r="S171" s="77" t="s">
        <v>278</v>
      </c>
      <c r="T171" s="107">
        <f>SUMIF(U171:X171,"&gt;0")</f>
        <v>3</v>
      </c>
      <c r="U171" s="113">
        <v>3</v>
      </c>
      <c r="V171" s="77" t="s">
        <v>278</v>
      </c>
      <c r="W171" s="77" t="s">
        <v>278</v>
      </c>
      <c r="X171" s="77" t="s">
        <v>278</v>
      </c>
      <c r="Y171" s="107">
        <f>SUMIF(Z171:AC171,"&gt;0")</f>
        <v>3</v>
      </c>
      <c r="Z171" s="113">
        <v>3</v>
      </c>
      <c r="AA171" s="77" t="s">
        <v>278</v>
      </c>
      <c r="AB171" s="77" t="s">
        <v>278</v>
      </c>
      <c r="AC171" s="77" t="s">
        <v>278</v>
      </c>
      <c r="AD171" s="107">
        <f>SUMIF(AE171:AH171,"&gt;0")</f>
        <v>3</v>
      </c>
      <c r="AE171" s="113">
        <v>3</v>
      </c>
      <c r="AF171" s="77" t="s">
        <v>278</v>
      </c>
      <c r="AG171" s="77" t="s">
        <v>278</v>
      </c>
      <c r="AH171" s="77" t="s">
        <v>278</v>
      </c>
      <c r="AI171" s="76">
        <f>SUMIF(AJ171:AM171,"&gt;0")</f>
        <v>0</v>
      </c>
      <c r="AJ171" s="77" t="s">
        <v>278</v>
      </c>
      <c r="AK171" s="77" t="s">
        <v>278</v>
      </c>
      <c r="AL171" s="77" t="s">
        <v>278</v>
      </c>
      <c r="AM171" s="77" t="s">
        <v>278</v>
      </c>
      <c r="AN171" s="115">
        <f>E171+J171+O171+T171+Y171+AD171+AI171</f>
        <v>12</v>
      </c>
      <c r="AO171" s="91"/>
    </row>
    <row r="172" spans="1:41" ht="62.25" customHeight="1">
      <c r="A172" s="94" t="s">
        <v>430</v>
      </c>
      <c r="B172" s="19" t="s">
        <v>431</v>
      </c>
      <c r="C172" s="92" t="s">
        <v>83</v>
      </c>
      <c r="D172" s="119" t="s">
        <v>444</v>
      </c>
      <c r="E172" s="76">
        <f>SUMIF(F172:I172,"&gt;0")</f>
        <v>0</v>
      </c>
      <c r="F172" s="77" t="s">
        <v>278</v>
      </c>
      <c r="G172" s="77" t="s">
        <v>278</v>
      </c>
      <c r="H172" s="77" t="s">
        <v>278</v>
      </c>
      <c r="I172" s="77" t="s">
        <v>278</v>
      </c>
      <c r="J172" s="76">
        <f>SUMIF(K172:N172,"&gt;0")</f>
        <v>0</v>
      </c>
      <c r="K172" s="77" t="s">
        <v>278</v>
      </c>
      <c r="L172" s="77" t="s">
        <v>278</v>
      </c>
      <c r="M172" s="77" t="s">
        <v>278</v>
      </c>
      <c r="N172" s="77" t="s">
        <v>278</v>
      </c>
      <c r="O172" s="107">
        <f>SUMIF(P172:S172,"&gt;0")</f>
        <v>326.3</v>
      </c>
      <c r="P172" s="113">
        <f>790-205-258.725</f>
        <v>326.3</v>
      </c>
      <c r="Q172" s="77" t="s">
        <v>278</v>
      </c>
      <c r="R172" s="77" t="s">
        <v>278</v>
      </c>
      <c r="S172" s="77" t="s">
        <v>278</v>
      </c>
      <c r="T172" s="107">
        <f>SUMIF(U172:X172,"&gt;0")</f>
        <v>375</v>
      </c>
      <c r="U172" s="113">
        <v>375</v>
      </c>
      <c r="V172" s="77" t="s">
        <v>278</v>
      </c>
      <c r="W172" s="77" t="s">
        <v>278</v>
      </c>
      <c r="X172" s="77" t="s">
        <v>278</v>
      </c>
      <c r="Y172" s="107">
        <f>SUMIF(Z172:AC172,"&gt;0")</f>
        <v>375</v>
      </c>
      <c r="Z172" s="113">
        <v>375</v>
      </c>
      <c r="AA172" s="77" t="s">
        <v>278</v>
      </c>
      <c r="AB172" s="77" t="s">
        <v>278</v>
      </c>
      <c r="AC172" s="77" t="s">
        <v>278</v>
      </c>
      <c r="AD172" s="107">
        <f>SUMIF(AE172:AH172,"&gt;0")</f>
        <v>375</v>
      </c>
      <c r="AE172" s="113">
        <v>375</v>
      </c>
      <c r="AF172" s="77" t="s">
        <v>278</v>
      </c>
      <c r="AG172" s="77" t="s">
        <v>278</v>
      </c>
      <c r="AH172" s="77" t="s">
        <v>278</v>
      </c>
      <c r="AI172" s="76">
        <f t="shared" si="61"/>
        <v>0</v>
      </c>
      <c r="AJ172" s="77" t="s">
        <v>278</v>
      </c>
      <c r="AK172" s="77" t="s">
        <v>278</v>
      </c>
      <c r="AL172" s="77" t="s">
        <v>278</v>
      </c>
      <c r="AM172" s="77" t="s">
        <v>278</v>
      </c>
      <c r="AN172" s="115">
        <f t="shared" si="43"/>
        <v>1451.3</v>
      </c>
      <c r="AO172" s="91"/>
    </row>
    <row r="173" spans="1:41" ht="31.5">
      <c r="A173" s="41" t="s">
        <v>24</v>
      </c>
      <c r="B173" s="42" t="s">
        <v>164</v>
      </c>
      <c r="C173" s="11"/>
      <c r="D173" s="11"/>
      <c r="E173" s="43"/>
      <c r="F173" s="73"/>
      <c r="G173" s="96"/>
      <c r="H173" s="96"/>
      <c r="I173" s="90"/>
      <c r="J173" s="90"/>
      <c r="K173" s="90"/>
      <c r="L173" s="90"/>
      <c r="M173" s="90"/>
      <c r="N173" s="90"/>
      <c r="O173" s="90"/>
      <c r="P173" s="90"/>
      <c r="Q173" s="90"/>
      <c r="R173" s="90"/>
      <c r="S173" s="90"/>
      <c r="T173" s="90"/>
      <c r="U173" s="90"/>
      <c r="V173" s="90"/>
      <c r="W173" s="90"/>
      <c r="X173" s="90"/>
      <c r="Y173" s="90"/>
      <c r="Z173" s="90"/>
      <c r="AA173" s="90"/>
      <c r="AB173" s="90"/>
      <c r="AC173" s="90"/>
      <c r="AD173" s="90"/>
      <c r="AE173" s="90"/>
      <c r="AF173" s="90"/>
      <c r="AG173" s="90"/>
      <c r="AH173" s="90"/>
      <c r="AI173" s="43"/>
      <c r="AJ173" s="73"/>
      <c r="AK173" s="96"/>
      <c r="AL173" s="96"/>
      <c r="AM173" s="90"/>
      <c r="AN173" s="22"/>
      <c r="AO173" s="91"/>
    </row>
    <row r="174" spans="1:41" ht="111.75" customHeight="1">
      <c r="A174" s="94" t="s">
        <v>132</v>
      </c>
      <c r="B174" s="40" t="s">
        <v>519</v>
      </c>
      <c r="C174" s="92" t="s">
        <v>109</v>
      </c>
      <c r="D174" s="11" t="s">
        <v>228</v>
      </c>
      <c r="E174" s="107">
        <f aca="true" t="shared" si="67" ref="E174:E196">SUMIF(F174:I174,"&gt;0")</f>
        <v>20</v>
      </c>
      <c r="F174" s="111">
        <v>20</v>
      </c>
      <c r="G174" s="26" t="s">
        <v>278</v>
      </c>
      <c r="H174" s="26" t="s">
        <v>278</v>
      </c>
      <c r="I174" s="26" t="s">
        <v>278</v>
      </c>
      <c r="J174" s="107">
        <f aca="true" t="shared" si="68" ref="J174:J193">SUMIF(K174:N174,"&gt;0")</f>
        <v>20</v>
      </c>
      <c r="K174" s="111">
        <v>20</v>
      </c>
      <c r="L174" s="77" t="s">
        <v>278</v>
      </c>
      <c r="M174" s="77" t="s">
        <v>278</v>
      </c>
      <c r="N174" s="77" t="s">
        <v>278</v>
      </c>
      <c r="O174" s="107">
        <f aca="true" t="shared" si="69" ref="O174:O196">SUMIF(P174:S174,"&gt;0")</f>
        <v>20</v>
      </c>
      <c r="P174" s="113">
        <v>20</v>
      </c>
      <c r="Q174" s="77" t="s">
        <v>278</v>
      </c>
      <c r="R174" s="77" t="s">
        <v>278</v>
      </c>
      <c r="S174" s="77" t="s">
        <v>278</v>
      </c>
      <c r="T174" s="107">
        <f aca="true" t="shared" si="70" ref="T174:T196">SUMIF(U174:X174,"&gt;0")</f>
        <v>20</v>
      </c>
      <c r="U174" s="113">
        <v>20</v>
      </c>
      <c r="V174" s="77" t="s">
        <v>278</v>
      </c>
      <c r="W174" s="77" t="s">
        <v>278</v>
      </c>
      <c r="X174" s="77" t="s">
        <v>278</v>
      </c>
      <c r="Y174" s="107">
        <f aca="true" t="shared" si="71" ref="Y174:Y196">SUMIF(Z174:AC174,"&gt;0")</f>
        <v>20</v>
      </c>
      <c r="Z174" s="113">
        <v>20</v>
      </c>
      <c r="AA174" s="77" t="s">
        <v>278</v>
      </c>
      <c r="AB174" s="77" t="s">
        <v>278</v>
      </c>
      <c r="AC174" s="77" t="s">
        <v>278</v>
      </c>
      <c r="AD174" s="107">
        <f>SUMIF(AE174:AH174,"&gt;0")</f>
        <v>20</v>
      </c>
      <c r="AE174" s="113">
        <v>20</v>
      </c>
      <c r="AF174" s="77" t="s">
        <v>278</v>
      </c>
      <c r="AG174" s="77" t="s">
        <v>278</v>
      </c>
      <c r="AH174" s="77" t="s">
        <v>278</v>
      </c>
      <c r="AI174" s="107">
        <f aca="true" t="shared" si="72" ref="AI174:AI196">SUMIF(AJ174:AM174,"&gt;0")</f>
        <v>74</v>
      </c>
      <c r="AJ174" s="111">
        <v>74</v>
      </c>
      <c r="AK174" s="77" t="s">
        <v>278</v>
      </c>
      <c r="AL174" s="77" t="s">
        <v>278</v>
      </c>
      <c r="AM174" s="77" t="s">
        <v>278</v>
      </c>
      <c r="AN174" s="115">
        <f t="shared" si="43"/>
        <v>194</v>
      </c>
      <c r="AO174" s="91"/>
    </row>
    <row r="175" spans="1:41" ht="82.5" customHeight="1">
      <c r="A175" s="94" t="s">
        <v>133</v>
      </c>
      <c r="B175" s="40" t="s">
        <v>520</v>
      </c>
      <c r="C175" s="92" t="s">
        <v>125</v>
      </c>
      <c r="D175" s="11" t="s">
        <v>228</v>
      </c>
      <c r="E175" s="76">
        <f t="shared" si="67"/>
        <v>0</v>
      </c>
      <c r="F175" s="26" t="s">
        <v>278</v>
      </c>
      <c r="G175" s="26" t="s">
        <v>278</v>
      </c>
      <c r="H175" s="26" t="s">
        <v>278</v>
      </c>
      <c r="I175" s="26" t="s">
        <v>278</v>
      </c>
      <c r="J175" s="76">
        <f t="shared" si="68"/>
        <v>0</v>
      </c>
      <c r="K175" s="11" t="s">
        <v>278</v>
      </c>
      <c r="L175" s="77" t="s">
        <v>278</v>
      </c>
      <c r="M175" s="77" t="s">
        <v>278</v>
      </c>
      <c r="N175" s="77" t="s">
        <v>278</v>
      </c>
      <c r="O175" s="76">
        <f t="shared" si="69"/>
        <v>0</v>
      </c>
      <c r="P175" s="77" t="s">
        <v>278</v>
      </c>
      <c r="Q175" s="77" t="s">
        <v>278</v>
      </c>
      <c r="R175" s="77" t="s">
        <v>278</v>
      </c>
      <c r="S175" s="77" t="s">
        <v>278</v>
      </c>
      <c r="T175" s="76">
        <f t="shared" si="70"/>
        <v>0</v>
      </c>
      <c r="U175" s="77" t="s">
        <v>278</v>
      </c>
      <c r="V175" s="77" t="s">
        <v>278</v>
      </c>
      <c r="W175" s="77" t="s">
        <v>278</v>
      </c>
      <c r="X175" s="77" t="s">
        <v>278</v>
      </c>
      <c r="Y175" s="76">
        <f t="shared" si="71"/>
        <v>0</v>
      </c>
      <c r="Z175" s="77" t="s">
        <v>278</v>
      </c>
      <c r="AA175" s="77" t="s">
        <v>278</v>
      </c>
      <c r="AB175" s="77" t="s">
        <v>278</v>
      </c>
      <c r="AC175" s="77" t="s">
        <v>278</v>
      </c>
      <c r="AD175" s="76">
        <f>SUMIF(AE175:AH175,"&gt;0")</f>
        <v>0</v>
      </c>
      <c r="AE175" s="77" t="s">
        <v>278</v>
      </c>
      <c r="AF175" s="77" t="s">
        <v>278</v>
      </c>
      <c r="AG175" s="77" t="s">
        <v>278</v>
      </c>
      <c r="AH175" s="77" t="s">
        <v>278</v>
      </c>
      <c r="AI175" s="107">
        <f t="shared" si="72"/>
        <v>10</v>
      </c>
      <c r="AJ175" s="111">
        <v>10</v>
      </c>
      <c r="AK175" s="77" t="s">
        <v>278</v>
      </c>
      <c r="AL175" s="77" t="s">
        <v>278</v>
      </c>
      <c r="AM175" s="77" t="s">
        <v>278</v>
      </c>
      <c r="AN175" s="115">
        <f t="shared" si="43"/>
        <v>10</v>
      </c>
      <c r="AO175" s="91"/>
    </row>
    <row r="176" spans="1:41" ht="112.5" customHeight="1">
      <c r="A176" s="94" t="s">
        <v>134</v>
      </c>
      <c r="B176" s="40" t="s">
        <v>521</v>
      </c>
      <c r="C176" s="92" t="s">
        <v>126</v>
      </c>
      <c r="D176" s="11" t="s">
        <v>228</v>
      </c>
      <c r="E176" s="107">
        <f t="shared" si="67"/>
        <v>8.8</v>
      </c>
      <c r="F176" s="111">
        <f>5+3.84852</f>
        <v>8.8</v>
      </c>
      <c r="G176" s="26" t="s">
        <v>278</v>
      </c>
      <c r="H176" s="26" t="s">
        <v>278</v>
      </c>
      <c r="I176" s="26" t="s">
        <v>278</v>
      </c>
      <c r="J176" s="107">
        <f t="shared" si="68"/>
        <v>5</v>
      </c>
      <c r="K176" s="111">
        <v>5</v>
      </c>
      <c r="L176" s="77" t="s">
        <v>278</v>
      </c>
      <c r="M176" s="77" t="s">
        <v>278</v>
      </c>
      <c r="N176" s="77" t="s">
        <v>278</v>
      </c>
      <c r="O176" s="107">
        <f t="shared" si="69"/>
        <v>393</v>
      </c>
      <c r="P176" s="113">
        <v>393</v>
      </c>
      <c r="Q176" s="77" t="s">
        <v>278</v>
      </c>
      <c r="R176" s="77" t="s">
        <v>278</v>
      </c>
      <c r="S176" s="77" t="s">
        <v>278</v>
      </c>
      <c r="T176" s="107">
        <f t="shared" si="70"/>
        <v>565</v>
      </c>
      <c r="U176" s="113">
        <v>565</v>
      </c>
      <c r="V176" s="77" t="s">
        <v>278</v>
      </c>
      <c r="W176" s="77" t="s">
        <v>278</v>
      </c>
      <c r="X176" s="77" t="s">
        <v>278</v>
      </c>
      <c r="Y176" s="107">
        <f t="shared" si="71"/>
        <v>565</v>
      </c>
      <c r="Z176" s="113">
        <v>565</v>
      </c>
      <c r="AA176" s="77" t="s">
        <v>278</v>
      </c>
      <c r="AB176" s="77" t="s">
        <v>278</v>
      </c>
      <c r="AC176" s="77" t="s">
        <v>278</v>
      </c>
      <c r="AD176" s="107">
        <f aca="true" t="shared" si="73" ref="AD176:AD196">SUMIF(AE176:AH176,"&gt;0")</f>
        <v>565</v>
      </c>
      <c r="AE176" s="113">
        <v>565</v>
      </c>
      <c r="AF176" s="77" t="s">
        <v>278</v>
      </c>
      <c r="AG176" s="77" t="s">
        <v>278</v>
      </c>
      <c r="AH176" s="77" t="s">
        <v>278</v>
      </c>
      <c r="AI176" s="107">
        <f t="shared" si="72"/>
        <v>30</v>
      </c>
      <c r="AJ176" s="111">
        <v>30</v>
      </c>
      <c r="AK176" s="77" t="s">
        <v>278</v>
      </c>
      <c r="AL176" s="77" t="s">
        <v>278</v>
      </c>
      <c r="AM176" s="77" t="s">
        <v>278</v>
      </c>
      <c r="AN176" s="115">
        <f aca="true" t="shared" si="74" ref="AN176:AN205">E176+J176+O176+T176+Y176+AD176+AI176</f>
        <v>2131.8</v>
      </c>
      <c r="AO176" s="91"/>
    </row>
    <row r="177" spans="1:41" ht="98.25" customHeight="1">
      <c r="A177" s="94" t="s">
        <v>135</v>
      </c>
      <c r="B177" s="40" t="s">
        <v>522</v>
      </c>
      <c r="C177" s="92" t="s">
        <v>127</v>
      </c>
      <c r="D177" s="11" t="s">
        <v>228</v>
      </c>
      <c r="E177" s="107">
        <f t="shared" si="67"/>
        <v>5</v>
      </c>
      <c r="F177" s="111">
        <v>5</v>
      </c>
      <c r="G177" s="26" t="s">
        <v>278</v>
      </c>
      <c r="H177" s="26" t="s">
        <v>278</v>
      </c>
      <c r="I177" s="26" t="s">
        <v>278</v>
      </c>
      <c r="J177" s="107">
        <f t="shared" si="68"/>
        <v>5</v>
      </c>
      <c r="K177" s="111">
        <v>5</v>
      </c>
      <c r="L177" s="77" t="s">
        <v>278</v>
      </c>
      <c r="M177" s="77" t="s">
        <v>278</v>
      </c>
      <c r="N177" s="77" t="s">
        <v>278</v>
      </c>
      <c r="O177" s="107">
        <f t="shared" si="69"/>
        <v>5</v>
      </c>
      <c r="P177" s="113">
        <v>5</v>
      </c>
      <c r="Q177" s="77" t="s">
        <v>278</v>
      </c>
      <c r="R177" s="77" t="s">
        <v>278</v>
      </c>
      <c r="S177" s="77" t="s">
        <v>278</v>
      </c>
      <c r="T177" s="107">
        <f t="shared" si="70"/>
        <v>5</v>
      </c>
      <c r="U177" s="113">
        <v>5</v>
      </c>
      <c r="V177" s="77" t="s">
        <v>278</v>
      </c>
      <c r="W177" s="77" t="s">
        <v>278</v>
      </c>
      <c r="X177" s="77" t="s">
        <v>278</v>
      </c>
      <c r="Y177" s="107">
        <f t="shared" si="71"/>
        <v>5</v>
      </c>
      <c r="Z177" s="113">
        <v>5</v>
      </c>
      <c r="AA177" s="77" t="s">
        <v>278</v>
      </c>
      <c r="AB177" s="77" t="s">
        <v>278</v>
      </c>
      <c r="AC177" s="77" t="s">
        <v>278</v>
      </c>
      <c r="AD177" s="107">
        <f t="shared" si="73"/>
        <v>5</v>
      </c>
      <c r="AE177" s="113">
        <v>5</v>
      </c>
      <c r="AF177" s="77" t="s">
        <v>278</v>
      </c>
      <c r="AG177" s="77" t="s">
        <v>278</v>
      </c>
      <c r="AH177" s="77" t="s">
        <v>278</v>
      </c>
      <c r="AI177" s="107">
        <f t="shared" si="72"/>
        <v>8</v>
      </c>
      <c r="AJ177" s="111">
        <v>8</v>
      </c>
      <c r="AK177" s="77" t="s">
        <v>278</v>
      </c>
      <c r="AL177" s="77" t="s">
        <v>278</v>
      </c>
      <c r="AM177" s="77" t="s">
        <v>278</v>
      </c>
      <c r="AN177" s="115">
        <f t="shared" si="74"/>
        <v>38</v>
      </c>
      <c r="AO177" s="91"/>
    </row>
    <row r="178" spans="1:41" ht="82.5" customHeight="1">
      <c r="A178" s="94" t="s">
        <v>136</v>
      </c>
      <c r="B178" s="40" t="s">
        <v>523</v>
      </c>
      <c r="C178" s="92" t="s">
        <v>125</v>
      </c>
      <c r="D178" s="11" t="s">
        <v>228</v>
      </c>
      <c r="E178" s="107">
        <f t="shared" si="67"/>
        <v>10</v>
      </c>
      <c r="F178" s="111">
        <v>10</v>
      </c>
      <c r="G178" s="26" t="s">
        <v>278</v>
      </c>
      <c r="H178" s="26" t="s">
        <v>278</v>
      </c>
      <c r="I178" s="26" t="s">
        <v>278</v>
      </c>
      <c r="J178" s="76">
        <f t="shared" si="68"/>
        <v>0</v>
      </c>
      <c r="K178" s="106">
        <f>10-10</f>
        <v>0</v>
      </c>
      <c r="L178" s="77" t="s">
        <v>278</v>
      </c>
      <c r="M178" s="77" t="s">
        <v>278</v>
      </c>
      <c r="N178" s="77" t="s">
        <v>278</v>
      </c>
      <c r="O178" s="107">
        <f t="shared" si="69"/>
        <v>10</v>
      </c>
      <c r="P178" s="113">
        <v>10</v>
      </c>
      <c r="Q178" s="77" t="s">
        <v>278</v>
      </c>
      <c r="R178" s="77" t="s">
        <v>278</v>
      </c>
      <c r="S178" s="77" t="s">
        <v>278</v>
      </c>
      <c r="T178" s="107">
        <f t="shared" si="70"/>
        <v>10</v>
      </c>
      <c r="U178" s="113">
        <v>10</v>
      </c>
      <c r="V178" s="77" t="s">
        <v>278</v>
      </c>
      <c r="W178" s="77" t="s">
        <v>278</v>
      </c>
      <c r="X178" s="77" t="s">
        <v>278</v>
      </c>
      <c r="Y178" s="107">
        <f t="shared" si="71"/>
        <v>10</v>
      </c>
      <c r="Z178" s="113">
        <v>10</v>
      </c>
      <c r="AA178" s="77" t="s">
        <v>278</v>
      </c>
      <c r="AB178" s="77" t="s">
        <v>278</v>
      </c>
      <c r="AC178" s="77" t="s">
        <v>278</v>
      </c>
      <c r="AD178" s="107">
        <f t="shared" si="73"/>
        <v>10</v>
      </c>
      <c r="AE178" s="111">
        <v>10</v>
      </c>
      <c r="AF178" s="77" t="s">
        <v>278</v>
      </c>
      <c r="AG178" s="77" t="s">
        <v>278</v>
      </c>
      <c r="AH178" s="77" t="s">
        <v>278</v>
      </c>
      <c r="AI178" s="107">
        <f t="shared" si="72"/>
        <v>10</v>
      </c>
      <c r="AJ178" s="111">
        <v>10</v>
      </c>
      <c r="AK178" s="77" t="s">
        <v>278</v>
      </c>
      <c r="AL178" s="77" t="s">
        <v>278</v>
      </c>
      <c r="AM178" s="77" t="s">
        <v>278</v>
      </c>
      <c r="AN178" s="115">
        <f t="shared" si="74"/>
        <v>60</v>
      </c>
      <c r="AO178" s="91"/>
    </row>
    <row r="179" spans="1:41" ht="98.25" customHeight="1">
      <c r="A179" s="94" t="s">
        <v>137</v>
      </c>
      <c r="B179" s="40" t="s">
        <v>524</v>
      </c>
      <c r="C179" s="92" t="s">
        <v>109</v>
      </c>
      <c r="D179" s="11" t="s">
        <v>228</v>
      </c>
      <c r="E179" s="107">
        <f t="shared" si="67"/>
        <v>5</v>
      </c>
      <c r="F179" s="111">
        <v>5</v>
      </c>
      <c r="G179" s="26" t="s">
        <v>278</v>
      </c>
      <c r="H179" s="26" t="s">
        <v>278</v>
      </c>
      <c r="I179" s="26" t="s">
        <v>278</v>
      </c>
      <c r="J179" s="76">
        <f t="shared" si="68"/>
        <v>0</v>
      </c>
      <c r="K179" s="106">
        <f>5-5</f>
        <v>0</v>
      </c>
      <c r="L179" s="77" t="s">
        <v>278</v>
      </c>
      <c r="M179" s="77" t="s">
        <v>278</v>
      </c>
      <c r="N179" s="77" t="s">
        <v>278</v>
      </c>
      <c r="O179" s="107">
        <f t="shared" si="69"/>
        <v>5</v>
      </c>
      <c r="P179" s="113">
        <v>5</v>
      </c>
      <c r="Q179" s="77" t="s">
        <v>278</v>
      </c>
      <c r="R179" s="77" t="s">
        <v>278</v>
      </c>
      <c r="S179" s="77" t="s">
        <v>278</v>
      </c>
      <c r="T179" s="107">
        <f t="shared" si="70"/>
        <v>5</v>
      </c>
      <c r="U179" s="113">
        <v>5</v>
      </c>
      <c r="V179" s="77" t="s">
        <v>278</v>
      </c>
      <c r="W179" s="77" t="s">
        <v>278</v>
      </c>
      <c r="X179" s="77" t="s">
        <v>278</v>
      </c>
      <c r="Y179" s="107">
        <f t="shared" si="71"/>
        <v>5</v>
      </c>
      <c r="Z179" s="113">
        <v>5</v>
      </c>
      <c r="AA179" s="77" t="s">
        <v>278</v>
      </c>
      <c r="AB179" s="77" t="s">
        <v>278</v>
      </c>
      <c r="AC179" s="77" t="s">
        <v>278</v>
      </c>
      <c r="AD179" s="107">
        <f t="shared" si="73"/>
        <v>5</v>
      </c>
      <c r="AE179" s="111">
        <v>5</v>
      </c>
      <c r="AF179" s="77" t="s">
        <v>278</v>
      </c>
      <c r="AG179" s="77" t="s">
        <v>278</v>
      </c>
      <c r="AH179" s="77" t="s">
        <v>278</v>
      </c>
      <c r="AI179" s="107">
        <f t="shared" si="72"/>
        <v>5</v>
      </c>
      <c r="AJ179" s="111">
        <v>5</v>
      </c>
      <c r="AK179" s="77" t="s">
        <v>278</v>
      </c>
      <c r="AL179" s="77" t="s">
        <v>278</v>
      </c>
      <c r="AM179" s="77" t="s">
        <v>278</v>
      </c>
      <c r="AN179" s="115">
        <f t="shared" si="74"/>
        <v>30</v>
      </c>
      <c r="AO179" s="91"/>
    </row>
    <row r="180" spans="1:41" ht="79.5" customHeight="1">
      <c r="A180" s="94" t="s">
        <v>138</v>
      </c>
      <c r="B180" s="93" t="s">
        <v>525</v>
      </c>
      <c r="C180" s="92" t="s">
        <v>127</v>
      </c>
      <c r="D180" s="11" t="s">
        <v>228</v>
      </c>
      <c r="E180" s="107">
        <f t="shared" si="67"/>
        <v>5</v>
      </c>
      <c r="F180" s="111">
        <v>5</v>
      </c>
      <c r="G180" s="26" t="s">
        <v>278</v>
      </c>
      <c r="H180" s="26" t="s">
        <v>278</v>
      </c>
      <c r="I180" s="26" t="s">
        <v>278</v>
      </c>
      <c r="J180" s="107">
        <f t="shared" si="68"/>
        <v>5</v>
      </c>
      <c r="K180" s="111">
        <v>5</v>
      </c>
      <c r="L180" s="77" t="s">
        <v>278</v>
      </c>
      <c r="M180" s="77" t="s">
        <v>278</v>
      </c>
      <c r="N180" s="77" t="s">
        <v>278</v>
      </c>
      <c r="O180" s="107">
        <f t="shared" si="69"/>
        <v>5</v>
      </c>
      <c r="P180" s="113">
        <v>5</v>
      </c>
      <c r="Q180" s="77" t="s">
        <v>278</v>
      </c>
      <c r="R180" s="77" t="s">
        <v>278</v>
      </c>
      <c r="S180" s="77" t="s">
        <v>278</v>
      </c>
      <c r="T180" s="107">
        <f t="shared" si="70"/>
        <v>5</v>
      </c>
      <c r="U180" s="113">
        <v>5</v>
      </c>
      <c r="V180" s="77" t="s">
        <v>278</v>
      </c>
      <c r="W180" s="77" t="s">
        <v>278</v>
      </c>
      <c r="X180" s="77" t="s">
        <v>278</v>
      </c>
      <c r="Y180" s="107">
        <f t="shared" si="71"/>
        <v>5</v>
      </c>
      <c r="Z180" s="113">
        <v>5</v>
      </c>
      <c r="AA180" s="77" t="s">
        <v>278</v>
      </c>
      <c r="AB180" s="77" t="s">
        <v>278</v>
      </c>
      <c r="AC180" s="77" t="s">
        <v>278</v>
      </c>
      <c r="AD180" s="107">
        <f t="shared" si="73"/>
        <v>5</v>
      </c>
      <c r="AE180" s="111">
        <v>5</v>
      </c>
      <c r="AF180" s="77" t="s">
        <v>278</v>
      </c>
      <c r="AG180" s="77" t="s">
        <v>278</v>
      </c>
      <c r="AH180" s="77" t="s">
        <v>278</v>
      </c>
      <c r="AI180" s="107">
        <f t="shared" si="72"/>
        <v>5</v>
      </c>
      <c r="AJ180" s="111">
        <v>5</v>
      </c>
      <c r="AK180" s="77" t="s">
        <v>278</v>
      </c>
      <c r="AL180" s="77" t="s">
        <v>278</v>
      </c>
      <c r="AM180" s="77" t="s">
        <v>278</v>
      </c>
      <c r="AN180" s="115">
        <f t="shared" si="74"/>
        <v>35</v>
      </c>
      <c r="AO180" s="91"/>
    </row>
    <row r="181" spans="1:41" ht="96" customHeight="1">
      <c r="A181" s="94" t="s">
        <v>139</v>
      </c>
      <c r="B181" s="40" t="s">
        <v>526</v>
      </c>
      <c r="C181" s="92" t="s">
        <v>127</v>
      </c>
      <c r="D181" s="11" t="s">
        <v>228</v>
      </c>
      <c r="E181" s="76">
        <f t="shared" si="67"/>
        <v>0</v>
      </c>
      <c r="F181" s="26" t="s">
        <v>278</v>
      </c>
      <c r="G181" s="26" t="s">
        <v>278</v>
      </c>
      <c r="H181" s="26" t="s">
        <v>278</v>
      </c>
      <c r="I181" s="26" t="s">
        <v>278</v>
      </c>
      <c r="J181" s="76">
        <f t="shared" si="68"/>
        <v>0</v>
      </c>
      <c r="K181" s="11" t="s">
        <v>278</v>
      </c>
      <c r="L181" s="77" t="s">
        <v>278</v>
      </c>
      <c r="M181" s="77" t="s">
        <v>278</v>
      </c>
      <c r="N181" s="77" t="s">
        <v>278</v>
      </c>
      <c r="O181" s="76">
        <f t="shared" si="69"/>
        <v>0</v>
      </c>
      <c r="P181" s="77" t="s">
        <v>278</v>
      </c>
      <c r="Q181" s="77" t="s">
        <v>278</v>
      </c>
      <c r="R181" s="77" t="s">
        <v>278</v>
      </c>
      <c r="S181" s="77" t="s">
        <v>278</v>
      </c>
      <c r="T181" s="76">
        <f t="shared" si="70"/>
        <v>0</v>
      </c>
      <c r="U181" s="77" t="s">
        <v>278</v>
      </c>
      <c r="V181" s="77" t="s">
        <v>278</v>
      </c>
      <c r="W181" s="77" t="s">
        <v>278</v>
      </c>
      <c r="X181" s="77" t="s">
        <v>278</v>
      </c>
      <c r="Y181" s="76">
        <f t="shared" si="71"/>
        <v>0</v>
      </c>
      <c r="Z181" s="77" t="s">
        <v>278</v>
      </c>
      <c r="AA181" s="77" t="s">
        <v>278</v>
      </c>
      <c r="AB181" s="77" t="s">
        <v>278</v>
      </c>
      <c r="AC181" s="77" t="s">
        <v>278</v>
      </c>
      <c r="AD181" s="76">
        <f t="shared" si="73"/>
        <v>0</v>
      </c>
      <c r="AE181" s="77" t="s">
        <v>278</v>
      </c>
      <c r="AF181" s="77" t="s">
        <v>278</v>
      </c>
      <c r="AG181" s="77" t="s">
        <v>278</v>
      </c>
      <c r="AH181" s="77" t="s">
        <v>278</v>
      </c>
      <c r="AI181" s="107">
        <f t="shared" si="72"/>
        <v>6</v>
      </c>
      <c r="AJ181" s="111">
        <v>6</v>
      </c>
      <c r="AK181" s="77" t="s">
        <v>278</v>
      </c>
      <c r="AL181" s="77" t="s">
        <v>278</v>
      </c>
      <c r="AM181" s="77" t="s">
        <v>278</v>
      </c>
      <c r="AN181" s="115">
        <f t="shared" si="74"/>
        <v>6</v>
      </c>
      <c r="AO181" s="91"/>
    </row>
    <row r="182" spans="1:41" ht="79.5" customHeight="1">
      <c r="A182" s="94" t="s">
        <v>140</v>
      </c>
      <c r="B182" s="40" t="s">
        <v>527</v>
      </c>
      <c r="C182" s="92" t="s">
        <v>85</v>
      </c>
      <c r="D182" s="11" t="s">
        <v>228</v>
      </c>
      <c r="E182" s="117">
        <f t="shared" si="67"/>
        <v>0</v>
      </c>
      <c r="F182" s="90">
        <f>20-20</f>
        <v>0</v>
      </c>
      <c r="G182" s="26" t="s">
        <v>278</v>
      </c>
      <c r="H182" s="26" t="s">
        <v>278</v>
      </c>
      <c r="I182" s="26" t="s">
        <v>278</v>
      </c>
      <c r="J182" s="107">
        <f t="shared" si="68"/>
        <v>20</v>
      </c>
      <c r="K182" s="111">
        <v>20</v>
      </c>
      <c r="L182" s="77" t="s">
        <v>278</v>
      </c>
      <c r="M182" s="77" t="s">
        <v>278</v>
      </c>
      <c r="N182" s="77" t="s">
        <v>278</v>
      </c>
      <c r="O182" s="107">
        <f t="shared" si="69"/>
        <v>20</v>
      </c>
      <c r="P182" s="113">
        <v>20</v>
      </c>
      <c r="Q182" s="77" t="s">
        <v>278</v>
      </c>
      <c r="R182" s="77" t="s">
        <v>278</v>
      </c>
      <c r="S182" s="77" t="s">
        <v>278</v>
      </c>
      <c r="T182" s="107">
        <f t="shared" si="70"/>
        <v>25</v>
      </c>
      <c r="U182" s="113">
        <v>25</v>
      </c>
      <c r="V182" s="77" t="s">
        <v>278</v>
      </c>
      <c r="W182" s="77" t="s">
        <v>278</v>
      </c>
      <c r="X182" s="77" t="s">
        <v>278</v>
      </c>
      <c r="Y182" s="107">
        <f t="shared" si="71"/>
        <v>25</v>
      </c>
      <c r="Z182" s="113">
        <v>25</v>
      </c>
      <c r="AA182" s="77" t="s">
        <v>278</v>
      </c>
      <c r="AB182" s="77" t="s">
        <v>278</v>
      </c>
      <c r="AC182" s="77" t="s">
        <v>278</v>
      </c>
      <c r="AD182" s="107">
        <f t="shared" si="73"/>
        <v>25</v>
      </c>
      <c r="AE182" s="111">
        <v>25</v>
      </c>
      <c r="AF182" s="77" t="s">
        <v>278</v>
      </c>
      <c r="AG182" s="77" t="s">
        <v>278</v>
      </c>
      <c r="AH182" s="77" t="s">
        <v>278</v>
      </c>
      <c r="AI182" s="107">
        <f t="shared" si="72"/>
        <v>20</v>
      </c>
      <c r="AJ182" s="111">
        <v>20</v>
      </c>
      <c r="AK182" s="77" t="s">
        <v>278</v>
      </c>
      <c r="AL182" s="77" t="s">
        <v>278</v>
      </c>
      <c r="AM182" s="77" t="s">
        <v>278</v>
      </c>
      <c r="AN182" s="115">
        <f t="shared" si="74"/>
        <v>135</v>
      </c>
      <c r="AO182" s="91"/>
    </row>
    <row r="183" spans="1:41" ht="78.75">
      <c r="A183" s="94" t="s">
        <v>141</v>
      </c>
      <c r="B183" s="40" t="s">
        <v>528</v>
      </c>
      <c r="C183" s="92" t="s">
        <v>128</v>
      </c>
      <c r="D183" s="11" t="s">
        <v>228</v>
      </c>
      <c r="E183" s="107">
        <f t="shared" si="67"/>
        <v>5</v>
      </c>
      <c r="F183" s="111">
        <v>5</v>
      </c>
      <c r="G183" s="26" t="s">
        <v>278</v>
      </c>
      <c r="H183" s="26" t="s">
        <v>278</v>
      </c>
      <c r="I183" s="26" t="s">
        <v>278</v>
      </c>
      <c r="J183" s="76">
        <f t="shared" si="68"/>
        <v>0</v>
      </c>
      <c r="K183" s="76">
        <f>5-5</f>
        <v>0</v>
      </c>
      <c r="L183" s="77" t="s">
        <v>278</v>
      </c>
      <c r="M183" s="77" t="s">
        <v>278</v>
      </c>
      <c r="N183" s="77" t="s">
        <v>278</v>
      </c>
      <c r="O183" s="107">
        <f t="shared" si="69"/>
        <v>5</v>
      </c>
      <c r="P183" s="113">
        <v>5</v>
      </c>
      <c r="Q183" s="77" t="s">
        <v>278</v>
      </c>
      <c r="R183" s="77" t="s">
        <v>278</v>
      </c>
      <c r="S183" s="77" t="s">
        <v>278</v>
      </c>
      <c r="T183" s="107">
        <f t="shared" si="70"/>
        <v>5</v>
      </c>
      <c r="U183" s="113">
        <v>5</v>
      </c>
      <c r="V183" s="77" t="s">
        <v>278</v>
      </c>
      <c r="W183" s="77" t="s">
        <v>278</v>
      </c>
      <c r="X183" s="77" t="s">
        <v>278</v>
      </c>
      <c r="Y183" s="107">
        <f t="shared" si="71"/>
        <v>5</v>
      </c>
      <c r="Z183" s="113">
        <v>5</v>
      </c>
      <c r="AA183" s="77" t="s">
        <v>278</v>
      </c>
      <c r="AB183" s="77" t="s">
        <v>278</v>
      </c>
      <c r="AC183" s="77" t="s">
        <v>278</v>
      </c>
      <c r="AD183" s="107">
        <f t="shared" si="73"/>
        <v>5</v>
      </c>
      <c r="AE183" s="111">
        <v>5</v>
      </c>
      <c r="AF183" s="77" t="s">
        <v>278</v>
      </c>
      <c r="AG183" s="77" t="s">
        <v>278</v>
      </c>
      <c r="AH183" s="77" t="s">
        <v>278</v>
      </c>
      <c r="AI183" s="107">
        <f t="shared" si="72"/>
        <v>8</v>
      </c>
      <c r="AJ183" s="111">
        <v>8</v>
      </c>
      <c r="AK183" s="77" t="s">
        <v>278</v>
      </c>
      <c r="AL183" s="77" t="s">
        <v>278</v>
      </c>
      <c r="AM183" s="77" t="s">
        <v>278</v>
      </c>
      <c r="AN183" s="115">
        <f t="shared" si="74"/>
        <v>33</v>
      </c>
      <c r="AO183" s="91"/>
    </row>
    <row r="184" spans="1:41" ht="47.25">
      <c r="A184" s="94" t="s">
        <v>142</v>
      </c>
      <c r="B184" s="40" t="s">
        <v>124</v>
      </c>
      <c r="C184" s="92" t="s">
        <v>268</v>
      </c>
      <c r="D184" s="11" t="s">
        <v>228</v>
      </c>
      <c r="E184" s="76">
        <f t="shared" si="67"/>
        <v>0</v>
      </c>
      <c r="F184" s="26" t="s">
        <v>278</v>
      </c>
      <c r="G184" s="26" t="s">
        <v>278</v>
      </c>
      <c r="H184" s="26" t="s">
        <v>278</v>
      </c>
      <c r="I184" s="26" t="s">
        <v>278</v>
      </c>
      <c r="J184" s="76">
        <f t="shared" si="68"/>
        <v>0</v>
      </c>
      <c r="K184" s="11" t="s">
        <v>278</v>
      </c>
      <c r="L184" s="77" t="s">
        <v>278</v>
      </c>
      <c r="M184" s="77" t="s">
        <v>278</v>
      </c>
      <c r="N184" s="77" t="s">
        <v>278</v>
      </c>
      <c r="O184" s="76">
        <f t="shared" si="69"/>
        <v>0</v>
      </c>
      <c r="P184" s="77" t="s">
        <v>278</v>
      </c>
      <c r="Q184" s="77" t="s">
        <v>278</v>
      </c>
      <c r="R184" s="77" t="s">
        <v>278</v>
      </c>
      <c r="S184" s="77" t="s">
        <v>278</v>
      </c>
      <c r="T184" s="76">
        <f t="shared" si="70"/>
        <v>0</v>
      </c>
      <c r="U184" s="77" t="s">
        <v>278</v>
      </c>
      <c r="V184" s="77" t="s">
        <v>278</v>
      </c>
      <c r="W184" s="77" t="s">
        <v>278</v>
      </c>
      <c r="X184" s="77" t="s">
        <v>278</v>
      </c>
      <c r="Y184" s="76">
        <f t="shared" si="71"/>
        <v>0</v>
      </c>
      <c r="Z184" s="77" t="s">
        <v>278</v>
      </c>
      <c r="AA184" s="77" t="s">
        <v>278</v>
      </c>
      <c r="AB184" s="77" t="s">
        <v>278</v>
      </c>
      <c r="AC184" s="77" t="s">
        <v>278</v>
      </c>
      <c r="AD184" s="76">
        <f t="shared" si="73"/>
        <v>0</v>
      </c>
      <c r="AE184" s="77" t="s">
        <v>278</v>
      </c>
      <c r="AF184" s="77" t="s">
        <v>278</v>
      </c>
      <c r="AG184" s="77" t="s">
        <v>278</v>
      </c>
      <c r="AH184" s="77" t="s">
        <v>278</v>
      </c>
      <c r="AI184" s="107">
        <f t="shared" si="72"/>
        <v>10</v>
      </c>
      <c r="AJ184" s="111">
        <v>10</v>
      </c>
      <c r="AK184" s="77" t="s">
        <v>278</v>
      </c>
      <c r="AL184" s="77" t="s">
        <v>278</v>
      </c>
      <c r="AM184" s="77" t="s">
        <v>278</v>
      </c>
      <c r="AN184" s="115">
        <f t="shared" si="74"/>
        <v>10</v>
      </c>
      <c r="AO184" s="91"/>
    </row>
    <row r="185" spans="1:41" ht="96" customHeight="1">
      <c r="A185" s="94" t="s">
        <v>143</v>
      </c>
      <c r="B185" s="40" t="s">
        <v>529</v>
      </c>
      <c r="C185" s="92" t="s">
        <v>129</v>
      </c>
      <c r="D185" s="11" t="s">
        <v>228</v>
      </c>
      <c r="E185" s="107">
        <f t="shared" si="67"/>
        <v>4</v>
      </c>
      <c r="F185" s="111">
        <f>7-3</f>
        <v>4</v>
      </c>
      <c r="G185" s="26" t="s">
        <v>278</v>
      </c>
      <c r="H185" s="26" t="s">
        <v>278</v>
      </c>
      <c r="I185" s="26" t="s">
        <v>278</v>
      </c>
      <c r="J185" s="107">
        <f t="shared" si="68"/>
        <v>4</v>
      </c>
      <c r="K185" s="111">
        <v>4</v>
      </c>
      <c r="L185" s="77" t="s">
        <v>278</v>
      </c>
      <c r="M185" s="77" t="s">
        <v>278</v>
      </c>
      <c r="N185" s="77" t="s">
        <v>278</v>
      </c>
      <c r="O185" s="107">
        <f t="shared" si="69"/>
        <v>4</v>
      </c>
      <c r="P185" s="113">
        <v>4</v>
      </c>
      <c r="Q185" s="77" t="s">
        <v>278</v>
      </c>
      <c r="R185" s="77" t="s">
        <v>278</v>
      </c>
      <c r="S185" s="77" t="s">
        <v>278</v>
      </c>
      <c r="T185" s="107">
        <f t="shared" si="70"/>
        <v>4</v>
      </c>
      <c r="U185" s="113">
        <v>4</v>
      </c>
      <c r="V185" s="77" t="s">
        <v>278</v>
      </c>
      <c r="W185" s="77" t="s">
        <v>278</v>
      </c>
      <c r="X185" s="77" t="s">
        <v>278</v>
      </c>
      <c r="Y185" s="107">
        <f t="shared" si="71"/>
        <v>4</v>
      </c>
      <c r="Z185" s="113">
        <v>4</v>
      </c>
      <c r="AA185" s="77" t="s">
        <v>278</v>
      </c>
      <c r="AB185" s="77" t="s">
        <v>278</v>
      </c>
      <c r="AC185" s="77" t="s">
        <v>278</v>
      </c>
      <c r="AD185" s="107">
        <f t="shared" si="73"/>
        <v>4</v>
      </c>
      <c r="AE185" s="113">
        <v>4</v>
      </c>
      <c r="AF185" s="77" t="s">
        <v>278</v>
      </c>
      <c r="AG185" s="77" t="s">
        <v>278</v>
      </c>
      <c r="AH185" s="77" t="s">
        <v>278</v>
      </c>
      <c r="AI185" s="107">
        <f t="shared" si="72"/>
        <v>7</v>
      </c>
      <c r="AJ185" s="111">
        <v>7</v>
      </c>
      <c r="AK185" s="77" t="s">
        <v>278</v>
      </c>
      <c r="AL185" s="77" t="s">
        <v>278</v>
      </c>
      <c r="AM185" s="77" t="s">
        <v>278</v>
      </c>
      <c r="AN185" s="115">
        <f t="shared" si="74"/>
        <v>31</v>
      </c>
      <c r="AO185" s="91"/>
    </row>
    <row r="186" spans="1:41" ht="82.5" customHeight="1">
      <c r="A186" s="94" t="s">
        <v>144</v>
      </c>
      <c r="B186" s="40" t="s">
        <v>530</v>
      </c>
      <c r="C186" s="92" t="s">
        <v>130</v>
      </c>
      <c r="D186" s="11" t="s">
        <v>228</v>
      </c>
      <c r="E186" s="107">
        <f t="shared" si="67"/>
        <v>20</v>
      </c>
      <c r="F186" s="111">
        <v>20</v>
      </c>
      <c r="G186" s="26" t="s">
        <v>278</v>
      </c>
      <c r="H186" s="26" t="s">
        <v>278</v>
      </c>
      <c r="I186" s="26" t="s">
        <v>278</v>
      </c>
      <c r="J186" s="107">
        <f t="shared" si="68"/>
        <v>19</v>
      </c>
      <c r="K186" s="111">
        <f>20+5-5-1</f>
        <v>19</v>
      </c>
      <c r="L186" s="77" t="s">
        <v>278</v>
      </c>
      <c r="M186" s="77" t="s">
        <v>278</v>
      </c>
      <c r="N186" s="77" t="s">
        <v>278</v>
      </c>
      <c r="O186" s="76">
        <f t="shared" si="69"/>
        <v>0</v>
      </c>
      <c r="P186" s="134">
        <f>20-20</f>
        <v>0</v>
      </c>
      <c r="Q186" s="77" t="s">
        <v>278</v>
      </c>
      <c r="R186" s="77" t="s">
        <v>278</v>
      </c>
      <c r="S186" s="77" t="s">
        <v>278</v>
      </c>
      <c r="T186" s="107">
        <f t="shared" si="70"/>
        <v>25</v>
      </c>
      <c r="U186" s="113">
        <v>25</v>
      </c>
      <c r="V186" s="77" t="s">
        <v>278</v>
      </c>
      <c r="W186" s="77" t="s">
        <v>278</v>
      </c>
      <c r="X186" s="77" t="s">
        <v>278</v>
      </c>
      <c r="Y186" s="107">
        <f t="shared" si="71"/>
        <v>25</v>
      </c>
      <c r="Z186" s="113">
        <v>25</v>
      </c>
      <c r="AA186" s="77" t="s">
        <v>278</v>
      </c>
      <c r="AB186" s="77" t="s">
        <v>278</v>
      </c>
      <c r="AC186" s="77" t="s">
        <v>278</v>
      </c>
      <c r="AD186" s="107">
        <f t="shared" si="73"/>
        <v>25</v>
      </c>
      <c r="AE186" s="111">
        <v>25</v>
      </c>
      <c r="AF186" s="77" t="s">
        <v>278</v>
      </c>
      <c r="AG186" s="77" t="s">
        <v>278</v>
      </c>
      <c r="AH186" s="77" t="s">
        <v>278</v>
      </c>
      <c r="AI186" s="107">
        <f t="shared" si="72"/>
        <v>20</v>
      </c>
      <c r="AJ186" s="111">
        <v>20</v>
      </c>
      <c r="AK186" s="77" t="s">
        <v>278</v>
      </c>
      <c r="AL186" s="77" t="s">
        <v>278</v>
      </c>
      <c r="AM186" s="77" t="s">
        <v>278</v>
      </c>
      <c r="AN186" s="115">
        <f t="shared" si="74"/>
        <v>134</v>
      </c>
      <c r="AO186" s="91"/>
    </row>
    <row r="187" spans="1:41" ht="79.5" customHeight="1">
      <c r="A187" s="94" t="s">
        <v>145</v>
      </c>
      <c r="B187" s="40" t="s">
        <v>531</v>
      </c>
      <c r="C187" s="92" t="s">
        <v>131</v>
      </c>
      <c r="D187" s="11" t="s">
        <v>228</v>
      </c>
      <c r="E187" s="76">
        <f t="shared" si="67"/>
        <v>0</v>
      </c>
      <c r="F187" s="26" t="s">
        <v>278</v>
      </c>
      <c r="G187" s="26" t="s">
        <v>278</v>
      </c>
      <c r="H187" s="26" t="s">
        <v>278</v>
      </c>
      <c r="I187" s="26" t="s">
        <v>278</v>
      </c>
      <c r="J187" s="76">
        <f t="shared" si="68"/>
        <v>0</v>
      </c>
      <c r="K187" s="11" t="s">
        <v>278</v>
      </c>
      <c r="L187" s="77" t="s">
        <v>278</v>
      </c>
      <c r="M187" s="77" t="s">
        <v>278</v>
      </c>
      <c r="N187" s="77" t="s">
        <v>278</v>
      </c>
      <c r="O187" s="76">
        <f t="shared" si="69"/>
        <v>0</v>
      </c>
      <c r="P187" s="77" t="s">
        <v>278</v>
      </c>
      <c r="Q187" s="77" t="s">
        <v>278</v>
      </c>
      <c r="R187" s="77" t="s">
        <v>278</v>
      </c>
      <c r="S187" s="77" t="s">
        <v>278</v>
      </c>
      <c r="T187" s="76">
        <f t="shared" si="70"/>
        <v>0</v>
      </c>
      <c r="U187" s="77" t="s">
        <v>278</v>
      </c>
      <c r="V187" s="77" t="s">
        <v>278</v>
      </c>
      <c r="W187" s="77" t="s">
        <v>278</v>
      </c>
      <c r="X187" s="77" t="s">
        <v>278</v>
      </c>
      <c r="Y187" s="76">
        <f t="shared" si="71"/>
        <v>0</v>
      </c>
      <c r="Z187" s="77" t="s">
        <v>278</v>
      </c>
      <c r="AA187" s="77" t="s">
        <v>278</v>
      </c>
      <c r="AB187" s="77" t="s">
        <v>278</v>
      </c>
      <c r="AC187" s="77" t="s">
        <v>278</v>
      </c>
      <c r="AD187" s="76">
        <f t="shared" si="73"/>
        <v>0</v>
      </c>
      <c r="AE187" s="77" t="s">
        <v>278</v>
      </c>
      <c r="AF187" s="77" t="s">
        <v>278</v>
      </c>
      <c r="AG187" s="77" t="s">
        <v>278</v>
      </c>
      <c r="AH187" s="77" t="s">
        <v>278</v>
      </c>
      <c r="AI187" s="107">
        <f t="shared" si="72"/>
        <v>5</v>
      </c>
      <c r="AJ187" s="111">
        <v>5</v>
      </c>
      <c r="AK187" s="77" t="s">
        <v>278</v>
      </c>
      <c r="AL187" s="77" t="s">
        <v>278</v>
      </c>
      <c r="AM187" s="77" t="s">
        <v>278</v>
      </c>
      <c r="AN187" s="115">
        <f t="shared" si="74"/>
        <v>5</v>
      </c>
      <c r="AO187" s="91"/>
    </row>
    <row r="188" spans="1:41" ht="98.25" customHeight="1">
      <c r="A188" s="94" t="s">
        <v>146</v>
      </c>
      <c r="B188" s="40" t="s">
        <v>532</v>
      </c>
      <c r="C188" s="92" t="s">
        <v>130</v>
      </c>
      <c r="D188" s="11" t="s">
        <v>228</v>
      </c>
      <c r="E188" s="107">
        <f t="shared" si="67"/>
        <v>20</v>
      </c>
      <c r="F188" s="111">
        <v>20</v>
      </c>
      <c r="G188" s="26" t="s">
        <v>278</v>
      </c>
      <c r="H188" s="26" t="s">
        <v>278</v>
      </c>
      <c r="I188" s="26" t="s">
        <v>278</v>
      </c>
      <c r="J188" s="107">
        <f t="shared" si="68"/>
        <v>56.2</v>
      </c>
      <c r="K188" s="111">
        <f>20+1+20+14.81+0.39</f>
        <v>56.2</v>
      </c>
      <c r="L188" s="77" t="s">
        <v>278</v>
      </c>
      <c r="M188" s="77" t="s">
        <v>278</v>
      </c>
      <c r="N188" s="77" t="s">
        <v>278</v>
      </c>
      <c r="O188" s="107">
        <f t="shared" si="69"/>
        <v>45</v>
      </c>
      <c r="P188" s="113">
        <f>20+5+20</f>
        <v>45</v>
      </c>
      <c r="Q188" s="77" t="s">
        <v>278</v>
      </c>
      <c r="R188" s="77" t="s">
        <v>278</v>
      </c>
      <c r="S188" s="77" t="s">
        <v>278</v>
      </c>
      <c r="T188" s="107">
        <f t="shared" si="70"/>
        <v>56</v>
      </c>
      <c r="U188" s="113">
        <v>56</v>
      </c>
      <c r="V188" s="77" t="s">
        <v>278</v>
      </c>
      <c r="W188" s="77" t="s">
        <v>278</v>
      </c>
      <c r="X188" s="77" t="s">
        <v>278</v>
      </c>
      <c r="Y188" s="107">
        <f t="shared" si="71"/>
        <v>56</v>
      </c>
      <c r="Z188" s="113">
        <v>56</v>
      </c>
      <c r="AA188" s="77" t="s">
        <v>278</v>
      </c>
      <c r="AB188" s="77" t="s">
        <v>278</v>
      </c>
      <c r="AC188" s="77" t="s">
        <v>278</v>
      </c>
      <c r="AD188" s="107">
        <f t="shared" si="73"/>
        <v>56</v>
      </c>
      <c r="AE188" s="113">
        <v>56</v>
      </c>
      <c r="AF188" s="77" t="s">
        <v>278</v>
      </c>
      <c r="AG188" s="77" t="s">
        <v>278</v>
      </c>
      <c r="AH188" s="77" t="s">
        <v>278</v>
      </c>
      <c r="AI188" s="107">
        <f t="shared" si="72"/>
        <v>30</v>
      </c>
      <c r="AJ188" s="111">
        <v>30</v>
      </c>
      <c r="AK188" s="77" t="s">
        <v>278</v>
      </c>
      <c r="AL188" s="77" t="s">
        <v>278</v>
      </c>
      <c r="AM188" s="77" t="s">
        <v>278</v>
      </c>
      <c r="AN188" s="115">
        <f t="shared" si="74"/>
        <v>319.2</v>
      </c>
      <c r="AO188" s="91"/>
    </row>
    <row r="189" spans="1:41" ht="81.75" customHeight="1">
      <c r="A189" s="94" t="s">
        <v>182</v>
      </c>
      <c r="B189" s="40" t="s">
        <v>533</v>
      </c>
      <c r="C189" s="92" t="s">
        <v>446</v>
      </c>
      <c r="D189" s="11" t="s">
        <v>228</v>
      </c>
      <c r="E189" s="107">
        <f t="shared" si="67"/>
        <v>20</v>
      </c>
      <c r="F189" s="111">
        <v>20</v>
      </c>
      <c r="G189" s="26" t="s">
        <v>278</v>
      </c>
      <c r="H189" s="26" t="s">
        <v>278</v>
      </c>
      <c r="I189" s="26" t="s">
        <v>278</v>
      </c>
      <c r="J189" s="107">
        <f t="shared" si="68"/>
        <v>5</v>
      </c>
      <c r="K189" s="111">
        <f>20+5-20</f>
        <v>5</v>
      </c>
      <c r="L189" s="77" t="s">
        <v>278</v>
      </c>
      <c r="M189" s="77" t="s">
        <v>278</v>
      </c>
      <c r="N189" s="77" t="s">
        <v>278</v>
      </c>
      <c r="O189" s="107">
        <f t="shared" si="69"/>
        <v>15</v>
      </c>
      <c r="P189" s="113">
        <f>20-5</f>
        <v>15</v>
      </c>
      <c r="Q189" s="77" t="s">
        <v>278</v>
      </c>
      <c r="R189" s="77" t="s">
        <v>278</v>
      </c>
      <c r="S189" s="77" t="s">
        <v>278</v>
      </c>
      <c r="T189" s="107">
        <f t="shared" si="70"/>
        <v>25</v>
      </c>
      <c r="U189" s="113">
        <v>25</v>
      </c>
      <c r="V189" s="77" t="s">
        <v>278</v>
      </c>
      <c r="W189" s="77" t="s">
        <v>278</v>
      </c>
      <c r="X189" s="77" t="s">
        <v>278</v>
      </c>
      <c r="Y189" s="107">
        <f t="shared" si="71"/>
        <v>25</v>
      </c>
      <c r="Z189" s="113">
        <v>25</v>
      </c>
      <c r="AA189" s="77" t="s">
        <v>278</v>
      </c>
      <c r="AB189" s="77" t="s">
        <v>278</v>
      </c>
      <c r="AC189" s="77" t="s">
        <v>278</v>
      </c>
      <c r="AD189" s="107">
        <f t="shared" si="73"/>
        <v>25</v>
      </c>
      <c r="AE189" s="111">
        <v>25</v>
      </c>
      <c r="AF189" s="77" t="s">
        <v>278</v>
      </c>
      <c r="AG189" s="77" t="s">
        <v>278</v>
      </c>
      <c r="AH189" s="77" t="s">
        <v>278</v>
      </c>
      <c r="AI189" s="107">
        <f t="shared" si="72"/>
        <v>71</v>
      </c>
      <c r="AJ189" s="111">
        <v>71</v>
      </c>
      <c r="AK189" s="77" t="s">
        <v>278</v>
      </c>
      <c r="AL189" s="77" t="s">
        <v>278</v>
      </c>
      <c r="AM189" s="77" t="s">
        <v>278</v>
      </c>
      <c r="AN189" s="115">
        <f t="shared" si="74"/>
        <v>186</v>
      </c>
      <c r="AO189" s="91"/>
    </row>
    <row r="190" spans="1:41" ht="83.25" customHeight="1">
      <c r="A190" s="94" t="s">
        <v>197</v>
      </c>
      <c r="B190" s="128" t="s">
        <v>534</v>
      </c>
      <c r="C190" s="92" t="s">
        <v>445</v>
      </c>
      <c r="D190" s="11" t="s">
        <v>228</v>
      </c>
      <c r="E190" s="107">
        <f t="shared" si="67"/>
        <v>5</v>
      </c>
      <c r="F190" s="111">
        <v>5</v>
      </c>
      <c r="G190" s="26" t="s">
        <v>278</v>
      </c>
      <c r="H190" s="26" t="s">
        <v>278</v>
      </c>
      <c r="I190" s="26" t="s">
        <v>278</v>
      </c>
      <c r="J190" s="107">
        <f t="shared" si="68"/>
        <v>4.6</v>
      </c>
      <c r="K190" s="111">
        <f>5-0.39</f>
        <v>4.6</v>
      </c>
      <c r="L190" s="77" t="s">
        <v>278</v>
      </c>
      <c r="M190" s="77" t="s">
        <v>278</v>
      </c>
      <c r="N190" s="77" t="s">
        <v>278</v>
      </c>
      <c r="O190" s="107">
        <f t="shared" si="69"/>
        <v>5</v>
      </c>
      <c r="P190" s="113">
        <v>5</v>
      </c>
      <c r="Q190" s="77" t="s">
        <v>278</v>
      </c>
      <c r="R190" s="77" t="s">
        <v>278</v>
      </c>
      <c r="S190" s="77" t="s">
        <v>278</v>
      </c>
      <c r="T190" s="107">
        <f t="shared" si="70"/>
        <v>5</v>
      </c>
      <c r="U190" s="113">
        <v>5</v>
      </c>
      <c r="V190" s="77" t="s">
        <v>278</v>
      </c>
      <c r="W190" s="77" t="s">
        <v>278</v>
      </c>
      <c r="X190" s="77" t="s">
        <v>278</v>
      </c>
      <c r="Y190" s="107">
        <f t="shared" si="71"/>
        <v>5</v>
      </c>
      <c r="Z190" s="113">
        <v>5</v>
      </c>
      <c r="AA190" s="77" t="s">
        <v>278</v>
      </c>
      <c r="AB190" s="77" t="s">
        <v>278</v>
      </c>
      <c r="AC190" s="77" t="s">
        <v>278</v>
      </c>
      <c r="AD190" s="107">
        <f t="shared" si="73"/>
        <v>5</v>
      </c>
      <c r="AE190" s="111">
        <v>5</v>
      </c>
      <c r="AF190" s="77" t="s">
        <v>278</v>
      </c>
      <c r="AG190" s="77" t="s">
        <v>278</v>
      </c>
      <c r="AH190" s="77" t="s">
        <v>278</v>
      </c>
      <c r="AI190" s="107">
        <f t="shared" si="72"/>
        <v>15</v>
      </c>
      <c r="AJ190" s="111">
        <v>15</v>
      </c>
      <c r="AK190" s="77" t="s">
        <v>278</v>
      </c>
      <c r="AL190" s="77" t="s">
        <v>278</v>
      </c>
      <c r="AM190" s="77" t="s">
        <v>278</v>
      </c>
      <c r="AN190" s="115">
        <f t="shared" si="74"/>
        <v>44.6</v>
      </c>
      <c r="AO190" s="91"/>
    </row>
    <row r="191" spans="1:41" ht="113.25" customHeight="1">
      <c r="A191" s="94" t="s">
        <v>198</v>
      </c>
      <c r="B191" s="128" t="s">
        <v>535</v>
      </c>
      <c r="C191" s="11" t="s">
        <v>127</v>
      </c>
      <c r="D191" s="11" t="s">
        <v>228</v>
      </c>
      <c r="E191" s="76">
        <f t="shared" si="67"/>
        <v>0</v>
      </c>
      <c r="F191" s="26" t="s">
        <v>278</v>
      </c>
      <c r="G191" s="26" t="s">
        <v>278</v>
      </c>
      <c r="H191" s="26" t="s">
        <v>278</v>
      </c>
      <c r="I191" s="26" t="s">
        <v>278</v>
      </c>
      <c r="J191" s="76">
        <f t="shared" si="68"/>
        <v>0</v>
      </c>
      <c r="K191" s="11" t="s">
        <v>278</v>
      </c>
      <c r="L191" s="77" t="s">
        <v>278</v>
      </c>
      <c r="M191" s="77" t="s">
        <v>278</v>
      </c>
      <c r="N191" s="77" t="s">
        <v>278</v>
      </c>
      <c r="O191" s="76">
        <f t="shared" si="69"/>
        <v>0</v>
      </c>
      <c r="P191" s="77" t="s">
        <v>278</v>
      </c>
      <c r="Q191" s="77" t="s">
        <v>278</v>
      </c>
      <c r="R191" s="77" t="s">
        <v>278</v>
      </c>
      <c r="S191" s="77" t="s">
        <v>278</v>
      </c>
      <c r="T191" s="76">
        <f t="shared" si="70"/>
        <v>0</v>
      </c>
      <c r="U191" s="77" t="s">
        <v>278</v>
      </c>
      <c r="V191" s="77" t="s">
        <v>278</v>
      </c>
      <c r="W191" s="77" t="s">
        <v>278</v>
      </c>
      <c r="X191" s="77" t="s">
        <v>278</v>
      </c>
      <c r="Y191" s="76">
        <f t="shared" si="71"/>
        <v>0</v>
      </c>
      <c r="Z191" s="77" t="s">
        <v>278</v>
      </c>
      <c r="AA191" s="77" t="s">
        <v>278</v>
      </c>
      <c r="AB191" s="77" t="s">
        <v>278</v>
      </c>
      <c r="AC191" s="77" t="s">
        <v>278</v>
      </c>
      <c r="AD191" s="76">
        <f t="shared" si="73"/>
        <v>0</v>
      </c>
      <c r="AE191" s="77" t="s">
        <v>278</v>
      </c>
      <c r="AF191" s="77" t="s">
        <v>278</v>
      </c>
      <c r="AG191" s="77" t="s">
        <v>278</v>
      </c>
      <c r="AH191" s="77" t="s">
        <v>278</v>
      </c>
      <c r="AI191" s="107">
        <f t="shared" si="72"/>
        <v>30</v>
      </c>
      <c r="AJ191" s="111">
        <v>30</v>
      </c>
      <c r="AK191" s="77" t="s">
        <v>278</v>
      </c>
      <c r="AL191" s="77" t="s">
        <v>278</v>
      </c>
      <c r="AM191" s="77" t="s">
        <v>278</v>
      </c>
      <c r="AN191" s="115">
        <f t="shared" si="74"/>
        <v>30</v>
      </c>
      <c r="AO191" s="91"/>
    </row>
    <row r="192" spans="1:41" ht="80.25" customHeight="1">
      <c r="A192" s="94" t="s">
        <v>218</v>
      </c>
      <c r="B192" s="128" t="s">
        <v>536</v>
      </c>
      <c r="C192" s="92" t="s">
        <v>131</v>
      </c>
      <c r="D192" s="11" t="s">
        <v>228</v>
      </c>
      <c r="E192" s="107">
        <f t="shared" si="67"/>
        <v>5</v>
      </c>
      <c r="F192" s="111">
        <v>5</v>
      </c>
      <c r="G192" s="26" t="s">
        <v>278</v>
      </c>
      <c r="H192" s="26" t="s">
        <v>278</v>
      </c>
      <c r="I192" s="26" t="s">
        <v>278</v>
      </c>
      <c r="J192" s="107">
        <f t="shared" si="68"/>
        <v>5</v>
      </c>
      <c r="K192" s="111">
        <v>5</v>
      </c>
      <c r="L192" s="77" t="s">
        <v>278</v>
      </c>
      <c r="M192" s="77" t="s">
        <v>278</v>
      </c>
      <c r="N192" s="77" t="s">
        <v>278</v>
      </c>
      <c r="O192" s="107">
        <f t="shared" si="69"/>
        <v>5</v>
      </c>
      <c r="P192" s="113">
        <v>5</v>
      </c>
      <c r="Q192" s="77" t="s">
        <v>278</v>
      </c>
      <c r="R192" s="77" t="s">
        <v>278</v>
      </c>
      <c r="S192" s="77" t="s">
        <v>278</v>
      </c>
      <c r="T192" s="107">
        <f t="shared" si="70"/>
        <v>5</v>
      </c>
      <c r="U192" s="113">
        <v>5</v>
      </c>
      <c r="V192" s="77" t="s">
        <v>278</v>
      </c>
      <c r="W192" s="77" t="s">
        <v>278</v>
      </c>
      <c r="X192" s="77" t="s">
        <v>278</v>
      </c>
      <c r="Y192" s="107">
        <f t="shared" si="71"/>
        <v>5</v>
      </c>
      <c r="Z192" s="113">
        <v>5</v>
      </c>
      <c r="AA192" s="77" t="s">
        <v>278</v>
      </c>
      <c r="AB192" s="77" t="s">
        <v>278</v>
      </c>
      <c r="AC192" s="77" t="s">
        <v>278</v>
      </c>
      <c r="AD192" s="107">
        <f t="shared" si="73"/>
        <v>5</v>
      </c>
      <c r="AE192" s="111">
        <v>5</v>
      </c>
      <c r="AF192" s="77" t="s">
        <v>278</v>
      </c>
      <c r="AG192" s="77" t="s">
        <v>278</v>
      </c>
      <c r="AH192" s="77" t="s">
        <v>278</v>
      </c>
      <c r="AI192" s="107">
        <f t="shared" si="72"/>
        <v>22</v>
      </c>
      <c r="AJ192" s="111">
        <v>22</v>
      </c>
      <c r="AK192" s="77" t="s">
        <v>278</v>
      </c>
      <c r="AL192" s="77" t="s">
        <v>278</v>
      </c>
      <c r="AM192" s="77" t="s">
        <v>278</v>
      </c>
      <c r="AN192" s="115">
        <f t="shared" si="74"/>
        <v>52</v>
      </c>
      <c r="AO192" s="91"/>
    </row>
    <row r="193" spans="1:41" ht="96" customHeight="1">
      <c r="A193" s="94" t="s">
        <v>273</v>
      </c>
      <c r="B193" s="128" t="s">
        <v>537</v>
      </c>
      <c r="C193" s="92" t="s">
        <v>272</v>
      </c>
      <c r="D193" s="11" t="s">
        <v>228</v>
      </c>
      <c r="E193" s="107">
        <f t="shared" si="67"/>
        <v>3</v>
      </c>
      <c r="F193" s="111">
        <f>3</f>
        <v>3</v>
      </c>
      <c r="G193" s="26" t="s">
        <v>278</v>
      </c>
      <c r="H193" s="26" t="s">
        <v>278</v>
      </c>
      <c r="I193" s="26" t="s">
        <v>278</v>
      </c>
      <c r="J193" s="107">
        <f t="shared" si="68"/>
        <v>3</v>
      </c>
      <c r="K193" s="111">
        <v>3</v>
      </c>
      <c r="L193" s="77" t="s">
        <v>278</v>
      </c>
      <c r="M193" s="77" t="s">
        <v>278</v>
      </c>
      <c r="N193" s="77" t="s">
        <v>278</v>
      </c>
      <c r="O193" s="107">
        <f t="shared" si="69"/>
        <v>3</v>
      </c>
      <c r="P193" s="113">
        <v>3</v>
      </c>
      <c r="Q193" s="77" t="s">
        <v>278</v>
      </c>
      <c r="R193" s="77" t="s">
        <v>278</v>
      </c>
      <c r="S193" s="77" t="s">
        <v>278</v>
      </c>
      <c r="T193" s="107">
        <f t="shared" si="70"/>
        <v>3</v>
      </c>
      <c r="U193" s="113">
        <v>3</v>
      </c>
      <c r="V193" s="77" t="s">
        <v>278</v>
      </c>
      <c r="W193" s="77" t="s">
        <v>278</v>
      </c>
      <c r="X193" s="77" t="s">
        <v>278</v>
      </c>
      <c r="Y193" s="107">
        <f t="shared" si="71"/>
        <v>3</v>
      </c>
      <c r="Z193" s="113">
        <v>3</v>
      </c>
      <c r="AA193" s="77" t="s">
        <v>278</v>
      </c>
      <c r="AB193" s="77" t="s">
        <v>278</v>
      </c>
      <c r="AC193" s="77" t="s">
        <v>278</v>
      </c>
      <c r="AD193" s="107">
        <f t="shared" si="73"/>
        <v>3</v>
      </c>
      <c r="AE193" s="111">
        <v>3</v>
      </c>
      <c r="AF193" s="77" t="s">
        <v>278</v>
      </c>
      <c r="AG193" s="77" t="s">
        <v>278</v>
      </c>
      <c r="AH193" s="77" t="s">
        <v>278</v>
      </c>
      <c r="AI193" s="107">
        <f t="shared" si="72"/>
        <v>8</v>
      </c>
      <c r="AJ193" s="111">
        <v>8</v>
      </c>
      <c r="AK193" s="77" t="s">
        <v>278</v>
      </c>
      <c r="AL193" s="77" t="s">
        <v>278</v>
      </c>
      <c r="AM193" s="77" t="s">
        <v>278</v>
      </c>
      <c r="AN193" s="115">
        <f t="shared" si="74"/>
        <v>26</v>
      </c>
      <c r="AO193" s="91"/>
    </row>
    <row r="194" spans="1:41" ht="82.5" customHeight="1">
      <c r="A194" s="94" t="s">
        <v>274</v>
      </c>
      <c r="B194" s="42" t="s">
        <v>538</v>
      </c>
      <c r="C194" s="11" t="s">
        <v>412</v>
      </c>
      <c r="D194" s="11" t="s">
        <v>228</v>
      </c>
      <c r="E194" s="117">
        <f t="shared" si="67"/>
        <v>0</v>
      </c>
      <c r="F194" s="95">
        <f>7-7</f>
        <v>0</v>
      </c>
      <c r="G194" s="26" t="s">
        <v>278</v>
      </c>
      <c r="H194" s="26" t="s">
        <v>278</v>
      </c>
      <c r="I194" s="26" t="s">
        <v>278</v>
      </c>
      <c r="J194" s="107">
        <f>SUMIF(K194:N194,"&gt;0")</f>
        <v>8</v>
      </c>
      <c r="K194" s="111">
        <f>3+5</f>
        <v>8</v>
      </c>
      <c r="L194" s="77" t="s">
        <v>278</v>
      </c>
      <c r="M194" s="77" t="s">
        <v>278</v>
      </c>
      <c r="N194" s="77" t="s">
        <v>278</v>
      </c>
      <c r="O194" s="76">
        <f t="shared" si="69"/>
        <v>0</v>
      </c>
      <c r="P194" s="77" t="s">
        <v>278</v>
      </c>
      <c r="Q194" s="77" t="s">
        <v>278</v>
      </c>
      <c r="R194" s="77" t="s">
        <v>278</v>
      </c>
      <c r="S194" s="77" t="s">
        <v>278</v>
      </c>
      <c r="T194" s="107">
        <f t="shared" si="70"/>
        <v>13</v>
      </c>
      <c r="U194" s="113">
        <f>8+5</f>
        <v>13</v>
      </c>
      <c r="V194" s="77" t="s">
        <v>278</v>
      </c>
      <c r="W194" s="77" t="s">
        <v>278</v>
      </c>
      <c r="X194" s="77" t="s">
        <v>278</v>
      </c>
      <c r="Y194" s="107">
        <f t="shared" si="71"/>
        <v>13</v>
      </c>
      <c r="Z194" s="113">
        <f>8+5</f>
        <v>13</v>
      </c>
      <c r="AA194" s="77" t="s">
        <v>278</v>
      </c>
      <c r="AB194" s="77" t="s">
        <v>278</v>
      </c>
      <c r="AC194" s="77" t="s">
        <v>278</v>
      </c>
      <c r="AD194" s="107">
        <f t="shared" si="73"/>
        <v>13</v>
      </c>
      <c r="AE194" s="113">
        <f>8+5</f>
        <v>13</v>
      </c>
      <c r="AF194" s="77" t="s">
        <v>278</v>
      </c>
      <c r="AG194" s="77" t="s">
        <v>278</v>
      </c>
      <c r="AH194" s="77" t="s">
        <v>278</v>
      </c>
      <c r="AI194" s="107">
        <f t="shared" si="72"/>
        <v>18</v>
      </c>
      <c r="AJ194" s="113">
        <v>18</v>
      </c>
      <c r="AK194" s="77" t="s">
        <v>278</v>
      </c>
      <c r="AL194" s="77" t="s">
        <v>278</v>
      </c>
      <c r="AM194" s="77" t="s">
        <v>278</v>
      </c>
      <c r="AN194" s="115">
        <f t="shared" si="74"/>
        <v>65</v>
      </c>
      <c r="AO194" s="91"/>
    </row>
    <row r="195" spans="1:41" ht="82.5" customHeight="1">
      <c r="A195" s="94" t="s">
        <v>275</v>
      </c>
      <c r="B195" s="128" t="s">
        <v>539</v>
      </c>
      <c r="C195" s="11" t="s">
        <v>413</v>
      </c>
      <c r="D195" s="96" t="s">
        <v>237</v>
      </c>
      <c r="E195" s="107">
        <f t="shared" si="67"/>
        <v>7</v>
      </c>
      <c r="F195" s="113">
        <f>3+4</f>
        <v>7</v>
      </c>
      <c r="G195" s="26" t="s">
        <v>278</v>
      </c>
      <c r="H195" s="26" t="s">
        <v>278</v>
      </c>
      <c r="I195" s="26" t="s">
        <v>278</v>
      </c>
      <c r="J195" s="107">
        <f>SUMIF(K195:N195,"&gt;0")</f>
        <v>3</v>
      </c>
      <c r="K195" s="111">
        <v>3</v>
      </c>
      <c r="L195" s="77" t="s">
        <v>278</v>
      </c>
      <c r="M195" s="77" t="s">
        <v>278</v>
      </c>
      <c r="N195" s="77" t="s">
        <v>278</v>
      </c>
      <c r="O195" s="107">
        <f t="shared" si="69"/>
        <v>3</v>
      </c>
      <c r="P195" s="113">
        <v>3</v>
      </c>
      <c r="Q195" s="77" t="s">
        <v>278</v>
      </c>
      <c r="R195" s="77" t="s">
        <v>278</v>
      </c>
      <c r="S195" s="77" t="s">
        <v>278</v>
      </c>
      <c r="T195" s="107">
        <f>SUMIF(U195:X195,"&gt;0")</f>
        <v>9</v>
      </c>
      <c r="U195" s="113">
        <f>3+1+5</f>
        <v>9</v>
      </c>
      <c r="V195" s="77" t="s">
        <v>278</v>
      </c>
      <c r="W195" s="77" t="s">
        <v>278</v>
      </c>
      <c r="X195" s="77" t="s">
        <v>278</v>
      </c>
      <c r="Y195" s="107">
        <f>SUMIF(Z195:AC195,"&gt;0")</f>
        <v>9</v>
      </c>
      <c r="Z195" s="113">
        <f>3+1+5</f>
        <v>9</v>
      </c>
      <c r="AA195" s="77" t="s">
        <v>278</v>
      </c>
      <c r="AB195" s="77" t="s">
        <v>278</v>
      </c>
      <c r="AC195" s="77" t="s">
        <v>278</v>
      </c>
      <c r="AD195" s="107">
        <f>SUMIF(AE195:AH195,"&gt;0")</f>
        <v>9</v>
      </c>
      <c r="AE195" s="113">
        <f>3+1+5</f>
        <v>9</v>
      </c>
      <c r="AF195" s="77" t="s">
        <v>278</v>
      </c>
      <c r="AG195" s="77" t="s">
        <v>278</v>
      </c>
      <c r="AH195" s="77" t="s">
        <v>278</v>
      </c>
      <c r="AI195" s="107">
        <f t="shared" si="72"/>
        <v>5</v>
      </c>
      <c r="AJ195" s="113">
        <v>5</v>
      </c>
      <c r="AK195" s="77" t="s">
        <v>278</v>
      </c>
      <c r="AL195" s="77" t="s">
        <v>278</v>
      </c>
      <c r="AM195" s="77" t="s">
        <v>278</v>
      </c>
      <c r="AN195" s="115">
        <f t="shared" si="74"/>
        <v>45</v>
      </c>
      <c r="AO195" s="91"/>
    </row>
    <row r="196" spans="1:41" ht="81.75" customHeight="1">
      <c r="A196" s="94" t="s">
        <v>238</v>
      </c>
      <c r="B196" s="42" t="s">
        <v>540</v>
      </c>
      <c r="C196" s="11" t="s">
        <v>414</v>
      </c>
      <c r="D196" s="11" t="s">
        <v>237</v>
      </c>
      <c r="E196" s="107">
        <f t="shared" si="67"/>
        <v>3</v>
      </c>
      <c r="F196" s="113">
        <v>3</v>
      </c>
      <c r="G196" s="26" t="s">
        <v>278</v>
      </c>
      <c r="H196" s="26" t="s">
        <v>278</v>
      </c>
      <c r="I196" s="26" t="s">
        <v>278</v>
      </c>
      <c r="J196" s="107">
        <f>SUMIF(K196:N196,"&gt;0")</f>
        <v>3</v>
      </c>
      <c r="K196" s="111">
        <v>3</v>
      </c>
      <c r="L196" s="77" t="s">
        <v>278</v>
      </c>
      <c r="M196" s="77" t="s">
        <v>278</v>
      </c>
      <c r="N196" s="77" t="s">
        <v>278</v>
      </c>
      <c r="O196" s="107">
        <f t="shared" si="69"/>
        <v>3</v>
      </c>
      <c r="P196" s="113">
        <v>3</v>
      </c>
      <c r="Q196" s="77" t="s">
        <v>278</v>
      </c>
      <c r="R196" s="77" t="s">
        <v>278</v>
      </c>
      <c r="S196" s="77" t="s">
        <v>278</v>
      </c>
      <c r="T196" s="107">
        <f t="shared" si="70"/>
        <v>4</v>
      </c>
      <c r="U196" s="113">
        <f>3+1</f>
        <v>4</v>
      </c>
      <c r="V196" s="77" t="s">
        <v>278</v>
      </c>
      <c r="W196" s="77" t="s">
        <v>278</v>
      </c>
      <c r="X196" s="77" t="s">
        <v>278</v>
      </c>
      <c r="Y196" s="107">
        <f t="shared" si="71"/>
        <v>4</v>
      </c>
      <c r="Z196" s="113">
        <f>3+1</f>
        <v>4</v>
      </c>
      <c r="AA196" s="77" t="s">
        <v>278</v>
      </c>
      <c r="AB196" s="77" t="s">
        <v>278</v>
      </c>
      <c r="AC196" s="77" t="s">
        <v>278</v>
      </c>
      <c r="AD196" s="107">
        <f t="shared" si="73"/>
        <v>4</v>
      </c>
      <c r="AE196" s="113">
        <f>3+1</f>
        <v>4</v>
      </c>
      <c r="AF196" s="77" t="s">
        <v>278</v>
      </c>
      <c r="AG196" s="77" t="s">
        <v>278</v>
      </c>
      <c r="AH196" s="77" t="s">
        <v>278</v>
      </c>
      <c r="AI196" s="107">
        <f t="shared" si="72"/>
        <v>5</v>
      </c>
      <c r="AJ196" s="113">
        <v>5</v>
      </c>
      <c r="AK196" s="77" t="s">
        <v>278</v>
      </c>
      <c r="AL196" s="77" t="s">
        <v>278</v>
      </c>
      <c r="AM196" s="77" t="s">
        <v>278</v>
      </c>
      <c r="AN196" s="115">
        <f t="shared" si="74"/>
        <v>26</v>
      </c>
      <c r="AO196" s="91"/>
    </row>
    <row r="197" spans="1:41" ht="53.25" customHeight="1">
      <c r="A197" s="35" t="s">
        <v>152</v>
      </c>
      <c r="B197" s="42" t="s">
        <v>161</v>
      </c>
      <c r="C197" s="11"/>
      <c r="D197" s="11"/>
      <c r="E197" s="22"/>
      <c r="F197" s="11"/>
      <c r="G197" s="96"/>
      <c r="H197" s="96"/>
      <c r="I197" s="90"/>
      <c r="J197" s="90"/>
      <c r="K197" s="90"/>
      <c r="L197" s="90"/>
      <c r="M197" s="90"/>
      <c r="N197" s="90"/>
      <c r="O197" s="90"/>
      <c r="P197" s="90"/>
      <c r="Q197" s="90"/>
      <c r="R197" s="90"/>
      <c r="S197" s="90"/>
      <c r="T197" s="90"/>
      <c r="U197" s="90"/>
      <c r="V197" s="90"/>
      <c r="W197" s="90"/>
      <c r="X197" s="90"/>
      <c r="Y197" s="90"/>
      <c r="Z197" s="90"/>
      <c r="AA197" s="90"/>
      <c r="AB197" s="90"/>
      <c r="AC197" s="90"/>
      <c r="AD197" s="90"/>
      <c r="AE197" s="90"/>
      <c r="AF197" s="90"/>
      <c r="AG197" s="90"/>
      <c r="AH197" s="90"/>
      <c r="AI197" s="22"/>
      <c r="AJ197" s="11"/>
      <c r="AK197" s="96"/>
      <c r="AL197" s="96"/>
      <c r="AM197" s="90"/>
      <c r="AN197" s="22"/>
      <c r="AO197" s="91"/>
    </row>
    <row r="198" spans="1:41" ht="65.25" customHeight="1">
      <c r="A198" s="94" t="s">
        <v>148</v>
      </c>
      <c r="B198" s="40" t="s">
        <v>345</v>
      </c>
      <c r="C198" s="11" t="s">
        <v>127</v>
      </c>
      <c r="D198" s="11" t="s">
        <v>228</v>
      </c>
      <c r="E198" s="107">
        <f aca="true" t="shared" si="75" ref="E198:E212">SUMIF(F198:I198,"&gt;0")</f>
        <v>15.3</v>
      </c>
      <c r="F198" s="114">
        <f>10+5.25845</f>
        <v>15.3</v>
      </c>
      <c r="G198" s="26" t="s">
        <v>278</v>
      </c>
      <c r="H198" s="26" t="s">
        <v>278</v>
      </c>
      <c r="I198" s="26" t="s">
        <v>278</v>
      </c>
      <c r="J198" s="107">
        <f aca="true" t="shared" si="76" ref="J198:J205">SUMIF(K198:N198,"&gt;0")</f>
        <v>8</v>
      </c>
      <c r="K198" s="111">
        <v>8</v>
      </c>
      <c r="L198" s="77" t="s">
        <v>278</v>
      </c>
      <c r="M198" s="77" t="s">
        <v>278</v>
      </c>
      <c r="N198" s="77" t="s">
        <v>278</v>
      </c>
      <c r="O198" s="107">
        <f aca="true" t="shared" si="77" ref="O198:O207">SUMIF(P198:S198,"&gt;0")</f>
        <v>8</v>
      </c>
      <c r="P198" s="113">
        <v>8</v>
      </c>
      <c r="Q198" s="77" t="s">
        <v>278</v>
      </c>
      <c r="R198" s="77" t="s">
        <v>278</v>
      </c>
      <c r="S198" s="77" t="s">
        <v>278</v>
      </c>
      <c r="T198" s="107">
        <f>SUMIF(U198:X198,"&gt;0")</f>
        <v>8</v>
      </c>
      <c r="U198" s="113">
        <v>8</v>
      </c>
      <c r="V198" s="77" t="s">
        <v>278</v>
      </c>
      <c r="W198" s="77" t="s">
        <v>278</v>
      </c>
      <c r="X198" s="77" t="s">
        <v>278</v>
      </c>
      <c r="Y198" s="107">
        <f aca="true" t="shared" si="78" ref="Y198:Y205">SUMIF(Z198:AC198,"&gt;0")</f>
        <v>8</v>
      </c>
      <c r="Z198" s="113">
        <v>8</v>
      </c>
      <c r="AA198" s="77" t="s">
        <v>278</v>
      </c>
      <c r="AB198" s="77" t="s">
        <v>278</v>
      </c>
      <c r="AC198" s="77" t="s">
        <v>278</v>
      </c>
      <c r="AD198" s="107">
        <f aca="true" t="shared" si="79" ref="AD198:AD205">SUMIF(AE198:AH198,"&gt;0")</f>
        <v>8</v>
      </c>
      <c r="AE198" s="113">
        <v>8</v>
      </c>
      <c r="AF198" s="77" t="s">
        <v>278</v>
      </c>
      <c r="AG198" s="77" t="s">
        <v>278</v>
      </c>
      <c r="AH198" s="77" t="s">
        <v>278</v>
      </c>
      <c r="AI198" s="107">
        <f aca="true" t="shared" si="80" ref="AI198:AI205">SUMIF(AJ198:AM198,"&gt;0")</f>
        <v>15</v>
      </c>
      <c r="AJ198" s="114">
        <v>15</v>
      </c>
      <c r="AK198" s="77" t="s">
        <v>278</v>
      </c>
      <c r="AL198" s="77" t="s">
        <v>278</v>
      </c>
      <c r="AM198" s="77" t="s">
        <v>278</v>
      </c>
      <c r="AN198" s="115">
        <f t="shared" si="74"/>
        <v>70.3</v>
      </c>
      <c r="AO198" s="91"/>
    </row>
    <row r="199" spans="1:41" ht="69" customHeight="1">
      <c r="A199" s="94" t="s">
        <v>149</v>
      </c>
      <c r="B199" s="40" t="s">
        <v>346</v>
      </c>
      <c r="C199" s="11" t="s">
        <v>127</v>
      </c>
      <c r="D199" s="11" t="s">
        <v>228</v>
      </c>
      <c r="E199" s="107">
        <f t="shared" si="75"/>
        <v>45</v>
      </c>
      <c r="F199" s="114">
        <v>45</v>
      </c>
      <c r="G199" s="26" t="s">
        <v>278</v>
      </c>
      <c r="H199" s="26" t="s">
        <v>278</v>
      </c>
      <c r="I199" s="26" t="s">
        <v>278</v>
      </c>
      <c r="J199" s="107">
        <f t="shared" si="76"/>
        <v>40</v>
      </c>
      <c r="K199" s="111">
        <v>40</v>
      </c>
      <c r="L199" s="77" t="s">
        <v>278</v>
      </c>
      <c r="M199" s="77" t="s">
        <v>278</v>
      </c>
      <c r="N199" s="77" t="s">
        <v>278</v>
      </c>
      <c r="O199" s="107">
        <f t="shared" si="77"/>
        <v>40</v>
      </c>
      <c r="P199" s="113">
        <v>40</v>
      </c>
      <c r="Q199" s="77" t="s">
        <v>278</v>
      </c>
      <c r="R199" s="77" t="s">
        <v>278</v>
      </c>
      <c r="S199" s="77" t="s">
        <v>278</v>
      </c>
      <c r="T199" s="107">
        <f>SUMIF(U199:X199,"&gt;0")</f>
        <v>55</v>
      </c>
      <c r="U199" s="113">
        <v>55</v>
      </c>
      <c r="V199" s="77" t="s">
        <v>278</v>
      </c>
      <c r="W199" s="77" t="s">
        <v>278</v>
      </c>
      <c r="X199" s="77" t="s">
        <v>278</v>
      </c>
      <c r="Y199" s="107">
        <f>SUMIF(Z199:AC199,"&gt;0")</f>
        <v>55</v>
      </c>
      <c r="Z199" s="113">
        <v>55</v>
      </c>
      <c r="AA199" s="77" t="s">
        <v>278</v>
      </c>
      <c r="AB199" s="77" t="s">
        <v>278</v>
      </c>
      <c r="AC199" s="77" t="s">
        <v>278</v>
      </c>
      <c r="AD199" s="107">
        <f t="shared" si="79"/>
        <v>55</v>
      </c>
      <c r="AE199" s="113">
        <v>55</v>
      </c>
      <c r="AF199" s="77" t="s">
        <v>278</v>
      </c>
      <c r="AG199" s="77" t="s">
        <v>278</v>
      </c>
      <c r="AH199" s="77" t="s">
        <v>278</v>
      </c>
      <c r="AI199" s="107">
        <f t="shared" si="80"/>
        <v>50</v>
      </c>
      <c r="AJ199" s="114">
        <v>50</v>
      </c>
      <c r="AK199" s="77" t="s">
        <v>278</v>
      </c>
      <c r="AL199" s="77" t="s">
        <v>278</v>
      </c>
      <c r="AM199" s="77" t="s">
        <v>278</v>
      </c>
      <c r="AN199" s="115">
        <f t="shared" si="74"/>
        <v>340</v>
      </c>
      <c r="AO199" s="91"/>
    </row>
    <row r="200" spans="1:41" ht="63" customHeight="1">
      <c r="A200" s="94" t="s">
        <v>150</v>
      </c>
      <c r="B200" s="40" t="s">
        <v>236</v>
      </c>
      <c r="C200" s="11" t="s">
        <v>127</v>
      </c>
      <c r="D200" s="11" t="s">
        <v>228</v>
      </c>
      <c r="E200" s="107">
        <f t="shared" si="75"/>
        <v>30</v>
      </c>
      <c r="F200" s="114">
        <v>30</v>
      </c>
      <c r="G200" s="26" t="s">
        <v>278</v>
      </c>
      <c r="H200" s="26" t="s">
        <v>278</v>
      </c>
      <c r="I200" s="26" t="s">
        <v>278</v>
      </c>
      <c r="J200" s="107">
        <f t="shared" si="76"/>
        <v>25</v>
      </c>
      <c r="K200" s="111">
        <v>25</v>
      </c>
      <c r="L200" s="77" t="s">
        <v>278</v>
      </c>
      <c r="M200" s="77" t="s">
        <v>278</v>
      </c>
      <c r="N200" s="77" t="s">
        <v>278</v>
      </c>
      <c r="O200" s="107">
        <f t="shared" si="77"/>
        <v>25</v>
      </c>
      <c r="P200" s="113">
        <v>25</v>
      </c>
      <c r="Q200" s="77" t="s">
        <v>278</v>
      </c>
      <c r="R200" s="77" t="s">
        <v>278</v>
      </c>
      <c r="S200" s="77" t="s">
        <v>278</v>
      </c>
      <c r="T200" s="107">
        <f>SUMIF(U200:X200,"&gt;0")</f>
        <v>40</v>
      </c>
      <c r="U200" s="113">
        <v>40</v>
      </c>
      <c r="V200" s="77" t="s">
        <v>278</v>
      </c>
      <c r="W200" s="77" t="s">
        <v>278</v>
      </c>
      <c r="X200" s="77" t="s">
        <v>278</v>
      </c>
      <c r="Y200" s="107">
        <f>SUMIF(Z200:AC200,"&gt;0")</f>
        <v>40</v>
      </c>
      <c r="Z200" s="113">
        <v>40</v>
      </c>
      <c r="AA200" s="77" t="s">
        <v>278</v>
      </c>
      <c r="AB200" s="77" t="s">
        <v>278</v>
      </c>
      <c r="AC200" s="77" t="s">
        <v>278</v>
      </c>
      <c r="AD200" s="107">
        <f t="shared" si="79"/>
        <v>40</v>
      </c>
      <c r="AE200" s="113">
        <v>40</v>
      </c>
      <c r="AF200" s="77" t="s">
        <v>278</v>
      </c>
      <c r="AG200" s="77" t="s">
        <v>278</v>
      </c>
      <c r="AH200" s="77" t="s">
        <v>278</v>
      </c>
      <c r="AI200" s="107">
        <f t="shared" si="80"/>
        <v>35</v>
      </c>
      <c r="AJ200" s="114">
        <v>35</v>
      </c>
      <c r="AK200" s="77" t="s">
        <v>278</v>
      </c>
      <c r="AL200" s="77" t="s">
        <v>278</v>
      </c>
      <c r="AM200" s="77" t="s">
        <v>278</v>
      </c>
      <c r="AN200" s="115">
        <f t="shared" si="74"/>
        <v>235</v>
      </c>
      <c r="AO200" s="91"/>
    </row>
    <row r="201" spans="1:41" ht="70.5" customHeight="1">
      <c r="A201" s="94" t="s">
        <v>151</v>
      </c>
      <c r="B201" s="40" t="s">
        <v>147</v>
      </c>
      <c r="C201" s="11" t="s">
        <v>127</v>
      </c>
      <c r="D201" s="11" t="s">
        <v>228</v>
      </c>
      <c r="E201" s="107">
        <f t="shared" si="75"/>
        <v>15</v>
      </c>
      <c r="F201" s="114">
        <v>15</v>
      </c>
      <c r="G201" s="26" t="s">
        <v>278</v>
      </c>
      <c r="H201" s="26" t="s">
        <v>278</v>
      </c>
      <c r="I201" s="26" t="s">
        <v>278</v>
      </c>
      <c r="J201" s="107">
        <f t="shared" si="76"/>
        <v>10</v>
      </c>
      <c r="K201" s="111">
        <v>10</v>
      </c>
      <c r="L201" s="77" t="s">
        <v>278</v>
      </c>
      <c r="M201" s="77" t="s">
        <v>278</v>
      </c>
      <c r="N201" s="77" t="s">
        <v>278</v>
      </c>
      <c r="O201" s="107">
        <f t="shared" si="77"/>
        <v>10</v>
      </c>
      <c r="P201" s="113">
        <v>10</v>
      </c>
      <c r="Q201" s="77" t="s">
        <v>278</v>
      </c>
      <c r="R201" s="77" t="s">
        <v>278</v>
      </c>
      <c r="S201" s="77" t="s">
        <v>278</v>
      </c>
      <c r="T201" s="107">
        <f>SUMIF(U201:X201,"&gt;0")</f>
        <v>10</v>
      </c>
      <c r="U201" s="113">
        <v>10</v>
      </c>
      <c r="V201" s="77" t="s">
        <v>278</v>
      </c>
      <c r="W201" s="77" t="s">
        <v>278</v>
      </c>
      <c r="X201" s="77" t="s">
        <v>278</v>
      </c>
      <c r="Y201" s="107">
        <f t="shared" si="78"/>
        <v>10</v>
      </c>
      <c r="Z201" s="113">
        <v>10</v>
      </c>
      <c r="AA201" s="77" t="s">
        <v>278</v>
      </c>
      <c r="AB201" s="77" t="s">
        <v>278</v>
      </c>
      <c r="AC201" s="77" t="s">
        <v>278</v>
      </c>
      <c r="AD201" s="107">
        <f t="shared" si="79"/>
        <v>10</v>
      </c>
      <c r="AE201" s="113">
        <v>10</v>
      </c>
      <c r="AF201" s="77" t="s">
        <v>278</v>
      </c>
      <c r="AG201" s="77" t="s">
        <v>278</v>
      </c>
      <c r="AH201" s="77" t="s">
        <v>278</v>
      </c>
      <c r="AI201" s="107">
        <f t="shared" si="80"/>
        <v>15</v>
      </c>
      <c r="AJ201" s="114">
        <v>15</v>
      </c>
      <c r="AK201" s="77" t="s">
        <v>278</v>
      </c>
      <c r="AL201" s="77" t="s">
        <v>278</v>
      </c>
      <c r="AM201" s="77" t="s">
        <v>278</v>
      </c>
      <c r="AN201" s="115">
        <f t="shared" si="74"/>
        <v>80</v>
      </c>
      <c r="AO201" s="91"/>
    </row>
    <row r="202" spans="1:41" ht="72.75" customHeight="1">
      <c r="A202" s="94" t="s">
        <v>205</v>
      </c>
      <c r="B202" s="40" t="s">
        <v>338</v>
      </c>
      <c r="C202" s="11" t="s">
        <v>127</v>
      </c>
      <c r="D202" s="11" t="s">
        <v>228</v>
      </c>
      <c r="E202" s="107">
        <f t="shared" si="75"/>
        <v>10</v>
      </c>
      <c r="F202" s="114">
        <v>10</v>
      </c>
      <c r="G202" s="26" t="s">
        <v>278</v>
      </c>
      <c r="H202" s="26" t="s">
        <v>278</v>
      </c>
      <c r="I202" s="26" t="s">
        <v>278</v>
      </c>
      <c r="J202" s="107">
        <f t="shared" si="76"/>
        <v>7</v>
      </c>
      <c r="K202" s="111">
        <v>7</v>
      </c>
      <c r="L202" s="77" t="s">
        <v>278</v>
      </c>
      <c r="M202" s="77" t="s">
        <v>278</v>
      </c>
      <c r="N202" s="77" t="s">
        <v>278</v>
      </c>
      <c r="O202" s="107">
        <f t="shared" si="77"/>
        <v>7</v>
      </c>
      <c r="P202" s="113">
        <v>7</v>
      </c>
      <c r="Q202" s="77" t="s">
        <v>278</v>
      </c>
      <c r="R202" s="77" t="s">
        <v>278</v>
      </c>
      <c r="S202" s="77" t="s">
        <v>278</v>
      </c>
      <c r="T202" s="107">
        <f>SUMIF(U202:X202,"&gt;0")</f>
        <v>7</v>
      </c>
      <c r="U202" s="113">
        <v>7</v>
      </c>
      <c r="V202" s="77" t="s">
        <v>278</v>
      </c>
      <c r="W202" s="77" t="s">
        <v>278</v>
      </c>
      <c r="X202" s="77" t="s">
        <v>278</v>
      </c>
      <c r="Y202" s="107">
        <f t="shared" si="78"/>
        <v>7</v>
      </c>
      <c r="Z202" s="113">
        <v>7</v>
      </c>
      <c r="AA202" s="77" t="s">
        <v>278</v>
      </c>
      <c r="AB202" s="77" t="s">
        <v>278</v>
      </c>
      <c r="AC202" s="77" t="s">
        <v>278</v>
      </c>
      <c r="AD202" s="107">
        <f t="shared" si="79"/>
        <v>7</v>
      </c>
      <c r="AE202" s="113">
        <v>7</v>
      </c>
      <c r="AF202" s="77" t="s">
        <v>278</v>
      </c>
      <c r="AG202" s="77" t="s">
        <v>278</v>
      </c>
      <c r="AH202" s="77" t="s">
        <v>278</v>
      </c>
      <c r="AI202" s="107">
        <f t="shared" si="80"/>
        <v>20</v>
      </c>
      <c r="AJ202" s="114">
        <v>20</v>
      </c>
      <c r="AK202" s="77" t="s">
        <v>278</v>
      </c>
      <c r="AL202" s="77" t="s">
        <v>278</v>
      </c>
      <c r="AM202" s="77" t="s">
        <v>278</v>
      </c>
      <c r="AN202" s="115">
        <f t="shared" si="74"/>
        <v>65</v>
      </c>
      <c r="AO202" s="91"/>
    </row>
    <row r="203" spans="1:41" ht="117.75" customHeight="1">
      <c r="A203" s="94" t="s">
        <v>276</v>
      </c>
      <c r="B203" s="40" t="s">
        <v>392</v>
      </c>
      <c r="C203" s="11" t="s">
        <v>54</v>
      </c>
      <c r="D203" s="11" t="s">
        <v>228</v>
      </c>
      <c r="E203" s="76">
        <f t="shared" si="75"/>
        <v>0</v>
      </c>
      <c r="F203" s="26" t="s">
        <v>278</v>
      </c>
      <c r="G203" s="26" t="s">
        <v>278</v>
      </c>
      <c r="H203" s="26" t="s">
        <v>278</v>
      </c>
      <c r="I203" s="26" t="s">
        <v>278</v>
      </c>
      <c r="J203" s="76">
        <f t="shared" si="76"/>
        <v>0</v>
      </c>
      <c r="K203" s="11" t="s">
        <v>278</v>
      </c>
      <c r="L203" s="77" t="s">
        <v>278</v>
      </c>
      <c r="M203" s="77" t="s">
        <v>278</v>
      </c>
      <c r="N203" s="77" t="s">
        <v>278</v>
      </c>
      <c r="O203" s="76">
        <f t="shared" si="77"/>
        <v>0</v>
      </c>
      <c r="P203" s="77" t="s">
        <v>278</v>
      </c>
      <c r="Q203" s="77" t="s">
        <v>278</v>
      </c>
      <c r="R203" s="77" t="s">
        <v>278</v>
      </c>
      <c r="S203" s="77" t="s">
        <v>278</v>
      </c>
      <c r="T203" s="76">
        <f aca="true" t="shared" si="81" ref="T203:T208">SUMIF(U203:X203,"&gt;0")</f>
        <v>0</v>
      </c>
      <c r="U203" s="77" t="s">
        <v>278</v>
      </c>
      <c r="V203" s="77" t="s">
        <v>278</v>
      </c>
      <c r="W203" s="77" t="s">
        <v>278</v>
      </c>
      <c r="X203" s="77" t="s">
        <v>278</v>
      </c>
      <c r="Y203" s="76">
        <f t="shared" si="78"/>
        <v>0</v>
      </c>
      <c r="Z203" s="77" t="s">
        <v>278</v>
      </c>
      <c r="AA203" s="77" t="s">
        <v>278</v>
      </c>
      <c r="AB203" s="77" t="s">
        <v>278</v>
      </c>
      <c r="AC203" s="77" t="s">
        <v>278</v>
      </c>
      <c r="AD203" s="76">
        <f t="shared" si="79"/>
        <v>0</v>
      </c>
      <c r="AE203" s="77" t="s">
        <v>278</v>
      </c>
      <c r="AF203" s="77" t="s">
        <v>278</v>
      </c>
      <c r="AG203" s="77" t="s">
        <v>278</v>
      </c>
      <c r="AH203" s="77" t="s">
        <v>278</v>
      </c>
      <c r="AI203" s="76">
        <f t="shared" si="80"/>
        <v>0</v>
      </c>
      <c r="AJ203" s="77" t="s">
        <v>278</v>
      </c>
      <c r="AK203" s="77" t="s">
        <v>278</v>
      </c>
      <c r="AL203" s="77" t="s">
        <v>278</v>
      </c>
      <c r="AM203" s="77" t="s">
        <v>278</v>
      </c>
      <c r="AN203" s="76">
        <f t="shared" si="74"/>
        <v>0</v>
      </c>
      <c r="AO203" s="91"/>
    </row>
    <row r="204" spans="1:41" ht="176.25" customHeight="1">
      <c r="A204" s="41" t="s">
        <v>25</v>
      </c>
      <c r="B204" s="42" t="s">
        <v>541</v>
      </c>
      <c r="C204" s="11" t="s">
        <v>54</v>
      </c>
      <c r="D204" s="11" t="s">
        <v>228</v>
      </c>
      <c r="E204" s="107">
        <f t="shared" si="75"/>
        <v>16143.4</v>
      </c>
      <c r="F204" s="26" t="s">
        <v>278</v>
      </c>
      <c r="G204" s="111">
        <f>8000+8143.401</f>
        <v>16143.4</v>
      </c>
      <c r="H204" s="26" t="s">
        <v>278</v>
      </c>
      <c r="I204" s="26" t="s">
        <v>278</v>
      </c>
      <c r="J204" s="107">
        <f t="shared" si="76"/>
        <v>748.3</v>
      </c>
      <c r="K204" s="77" t="s">
        <v>278</v>
      </c>
      <c r="L204" s="111">
        <f>383.84123+364.413</f>
        <v>748.3</v>
      </c>
      <c r="M204" s="77" t="s">
        <v>278</v>
      </c>
      <c r="N204" s="77" t="s">
        <v>278</v>
      </c>
      <c r="O204" s="107">
        <f t="shared" si="77"/>
        <v>635</v>
      </c>
      <c r="P204" s="77" t="s">
        <v>278</v>
      </c>
      <c r="Q204" s="111">
        <f>634.98116</f>
        <v>635</v>
      </c>
      <c r="R204" s="77" t="s">
        <v>278</v>
      </c>
      <c r="S204" s="77" t="s">
        <v>278</v>
      </c>
      <c r="T204" s="76">
        <f t="shared" si="81"/>
        <v>0</v>
      </c>
      <c r="U204" s="77" t="s">
        <v>278</v>
      </c>
      <c r="V204" s="77" t="s">
        <v>278</v>
      </c>
      <c r="W204" s="77" t="s">
        <v>278</v>
      </c>
      <c r="X204" s="77" t="s">
        <v>278</v>
      </c>
      <c r="Y204" s="76">
        <f t="shared" si="78"/>
        <v>0</v>
      </c>
      <c r="Z204" s="77" t="s">
        <v>278</v>
      </c>
      <c r="AA204" s="77" t="s">
        <v>278</v>
      </c>
      <c r="AB204" s="77" t="s">
        <v>278</v>
      </c>
      <c r="AC204" s="77" t="s">
        <v>278</v>
      </c>
      <c r="AD204" s="76">
        <f t="shared" si="79"/>
        <v>0</v>
      </c>
      <c r="AE204" s="77" t="s">
        <v>278</v>
      </c>
      <c r="AF204" s="77" t="s">
        <v>278</v>
      </c>
      <c r="AG204" s="77" t="s">
        <v>278</v>
      </c>
      <c r="AH204" s="77" t="s">
        <v>278</v>
      </c>
      <c r="AI204" s="107">
        <f t="shared" si="80"/>
        <v>24996</v>
      </c>
      <c r="AJ204" s="77" t="s">
        <v>278</v>
      </c>
      <c r="AK204" s="111">
        <v>24996</v>
      </c>
      <c r="AL204" s="77" t="s">
        <v>278</v>
      </c>
      <c r="AM204" s="77" t="s">
        <v>278</v>
      </c>
      <c r="AN204" s="115">
        <f t="shared" si="74"/>
        <v>42522.7</v>
      </c>
      <c r="AO204" s="91"/>
    </row>
    <row r="205" spans="1:41" ht="110.25">
      <c r="A205" s="41" t="s">
        <v>26</v>
      </c>
      <c r="B205" s="42" t="s">
        <v>28</v>
      </c>
      <c r="C205" s="11" t="s">
        <v>54</v>
      </c>
      <c r="D205" s="11" t="s">
        <v>228</v>
      </c>
      <c r="E205" s="107">
        <f t="shared" si="75"/>
        <v>5058</v>
      </c>
      <c r="F205" s="111">
        <f>5469-411</f>
        <v>5058</v>
      </c>
      <c r="G205" s="26" t="s">
        <v>278</v>
      </c>
      <c r="H205" s="26" t="s">
        <v>278</v>
      </c>
      <c r="I205" s="26" t="s">
        <v>278</v>
      </c>
      <c r="J205" s="107">
        <f t="shared" si="76"/>
        <v>5878</v>
      </c>
      <c r="K205" s="111">
        <v>5878</v>
      </c>
      <c r="L205" s="77" t="s">
        <v>278</v>
      </c>
      <c r="M205" s="77" t="s">
        <v>278</v>
      </c>
      <c r="N205" s="77" t="s">
        <v>278</v>
      </c>
      <c r="O205" s="107">
        <f t="shared" si="77"/>
        <v>5878</v>
      </c>
      <c r="P205" s="111">
        <v>5878</v>
      </c>
      <c r="Q205" s="77" t="s">
        <v>278</v>
      </c>
      <c r="R205" s="77" t="s">
        <v>278</v>
      </c>
      <c r="S205" s="77" t="s">
        <v>278</v>
      </c>
      <c r="T205" s="107">
        <f t="shared" si="81"/>
        <v>8313</v>
      </c>
      <c r="U205" s="111">
        <f>8313</f>
        <v>8313</v>
      </c>
      <c r="V205" s="77" t="s">
        <v>278</v>
      </c>
      <c r="W205" s="77" t="s">
        <v>278</v>
      </c>
      <c r="X205" s="77" t="s">
        <v>278</v>
      </c>
      <c r="Y205" s="107">
        <f t="shared" si="78"/>
        <v>5878</v>
      </c>
      <c r="Z205" s="111">
        <f>5878</f>
        <v>5878</v>
      </c>
      <c r="AA205" s="77" t="s">
        <v>278</v>
      </c>
      <c r="AB205" s="77" t="s">
        <v>278</v>
      </c>
      <c r="AC205" s="77" t="s">
        <v>278</v>
      </c>
      <c r="AD205" s="107">
        <f t="shared" si="79"/>
        <v>5878</v>
      </c>
      <c r="AE205" s="111">
        <f>5878</f>
        <v>5878</v>
      </c>
      <c r="AF205" s="77" t="s">
        <v>278</v>
      </c>
      <c r="AG205" s="77" t="s">
        <v>278</v>
      </c>
      <c r="AH205" s="77" t="s">
        <v>278</v>
      </c>
      <c r="AI205" s="107">
        <f t="shared" si="80"/>
        <v>7351</v>
      </c>
      <c r="AJ205" s="111">
        <v>7351</v>
      </c>
      <c r="AK205" s="77" t="s">
        <v>278</v>
      </c>
      <c r="AL205" s="77" t="s">
        <v>278</v>
      </c>
      <c r="AM205" s="77" t="s">
        <v>278</v>
      </c>
      <c r="AN205" s="115">
        <f t="shared" si="74"/>
        <v>44234</v>
      </c>
      <c r="AO205" s="91"/>
    </row>
    <row r="206" spans="1:41" ht="110.25">
      <c r="A206" s="41" t="s">
        <v>27</v>
      </c>
      <c r="B206" s="42" t="s">
        <v>56</v>
      </c>
      <c r="C206" s="11" t="s">
        <v>34</v>
      </c>
      <c r="D206" s="11" t="s">
        <v>228</v>
      </c>
      <c r="E206" s="107">
        <f t="shared" si="75"/>
        <v>21528</v>
      </c>
      <c r="F206" s="111">
        <f>17878+4194-410-134</f>
        <v>21528</v>
      </c>
      <c r="G206" s="26" t="s">
        <v>278</v>
      </c>
      <c r="H206" s="26" t="s">
        <v>278</v>
      </c>
      <c r="I206" s="26" t="s">
        <v>278</v>
      </c>
      <c r="J206" s="107">
        <f aca="true" t="shared" si="82" ref="J206:J212">SUMIF(K206:N206,"&gt;0")</f>
        <v>22982</v>
      </c>
      <c r="K206" s="111">
        <f>23321+1078+732-599-1550</f>
        <v>22982</v>
      </c>
      <c r="L206" s="77" t="s">
        <v>278</v>
      </c>
      <c r="M206" s="77" t="s">
        <v>278</v>
      </c>
      <c r="N206" s="77" t="s">
        <v>278</v>
      </c>
      <c r="O206" s="107">
        <f t="shared" si="77"/>
        <v>27347</v>
      </c>
      <c r="P206" s="111">
        <f>20102+4715+2000+530</f>
        <v>27347</v>
      </c>
      <c r="Q206" s="77" t="s">
        <v>278</v>
      </c>
      <c r="R206" s="77" t="s">
        <v>278</v>
      </c>
      <c r="S206" s="77" t="s">
        <v>278</v>
      </c>
      <c r="T206" s="107">
        <f t="shared" si="81"/>
        <v>30083</v>
      </c>
      <c r="U206" s="111">
        <f>21961+8122</f>
        <v>30083</v>
      </c>
      <c r="V206" s="77" t="s">
        <v>278</v>
      </c>
      <c r="W206" s="77" t="s">
        <v>278</v>
      </c>
      <c r="X206" s="77" t="s">
        <v>278</v>
      </c>
      <c r="Y206" s="107">
        <f aca="true" t="shared" si="83" ref="Y206:Y212">SUMIF(Z206:AC206,"&gt;0")</f>
        <v>30083</v>
      </c>
      <c r="Z206" s="111">
        <f>21961+8122</f>
        <v>30083</v>
      </c>
      <c r="AA206" s="77" t="s">
        <v>278</v>
      </c>
      <c r="AB206" s="77" t="s">
        <v>278</v>
      </c>
      <c r="AC206" s="77" t="s">
        <v>278</v>
      </c>
      <c r="AD206" s="107">
        <f aca="true" t="shared" si="84" ref="AD206:AD212">SUMIF(AE206:AH206,"&gt;0")</f>
        <v>30083</v>
      </c>
      <c r="AE206" s="111">
        <f>21961+8122</f>
        <v>30083</v>
      </c>
      <c r="AF206" s="77" t="s">
        <v>278</v>
      </c>
      <c r="AG206" s="77" t="s">
        <v>278</v>
      </c>
      <c r="AH206" s="77" t="s">
        <v>278</v>
      </c>
      <c r="AI206" s="107">
        <f aca="true" t="shared" si="85" ref="AI206:AI212">SUMIF(AJ206:AM206,"&gt;0")</f>
        <v>31443</v>
      </c>
      <c r="AJ206" s="111">
        <v>31443</v>
      </c>
      <c r="AK206" s="77" t="s">
        <v>278</v>
      </c>
      <c r="AL206" s="77" t="s">
        <v>278</v>
      </c>
      <c r="AM206" s="77" t="s">
        <v>278</v>
      </c>
      <c r="AN206" s="115">
        <f aca="true" t="shared" si="86" ref="AN206:AN219">E206+J206+O206+T206+Y206+AD206+AI206</f>
        <v>193549</v>
      </c>
      <c r="AO206" s="91"/>
    </row>
    <row r="207" spans="1:41" ht="78.75">
      <c r="A207" s="41" t="s">
        <v>29</v>
      </c>
      <c r="B207" s="42" t="s">
        <v>0</v>
      </c>
      <c r="C207" s="11" t="s">
        <v>34</v>
      </c>
      <c r="D207" s="11" t="s">
        <v>228</v>
      </c>
      <c r="E207" s="107">
        <f t="shared" si="75"/>
        <v>48950</v>
      </c>
      <c r="F207" s="111">
        <f>17475+37134-2280-3379</f>
        <v>48950</v>
      </c>
      <c r="G207" s="26" t="s">
        <v>278</v>
      </c>
      <c r="H207" s="26" t="s">
        <v>278</v>
      </c>
      <c r="I207" s="26" t="s">
        <v>278</v>
      </c>
      <c r="J207" s="107">
        <f t="shared" si="82"/>
        <v>52312</v>
      </c>
      <c r="K207" s="111">
        <f>55969+2112+2268-2581-5456</f>
        <v>52312</v>
      </c>
      <c r="L207" s="77" t="s">
        <v>278</v>
      </c>
      <c r="M207" s="77" t="s">
        <v>278</v>
      </c>
      <c r="N207" s="77" t="s">
        <v>278</v>
      </c>
      <c r="O207" s="107">
        <f t="shared" si="77"/>
        <v>61615</v>
      </c>
      <c r="P207" s="111">
        <f>43619+20526-700-1300-530</f>
        <v>61615</v>
      </c>
      <c r="Q207" s="77" t="s">
        <v>278</v>
      </c>
      <c r="R207" s="77" t="s">
        <v>278</v>
      </c>
      <c r="S207" s="77" t="s">
        <v>278</v>
      </c>
      <c r="T207" s="107">
        <f t="shared" si="81"/>
        <v>72415</v>
      </c>
      <c r="U207" s="111">
        <f>52863+19552</f>
        <v>72415</v>
      </c>
      <c r="V207" s="77" t="s">
        <v>278</v>
      </c>
      <c r="W207" s="77" t="s">
        <v>278</v>
      </c>
      <c r="X207" s="77" t="s">
        <v>278</v>
      </c>
      <c r="Y207" s="107">
        <f t="shared" si="83"/>
        <v>72415</v>
      </c>
      <c r="Z207" s="111">
        <f>52863+19552</f>
        <v>72415</v>
      </c>
      <c r="AA207" s="77" t="s">
        <v>278</v>
      </c>
      <c r="AB207" s="77" t="s">
        <v>278</v>
      </c>
      <c r="AC207" s="77" t="s">
        <v>278</v>
      </c>
      <c r="AD207" s="107">
        <f t="shared" si="84"/>
        <v>72415</v>
      </c>
      <c r="AE207" s="111">
        <f>52863+19552</f>
        <v>72415</v>
      </c>
      <c r="AF207" s="77" t="s">
        <v>278</v>
      </c>
      <c r="AG207" s="77" t="s">
        <v>278</v>
      </c>
      <c r="AH207" s="77" t="s">
        <v>278</v>
      </c>
      <c r="AI207" s="107">
        <f t="shared" si="85"/>
        <v>65760</v>
      </c>
      <c r="AJ207" s="111">
        <v>65760</v>
      </c>
      <c r="AK207" s="77" t="s">
        <v>278</v>
      </c>
      <c r="AL207" s="77" t="s">
        <v>278</v>
      </c>
      <c r="AM207" s="77" t="s">
        <v>278</v>
      </c>
      <c r="AN207" s="115">
        <f t="shared" si="86"/>
        <v>445882</v>
      </c>
      <c r="AO207" s="91"/>
    </row>
    <row r="208" spans="1:41" ht="180" customHeight="1">
      <c r="A208" s="41" t="s">
        <v>30</v>
      </c>
      <c r="B208" s="42" t="s">
        <v>421</v>
      </c>
      <c r="C208" s="11" t="s">
        <v>34</v>
      </c>
      <c r="D208" s="11" t="s">
        <v>228</v>
      </c>
      <c r="E208" s="107">
        <f t="shared" si="75"/>
        <v>30069</v>
      </c>
      <c r="F208" s="111">
        <f>31664-1595</f>
        <v>30069</v>
      </c>
      <c r="G208" s="26" t="s">
        <v>278</v>
      </c>
      <c r="H208" s="26" t="s">
        <v>278</v>
      </c>
      <c r="I208" s="26" t="s">
        <v>278</v>
      </c>
      <c r="J208" s="107">
        <f t="shared" si="82"/>
        <v>42737</v>
      </c>
      <c r="K208" s="111">
        <f>34810+7927</f>
        <v>42737</v>
      </c>
      <c r="L208" s="77" t="s">
        <v>278</v>
      </c>
      <c r="M208" s="77" t="s">
        <v>278</v>
      </c>
      <c r="N208" s="77" t="s">
        <v>278</v>
      </c>
      <c r="O208" s="107">
        <f aca="true" t="shared" si="87" ref="O208:O214">SUMIF(P208:S208,"&gt;0")</f>
        <v>50940</v>
      </c>
      <c r="P208" s="111">
        <f>45863+5077</f>
        <v>50940</v>
      </c>
      <c r="Q208" s="77" t="s">
        <v>278</v>
      </c>
      <c r="R208" s="77" t="s">
        <v>278</v>
      </c>
      <c r="S208" s="77" t="s">
        <v>278</v>
      </c>
      <c r="T208" s="107">
        <f t="shared" si="81"/>
        <v>61068</v>
      </c>
      <c r="U208" s="111">
        <f>61068</f>
        <v>61068</v>
      </c>
      <c r="V208" s="77" t="s">
        <v>278</v>
      </c>
      <c r="W208" s="77" t="s">
        <v>278</v>
      </c>
      <c r="X208" s="77" t="s">
        <v>278</v>
      </c>
      <c r="Y208" s="107">
        <f t="shared" si="83"/>
        <v>61068</v>
      </c>
      <c r="Z208" s="111">
        <f>61068</f>
        <v>61068</v>
      </c>
      <c r="AA208" s="77" t="s">
        <v>278</v>
      </c>
      <c r="AB208" s="77" t="s">
        <v>278</v>
      </c>
      <c r="AC208" s="77" t="s">
        <v>278</v>
      </c>
      <c r="AD208" s="107">
        <f t="shared" si="84"/>
        <v>61068</v>
      </c>
      <c r="AE208" s="111">
        <f>61068</f>
        <v>61068</v>
      </c>
      <c r="AF208" s="77" t="s">
        <v>278</v>
      </c>
      <c r="AG208" s="77" t="s">
        <v>278</v>
      </c>
      <c r="AH208" s="77" t="s">
        <v>278</v>
      </c>
      <c r="AI208" s="107">
        <f t="shared" si="85"/>
        <v>39769</v>
      </c>
      <c r="AJ208" s="111">
        <f>34024+5745</f>
        <v>39769</v>
      </c>
      <c r="AK208" s="77" t="s">
        <v>278</v>
      </c>
      <c r="AL208" s="77" t="s">
        <v>278</v>
      </c>
      <c r="AM208" s="77" t="s">
        <v>278</v>
      </c>
      <c r="AN208" s="115">
        <f t="shared" si="86"/>
        <v>346719</v>
      </c>
      <c r="AO208" s="91"/>
    </row>
    <row r="209" spans="1:41" ht="110.25">
      <c r="A209" s="41" t="s">
        <v>31</v>
      </c>
      <c r="B209" s="42" t="s">
        <v>330</v>
      </c>
      <c r="C209" s="11" t="s">
        <v>54</v>
      </c>
      <c r="D209" s="11" t="s">
        <v>228</v>
      </c>
      <c r="E209" s="107">
        <f>SUMIF(F209:I209,"&gt;0")</f>
        <v>126019</v>
      </c>
      <c r="F209" s="26" t="s">
        <v>278</v>
      </c>
      <c r="G209" s="26" t="s">
        <v>278</v>
      </c>
      <c r="H209" s="26" t="s">
        <v>278</v>
      </c>
      <c r="I209" s="111">
        <f>126019</f>
        <v>126019</v>
      </c>
      <c r="J209" s="107">
        <f>SUMIF(K209:N209,"&gt;0")</f>
        <v>6362</v>
      </c>
      <c r="K209" s="77" t="s">
        <v>278</v>
      </c>
      <c r="L209" s="77" t="s">
        <v>278</v>
      </c>
      <c r="M209" s="77" t="s">
        <v>278</v>
      </c>
      <c r="N209" s="111">
        <f>6362</f>
        <v>6362</v>
      </c>
      <c r="O209" s="124">
        <f t="shared" si="87"/>
        <v>0</v>
      </c>
      <c r="P209" s="77" t="s">
        <v>278</v>
      </c>
      <c r="Q209" s="77" t="s">
        <v>278</v>
      </c>
      <c r="R209" s="77" t="s">
        <v>278</v>
      </c>
      <c r="S209" s="77" t="s">
        <v>278</v>
      </c>
      <c r="T209" s="124">
        <f aca="true" t="shared" si="88" ref="T209:T218">SUMIF(U209:X209,"&gt;0")</f>
        <v>0</v>
      </c>
      <c r="U209" s="77" t="s">
        <v>278</v>
      </c>
      <c r="V209" s="77" t="s">
        <v>278</v>
      </c>
      <c r="W209" s="77" t="s">
        <v>278</v>
      </c>
      <c r="X209" s="77" t="s">
        <v>278</v>
      </c>
      <c r="Y209" s="124">
        <f>SUMIF(Z209:AC209,"&gt;0")</f>
        <v>0</v>
      </c>
      <c r="Z209" s="77" t="s">
        <v>278</v>
      </c>
      <c r="AA209" s="77" t="s">
        <v>278</v>
      </c>
      <c r="AB209" s="77" t="s">
        <v>278</v>
      </c>
      <c r="AC209" s="77" t="s">
        <v>278</v>
      </c>
      <c r="AD209" s="124">
        <f>SUMIF(AE209:AH209,"&gt;0")</f>
        <v>0</v>
      </c>
      <c r="AE209" s="77" t="s">
        <v>278</v>
      </c>
      <c r="AF209" s="77" t="s">
        <v>278</v>
      </c>
      <c r="AG209" s="77" t="s">
        <v>278</v>
      </c>
      <c r="AH209" s="77" t="s">
        <v>278</v>
      </c>
      <c r="AI209" s="107">
        <f>SUMIF(AJ209:AM209,"&gt;0")</f>
        <v>650100</v>
      </c>
      <c r="AJ209" s="77" t="s">
        <v>278</v>
      </c>
      <c r="AK209" s="77" t="s">
        <v>278</v>
      </c>
      <c r="AL209" s="77" t="s">
        <v>278</v>
      </c>
      <c r="AM209" s="111">
        <f>650100</f>
        <v>650100</v>
      </c>
      <c r="AN209" s="115">
        <f>E209+J209+O209+T209+Y209+AD209+AI209</f>
        <v>782481</v>
      </c>
      <c r="AO209" s="91"/>
    </row>
    <row r="210" spans="1:41" ht="118.5" customHeight="1">
      <c r="A210" s="41" t="s">
        <v>32</v>
      </c>
      <c r="B210" s="42" t="s">
        <v>183</v>
      </c>
      <c r="C210" s="11" t="s">
        <v>34</v>
      </c>
      <c r="D210" s="11" t="s">
        <v>228</v>
      </c>
      <c r="E210" s="107">
        <f t="shared" si="75"/>
        <v>299506</v>
      </c>
      <c r="F210" s="111">
        <f>306970+16337-23801</f>
        <v>299506</v>
      </c>
      <c r="G210" s="26" t="s">
        <v>278</v>
      </c>
      <c r="H210" s="26" t="s">
        <v>278</v>
      </c>
      <c r="I210" s="26" t="s">
        <v>278</v>
      </c>
      <c r="J210" s="107">
        <f>SUMIF(K210:N210,"&gt;0")</f>
        <v>389044</v>
      </c>
      <c r="K210" s="111">
        <f>320371+15815+7137+45721</f>
        <v>389044</v>
      </c>
      <c r="L210" s="77" t="s">
        <v>278</v>
      </c>
      <c r="M210" s="77" t="s">
        <v>278</v>
      </c>
      <c r="N210" s="77" t="s">
        <v>278</v>
      </c>
      <c r="O210" s="107">
        <f t="shared" si="87"/>
        <v>402653</v>
      </c>
      <c r="P210" s="111">
        <f>339144+15105+48404</f>
        <v>402653</v>
      </c>
      <c r="Q210" s="77" t="s">
        <v>278</v>
      </c>
      <c r="R210" s="77" t="s">
        <v>278</v>
      </c>
      <c r="S210" s="77" t="s">
        <v>278</v>
      </c>
      <c r="T210" s="107">
        <f t="shared" si="88"/>
        <v>405261</v>
      </c>
      <c r="U210" s="111">
        <f>405261</f>
        <v>405261</v>
      </c>
      <c r="V210" s="77" t="s">
        <v>278</v>
      </c>
      <c r="W210" s="77" t="s">
        <v>278</v>
      </c>
      <c r="X210" s="77" t="s">
        <v>278</v>
      </c>
      <c r="Y210" s="107">
        <f t="shared" si="83"/>
        <v>356451</v>
      </c>
      <c r="Z210" s="111">
        <f>356451</f>
        <v>356451</v>
      </c>
      <c r="AA210" s="77" t="s">
        <v>278</v>
      </c>
      <c r="AB210" s="77" t="s">
        <v>278</v>
      </c>
      <c r="AC210" s="77" t="s">
        <v>278</v>
      </c>
      <c r="AD210" s="107">
        <f t="shared" si="84"/>
        <v>356451</v>
      </c>
      <c r="AE210" s="111">
        <f>356451</f>
        <v>356451</v>
      </c>
      <c r="AF210" s="77" t="s">
        <v>278</v>
      </c>
      <c r="AG210" s="77" t="s">
        <v>278</v>
      </c>
      <c r="AH210" s="77" t="s">
        <v>278</v>
      </c>
      <c r="AI210" s="107">
        <f t="shared" si="85"/>
        <v>410438</v>
      </c>
      <c r="AJ210" s="111">
        <v>410438</v>
      </c>
      <c r="AK210" s="77" t="s">
        <v>278</v>
      </c>
      <c r="AL210" s="77" t="s">
        <v>278</v>
      </c>
      <c r="AM210" s="77" t="s">
        <v>278</v>
      </c>
      <c r="AN210" s="115">
        <f t="shared" si="86"/>
        <v>2619804</v>
      </c>
      <c r="AO210" s="91"/>
    </row>
    <row r="211" spans="1:41" ht="157.5">
      <c r="A211" s="41" t="s">
        <v>33</v>
      </c>
      <c r="B211" s="42" t="s">
        <v>37</v>
      </c>
      <c r="C211" s="11" t="s">
        <v>34</v>
      </c>
      <c r="D211" s="11" t="s">
        <v>228</v>
      </c>
      <c r="E211" s="107">
        <f t="shared" si="75"/>
        <v>146068</v>
      </c>
      <c r="F211" s="111">
        <f>113485+32582.999</f>
        <v>146068</v>
      </c>
      <c r="G211" s="26" t="s">
        <v>278</v>
      </c>
      <c r="H211" s="26" t="s">
        <v>278</v>
      </c>
      <c r="I211" s="26" t="s">
        <v>278</v>
      </c>
      <c r="J211" s="76">
        <f t="shared" si="82"/>
        <v>0</v>
      </c>
      <c r="K211" s="77" t="s">
        <v>278</v>
      </c>
      <c r="L211" s="77" t="s">
        <v>278</v>
      </c>
      <c r="M211" s="77" t="s">
        <v>278</v>
      </c>
      <c r="N211" s="77" t="s">
        <v>278</v>
      </c>
      <c r="O211" s="76">
        <f t="shared" si="87"/>
        <v>0</v>
      </c>
      <c r="P211" s="77" t="s">
        <v>278</v>
      </c>
      <c r="Q211" s="77" t="s">
        <v>278</v>
      </c>
      <c r="R211" s="77" t="s">
        <v>278</v>
      </c>
      <c r="S211" s="77" t="s">
        <v>278</v>
      </c>
      <c r="T211" s="76">
        <f t="shared" si="88"/>
        <v>0</v>
      </c>
      <c r="U211" s="77" t="s">
        <v>278</v>
      </c>
      <c r="V211" s="77" t="s">
        <v>278</v>
      </c>
      <c r="W211" s="77" t="s">
        <v>278</v>
      </c>
      <c r="X211" s="77" t="s">
        <v>278</v>
      </c>
      <c r="Y211" s="76">
        <f t="shared" si="83"/>
        <v>0</v>
      </c>
      <c r="Z211" s="77" t="s">
        <v>278</v>
      </c>
      <c r="AA211" s="77" t="s">
        <v>278</v>
      </c>
      <c r="AB211" s="77" t="s">
        <v>278</v>
      </c>
      <c r="AC211" s="77" t="s">
        <v>278</v>
      </c>
      <c r="AD211" s="76">
        <f t="shared" si="84"/>
        <v>0</v>
      </c>
      <c r="AE211" s="77" t="s">
        <v>278</v>
      </c>
      <c r="AF211" s="77" t="s">
        <v>278</v>
      </c>
      <c r="AG211" s="77" t="s">
        <v>278</v>
      </c>
      <c r="AH211" s="77" t="s">
        <v>278</v>
      </c>
      <c r="AI211" s="107">
        <f t="shared" si="85"/>
        <v>92622</v>
      </c>
      <c r="AJ211" s="111">
        <v>92622</v>
      </c>
      <c r="AK211" s="77" t="s">
        <v>278</v>
      </c>
      <c r="AL211" s="77" t="s">
        <v>278</v>
      </c>
      <c r="AM211" s="77" t="s">
        <v>278</v>
      </c>
      <c r="AN211" s="115">
        <f t="shared" si="86"/>
        <v>238690</v>
      </c>
      <c r="AO211" s="91"/>
    </row>
    <row r="212" spans="1:41" ht="63">
      <c r="A212" s="41" t="s">
        <v>35</v>
      </c>
      <c r="B212" s="42" t="s">
        <v>326</v>
      </c>
      <c r="C212" s="11" t="s">
        <v>34</v>
      </c>
      <c r="D212" s="11" t="s">
        <v>228</v>
      </c>
      <c r="E212" s="76">
        <f t="shared" si="75"/>
        <v>0</v>
      </c>
      <c r="F212" s="26" t="s">
        <v>278</v>
      </c>
      <c r="G212" s="26" t="s">
        <v>278</v>
      </c>
      <c r="H212" s="26" t="s">
        <v>278</v>
      </c>
      <c r="I212" s="26" t="s">
        <v>278</v>
      </c>
      <c r="J212" s="76">
        <f t="shared" si="82"/>
        <v>0</v>
      </c>
      <c r="K212" s="77" t="s">
        <v>278</v>
      </c>
      <c r="L212" s="77" t="s">
        <v>278</v>
      </c>
      <c r="M212" s="77" t="s">
        <v>278</v>
      </c>
      <c r="N212" s="77" t="s">
        <v>278</v>
      </c>
      <c r="O212" s="76">
        <f t="shared" si="87"/>
        <v>0</v>
      </c>
      <c r="P212" s="77" t="s">
        <v>278</v>
      </c>
      <c r="Q212" s="77" t="s">
        <v>278</v>
      </c>
      <c r="R212" s="77" t="s">
        <v>278</v>
      </c>
      <c r="S212" s="77" t="s">
        <v>278</v>
      </c>
      <c r="T212" s="76">
        <f t="shared" si="88"/>
        <v>0</v>
      </c>
      <c r="U212" s="77" t="s">
        <v>278</v>
      </c>
      <c r="V212" s="77" t="s">
        <v>278</v>
      </c>
      <c r="W212" s="77" t="s">
        <v>278</v>
      </c>
      <c r="X212" s="77" t="s">
        <v>278</v>
      </c>
      <c r="Y212" s="76">
        <f t="shared" si="83"/>
        <v>0</v>
      </c>
      <c r="Z212" s="77" t="s">
        <v>278</v>
      </c>
      <c r="AA212" s="77" t="s">
        <v>278</v>
      </c>
      <c r="AB212" s="77" t="s">
        <v>278</v>
      </c>
      <c r="AC212" s="77" t="s">
        <v>278</v>
      </c>
      <c r="AD212" s="76">
        <f t="shared" si="84"/>
        <v>0</v>
      </c>
      <c r="AE212" s="77" t="s">
        <v>278</v>
      </c>
      <c r="AF212" s="77" t="s">
        <v>278</v>
      </c>
      <c r="AG212" s="77" t="s">
        <v>278</v>
      </c>
      <c r="AH212" s="77" t="s">
        <v>278</v>
      </c>
      <c r="AI212" s="76">
        <f t="shared" si="85"/>
        <v>0</v>
      </c>
      <c r="AJ212" s="77" t="s">
        <v>278</v>
      </c>
      <c r="AK212" s="77" t="s">
        <v>278</v>
      </c>
      <c r="AL212" s="77" t="s">
        <v>278</v>
      </c>
      <c r="AM212" s="77" t="s">
        <v>278</v>
      </c>
      <c r="AN212" s="76">
        <f t="shared" si="86"/>
        <v>0</v>
      </c>
      <c r="AO212" s="91"/>
    </row>
    <row r="213" spans="1:41" ht="211.5" customHeight="1">
      <c r="A213" s="41" t="s">
        <v>36</v>
      </c>
      <c r="B213" s="36" t="s">
        <v>542</v>
      </c>
      <c r="C213" s="11" t="s">
        <v>34</v>
      </c>
      <c r="D213" s="11" t="s">
        <v>228</v>
      </c>
      <c r="E213" s="107">
        <f aca="true" t="shared" si="89" ref="E213:E218">SUMIF(F213:I213,"&gt;0")</f>
        <v>29936</v>
      </c>
      <c r="F213" s="26" t="s">
        <v>278</v>
      </c>
      <c r="G213" s="111">
        <v>29936</v>
      </c>
      <c r="H213" s="26" t="s">
        <v>278</v>
      </c>
      <c r="I213" s="26" t="s">
        <v>278</v>
      </c>
      <c r="J213" s="107">
        <f aca="true" t="shared" si="90" ref="J213:J218">SUMIF(K213:N213,"&gt;0")</f>
        <v>39045.8</v>
      </c>
      <c r="K213" s="77" t="s">
        <v>278</v>
      </c>
      <c r="L213" s="111">
        <f>33519+5526.8</f>
        <v>39045.8</v>
      </c>
      <c r="M213" s="77" t="s">
        <v>278</v>
      </c>
      <c r="N213" s="77" t="s">
        <v>278</v>
      </c>
      <c r="O213" s="107">
        <f t="shared" si="87"/>
        <v>45605.1</v>
      </c>
      <c r="P213" s="77" t="s">
        <v>278</v>
      </c>
      <c r="Q213" s="111">
        <f>45195.072+410.074</f>
        <v>45605.1</v>
      </c>
      <c r="R213" s="77" t="s">
        <v>278</v>
      </c>
      <c r="S213" s="77" t="s">
        <v>278</v>
      </c>
      <c r="T213" s="107">
        <f t="shared" si="88"/>
        <v>51890.9</v>
      </c>
      <c r="U213" s="77" t="s">
        <v>278</v>
      </c>
      <c r="V213" s="111">
        <f>51890.901</f>
        <v>51890.9</v>
      </c>
      <c r="W213" s="77" t="s">
        <v>278</v>
      </c>
      <c r="X213" s="77" t="s">
        <v>278</v>
      </c>
      <c r="Y213" s="107">
        <f aca="true" t="shared" si="91" ref="Y213:Y218">SUMIF(Z213:AC213,"&gt;0")</f>
        <v>51890.9</v>
      </c>
      <c r="Z213" s="77" t="s">
        <v>278</v>
      </c>
      <c r="AA213" s="111">
        <f>51890.901</f>
        <v>51890.9</v>
      </c>
      <c r="AB213" s="77" t="s">
        <v>278</v>
      </c>
      <c r="AC213" s="77" t="s">
        <v>278</v>
      </c>
      <c r="AD213" s="107">
        <f aca="true" t="shared" si="92" ref="AD213:AD218">SUMIF(AE213:AH213,"&gt;0")</f>
        <v>51890.9</v>
      </c>
      <c r="AE213" s="77" t="s">
        <v>278</v>
      </c>
      <c r="AF213" s="111">
        <f>51890.901</f>
        <v>51890.9</v>
      </c>
      <c r="AG213" s="77" t="s">
        <v>278</v>
      </c>
      <c r="AH213" s="77" t="s">
        <v>278</v>
      </c>
      <c r="AI213" s="76">
        <f aca="true" t="shared" si="93" ref="AI213:AI218">SUMIF(AJ213:AM213,"&gt;0")</f>
        <v>0</v>
      </c>
      <c r="AJ213" s="77" t="s">
        <v>278</v>
      </c>
      <c r="AK213" s="77" t="s">
        <v>278</v>
      </c>
      <c r="AL213" s="77" t="s">
        <v>278</v>
      </c>
      <c r="AM213" s="77" t="s">
        <v>278</v>
      </c>
      <c r="AN213" s="115">
        <f aca="true" t="shared" si="94" ref="AN213:AN218">E213+J213+O213+T213+Y213+AD213+AI213</f>
        <v>270259.6</v>
      </c>
      <c r="AO213" s="91"/>
    </row>
    <row r="214" spans="1:41" ht="209.25" customHeight="1">
      <c r="A214" s="41" t="s">
        <v>186</v>
      </c>
      <c r="B214" s="36" t="s">
        <v>543</v>
      </c>
      <c r="C214" s="11" t="s">
        <v>34</v>
      </c>
      <c r="D214" s="11" t="s">
        <v>228</v>
      </c>
      <c r="E214" s="107">
        <f t="shared" si="89"/>
        <v>321239.2</v>
      </c>
      <c r="F214" s="111">
        <f>306+15.23927</f>
        <v>321.2</v>
      </c>
      <c r="G214" s="111">
        <f>112321.30922</f>
        <v>112321.3</v>
      </c>
      <c r="H214" s="111">
        <f>208596.71711</f>
        <v>208596.7</v>
      </c>
      <c r="I214" s="26" t="s">
        <v>278</v>
      </c>
      <c r="J214" s="107">
        <f t="shared" si="90"/>
        <v>358325.3</v>
      </c>
      <c r="K214" s="111">
        <f>352.4-352.43491+352.43491+5.89038</f>
        <v>358.3</v>
      </c>
      <c r="L214" s="111">
        <f>123907.954+2841.73674+2118.41889</f>
        <v>128868.1</v>
      </c>
      <c r="M214" s="111">
        <f>220280.80711+5051.97644+3766.07802</f>
        <v>229098.9</v>
      </c>
      <c r="N214" s="77" t="s">
        <v>278</v>
      </c>
      <c r="O214" s="107">
        <f t="shared" si="87"/>
        <v>374558.8</v>
      </c>
      <c r="P214" s="111">
        <f>377.95191</f>
        <v>378</v>
      </c>
      <c r="Q214" s="111">
        <f>127363.24733+5266.9376+2074.89285</f>
        <v>134705.1</v>
      </c>
      <c r="R214" s="111">
        <f>226423.5508+9363.44464+3688.69839</f>
        <v>239475.7</v>
      </c>
      <c r="S214" s="77" t="s">
        <v>278</v>
      </c>
      <c r="T214" s="107">
        <f t="shared" si="88"/>
        <v>384702.2</v>
      </c>
      <c r="U214" s="111">
        <f>367+17.70214</f>
        <v>384.7</v>
      </c>
      <c r="V214" s="111">
        <f>138354.27759</f>
        <v>138354.3</v>
      </c>
      <c r="W214" s="111">
        <f>245963.16016</f>
        <v>245963.2</v>
      </c>
      <c r="X214" s="77" t="s">
        <v>278</v>
      </c>
      <c r="Y214" s="107">
        <f t="shared" si="91"/>
        <v>364403.9</v>
      </c>
      <c r="Z214" s="111">
        <f>342+22.40389</f>
        <v>364.4</v>
      </c>
      <c r="AA214" s="111">
        <f>112852.24123</f>
        <v>112852.2</v>
      </c>
      <c r="AB214" s="111">
        <f>251187.25</f>
        <v>251187.3</v>
      </c>
      <c r="AC214" s="77" t="s">
        <v>278</v>
      </c>
      <c r="AD214" s="107">
        <f t="shared" si="92"/>
        <v>316554.6</v>
      </c>
      <c r="AE214" s="111">
        <f>316.5</f>
        <v>316.5</v>
      </c>
      <c r="AF214" s="111">
        <f>104358.56331</f>
        <v>104358.6</v>
      </c>
      <c r="AG214" s="111">
        <f>211879.50735</f>
        <v>211879.5</v>
      </c>
      <c r="AH214" s="77" t="s">
        <v>278</v>
      </c>
      <c r="AI214" s="76">
        <f t="shared" si="93"/>
        <v>0</v>
      </c>
      <c r="AJ214" s="77" t="s">
        <v>278</v>
      </c>
      <c r="AK214" s="77" t="s">
        <v>278</v>
      </c>
      <c r="AL214" s="77" t="s">
        <v>278</v>
      </c>
      <c r="AM214" s="77" t="s">
        <v>278</v>
      </c>
      <c r="AN214" s="115">
        <f t="shared" si="94"/>
        <v>2119784</v>
      </c>
      <c r="AO214" s="91"/>
    </row>
    <row r="215" spans="1:41" ht="255" customHeight="1">
      <c r="A215" s="41" t="s">
        <v>396</v>
      </c>
      <c r="B215" s="36" t="s">
        <v>560</v>
      </c>
      <c r="C215" s="11" t="s">
        <v>34</v>
      </c>
      <c r="D215" s="119" t="s">
        <v>440</v>
      </c>
      <c r="E215" s="76">
        <f t="shared" si="89"/>
        <v>0</v>
      </c>
      <c r="F215" s="77" t="s">
        <v>278</v>
      </c>
      <c r="G215" s="77" t="s">
        <v>278</v>
      </c>
      <c r="H215" s="77" t="s">
        <v>278</v>
      </c>
      <c r="I215" s="77" t="s">
        <v>278</v>
      </c>
      <c r="J215" s="107">
        <f t="shared" si="90"/>
        <v>3290</v>
      </c>
      <c r="K215" s="77" t="s">
        <v>278</v>
      </c>
      <c r="L215" s="111">
        <v>3290</v>
      </c>
      <c r="M215" s="77" t="s">
        <v>278</v>
      </c>
      <c r="N215" s="77" t="s">
        <v>278</v>
      </c>
      <c r="O215" s="107">
        <f>SUMIF(P215:S215,"&gt;0")</f>
        <v>8669</v>
      </c>
      <c r="P215" s="77" t="s">
        <v>278</v>
      </c>
      <c r="Q215" s="111">
        <f>8669</f>
        <v>8669</v>
      </c>
      <c r="R215" s="77" t="s">
        <v>278</v>
      </c>
      <c r="S215" s="77" t="s">
        <v>278</v>
      </c>
      <c r="T215" s="107">
        <f t="shared" si="88"/>
        <v>25558.8</v>
      </c>
      <c r="U215" s="77" t="s">
        <v>278</v>
      </c>
      <c r="V215" s="111">
        <f>8198+17360.75801</f>
        <v>25558.8</v>
      </c>
      <c r="W215" s="77" t="s">
        <v>278</v>
      </c>
      <c r="X215" s="77" t="s">
        <v>278</v>
      </c>
      <c r="Y215" s="107">
        <f t="shared" si="91"/>
        <v>8198</v>
      </c>
      <c r="Z215" s="77" t="s">
        <v>278</v>
      </c>
      <c r="AA215" s="111">
        <f>8198</f>
        <v>8198</v>
      </c>
      <c r="AB215" s="77" t="s">
        <v>278</v>
      </c>
      <c r="AC215" s="77" t="s">
        <v>278</v>
      </c>
      <c r="AD215" s="107">
        <f t="shared" si="92"/>
        <v>8198</v>
      </c>
      <c r="AE215" s="77" t="s">
        <v>278</v>
      </c>
      <c r="AF215" s="111">
        <f>8198</f>
        <v>8198</v>
      </c>
      <c r="AG215" s="77" t="s">
        <v>278</v>
      </c>
      <c r="AH215" s="77" t="s">
        <v>278</v>
      </c>
      <c r="AI215" s="76">
        <f t="shared" si="93"/>
        <v>0</v>
      </c>
      <c r="AJ215" s="77" t="s">
        <v>278</v>
      </c>
      <c r="AK215" s="77" t="s">
        <v>278</v>
      </c>
      <c r="AL215" s="77" t="s">
        <v>278</v>
      </c>
      <c r="AM215" s="77" t="s">
        <v>278</v>
      </c>
      <c r="AN215" s="115">
        <f t="shared" si="94"/>
        <v>53913.8</v>
      </c>
      <c r="AO215" s="91"/>
    </row>
    <row r="216" spans="1:41" ht="209.25" customHeight="1">
      <c r="A216" s="41" t="s">
        <v>397</v>
      </c>
      <c r="B216" s="36" t="s">
        <v>562</v>
      </c>
      <c r="C216" s="11" t="s">
        <v>34</v>
      </c>
      <c r="D216" s="119" t="s">
        <v>440</v>
      </c>
      <c r="E216" s="76">
        <f t="shared" si="89"/>
        <v>0</v>
      </c>
      <c r="F216" s="77" t="s">
        <v>278</v>
      </c>
      <c r="G216" s="77" t="s">
        <v>278</v>
      </c>
      <c r="H216" s="77" t="s">
        <v>278</v>
      </c>
      <c r="I216" s="77" t="s">
        <v>278</v>
      </c>
      <c r="J216" s="107">
        <f t="shared" si="90"/>
        <v>2287.7</v>
      </c>
      <c r="K216" s="77" t="s">
        <v>278</v>
      </c>
      <c r="L216" s="111">
        <f>971.6+431.1+885</f>
        <v>2287.7</v>
      </c>
      <c r="M216" s="77" t="s">
        <v>278</v>
      </c>
      <c r="N216" s="77" t="s">
        <v>278</v>
      </c>
      <c r="O216" s="107">
        <f>SUMIF(P216:S216,"&gt;0")</f>
        <v>16684.6</v>
      </c>
      <c r="P216" s="77" t="s">
        <v>278</v>
      </c>
      <c r="Q216" s="111">
        <f>5493.12+2049.3+5407.28+1511.848+301.215+1899.062+22.741</f>
        <v>16684.6</v>
      </c>
      <c r="R216" s="77" t="s">
        <v>278</v>
      </c>
      <c r="S216" s="77" t="s">
        <v>278</v>
      </c>
      <c r="T216" s="107">
        <f t="shared" si="88"/>
        <v>16900</v>
      </c>
      <c r="U216" s="77" t="s">
        <v>278</v>
      </c>
      <c r="V216" s="111">
        <f>7100+2400+7400</f>
        <v>16900</v>
      </c>
      <c r="W216" s="77" t="s">
        <v>278</v>
      </c>
      <c r="X216" s="77" t="s">
        <v>278</v>
      </c>
      <c r="Y216" s="107">
        <f t="shared" si="91"/>
        <v>16900</v>
      </c>
      <c r="Z216" s="77" t="s">
        <v>278</v>
      </c>
      <c r="AA216" s="111">
        <f>7100+2400+7400</f>
        <v>16900</v>
      </c>
      <c r="AB216" s="77" t="s">
        <v>278</v>
      </c>
      <c r="AC216" s="77" t="s">
        <v>278</v>
      </c>
      <c r="AD216" s="107">
        <f t="shared" si="92"/>
        <v>16900</v>
      </c>
      <c r="AE216" s="77" t="s">
        <v>278</v>
      </c>
      <c r="AF216" s="111">
        <f>7100+2400+7400</f>
        <v>16900</v>
      </c>
      <c r="AG216" s="77" t="s">
        <v>278</v>
      </c>
      <c r="AH216" s="77" t="s">
        <v>278</v>
      </c>
      <c r="AI216" s="76">
        <f t="shared" si="93"/>
        <v>0</v>
      </c>
      <c r="AJ216" s="77" t="s">
        <v>278</v>
      </c>
      <c r="AK216" s="77" t="s">
        <v>278</v>
      </c>
      <c r="AL216" s="77" t="s">
        <v>278</v>
      </c>
      <c r="AM216" s="77" t="s">
        <v>278</v>
      </c>
      <c r="AN216" s="115">
        <f t="shared" si="94"/>
        <v>69672.3</v>
      </c>
      <c r="AO216" s="91"/>
    </row>
    <row r="217" spans="1:41" ht="243" customHeight="1">
      <c r="A217" s="41" t="s">
        <v>398</v>
      </c>
      <c r="B217" s="36" t="s">
        <v>544</v>
      </c>
      <c r="C217" s="11" t="s">
        <v>34</v>
      </c>
      <c r="D217" s="119" t="s">
        <v>440</v>
      </c>
      <c r="E217" s="76">
        <f t="shared" si="89"/>
        <v>0</v>
      </c>
      <c r="F217" s="77" t="s">
        <v>278</v>
      </c>
      <c r="G217" s="77" t="s">
        <v>278</v>
      </c>
      <c r="H217" s="77" t="s">
        <v>278</v>
      </c>
      <c r="I217" s="77" t="s">
        <v>278</v>
      </c>
      <c r="J217" s="107">
        <f t="shared" si="90"/>
        <v>2317.3</v>
      </c>
      <c r="K217" s="77" t="s">
        <v>278</v>
      </c>
      <c r="L217" s="111">
        <f>2317.3</f>
        <v>2317.3</v>
      </c>
      <c r="M217" s="77" t="s">
        <v>278</v>
      </c>
      <c r="N217" s="77" t="s">
        <v>278</v>
      </c>
      <c r="O217" s="107">
        <f>SUMIF(P217:S217,"&gt;0")</f>
        <v>12421.4</v>
      </c>
      <c r="P217" s="77" t="s">
        <v>278</v>
      </c>
      <c r="Q217" s="111">
        <f>8583.3+2875.015+963.119</f>
        <v>12421.4</v>
      </c>
      <c r="R217" s="77" t="s">
        <v>278</v>
      </c>
      <c r="S217" s="77" t="s">
        <v>278</v>
      </c>
      <c r="T217" s="107">
        <f>SUMIF(U217:X217,"&gt;0")</f>
        <v>10424</v>
      </c>
      <c r="U217" s="77" t="s">
        <v>278</v>
      </c>
      <c r="V217" s="111">
        <f>10424</f>
        <v>10424</v>
      </c>
      <c r="W217" s="77" t="s">
        <v>278</v>
      </c>
      <c r="X217" s="77" t="s">
        <v>278</v>
      </c>
      <c r="Y217" s="107">
        <f t="shared" si="91"/>
        <v>10424</v>
      </c>
      <c r="Z217" s="77" t="s">
        <v>278</v>
      </c>
      <c r="AA217" s="111">
        <f>10424</f>
        <v>10424</v>
      </c>
      <c r="AB217" s="77" t="s">
        <v>278</v>
      </c>
      <c r="AC217" s="77" t="s">
        <v>278</v>
      </c>
      <c r="AD217" s="107">
        <f t="shared" si="92"/>
        <v>10424</v>
      </c>
      <c r="AE217" s="77" t="s">
        <v>278</v>
      </c>
      <c r="AF217" s="111">
        <f>10424</f>
        <v>10424</v>
      </c>
      <c r="AG217" s="77" t="s">
        <v>278</v>
      </c>
      <c r="AH217" s="77" t="s">
        <v>278</v>
      </c>
      <c r="AI217" s="76">
        <f t="shared" si="93"/>
        <v>0</v>
      </c>
      <c r="AJ217" s="77" t="s">
        <v>278</v>
      </c>
      <c r="AK217" s="77" t="s">
        <v>278</v>
      </c>
      <c r="AL217" s="77" t="s">
        <v>278</v>
      </c>
      <c r="AM217" s="77" t="s">
        <v>278</v>
      </c>
      <c r="AN217" s="115">
        <f t="shared" si="94"/>
        <v>46010.7</v>
      </c>
      <c r="AO217" s="91"/>
    </row>
    <row r="218" spans="1:41" ht="260.25" customHeight="1">
      <c r="A218" s="41" t="s">
        <v>566</v>
      </c>
      <c r="B218" s="36" t="s">
        <v>567</v>
      </c>
      <c r="C218" s="11" t="s">
        <v>34</v>
      </c>
      <c r="D218" s="119" t="s">
        <v>568</v>
      </c>
      <c r="E218" s="76">
        <f t="shared" si="89"/>
        <v>0</v>
      </c>
      <c r="F218" s="77" t="s">
        <v>278</v>
      </c>
      <c r="G218" s="77" t="s">
        <v>278</v>
      </c>
      <c r="H218" s="77" t="s">
        <v>278</v>
      </c>
      <c r="I218" s="77" t="s">
        <v>278</v>
      </c>
      <c r="J218" s="76">
        <f t="shared" si="90"/>
        <v>0</v>
      </c>
      <c r="K218" s="77" t="s">
        <v>278</v>
      </c>
      <c r="L218" s="77" t="s">
        <v>278</v>
      </c>
      <c r="M218" s="77" t="s">
        <v>278</v>
      </c>
      <c r="N218" s="77" t="s">
        <v>278</v>
      </c>
      <c r="O218" s="76">
        <f>SUMIF(P218:S218,"&gt;0")</f>
        <v>0</v>
      </c>
      <c r="P218" s="77" t="s">
        <v>278</v>
      </c>
      <c r="Q218" s="77" t="s">
        <v>278</v>
      </c>
      <c r="R218" s="77" t="s">
        <v>278</v>
      </c>
      <c r="S218" s="77" t="s">
        <v>278</v>
      </c>
      <c r="T218" s="107">
        <f t="shared" si="88"/>
        <v>7685.9</v>
      </c>
      <c r="U218" s="77" t="s">
        <v>278</v>
      </c>
      <c r="V218" s="111">
        <f>7685.89017</f>
        <v>7685.9</v>
      </c>
      <c r="W218" s="77" t="s">
        <v>278</v>
      </c>
      <c r="X218" s="77" t="s">
        <v>278</v>
      </c>
      <c r="Y218" s="76">
        <f t="shared" si="91"/>
        <v>0</v>
      </c>
      <c r="Z218" s="77" t="s">
        <v>278</v>
      </c>
      <c r="AA218" s="77" t="s">
        <v>278</v>
      </c>
      <c r="AB218" s="77" t="s">
        <v>278</v>
      </c>
      <c r="AC218" s="77" t="s">
        <v>278</v>
      </c>
      <c r="AD218" s="76">
        <f t="shared" si="92"/>
        <v>0</v>
      </c>
      <c r="AE218" s="77" t="s">
        <v>278</v>
      </c>
      <c r="AF218" s="77" t="s">
        <v>278</v>
      </c>
      <c r="AG218" s="77" t="s">
        <v>278</v>
      </c>
      <c r="AH218" s="77" t="s">
        <v>278</v>
      </c>
      <c r="AI218" s="76">
        <f t="shared" si="93"/>
        <v>0</v>
      </c>
      <c r="AJ218" s="77" t="s">
        <v>278</v>
      </c>
      <c r="AK218" s="77" t="s">
        <v>278</v>
      </c>
      <c r="AL218" s="77" t="s">
        <v>278</v>
      </c>
      <c r="AM218" s="77" t="s">
        <v>278</v>
      </c>
      <c r="AN218" s="115">
        <f t="shared" si="94"/>
        <v>7685.9</v>
      </c>
      <c r="AO218" s="91"/>
    </row>
    <row r="219" spans="1:41" ht="18.75">
      <c r="A219" s="41"/>
      <c r="B219" s="178" t="s">
        <v>46</v>
      </c>
      <c r="C219" s="68"/>
      <c r="D219" s="68"/>
      <c r="E219" s="112">
        <f>SUM(F219:I219)</f>
        <v>1045722.2</v>
      </c>
      <c r="F219" s="116">
        <f>SUM(F98:F218)</f>
        <v>552705.8</v>
      </c>
      <c r="G219" s="116">
        <f>SUM(G98:G218)</f>
        <v>158400.7</v>
      </c>
      <c r="H219" s="116">
        <f>SUM(H98:H218)</f>
        <v>208596.7</v>
      </c>
      <c r="I219" s="116">
        <f>SUM(I98:I218)</f>
        <v>126019</v>
      </c>
      <c r="J219" s="112">
        <f>SUM(K219:N219)</f>
        <v>926741.7</v>
      </c>
      <c r="K219" s="116">
        <f>SUM(K98:K218)</f>
        <v>514723.6</v>
      </c>
      <c r="L219" s="116">
        <f>SUM(L98:L218)</f>
        <v>176557.2</v>
      </c>
      <c r="M219" s="116">
        <f>SUM(M98:M218)</f>
        <v>229098.9</v>
      </c>
      <c r="N219" s="116">
        <f>SUM(N98:N218)</f>
        <v>6362</v>
      </c>
      <c r="O219" s="112">
        <f>SUM(P219:S219)</f>
        <v>1009135.3</v>
      </c>
      <c r="P219" s="116">
        <f>SUM(P98:P218)</f>
        <v>550939.4</v>
      </c>
      <c r="Q219" s="116">
        <f>SUM(Q98:Q218)</f>
        <v>218720.2</v>
      </c>
      <c r="R219" s="116">
        <f>SUM(R98:R218)</f>
        <v>239475.7</v>
      </c>
      <c r="S219" s="132">
        <f>SUM(S98:S218)</f>
        <v>0</v>
      </c>
      <c r="T219" s="112">
        <f>SUM(U219:X219)</f>
        <v>1077331.8</v>
      </c>
      <c r="U219" s="116">
        <f>SUM(U98:U218)</f>
        <v>580554.7</v>
      </c>
      <c r="V219" s="116">
        <f>SUM(V98:V218)</f>
        <v>250813.9</v>
      </c>
      <c r="W219" s="132">
        <f>SUM(W98:W218)</f>
        <v>245963.2</v>
      </c>
      <c r="X219" s="132">
        <f>SUM(X98:X218)</f>
        <v>0</v>
      </c>
      <c r="Y219" s="112">
        <f>SUM(Z219:AC219)</f>
        <v>980736.8</v>
      </c>
      <c r="Z219" s="116">
        <f>SUM(Z98:Z218)</f>
        <v>529284.4</v>
      </c>
      <c r="AA219" s="116">
        <f>SUM(AA98:AA218)</f>
        <v>200265.1</v>
      </c>
      <c r="AB219" s="132">
        <f>SUM(AB98:AB218)</f>
        <v>251187.3</v>
      </c>
      <c r="AC219" s="132">
        <f>SUM(AC98:AC218)</f>
        <v>0</v>
      </c>
      <c r="AD219" s="112">
        <f>SUM(AE219:AH219)</f>
        <v>932887.5</v>
      </c>
      <c r="AE219" s="116">
        <f>SUM(AE98:AE218)</f>
        <v>529236.5</v>
      </c>
      <c r="AF219" s="116">
        <f>SUM(AF98:AF218)</f>
        <v>191771.5</v>
      </c>
      <c r="AG219" s="116">
        <f>SUM(AG98:AG218)</f>
        <v>211879.5</v>
      </c>
      <c r="AH219" s="80">
        <f>SUM(AH98:AH218)</f>
        <v>0</v>
      </c>
      <c r="AI219" s="112">
        <f>SUM(AJ219:AM219)</f>
        <v>1325207</v>
      </c>
      <c r="AJ219" s="116">
        <f>SUM(AJ98:AJ218)</f>
        <v>650111</v>
      </c>
      <c r="AK219" s="116">
        <f>SUM(AK98:AK218)</f>
        <v>24996</v>
      </c>
      <c r="AL219" s="80">
        <f>SUM(AL98:AL218)</f>
        <v>0</v>
      </c>
      <c r="AM219" s="116">
        <f>SUM(AM98:AM218)</f>
        <v>650100</v>
      </c>
      <c r="AN219" s="115">
        <f t="shared" si="86"/>
        <v>7297762.3</v>
      </c>
      <c r="AO219" s="91"/>
    </row>
    <row r="220" spans="1:41" ht="18.75">
      <c r="A220" s="147" t="s">
        <v>230</v>
      </c>
      <c r="B220" s="150" t="s">
        <v>279</v>
      </c>
      <c r="C220" s="151"/>
      <c r="D220" s="151"/>
      <c r="E220" s="151"/>
      <c r="F220" s="151"/>
      <c r="G220" s="151"/>
      <c r="H220" s="151"/>
      <c r="I220" s="151"/>
      <c r="J220" s="151"/>
      <c r="K220" s="151"/>
      <c r="L220" s="151"/>
      <c r="M220" s="151"/>
      <c r="N220" s="151"/>
      <c r="O220" s="151"/>
      <c r="P220" s="151"/>
      <c r="Q220" s="151"/>
      <c r="R220" s="151"/>
      <c r="S220" s="151"/>
      <c r="T220" s="151"/>
      <c r="U220" s="151"/>
      <c r="V220" s="151"/>
      <c r="W220" s="151"/>
      <c r="X220" s="151"/>
      <c r="Y220" s="151"/>
      <c r="Z220" s="151"/>
      <c r="AA220" s="151"/>
      <c r="AB220" s="151"/>
      <c r="AC220" s="151"/>
      <c r="AD220" s="98"/>
      <c r="AE220" s="99"/>
      <c r="AF220" s="98"/>
      <c r="AG220" s="98"/>
      <c r="AH220" s="98"/>
      <c r="AI220" s="98"/>
      <c r="AJ220" s="98"/>
      <c r="AK220" s="98"/>
      <c r="AL220" s="98"/>
      <c r="AM220" s="98"/>
      <c r="AN220" s="100"/>
      <c r="AO220" s="91"/>
    </row>
    <row r="221" spans="1:41" s="23" customFormat="1" ht="31.5">
      <c r="A221" s="35" t="s">
        <v>41</v>
      </c>
      <c r="B221" s="101" t="s">
        <v>162</v>
      </c>
      <c r="C221" s="97"/>
      <c r="D221" s="102"/>
      <c r="E221" s="43"/>
      <c r="F221" s="73"/>
      <c r="G221" s="90"/>
      <c r="H221" s="90"/>
      <c r="I221" s="90"/>
      <c r="J221" s="90"/>
      <c r="K221" s="90"/>
      <c r="L221" s="90"/>
      <c r="M221" s="90"/>
      <c r="N221" s="90"/>
      <c r="O221" s="90"/>
      <c r="P221" s="90"/>
      <c r="Q221" s="90"/>
      <c r="R221" s="90"/>
      <c r="S221" s="90"/>
      <c r="T221" s="90"/>
      <c r="U221" s="90"/>
      <c r="V221" s="90"/>
      <c r="W221" s="90"/>
      <c r="X221" s="90"/>
      <c r="Y221" s="90"/>
      <c r="Z221" s="90"/>
      <c r="AA221" s="90"/>
      <c r="AB221" s="90"/>
      <c r="AC221" s="90"/>
      <c r="AD221" s="90"/>
      <c r="AE221" s="90"/>
      <c r="AF221" s="90"/>
      <c r="AG221" s="90"/>
      <c r="AH221" s="90"/>
      <c r="AI221" s="43"/>
      <c r="AJ221" s="73"/>
      <c r="AK221" s="90"/>
      <c r="AL221" s="90"/>
      <c r="AM221" s="90"/>
      <c r="AN221" s="22"/>
      <c r="AO221" s="91"/>
    </row>
    <row r="222" spans="1:41" s="23" customFormat="1" ht="47.25">
      <c r="A222" s="94" t="s">
        <v>157</v>
      </c>
      <c r="B222" s="40" t="s">
        <v>153</v>
      </c>
      <c r="C222" s="92" t="s">
        <v>87</v>
      </c>
      <c r="D222" s="11" t="s">
        <v>228</v>
      </c>
      <c r="E222" s="107">
        <f aca="true" t="shared" si="95" ref="E222:E237">SUMIF(F222:I222,"&gt;0")</f>
        <v>19.3</v>
      </c>
      <c r="F222" s="114">
        <f>25-5.659</f>
        <v>19.3</v>
      </c>
      <c r="G222" s="26" t="s">
        <v>278</v>
      </c>
      <c r="H222" s="26" t="s">
        <v>278</v>
      </c>
      <c r="I222" s="26" t="s">
        <v>278</v>
      </c>
      <c r="J222" s="107">
        <f aca="true" t="shared" si="96" ref="J222:J227">SUMIF(K222:N222,"&gt;0")</f>
        <v>25</v>
      </c>
      <c r="K222" s="111">
        <v>25</v>
      </c>
      <c r="L222" s="77" t="s">
        <v>278</v>
      </c>
      <c r="M222" s="77" t="s">
        <v>278</v>
      </c>
      <c r="N222" s="77" t="s">
        <v>278</v>
      </c>
      <c r="O222" s="107">
        <f aca="true" t="shared" si="97" ref="O222:O227">SUMIF(P222:S222,"&gt;0")</f>
        <v>25</v>
      </c>
      <c r="P222" s="113">
        <v>25</v>
      </c>
      <c r="Q222" s="77" t="s">
        <v>278</v>
      </c>
      <c r="R222" s="77" t="s">
        <v>278</v>
      </c>
      <c r="S222" s="77" t="s">
        <v>278</v>
      </c>
      <c r="T222" s="107">
        <f>SUMIF(U222:X222,"&gt;0")</f>
        <v>25</v>
      </c>
      <c r="U222" s="113">
        <v>25</v>
      </c>
      <c r="V222" s="77" t="s">
        <v>278</v>
      </c>
      <c r="W222" s="77" t="s">
        <v>278</v>
      </c>
      <c r="X222" s="77" t="s">
        <v>278</v>
      </c>
      <c r="Y222" s="107">
        <f aca="true" t="shared" si="98" ref="Y222:Y227">SUMIF(Z222:AC222,"&gt;0")</f>
        <v>25</v>
      </c>
      <c r="Z222" s="113">
        <v>25</v>
      </c>
      <c r="AA222" s="77" t="s">
        <v>278</v>
      </c>
      <c r="AB222" s="77" t="s">
        <v>278</v>
      </c>
      <c r="AC222" s="77" t="s">
        <v>278</v>
      </c>
      <c r="AD222" s="107">
        <f aca="true" t="shared" si="99" ref="AD222:AD227">SUMIF(AE222:AH222,"&gt;0")</f>
        <v>25</v>
      </c>
      <c r="AE222" s="113">
        <v>25</v>
      </c>
      <c r="AF222" s="77" t="s">
        <v>278</v>
      </c>
      <c r="AG222" s="77" t="s">
        <v>278</v>
      </c>
      <c r="AH222" s="77" t="s">
        <v>278</v>
      </c>
      <c r="AI222" s="107">
        <f aca="true" t="shared" si="100" ref="AI222:AI241">SUMIF(AJ222:AM222,"&gt;0")</f>
        <v>45</v>
      </c>
      <c r="AJ222" s="114">
        <v>45</v>
      </c>
      <c r="AK222" s="77" t="s">
        <v>278</v>
      </c>
      <c r="AL222" s="77" t="s">
        <v>278</v>
      </c>
      <c r="AM222" s="77" t="s">
        <v>278</v>
      </c>
      <c r="AN222" s="115">
        <f aca="true" t="shared" si="101" ref="AN222:AN241">E222+J222+O222+T222+Y222+AD222+AI222</f>
        <v>189.3</v>
      </c>
      <c r="AO222" s="91"/>
    </row>
    <row r="223" spans="1:41" s="23" customFormat="1" ht="113.25" customHeight="1">
      <c r="A223" s="94" t="s">
        <v>158</v>
      </c>
      <c r="B223" s="40" t="s">
        <v>154</v>
      </c>
      <c r="C223" s="92" t="s">
        <v>87</v>
      </c>
      <c r="D223" s="11" t="s">
        <v>228</v>
      </c>
      <c r="E223" s="107">
        <f t="shared" si="95"/>
        <v>100</v>
      </c>
      <c r="F223" s="114">
        <v>100</v>
      </c>
      <c r="G223" s="26" t="s">
        <v>278</v>
      </c>
      <c r="H223" s="26" t="s">
        <v>278</v>
      </c>
      <c r="I223" s="26" t="s">
        <v>278</v>
      </c>
      <c r="J223" s="107">
        <f t="shared" si="96"/>
        <v>150</v>
      </c>
      <c r="K223" s="111">
        <v>150</v>
      </c>
      <c r="L223" s="77" t="s">
        <v>278</v>
      </c>
      <c r="M223" s="77" t="s">
        <v>278</v>
      </c>
      <c r="N223" s="77" t="s">
        <v>278</v>
      </c>
      <c r="O223" s="107">
        <f t="shared" si="97"/>
        <v>150</v>
      </c>
      <c r="P223" s="113">
        <v>150</v>
      </c>
      <c r="Q223" s="77" t="s">
        <v>278</v>
      </c>
      <c r="R223" s="77" t="s">
        <v>278</v>
      </c>
      <c r="S223" s="77" t="s">
        <v>278</v>
      </c>
      <c r="T223" s="107">
        <f>SUMIF(U223:X223,"&gt;0")</f>
        <v>263</v>
      </c>
      <c r="U223" s="113">
        <v>263</v>
      </c>
      <c r="V223" s="77" t="s">
        <v>278</v>
      </c>
      <c r="W223" s="77" t="s">
        <v>278</v>
      </c>
      <c r="X223" s="77" t="s">
        <v>278</v>
      </c>
      <c r="Y223" s="107">
        <f>SUMIF(Z223:AC223,"&gt;0")</f>
        <v>263</v>
      </c>
      <c r="Z223" s="113">
        <v>263</v>
      </c>
      <c r="AA223" s="77" t="s">
        <v>278</v>
      </c>
      <c r="AB223" s="77" t="s">
        <v>278</v>
      </c>
      <c r="AC223" s="77" t="s">
        <v>278</v>
      </c>
      <c r="AD223" s="107">
        <f t="shared" si="99"/>
        <v>263</v>
      </c>
      <c r="AE223" s="113">
        <v>263</v>
      </c>
      <c r="AF223" s="77" t="s">
        <v>278</v>
      </c>
      <c r="AG223" s="77" t="s">
        <v>278</v>
      </c>
      <c r="AH223" s="77" t="s">
        <v>278</v>
      </c>
      <c r="AI223" s="107">
        <f t="shared" si="100"/>
        <v>400</v>
      </c>
      <c r="AJ223" s="114">
        <v>400</v>
      </c>
      <c r="AK223" s="77" t="s">
        <v>278</v>
      </c>
      <c r="AL223" s="77" t="s">
        <v>278</v>
      </c>
      <c r="AM223" s="77" t="s">
        <v>278</v>
      </c>
      <c r="AN223" s="115">
        <f t="shared" si="101"/>
        <v>1589</v>
      </c>
      <c r="AO223" s="91"/>
    </row>
    <row r="224" spans="1:41" s="23" customFormat="1" ht="47.25">
      <c r="A224" s="94" t="s">
        <v>159</v>
      </c>
      <c r="B224" s="103" t="s">
        <v>155</v>
      </c>
      <c r="C224" s="92" t="s">
        <v>87</v>
      </c>
      <c r="D224" s="11" t="s">
        <v>228</v>
      </c>
      <c r="E224" s="107">
        <f t="shared" si="95"/>
        <v>20</v>
      </c>
      <c r="F224" s="114">
        <v>20</v>
      </c>
      <c r="G224" s="26" t="s">
        <v>278</v>
      </c>
      <c r="H224" s="26" t="s">
        <v>278</v>
      </c>
      <c r="I224" s="26" t="s">
        <v>278</v>
      </c>
      <c r="J224" s="107">
        <f t="shared" si="96"/>
        <v>20</v>
      </c>
      <c r="K224" s="111">
        <v>20</v>
      </c>
      <c r="L224" s="77" t="s">
        <v>278</v>
      </c>
      <c r="M224" s="77" t="s">
        <v>278</v>
      </c>
      <c r="N224" s="77" t="s">
        <v>278</v>
      </c>
      <c r="O224" s="107">
        <f t="shared" si="97"/>
        <v>20</v>
      </c>
      <c r="P224" s="113">
        <v>20</v>
      </c>
      <c r="Q224" s="77" t="s">
        <v>278</v>
      </c>
      <c r="R224" s="77" t="s">
        <v>278</v>
      </c>
      <c r="S224" s="77" t="s">
        <v>278</v>
      </c>
      <c r="T224" s="107">
        <f>SUMIF(U224:X224,"&gt;0")</f>
        <v>40</v>
      </c>
      <c r="U224" s="113">
        <v>40</v>
      </c>
      <c r="V224" s="77" t="s">
        <v>278</v>
      </c>
      <c r="W224" s="77" t="s">
        <v>278</v>
      </c>
      <c r="X224" s="77" t="s">
        <v>278</v>
      </c>
      <c r="Y224" s="107">
        <f>SUMIF(Z224:AC224,"&gt;0")</f>
        <v>40</v>
      </c>
      <c r="Z224" s="113">
        <v>40</v>
      </c>
      <c r="AA224" s="77" t="s">
        <v>278</v>
      </c>
      <c r="AB224" s="77" t="s">
        <v>278</v>
      </c>
      <c r="AC224" s="77" t="s">
        <v>278</v>
      </c>
      <c r="AD224" s="107">
        <f t="shared" si="99"/>
        <v>40</v>
      </c>
      <c r="AE224" s="113">
        <v>40</v>
      </c>
      <c r="AF224" s="77" t="s">
        <v>278</v>
      </c>
      <c r="AG224" s="77" t="s">
        <v>278</v>
      </c>
      <c r="AH224" s="77" t="s">
        <v>278</v>
      </c>
      <c r="AI224" s="107">
        <f t="shared" si="100"/>
        <v>20</v>
      </c>
      <c r="AJ224" s="114">
        <v>20</v>
      </c>
      <c r="AK224" s="77" t="s">
        <v>278</v>
      </c>
      <c r="AL224" s="77" t="s">
        <v>278</v>
      </c>
      <c r="AM224" s="77" t="s">
        <v>278</v>
      </c>
      <c r="AN224" s="115">
        <f t="shared" si="101"/>
        <v>200</v>
      </c>
      <c r="AO224" s="91"/>
    </row>
    <row r="225" spans="1:41" s="23" customFormat="1" ht="63">
      <c r="A225" s="94" t="s">
        <v>160</v>
      </c>
      <c r="B225" s="40" t="s">
        <v>156</v>
      </c>
      <c r="C225" s="92" t="s">
        <v>188</v>
      </c>
      <c r="D225" s="11" t="s">
        <v>228</v>
      </c>
      <c r="E225" s="107">
        <f t="shared" si="95"/>
        <v>20</v>
      </c>
      <c r="F225" s="114">
        <v>20</v>
      </c>
      <c r="G225" s="26" t="s">
        <v>278</v>
      </c>
      <c r="H225" s="26" t="s">
        <v>278</v>
      </c>
      <c r="I225" s="26" t="s">
        <v>278</v>
      </c>
      <c r="J225" s="107">
        <f t="shared" si="96"/>
        <v>15</v>
      </c>
      <c r="K225" s="111">
        <v>15</v>
      </c>
      <c r="L225" s="77" t="s">
        <v>278</v>
      </c>
      <c r="M225" s="77" t="s">
        <v>278</v>
      </c>
      <c r="N225" s="77" t="s">
        <v>278</v>
      </c>
      <c r="O225" s="107">
        <f t="shared" si="97"/>
        <v>15</v>
      </c>
      <c r="P225" s="113">
        <v>15</v>
      </c>
      <c r="Q225" s="77" t="s">
        <v>278</v>
      </c>
      <c r="R225" s="77" t="s">
        <v>278</v>
      </c>
      <c r="S225" s="77" t="s">
        <v>278</v>
      </c>
      <c r="T225" s="107">
        <f>SUMIF(U225:X225,"&gt;0")</f>
        <v>20</v>
      </c>
      <c r="U225" s="113">
        <f>15+5</f>
        <v>20</v>
      </c>
      <c r="V225" s="77" t="s">
        <v>278</v>
      </c>
      <c r="W225" s="77" t="s">
        <v>278</v>
      </c>
      <c r="X225" s="77" t="s">
        <v>278</v>
      </c>
      <c r="Y225" s="107">
        <f>SUMIF(Z225:AC225,"&gt;0")</f>
        <v>20</v>
      </c>
      <c r="Z225" s="113">
        <f>15+5</f>
        <v>20</v>
      </c>
      <c r="AA225" s="77" t="s">
        <v>278</v>
      </c>
      <c r="AB225" s="77" t="s">
        <v>278</v>
      </c>
      <c r="AC225" s="77" t="s">
        <v>278</v>
      </c>
      <c r="AD225" s="107">
        <f t="shared" si="99"/>
        <v>20</v>
      </c>
      <c r="AE225" s="113">
        <f>15+5</f>
        <v>20</v>
      </c>
      <c r="AF225" s="77" t="s">
        <v>278</v>
      </c>
      <c r="AG225" s="77" t="s">
        <v>278</v>
      </c>
      <c r="AH225" s="77" t="s">
        <v>278</v>
      </c>
      <c r="AI225" s="107">
        <f t="shared" si="100"/>
        <v>50</v>
      </c>
      <c r="AJ225" s="114">
        <v>50</v>
      </c>
      <c r="AK225" s="77" t="s">
        <v>278</v>
      </c>
      <c r="AL225" s="77" t="s">
        <v>278</v>
      </c>
      <c r="AM225" s="77" t="s">
        <v>278</v>
      </c>
      <c r="AN225" s="115">
        <f t="shared" si="101"/>
        <v>160</v>
      </c>
      <c r="AO225" s="91"/>
    </row>
    <row r="226" spans="1:41" s="23" customFormat="1" ht="47.25">
      <c r="A226" s="94" t="s">
        <v>192</v>
      </c>
      <c r="B226" s="40" t="s">
        <v>194</v>
      </c>
      <c r="C226" s="92" t="s">
        <v>87</v>
      </c>
      <c r="D226" s="11" t="s">
        <v>228</v>
      </c>
      <c r="E226" s="107">
        <f t="shared" si="95"/>
        <v>10</v>
      </c>
      <c r="F226" s="114">
        <f>10-0.00232</f>
        <v>10</v>
      </c>
      <c r="G226" s="26" t="s">
        <v>278</v>
      </c>
      <c r="H226" s="26" t="s">
        <v>278</v>
      </c>
      <c r="I226" s="26" t="s">
        <v>278</v>
      </c>
      <c r="J226" s="107">
        <f t="shared" si="96"/>
        <v>10</v>
      </c>
      <c r="K226" s="111">
        <v>10</v>
      </c>
      <c r="L226" s="77" t="s">
        <v>278</v>
      </c>
      <c r="M226" s="77" t="s">
        <v>278</v>
      </c>
      <c r="N226" s="77" t="s">
        <v>278</v>
      </c>
      <c r="O226" s="107">
        <f t="shared" si="97"/>
        <v>10</v>
      </c>
      <c r="P226" s="113">
        <v>10</v>
      </c>
      <c r="Q226" s="77" t="s">
        <v>278</v>
      </c>
      <c r="R226" s="77" t="s">
        <v>278</v>
      </c>
      <c r="S226" s="77" t="s">
        <v>278</v>
      </c>
      <c r="T226" s="107">
        <f>SUMIF(U226:X226,"&gt;0")</f>
        <v>10</v>
      </c>
      <c r="U226" s="113">
        <v>10</v>
      </c>
      <c r="V226" s="77" t="s">
        <v>278</v>
      </c>
      <c r="W226" s="77" t="s">
        <v>278</v>
      </c>
      <c r="X226" s="77" t="s">
        <v>278</v>
      </c>
      <c r="Y226" s="107">
        <f t="shared" si="98"/>
        <v>10</v>
      </c>
      <c r="Z226" s="113">
        <v>10</v>
      </c>
      <c r="AA226" s="77" t="s">
        <v>278</v>
      </c>
      <c r="AB226" s="77" t="s">
        <v>278</v>
      </c>
      <c r="AC226" s="77" t="s">
        <v>278</v>
      </c>
      <c r="AD226" s="107">
        <f t="shared" si="99"/>
        <v>10</v>
      </c>
      <c r="AE226" s="113">
        <v>10</v>
      </c>
      <c r="AF226" s="77" t="s">
        <v>278</v>
      </c>
      <c r="AG226" s="77" t="s">
        <v>278</v>
      </c>
      <c r="AH226" s="77" t="s">
        <v>278</v>
      </c>
      <c r="AI226" s="107">
        <f t="shared" si="100"/>
        <v>30</v>
      </c>
      <c r="AJ226" s="114">
        <v>30</v>
      </c>
      <c r="AK226" s="77" t="s">
        <v>278</v>
      </c>
      <c r="AL226" s="77" t="s">
        <v>278</v>
      </c>
      <c r="AM226" s="77" t="s">
        <v>278</v>
      </c>
      <c r="AN226" s="115">
        <f t="shared" si="101"/>
        <v>90</v>
      </c>
      <c r="AO226" s="91"/>
    </row>
    <row r="227" spans="1:41" s="23" customFormat="1" ht="47.25">
      <c r="A227" s="94" t="s">
        <v>193</v>
      </c>
      <c r="B227" s="40" t="s">
        <v>195</v>
      </c>
      <c r="C227" s="92" t="s">
        <v>87</v>
      </c>
      <c r="D227" s="11" t="s">
        <v>228</v>
      </c>
      <c r="E227" s="76">
        <f t="shared" si="95"/>
        <v>0</v>
      </c>
      <c r="F227" s="26" t="s">
        <v>278</v>
      </c>
      <c r="G227" s="26" t="s">
        <v>278</v>
      </c>
      <c r="H227" s="26" t="s">
        <v>278</v>
      </c>
      <c r="I227" s="26" t="s">
        <v>278</v>
      </c>
      <c r="J227" s="76">
        <f t="shared" si="96"/>
        <v>0</v>
      </c>
      <c r="K227" s="11" t="s">
        <v>278</v>
      </c>
      <c r="L227" s="77" t="s">
        <v>278</v>
      </c>
      <c r="M227" s="77" t="s">
        <v>278</v>
      </c>
      <c r="N227" s="77" t="s">
        <v>278</v>
      </c>
      <c r="O227" s="76">
        <f t="shared" si="97"/>
        <v>0</v>
      </c>
      <c r="P227" s="77" t="s">
        <v>278</v>
      </c>
      <c r="Q227" s="77" t="s">
        <v>278</v>
      </c>
      <c r="R227" s="77" t="s">
        <v>278</v>
      </c>
      <c r="S227" s="77" t="s">
        <v>278</v>
      </c>
      <c r="T227" s="76">
        <f aca="true" t="shared" si="102" ref="T227:T241">SUMIF(U227:X227,"&gt;0")</f>
        <v>0</v>
      </c>
      <c r="U227" s="77" t="s">
        <v>278</v>
      </c>
      <c r="V227" s="77" t="s">
        <v>278</v>
      </c>
      <c r="W227" s="77" t="s">
        <v>278</v>
      </c>
      <c r="X227" s="77" t="s">
        <v>278</v>
      </c>
      <c r="Y227" s="76">
        <f t="shared" si="98"/>
        <v>0</v>
      </c>
      <c r="Z227" s="77" t="s">
        <v>278</v>
      </c>
      <c r="AA227" s="77" t="s">
        <v>278</v>
      </c>
      <c r="AB227" s="77" t="s">
        <v>278</v>
      </c>
      <c r="AC227" s="77" t="s">
        <v>278</v>
      </c>
      <c r="AD227" s="76">
        <f t="shared" si="99"/>
        <v>0</v>
      </c>
      <c r="AE227" s="77" t="s">
        <v>278</v>
      </c>
      <c r="AF227" s="77" t="s">
        <v>278</v>
      </c>
      <c r="AG227" s="77" t="s">
        <v>278</v>
      </c>
      <c r="AH227" s="77" t="s">
        <v>278</v>
      </c>
      <c r="AI227" s="107">
        <f t="shared" si="100"/>
        <v>10</v>
      </c>
      <c r="AJ227" s="114">
        <v>10</v>
      </c>
      <c r="AK227" s="77" t="s">
        <v>278</v>
      </c>
      <c r="AL227" s="77" t="s">
        <v>278</v>
      </c>
      <c r="AM227" s="77" t="s">
        <v>278</v>
      </c>
      <c r="AN227" s="115">
        <f t="shared" si="101"/>
        <v>10</v>
      </c>
      <c r="AO227" s="91"/>
    </row>
    <row r="228" spans="1:41" s="23" customFormat="1" ht="110.25">
      <c r="A228" s="94" t="s">
        <v>206</v>
      </c>
      <c r="B228" s="40" t="s">
        <v>209</v>
      </c>
      <c r="C228" s="92" t="s">
        <v>54</v>
      </c>
      <c r="D228" s="11" t="s">
        <v>228</v>
      </c>
      <c r="E228" s="76">
        <f t="shared" si="95"/>
        <v>0</v>
      </c>
      <c r="F228" s="26" t="s">
        <v>278</v>
      </c>
      <c r="G228" s="26" t="s">
        <v>278</v>
      </c>
      <c r="H228" s="26" t="s">
        <v>278</v>
      </c>
      <c r="I228" s="26" t="s">
        <v>278</v>
      </c>
      <c r="J228" s="76">
        <f aca="true" t="shared" si="103" ref="J228:J243">SUMIF(K228:N228,"&gt;0")</f>
        <v>0</v>
      </c>
      <c r="K228" s="11" t="s">
        <v>278</v>
      </c>
      <c r="L228" s="77" t="s">
        <v>278</v>
      </c>
      <c r="M228" s="77" t="s">
        <v>278</v>
      </c>
      <c r="N228" s="77" t="s">
        <v>278</v>
      </c>
      <c r="O228" s="76">
        <f aca="true" t="shared" si="104" ref="O228:O243">SUMIF(P228:S228,"&gt;0")</f>
        <v>0</v>
      </c>
      <c r="P228" s="77" t="s">
        <v>278</v>
      </c>
      <c r="Q228" s="77" t="s">
        <v>278</v>
      </c>
      <c r="R228" s="77" t="s">
        <v>278</v>
      </c>
      <c r="S228" s="77" t="s">
        <v>278</v>
      </c>
      <c r="T228" s="76">
        <f t="shared" si="102"/>
        <v>0</v>
      </c>
      <c r="U228" s="77" t="s">
        <v>278</v>
      </c>
      <c r="V228" s="77" t="s">
        <v>278</v>
      </c>
      <c r="W228" s="77" t="s">
        <v>278</v>
      </c>
      <c r="X228" s="77" t="s">
        <v>278</v>
      </c>
      <c r="Y228" s="76">
        <f aca="true" t="shared" si="105" ref="Y228:Y242">SUMIF(Z228:AC228,"&gt;0")</f>
        <v>0</v>
      </c>
      <c r="Z228" s="77" t="s">
        <v>278</v>
      </c>
      <c r="AA228" s="77" t="s">
        <v>278</v>
      </c>
      <c r="AB228" s="77" t="s">
        <v>278</v>
      </c>
      <c r="AC228" s="77" t="s">
        <v>278</v>
      </c>
      <c r="AD228" s="76">
        <f aca="true" t="shared" si="106" ref="AD228:AD240">SUMIF(AE228:AH228,"&gt;0")</f>
        <v>0</v>
      </c>
      <c r="AE228" s="77" t="s">
        <v>278</v>
      </c>
      <c r="AF228" s="77" t="s">
        <v>278</v>
      </c>
      <c r="AG228" s="77" t="s">
        <v>278</v>
      </c>
      <c r="AH228" s="77" t="s">
        <v>278</v>
      </c>
      <c r="AI228" s="76">
        <f t="shared" si="100"/>
        <v>0</v>
      </c>
      <c r="AJ228" s="77" t="s">
        <v>278</v>
      </c>
      <c r="AK228" s="77" t="s">
        <v>278</v>
      </c>
      <c r="AL228" s="77" t="s">
        <v>278</v>
      </c>
      <c r="AM228" s="77" t="s">
        <v>278</v>
      </c>
      <c r="AN228" s="76">
        <f t="shared" si="101"/>
        <v>0</v>
      </c>
      <c r="AO228" s="91"/>
    </row>
    <row r="229" spans="1:41" s="23" customFormat="1" ht="47.25">
      <c r="A229" s="94" t="s">
        <v>207</v>
      </c>
      <c r="B229" s="40" t="s">
        <v>210</v>
      </c>
      <c r="C229" s="92" t="s">
        <v>85</v>
      </c>
      <c r="D229" s="11" t="s">
        <v>228</v>
      </c>
      <c r="E229" s="76">
        <f t="shared" si="95"/>
        <v>0</v>
      </c>
      <c r="F229" s="26" t="s">
        <v>278</v>
      </c>
      <c r="G229" s="26" t="s">
        <v>278</v>
      </c>
      <c r="H229" s="26" t="s">
        <v>278</v>
      </c>
      <c r="I229" s="26" t="s">
        <v>278</v>
      </c>
      <c r="J229" s="76">
        <f t="shared" si="103"/>
        <v>0</v>
      </c>
      <c r="K229" s="11" t="s">
        <v>278</v>
      </c>
      <c r="L229" s="77" t="s">
        <v>278</v>
      </c>
      <c r="M229" s="77" t="s">
        <v>278</v>
      </c>
      <c r="N229" s="77" t="s">
        <v>278</v>
      </c>
      <c r="O229" s="76">
        <f t="shared" si="104"/>
        <v>0</v>
      </c>
      <c r="P229" s="77" t="s">
        <v>278</v>
      </c>
      <c r="Q229" s="77" t="s">
        <v>278</v>
      </c>
      <c r="R229" s="77" t="s">
        <v>278</v>
      </c>
      <c r="S229" s="77" t="s">
        <v>278</v>
      </c>
      <c r="T229" s="76">
        <f t="shared" si="102"/>
        <v>0</v>
      </c>
      <c r="U229" s="77" t="s">
        <v>278</v>
      </c>
      <c r="V229" s="77" t="s">
        <v>278</v>
      </c>
      <c r="W229" s="77" t="s">
        <v>278</v>
      </c>
      <c r="X229" s="77" t="s">
        <v>278</v>
      </c>
      <c r="Y229" s="76">
        <f t="shared" si="105"/>
        <v>0</v>
      </c>
      <c r="Z229" s="77" t="s">
        <v>278</v>
      </c>
      <c r="AA229" s="77" t="s">
        <v>278</v>
      </c>
      <c r="AB229" s="77" t="s">
        <v>278</v>
      </c>
      <c r="AC229" s="77" t="s">
        <v>278</v>
      </c>
      <c r="AD229" s="76">
        <f t="shared" si="106"/>
        <v>0</v>
      </c>
      <c r="AE229" s="77" t="s">
        <v>278</v>
      </c>
      <c r="AF229" s="77" t="s">
        <v>278</v>
      </c>
      <c r="AG229" s="77" t="s">
        <v>278</v>
      </c>
      <c r="AH229" s="77" t="s">
        <v>278</v>
      </c>
      <c r="AI229" s="76">
        <v>0</v>
      </c>
      <c r="AJ229" s="77" t="s">
        <v>278</v>
      </c>
      <c r="AK229" s="77" t="s">
        <v>278</v>
      </c>
      <c r="AL229" s="77" t="s">
        <v>278</v>
      </c>
      <c r="AM229" s="77" t="s">
        <v>278</v>
      </c>
      <c r="AN229" s="76">
        <f t="shared" si="101"/>
        <v>0</v>
      </c>
      <c r="AO229" s="91"/>
    </row>
    <row r="230" spans="1:41" s="23" customFormat="1" ht="78.75">
      <c r="A230" s="94" t="s">
        <v>208</v>
      </c>
      <c r="B230" s="40" t="s">
        <v>211</v>
      </c>
      <c r="C230" s="92" t="s">
        <v>339</v>
      </c>
      <c r="D230" s="11" t="s">
        <v>228</v>
      </c>
      <c r="E230" s="76">
        <f t="shared" si="95"/>
        <v>0</v>
      </c>
      <c r="F230" s="26" t="s">
        <v>278</v>
      </c>
      <c r="G230" s="26" t="s">
        <v>278</v>
      </c>
      <c r="H230" s="26" t="s">
        <v>278</v>
      </c>
      <c r="I230" s="26" t="s">
        <v>278</v>
      </c>
      <c r="J230" s="76">
        <f t="shared" si="103"/>
        <v>0</v>
      </c>
      <c r="K230" s="11" t="s">
        <v>278</v>
      </c>
      <c r="L230" s="77" t="s">
        <v>278</v>
      </c>
      <c r="M230" s="77" t="s">
        <v>278</v>
      </c>
      <c r="N230" s="77" t="s">
        <v>278</v>
      </c>
      <c r="O230" s="76">
        <f t="shared" si="104"/>
        <v>0</v>
      </c>
      <c r="P230" s="77" t="s">
        <v>278</v>
      </c>
      <c r="Q230" s="77" t="s">
        <v>278</v>
      </c>
      <c r="R230" s="77" t="s">
        <v>278</v>
      </c>
      <c r="S230" s="77" t="s">
        <v>278</v>
      </c>
      <c r="T230" s="76">
        <f t="shared" si="102"/>
        <v>0</v>
      </c>
      <c r="U230" s="77" t="s">
        <v>278</v>
      </c>
      <c r="V230" s="77" t="s">
        <v>278</v>
      </c>
      <c r="W230" s="77" t="s">
        <v>278</v>
      </c>
      <c r="X230" s="77" t="s">
        <v>278</v>
      </c>
      <c r="Y230" s="76">
        <f>SUMIF(Z230:AC230,"&gt;0")</f>
        <v>0</v>
      </c>
      <c r="Z230" s="77" t="s">
        <v>278</v>
      </c>
      <c r="AA230" s="77" t="s">
        <v>278</v>
      </c>
      <c r="AB230" s="77" t="s">
        <v>278</v>
      </c>
      <c r="AC230" s="77" t="s">
        <v>278</v>
      </c>
      <c r="AD230" s="76">
        <f>SUMIF(AE230:AH230,"&gt;0")</f>
        <v>0</v>
      </c>
      <c r="AE230" s="77" t="s">
        <v>278</v>
      </c>
      <c r="AF230" s="77" t="s">
        <v>278</v>
      </c>
      <c r="AG230" s="77" t="s">
        <v>278</v>
      </c>
      <c r="AH230" s="77" t="s">
        <v>278</v>
      </c>
      <c r="AI230" s="107">
        <f t="shared" si="100"/>
        <v>50</v>
      </c>
      <c r="AJ230" s="114">
        <v>50</v>
      </c>
      <c r="AK230" s="77" t="s">
        <v>278</v>
      </c>
      <c r="AL230" s="77" t="s">
        <v>278</v>
      </c>
      <c r="AM230" s="77" t="s">
        <v>278</v>
      </c>
      <c r="AN230" s="115">
        <f t="shared" si="101"/>
        <v>50</v>
      </c>
      <c r="AO230" s="91"/>
    </row>
    <row r="231" spans="1:41" s="23" customFormat="1" ht="47.25">
      <c r="A231" s="94" t="s">
        <v>214</v>
      </c>
      <c r="B231" s="40" t="s">
        <v>215</v>
      </c>
      <c r="C231" s="92" t="s">
        <v>87</v>
      </c>
      <c r="D231" s="11" t="s">
        <v>228</v>
      </c>
      <c r="E231" s="107">
        <f t="shared" si="95"/>
        <v>15</v>
      </c>
      <c r="F231" s="114">
        <f>15-0.04564</f>
        <v>15</v>
      </c>
      <c r="G231" s="26" t="s">
        <v>278</v>
      </c>
      <c r="H231" s="26" t="s">
        <v>278</v>
      </c>
      <c r="I231" s="26" t="s">
        <v>278</v>
      </c>
      <c r="J231" s="107">
        <f t="shared" si="103"/>
        <v>15</v>
      </c>
      <c r="K231" s="111">
        <v>15</v>
      </c>
      <c r="L231" s="77" t="s">
        <v>278</v>
      </c>
      <c r="M231" s="77" t="s">
        <v>278</v>
      </c>
      <c r="N231" s="77" t="s">
        <v>278</v>
      </c>
      <c r="O231" s="107">
        <f t="shared" si="104"/>
        <v>10</v>
      </c>
      <c r="P231" s="113">
        <v>10</v>
      </c>
      <c r="Q231" s="77" t="s">
        <v>278</v>
      </c>
      <c r="R231" s="77" t="s">
        <v>278</v>
      </c>
      <c r="S231" s="77" t="s">
        <v>278</v>
      </c>
      <c r="T231" s="107">
        <f t="shared" si="102"/>
        <v>10</v>
      </c>
      <c r="U231" s="113">
        <v>10</v>
      </c>
      <c r="V231" s="77" t="s">
        <v>278</v>
      </c>
      <c r="W231" s="77" t="s">
        <v>278</v>
      </c>
      <c r="X231" s="77" t="s">
        <v>278</v>
      </c>
      <c r="Y231" s="107">
        <f>SUMIF(Z231:AC231,"&gt;0")</f>
        <v>10</v>
      </c>
      <c r="Z231" s="113">
        <v>10</v>
      </c>
      <c r="AA231" s="77" t="s">
        <v>278</v>
      </c>
      <c r="AB231" s="77" t="s">
        <v>278</v>
      </c>
      <c r="AC231" s="77" t="s">
        <v>278</v>
      </c>
      <c r="AD231" s="107">
        <f>SUMIF(AE231:AH231,"&gt;0")</f>
        <v>10</v>
      </c>
      <c r="AE231" s="113">
        <v>10</v>
      </c>
      <c r="AF231" s="77" t="s">
        <v>278</v>
      </c>
      <c r="AG231" s="77" t="s">
        <v>278</v>
      </c>
      <c r="AH231" s="77" t="s">
        <v>278</v>
      </c>
      <c r="AI231" s="107">
        <f t="shared" si="100"/>
        <v>23</v>
      </c>
      <c r="AJ231" s="114">
        <v>23</v>
      </c>
      <c r="AK231" s="77" t="s">
        <v>278</v>
      </c>
      <c r="AL231" s="77" t="s">
        <v>278</v>
      </c>
      <c r="AM231" s="77" t="s">
        <v>278</v>
      </c>
      <c r="AN231" s="115">
        <f t="shared" si="101"/>
        <v>93</v>
      </c>
      <c r="AO231" s="91"/>
    </row>
    <row r="232" spans="1:41" s="23" customFormat="1" ht="82.5" customHeight="1">
      <c r="A232" s="94" t="s">
        <v>280</v>
      </c>
      <c r="B232" s="40" t="s">
        <v>393</v>
      </c>
      <c r="C232" s="92" t="s">
        <v>34</v>
      </c>
      <c r="D232" s="11" t="s">
        <v>237</v>
      </c>
      <c r="E232" s="76">
        <f t="shared" si="95"/>
        <v>0</v>
      </c>
      <c r="F232" s="26" t="s">
        <v>278</v>
      </c>
      <c r="G232" s="26" t="s">
        <v>278</v>
      </c>
      <c r="H232" s="26" t="s">
        <v>278</v>
      </c>
      <c r="I232" s="26" t="s">
        <v>278</v>
      </c>
      <c r="J232" s="76">
        <f t="shared" si="103"/>
        <v>0</v>
      </c>
      <c r="K232" s="11" t="s">
        <v>278</v>
      </c>
      <c r="L232" s="77" t="s">
        <v>278</v>
      </c>
      <c r="M232" s="77" t="s">
        <v>278</v>
      </c>
      <c r="N232" s="77" t="s">
        <v>278</v>
      </c>
      <c r="O232" s="76">
        <f t="shared" si="104"/>
        <v>0</v>
      </c>
      <c r="P232" s="77" t="s">
        <v>278</v>
      </c>
      <c r="Q232" s="77" t="s">
        <v>278</v>
      </c>
      <c r="R232" s="77" t="s">
        <v>278</v>
      </c>
      <c r="S232" s="77" t="s">
        <v>278</v>
      </c>
      <c r="T232" s="76">
        <f t="shared" si="102"/>
        <v>0</v>
      </c>
      <c r="U232" s="77" t="s">
        <v>278</v>
      </c>
      <c r="V232" s="77" t="s">
        <v>278</v>
      </c>
      <c r="W232" s="77" t="s">
        <v>278</v>
      </c>
      <c r="X232" s="77" t="s">
        <v>278</v>
      </c>
      <c r="Y232" s="76">
        <f t="shared" si="105"/>
        <v>0</v>
      </c>
      <c r="Z232" s="77" t="s">
        <v>278</v>
      </c>
      <c r="AA232" s="77" t="s">
        <v>278</v>
      </c>
      <c r="AB232" s="77" t="s">
        <v>278</v>
      </c>
      <c r="AC232" s="77" t="s">
        <v>278</v>
      </c>
      <c r="AD232" s="76">
        <f t="shared" si="106"/>
        <v>0</v>
      </c>
      <c r="AE232" s="77" t="s">
        <v>278</v>
      </c>
      <c r="AF232" s="77" t="s">
        <v>278</v>
      </c>
      <c r="AG232" s="77" t="s">
        <v>278</v>
      </c>
      <c r="AH232" s="77" t="s">
        <v>278</v>
      </c>
      <c r="AI232" s="76">
        <f t="shared" si="100"/>
        <v>0</v>
      </c>
      <c r="AJ232" s="77" t="s">
        <v>278</v>
      </c>
      <c r="AK232" s="77" t="s">
        <v>278</v>
      </c>
      <c r="AL232" s="77" t="s">
        <v>278</v>
      </c>
      <c r="AM232" s="77" t="s">
        <v>278</v>
      </c>
      <c r="AN232" s="76">
        <f t="shared" si="101"/>
        <v>0</v>
      </c>
      <c r="AO232" s="91"/>
    </row>
    <row r="233" spans="1:41" s="23" customFormat="1" ht="78.75">
      <c r="A233" s="94" t="s">
        <v>281</v>
      </c>
      <c r="B233" s="40" t="s">
        <v>394</v>
      </c>
      <c r="C233" s="92" t="s">
        <v>34</v>
      </c>
      <c r="D233" s="11" t="s">
        <v>237</v>
      </c>
      <c r="E233" s="76">
        <f t="shared" si="95"/>
        <v>0</v>
      </c>
      <c r="F233" s="26" t="s">
        <v>278</v>
      </c>
      <c r="G233" s="26" t="s">
        <v>278</v>
      </c>
      <c r="H233" s="26" t="s">
        <v>278</v>
      </c>
      <c r="I233" s="26" t="s">
        <v>278</v>
      </c>
      <c r="J233" s="76">
        <f t="shared" si="103"/>
        <v>0</v>
      </c>
      <c r="K233" s="11" t="s">
        <v>278</v>
      </c>
      <c r="L233" s="77" t="s">
        <v>278</v>
      </c>
      <c r="M233" s="77" t="s">
        <v>278</v>
      </c>
      <c r="N233" s="77" t="s">
        <v>278</v>
      </c>
      <c r="O233" s="76">
        <f t="shared" si="104"/>
        <v>0</v>
      </c>
      <c r="P233" s="77" t="s">
        <v>278</v>
      </c>
      <c r="Q233" s="77" t="s">
        <v>278</v>
      </c>
      <c r="R233" s="77" t="s">
        <v>278</v>
      </c>
      <c r="S233" s="77" t="s">
        <v>278</v>
      </c>
      <c r="T233" s="76">
        <f t="shared" si="102"/>
        <v>0</v>
      </c>
      <c r="U233" s="77" t="s">
        <v>278</v>
      </c>
      <c r="V233" s="77" t="s">
        <v>278</v>
      </c>
      <c r="W233" s="77" t="s">
        <v>278</v>
      </c>
      <c r="X233" s="77" t="s">
        <v>278</v>
      </c>
      <c r="Y233" s="76">
        <f t="shared" si="105"/>
        <v>0</v>
      </c>
      <c r="Z233" s="77" t="s">
        <v>278</v>
      </c>
      <c r="AA233" s="77" t="s">
        <v>278</v>
      </c>
      <c r="AB233" s="77" t="s">
        <v>278</v>
      </c>
      <c r="AC233" s="77" t="s">
        <v>278</v>
      </c>
      <c r="AD233" s="76">
        <f t="shared" si="106"/>
        <v>0</v>
      </c>
      <c r="AE233" s="77" t="s">
        <v>278</v>
      </c>
      <c r="AF233" s="77" t="s">
        <v>278</v>
      </c>
      <c r="AG233" s="77" t="s">
        <v>278</v>
      </c>
      <c r="AH233" s="77" t="s">
        <v>278</v>
      </c>
      <c r="AI233" s="76">
        <f t="shared" si="100"/>
        <v>0</v>
      </c>
      <c r="AJ233" s="77" t="s">
        <v>278</v>
      </c>
      <c r="AK233" s="77" t="s">
        <v>278</v>
      </c>
      <c r="AL233" s="77" t="s">
        <v>278</v>
      </c>
      <c r="AM233" s="77" t="s">
        <v>278</v>
      </c>
      <c r="AN233" s="76">
        <f t="shared" si="101"/>
        <v>0</v>
      </c>
      <c r="AO233" s="91"/>
    </row>
    <row r="234" spans="1:41" s="23" customFormat="1" ht="47.25">
      <c r="A234" s="94" t="s">
        <v>282</v>
      </c>
      <c r="B234" s="40" t="s">
        <v>283</v>
      </c>
      <c r="C234" s="92" t="s">
        <v>34</v>
      </c>
      <c r="D234" s="11" t="s">
        <v>237</v>
      </c>
      <c r="E234" s="76">
        <f t="shared" si="95"/>
        <v>0</v>
      </c>
      <c r="F234" s="26" t="s">
        <v>278</v>
      </c>
      <c r="G234" s="26" t="s">
        <v>278</v>
      </c>
      <c r="H234" s="26" t="s">
        <v>278</v>
      </c>
      <c r="I234" s="26" t="s">
        <v>278</v>
      </c>
      <c r="J234" s="76">
        <f t="shared" si="103"/>
        <v>0</v>
      </c>
      <c r="K234" s="11" t="s">
        <v>278</v>
      </c>
      <c r="L234" s="77" t="s">
        <v>278</v>
      </c>
      <c r="M234" s="77" t="s">
        <v>278</v>
      </c>
      <c r="N234" s="77" t="s">
        <v>278</v>
      </c>
      <c r="O234" s="76">
        <f t="shared" si="104"/>
        <v>0</v>
      </c>
      <c r="P234" s="77" t="s">
        <v>278</v>
      </c>
      <c r="Q234" s="77" t="s">
        <v>278</v>
      </c>
      <c r="R234" s="77" t="s">
        <v>278</v>
      </c>
      <c r="S234" s="77" t="s">
        <v>278</v>
      </c>
      <c r="T234" s="76">
        <f t="shared" si="102"/>
        <v>0</v>
      </c>
      <c r="U234" s="77" t="s">
        <v>278</v>
      </c>
      <c r="V234" s="77" t="s">
        <v>278</v>
      </c>
      <c r="W234" s="77" t="s">
        <v>278</v>
      </c>
      <c r="X234" s="77" t="s">
        <v>278</v>
      </c>
      <c r="Y234" s="76">
        <f t="shared" si="105"/>
        <v>0</v>
      </c>
      <c r="Z234" s="77" t="s">
        <v>278</v>
      </c>
      <c r="AA234" s="77" t="s">
        <v>278</v>
      </c>
      <c r="AB234" s="77" t="s">
        <v>278</v>
      </c>
      <c r="AC234" s="77" t="s">
        <v>278</v>
      </c>
      <c r="AD234" s="76">
        <f t="shared" si="106"/>
        <v>0</v>
      </c>
      <c r="AE234" s="77" t="s">
        <v>278</v>
      </c>
      <c r="AF234" s="77" t="s">
        <v>278</v>
      </c>
      <c r="AG234" s="77" t="s">
        <v>278</v>
      </c>
      <c r="AH234" s="77" t="s">
        <v>278</v>
      </c>
      <c r="AI234" s="76">
        <f t="shared" si="100"/>
        <v>0</v>
      </c>
      <c r="AJ234" s="77" t="s">
        <v>278</v>
      </c>
      <c r="AK234" s="77" t="s">
        <v>278</v>
      </c>
      <c r="AL234" s="77" t="s">
        <v>278</v>
      </c>
      <c r="AM234" s="77" t="s">
        <v>278</v>
      </c>
      <c r="AN234" s="76">
        <f t="shared" si="101"/>
        <v>0</v>
      </c>
      <c r="AO234" s="91"/>
    </row>
    <row r="235" spans="1:41" s="23" customFormat="1" ht="94.5">
      <c r="A235" s="94" t="s">
        <v>284</v>
      </c>
      <c r="B235" s="40" t="s">
        <v>285</v>
      </c>
      <c r="C235" s="92" t="s">
        <v>34</v>
      </c>
      <c r="D235" s="11" t="s">
        <v>237</v>
      </c>
      <c r="E235" s="76">
        <f t="shared" si="95"/>
        <v>0</v>
      </c>
      <c r="F235" s="26" t="s">
        <v>278</v>
      </c>
      <c r="G235" s="26" t="s">
        <v>278</v>
      </c>
      <c r="H235" s="26" t="s">
        <v>278</v>
      </c>
      <c r="I235" s="26" t="s">
        <v>278</v>
      </c>
      <c r="J235" s="76">
        <f t="shared" si="103"/>
        <v>0</v>
      </c>
      <c r="K235" s="11" t="s">
        <v>278</v>
      </c>
      <c r="L235" s="77" t="s">
        <v>278</v>
      </c>
      <c r="M235" s="77" t="s">
        <v>278</v>
      </c>
      <c r="N235" s="77" t="s">
        <v>278</v>
      </c>
      <c r="O235" s="76">
        <f t="shared" si="104"/>
        <v>0</v>
      </c>
      <c r="P235" s="77" t="s">
        <v>278</v>
      </c>
      <c r="Q235" s="77" t="s">
        <v>278</v>
      </c>
      <c r="R235" s="77" t="s">
        <v>278</v>
      </c>
      <c r="S235" s="77" t="s">
        <v>278</v>
      </c>
      <c r="T235" s="76">
        <f t="shared" si="102"/>
        <v>0</v>
      </c>
      <c r="U235" s="77" t="s">
        <v>278</v>
      </c>
      <c r="V235" s="77" t="s">
        <v>278</v>
      </c>
      <c r="W235" s="77" t="s">
        <v>278</v>
      </c>
      <c r="X235" s="77" t="s">
        <v>278</v>
      </c>
      <c r="Y235" s="76">
        <f t="shared" si="105"/>
        <v>0</v>
      </c>
      <c r="Z235" s="77" t="s">
        <v>278</v>
      </c>
      <c r="AA235" s="77" t="s">
        <v>278</v>
      </c>
      <c r="AB235" s="77" t="s">
        <v>278</v>
      </c>
      <c r="AC235" s="77" t="s">
        <v>278</v>
      </c>
      <c r="AD235" s="76">
        <f t="shared" si="106"/>
        <v>0</v>
      </c>
      <c r="AE235" s="77" t="s">
        <v>278</v>
      </c>
      <c r="AF235" s="77" t="s">
        <v>278</v>
      </c>
      <c r="AG235" s="77" t="s">
        <v>278</v>
      </c>
      <c r="AH235" s="77" t="s">
        <v>278</v>
      </c>
      <c r="AI235" s="76">
        <f t="shared" si="100"/>
        <v>0</v>
      </c>
      <c r="AJ235" s="77" t="s">
        <v>278</v>
      </c>
      <c r="AK235" s="77" t="s">
        <v>278</v>
      </c>
      <c r="AL235" s="77" t="s">
        <v>278</v>
      </c>
      <c r="AM235" s="77" t="s">
        <v>278</v>
      </c>
      <c r="AN235" s="76">
        <f t="shared" si="101"/>
        <v>0</v>
      </c>
      <c r="AO235" s="91"/>
    </row>
    <row r="236" spans="1:41" s="23" customFormat="1" ht="110.25">
      <c r="A236" s="94" t="s">
        <v>286</v>
      </c>
      <c r="B236" s="40" t="s">
        <v>287</v>
      </c>
      <c r="C236" s="92" t="s">
        <v>54</v>
      </c>
      <c r="D236" s="11" t="s">
        <v>237</v>
      </c>
      <c r="E236" s="76">
        <f t="shared" si="95"/>
        <v>0</v>
      </c>
      <c r="F236" s="26" t="s">
        <v>278</v>
      </c>
      <c r="G236" s="26" t="s">
        <v>278</v>
      </c>
      <c r="H236" s="26" t="s">
        <v>278</v>
      </c>
      <c r="I236" s="26" t="s">
        <v>278</v>
      </c>
      <c r="J236" s="76">
        <f aca="true" t="shared" si="107" ref="J236:J241">SUMIF(K236:N236,"&gt;0")</f>
        <v>0</v>
      </c>
      <c r="K236" s="11" t="s">
        <v>278</v>
      </c>
      <c r="L236" s="77" t="s">
        <v>278</v>
      </c>
      <c r="M236" s="77" t="s">
        <v>278</v>
      </c>
      <c r="N236" s="77" t="s">
        <v>278</v>
      </c>
      <c r="O236" s="76">
        <f aca="true" t="shared" si="108" ref="O236:O241">SUMIF(P236:S236,"&gt;0")</f>
        <v>0</v>
      </c>
      <c r="P236" s="77" t="s">
        <v>278</v>
      </c>
      <c r="Q236" s="77" t="s">
        <v>278</v>
      </c>
      <c r="R236" s="77" t="s">
        <v>278</v>
      </c>
      <c r="S236" s="77" t="s">
        <v>278</v>
      </c>
      <c r="T236" s="76">
        <f t="shared" si="102"/>
        <v>0</v>
      </c>
      <c r="U236" s="77" t="s">
        <v>278</v>
      </c>
      <c r="V236" s="77" t="s">
        <v>278</v>
      </c>
      <c r="W236" s="77" t="s">
        <v>278</v>
      </c>
      <c r="X236" s="77" t="s">
        <v>278</v>
      </c>
      <c r="Y236" s="76">
        <f t="shared" si="105"/>
        <v>0</v>
      </c>
      <c r="Z236" s="77" t="s">
        <v>278</v>
      </c>
      <c r="AA236" s="77" t="s">
        <v>278</v>
      </c>
      <c r="AB236" s="77" t="s">
        <v>278</v>
      </c>
      <c r="AC236" s="77" t="s">
        <v>278</v>
      </c>
      <c r="AD236" s="76">
        <f t="shared" si="106"/>
        <v>0</v>
      </c>
      <c r="AE236" s="77" t="s">
        <v>278</v>
      </c>
      <c r="AF236" s="77" t="s">
        <v>278</v>
      </c>
      <c r="AG236" s="77" t="s">
        <v>278</v>
      </c>
      <c r="AH236" s="77" t="s">
        <v>278</v>
      </c>
      <c r="AI236" s="107">
        <f t="shared" si="100"/>
        <v>400</v>
      </c>
      <c r="AJ236" s="114">
        <v>400</v>
      </c>
      <c r="AK236" s="77" t="s">
        <v>278</v>
      </c>
      <c r="AL236" s="77" t="s">
        <v>278</v>
      </c>
      <c r="AM236" s="77" t="s">
        <v>278</v>
      </c>
      <c r="AN236" s="115">
        <f t="shared" si="101"/>
        <v>400</v>
      </c>
      <c r="AO236" s="91"/>
    </row>
    <row r="237" spans="1:41" s="23" customFormat="1" ht="63">
      <c r="A237" s="94" t="s">
        <v>288</v>
      </c>
      <c r="B237" s="40" t="s">
        <v>289</v>
      </c>
      <c r="C237" s="92" t="s">
        <v>290</v>
      </c>
      <c r="D237" s="11" t="s">
        <v>237</v>
      </c>
      <c r="E237" s="76">
        <f t="shared" si="95"/>
        <v>0</v>
      </c>
      <c r="F237" s="26" t="s">
        <v>278</v>
      </c>
      <c r="G237" s="26" t="s">
        <v>278</v>
      </c>
      <c r="H237" s="26" t="s">
        <v>278</v>
      </c>
      <c r="I237" s="26" t="s">
        <v>278</v>
      </c>
      <c r="J237" s="76">
        <f t="shared" si="107"/>
        <v>0</v>
      </c>
      <c r="K237" s="11" t="s">
        <v>278</v>
      </c>
      <c r="L237" s="77" t="s">
        <v>278</v>
      </c>
      <c r="M237" s="77" t="s">
        <v>278</v>
      </c>
      <c r="N237" s="77" t="s">
        <v>278</v>
      </c>
      <c r="O237" s="76">
        <f t="shared" si="108"/>
        <v>0</v>
      </c>
      <c r="P237" s="77" t="s">
        <v>278</v>
      </c>
      <c r="Q237" s="77" t="s">
        <v>278</v>
      </c>
      <c r="R237" s="77" t="s">
        <v>278</v>
      </c>
      <c r="S237" s="77" t="s">
        <v>278</v>
      </c>
      <c r="T237" s="76">
        <f t="shared" si="102"/>
        <v>0</v>
      </c>
      <c r="U237" s="77" t="s">
        <v>278</v>
      </c>
      <c r="V237" s="77" t="s">
        <v>278</v>
      </c>
      <c r="W237" s="77" t="s">
        <v>278</v>
      </c>
      <c r="X237" s="77" t="s">
        <v>278</v>
      </c>
      <c r="Y237" s="76">
        <f t="shared" si="105"/>
        <v>0</v>
      </c>
      <c r="Z237" s="77" t="s">
        <v>278</v>
      </c>
      <c r="AA237" s="77" t="s">
        <v>278</v>
      </c>
      <c r="AB237" s="77" t="s">
        <v>278</v>
      </c>
      <c r="AC237" s="77" t="s">
        <v>278</v>
      </c>
      <c r="AD237" s="76">
        <f t="shared" si="106"/>
        <v>0</v>
      </c>
      <c r="AE237" s="77" t="s">
        <v>278</v>
      </c>
      <c r="AF237" s="77" t="s">
        <v>278</v>
      </c>
      <c r="AG237" s="77" t="s">
        <v>278</v>
      </c>
      <c r="AH237" s="77" t="s">
        <v>278</v>
      </c>
      <c r="AI237" s="107">
        <f t="shared" si="100"/>
        <v>50</v>
      </c>
      <c r="AJ237" s="114">
        <v>50</v>
      </c>
      <c r="AK237" s="77" t="s">
        <v>278</v>
      </c>
      <c r="AL237" s="77" t="s">
        <v>278</v>
      </c>
      <c r="AM237" s="77" t="s">
        <v>278</v>
      </c>
      <c r="AN237" s="115">
        <f t="shared" si="101"/>
        <v>50</v>
      </c>
      <c r="AO237" s="91"/>
    </row>
    <row r="238" spans="1:41" s="23" customFormat="1" ht="47.25">
      <c r="A238" s="94" t="s">
        <v>340</v>
      </c>
      <c r="B238" s="40" t="s">
        <v>341</v>
      </c>
      <c r="C238" s="92" t="s">
        <v>85</v>
      </c>
      <c r="D238" s="11" t="s">
        <v>237</v>
      </c>
      <c r="E238" s="107">
        <f aca="true" t="shared" si="109" ref="E238:E246">SUMIF(F238:I238,"&gt;0")</f>
        <v>606</v>
      </c>
      <c r="F238" s="114">
        <v>606</v>
      </c>
      <c r="G238" s="26" t="s">
        <v>278</v>
      </c>
      <c r="H238" s="26" t="s">
        <v>278</v>
      </c>
      <c r="I238" s="26" t="s">
        <v>278</v>
      </c>
      <c r="J238" s="76">
        <f t="shared" si="107"/>
        <v>0</v>
      </c>
      <c r="K238" s="11" t="s">
        <v>278</v>
      </c>
      <c r="L238" s="77" t="s">
        <v>278</v>
      </c>
      <c r="M238" s="77" t="s">
        <v>278</v>
      </c>
      <c r="N238" s="77" t="s">
        <v>278</v>
      </c>
      <c r="O238" s="76">
        <f t="shared" si="108"/>
        <v>0</v>
      </c>
      <c r="P238" s="77" t="s">
        <v>278</v>
      </c>
      <c r="Q238" s="77" t="s">
        <v>278</v>
      </c>
      <c r="R238" s="77" t="s">
        <v>278</v>
      </c>
      <c r="S238" s="77" t="s">
        <v>278</v>
      </c>
      <c r="T238" s="76">
        <f>SUMIF(U238:X238,"&gt;0")</f>
        <v>0</v>
      </c>
      <c r="U238" s="77" t="s">
        <v>278</v>
      </c>
      <c r="V238" s="77" t="s">
        <v>278</v>
      </c>
      <c r="W238" s="77" t="s">
        <v>278</v>
      </c>
      <c r="X238" s="77" t="s">
        <v>278</v>
      </c>
      <c r="Y238" s="76">
        <f>SUMIF(Z238:AC238,"&gt;0")</f>
        <v>0</v>
      </c>
      <c r="Z238" s="77" t="s">
        <v>278</v>
      </c>
      <c r="AA238" s="77" t="s">
        <v>278</v>
      </c>
      <c r="AB238" s="77" t="s">
        <v>278</v>
      </c>
      <c r="AC238" s="77" t="s">
        <v>278</v>
      </c>
      <c r="AD238" s="76">
        <f>SUMIF(AE238:AH238,"&gt;0")</f>
        <v>0</v>
      </c>
      <c r="AE238" s="77" t="s">
        <v>278</v>
      </c>
      <c r="AF238" s="77" t="s">
        <v>278</v>
      </c>
      <c r="AG238" s="77" t="s">
        <v>278</v>
      </c>
      <c r="AH238" s="77" t="s">
        <v>278</v>
      </c>
      <c r="AI238" s="76">
        <f>SUMIF(AJ238:AM238,"&gt;0")</f>
        <v>0</v>
      </c>
      <c r="AJ238" s="77" t="s">
        <v>278</v>
      </c>
      <c r="AK238" s="77" t="s">
        <v>278</v>
      </c>
      <c r="AL238" s="77" t="s">
        <v>278</v>
      </c>
      <c r="AM238" s="77" t="s">
        <v>278</v>
      </c>
      <c r="AN238" s="115">
        <f>E238+J238+O238+T238+Y238+AD238+AI238</f>
        <v>606</v>
      </c>
      <c r="AO238" s="91"/>
    </row>
    <row r="239" spans="1:41" s="23" customFormat="1" ht="47.25">
      <c r="A239" s="94" t="s">
        <v>419</v>
      </c>
      <c r="B239" s="40" t="s">
        <v>420</v>
      </c>
      <c r="C239" s="92" t="s">
        <v>290</v>
      </c>
      <c r="D239" s="11" t="s">
        <v>444</v>
      </c>
      <c r="E239" s="76">
        <f t="shared" si="109"/>
        <v>0</v>
      </c>
      <c r="F239" s="11" t="s">
        <v>278</v>
      </c>
      <c r="G239" s="26" t="s">
        <v>278</v>
      </c>
      <c r="H239" s="26" t="s">
        <v>278</v>
      </c>
      <c r="I239" s="26" t="s">
        <v>278</v>
      </c>
      <c r="J239" s="76">
        <f t="shared" si="107"/>
        <v>0</v>
      </c>
      <c r="K239" s="11" t="s">
        <v>278</v>
      </c>
      <c r="L239" s="77" t="s">
        <v>278</v>
      </c>
      <c r="M239" s="77" t="s">
        <v>278</v>
      </c>
      <c r="N239" s="77" t="s">
        <v>278</v>
      </c>
      <c r="O239" s="76">
        <f t="shared" si="108"/>
        <v>0</v>
      </c>
      <c r="P239" s="77" t="s">
        <v>278</v>
      </c>
      <c r="Q239" s="77" t="s">
        <v>278</v>
      </c>
      <c r="R239" s="77" t="s">
        <v>278</v>
      </c>
      <c r="S239" s="77" t="s">
        <v>278</v>
      </c>
      <c r="T239" s="76">
        <f t="shared" si="102"/>
        <v>0</v>
      </c>
      <c r="U239" s="77" t="s">
        <v>278</v>
      </c>
      <c r="V239" s="77" t="s">
        <v>278</v>
      </c>
      <c r="W239" s="77" t="s">
        <v>278</v>
      </c>
      <c r="X239" s="77" t="s">
        <v>278</v>
      </c>
      <c r="Y239" s="76">
        <f t="shared" si="105"/>
        <v>0</v>
      </c>
      <c r="Z239" s="77" t="s">
        <v>278</v>
      </c>
      <c r="AA239" s="77" t="s">
        <v>278</v>
      </c>
      <c r="AB239" s="77" t="s">
        <v>278</v>
      </c>
      <c r="AC239" s="77" t="s">
        <v>278</v>
      </c>
      <c r="AD239" s="76">
        <f t="shared" si="106"/>
        <v>0</v>
      </c>
      <c r="AE239" s="77" t="s">
        <v>278</v>
      </c>
      <c r="AF239" s="77" t="s">
        <v>278</v>
      </c>
      <c r="AG239" s="77" t="s">
        <v>278</v>
      </c>
      <c r="AH239" s="77" t="s">
        <v>278</v>
      </c>
      <c r="AI239" s="76">
        <f t="shared" si="100"/>
        <v>0</v>
      </c>
      <c r="AJ239" s="77" t="s">
        <v>278</v>
      </c>
      <c r="AK239" s="77" t="s">
        <v>278</v>
      </c>
      <c r="AL239" s="77" t="s">
        <v>278</v>
      </c>
      <c r="AM239" s="77" t="s">
        <v>278</v>
      </c>
      <c r="AN239" s="131">
        <f>E239+J239+O239+T239+Y239+AD239+AI239</f>
        <v>0</v>
      </c>
      <c r="AO239" s="91"/>
    </row>
    <row r="240" spans="1:41" ht="178.5" customHeight="1">
      <c r="A240" s="35" t="s">
        <v>57</v>
      </c>
      <c r="B240" s="40" t="s">
        <v>545</v>
      </c>
      <c r="C240" s="11" t="s">
        <v>54</v>
      </c>
      <c r="D240" s="11" t="s">
        <v>228</v>
      </c>
      <c r="E240" s="107">
        <f t="shared" si="109"/>
        <v>85312</v>
      </c>
      <c r="F240" s="26" t="s">
        <v>278</v>
      </c>
      <c r="G240" s="111">
        <f>85524-212</f>
        <v>85312</v>
      </c>
      <c r="H240" s="26" t="s">
        <v>278</v>
      </c>
      <c r="I240" s="26" t="s">
        <v>278</v>
      </c>
      <c r="J240" s="107">
        <f t="shared" si="107"/>
        <v>85524</v>
      </c>
      <c r="K240" s="77" t="s">
        <v>278</v>
      </c>
      <c r="L240" s="111">
        <f>85938-414</f>
        <v>85524</v>
      </c>
      <c r="M240" s="77" t="s">
        <v>278</v>
      </c>
      <c r="N240" s="77" t="s">
        <v>278</v>
      </c>
      <c r="O240" s="107">
        <f t="shared" si="108"/>
        <v>85593</v>
      </c>
      <c r="P240" s="77" t="s">
        <v>278</v>
      </c>
      <c r="Q240" s="114">
        <f>67067+18216+310</f>
        <v>85593</v>
      </c>
      <c r="R240" s="77" t="s">
        <v>278</v>
      </c>
      <c r="S240" s="77" t="s">
        <v>278</v>
      </c>
      <c r="T240" s="76">
        <f t="shared" si="102"/>
        <v>0</v>
      </c>
      <c r="U240" s="77" t="s">
        <v>278</v>
      </c>
      <c r="V240" s="77" t="s">
        <v>278</v>
      </c>
      <c r="W240" s="77" t="s">
        <v>278</v>
      </c>
      <c r="X240" s="77" t="s">
        <v>278</v>
      </c>
      <c r="Y240" s="76">
        <f t="shared" si="105"/>
        <v>0</v>
      </c>
      <c r="Z240" s="77" t="s">
        <v>278</v>
      </c>
      <c r="AA240" s="77" t="s">
        <v>278</v>
      </c>
      <c r="AB240" s="77" t="s">
        <v>278</v>
      </c>
      <c r="AC240" s="77" t="s">
        <v>278</v>
      </c>
      <c r="AD240" s="76">
        <f t="shared" si="106"/>
        <v>0</v>
      </c>
      <c r="AE240" s="77" t="s">
        <v>278</v>
      </c>
      <c r="AF240" s="77" t="s">
        <v>278</v>
      </c>
      <c r="AG240" s="77" t="s">
        <v>278</v>
      </c>
      <c r="AH240" s="77" t="s">
        <v>278</v>
      </c>
      <c r="AI240" s="107">
        <f t="shared" si="100"/>
        <v>99347</v>
      </c>
      <c r="AJ240" s="77" t="s">
        <v>278</v>
      </c>
      <c r="AK240" s="111">
        <v>99347</v>
      </c>
      <c r="AL240" s="77" t="s">
        <v>278</v>
      </c>
      <c r="AM240" s="77" t="s">
        <v>278</v>
      </c>
      <c r="AN240" s="115">
        <f t="shared" si="101"/>
        <v>355776</v>
      </c>
      <c r="AO240" s="91"/>
    </row>
    <row r="241" spans="1:41" ht="162.75" customHeight="1">
      <c r="A241" s="35" t="s">
        <v>58</v>
      </c>
      <c r="B241" s="40" t="s">
        <v>546</v>
      </c>
      <c r="C241" s="11" t="s">
        <v>54</v>
      </c>
      <c r="D241" s="11" t="s">
        <v>228</v>
      </c>
      <c r="E241" s="107">
        <f t="shared" si="109"/>
        <v>22400</v>
      </c>
      <c r="F241" s="26" t="s">
        <v>278</v>
      </c>
      <c r="G241" s="111">
        <f>22400</f>
        <v>22400</v>
      </c>
      <c r="H241" s="26" t="s">
        <v>278</v>
      </c>
      <c r="I241" s="26" t="s">
        <v>278</v>
      </c>
      <c r="J241" s="107">
        <f t="shared" si="107"/>
        <v>23562</v>
      </c>
      <c r="K241" s="77" t="s">
        <v>278</v>
      </c>
      <c r="L241" s="111">
        <f>22400+1162</f>
        <v>23562</v>
      </c>
      <c r="M241" s="77" t="s">
        <v>278</v>
      </c>
      <c r="N241" s="77" t="s">
        <v>278</v>
      </c>
      <c r="O241" s="107">
        <f t="shared" si="108"/>
        <v>23832</v>
      </c>
      <c r="P241" s="77" t="s">
        <v>278</v>
      </c>
      <c r="Q241" s="114">
        <f>2232+1137+13831+700+300+4200+200+150+900+45+45+92</f>
        <v>23832</v>
      </c>
      <c r="R241" s="77" t="s">
        <v>278</v>
      </c>
      <c r="S241" s="77" t="s">
        <v>278</v>
      </c>
      <c r="T241" s="76">
        <f t="shared" si="102"/>
        <v>0</v>
      </c>
      <c r="U241" s="77" t="s">
        <v>278</v>
      </c>
      <c r="V241" s="77" t="s">
        <v>278</v>
      </c>
      <c r="W241" s="77" t="s">
        <v>278</v>
      </c>
      <c r="X241" s="77" t="s">
        <v>278</v>
      </c>
      <c r="Y241" s="76">
        <f t="shared" si="105"/>
        <v>0</v>
      </c>
      <c r="Z241" s="77" t="s">
        <v>278</v>
      </c>
      <c r="AA241" s="77" t="s">
        <v>278</v>
      </c>
      <c r="AB241" s="77" t="s">
        <v>278</v>
      </c>
      <c r="AC241" s="77" t="s">
        <v>278</v>
      </c>
      <c r="AD241" s="76">
        <f aca="true" t="shared" si="110" ref="AD241:AD246">SUMIF(AE241:AH241,"&gt;0")</f>
        <v>0</v>
      </c>
      <c r="AE241" s="77" t="s">
        <v>278</v>
      </c>
      <c r="AF241" s="77" t="s">
        <v>278</v>
      </c>
      <c r="AG241" s="77" t="s">
        <v>278</v>
      </c>
      <c r="AH241" s="77" t="s">
        <v>278</v>
      </c>
      <c r="AI241" s="107">
        <f t="shared" si="100"/>
        <v>24976</v>
      </c>
      <c r="AJ241" s="77" t="s">
        <v>278</v>
      </c>
      <c r="AK241" s="111">
        <v>24976</v>
      </c>
      <c r="AL241" s="77" t="s">
        <v>278</v>
      </c>
      <c r="AM241" s="77" t="s">
        <v>278</v>
      </c>
      <c r="AN241" s="115">
        <f t="shared" si="101"/>
        <v>94770</v>
      </c>
      <c r="AO241" s="91"/>
    </row>
    <row r="242" spans="1:41" ht="160.5" customHeight="1">
      <c r="A242" s="35" t="s">
        <v>220</v>
      </c>
      <c r="B242" s="40" t="s">
        <v>190</v>
      </c>
      <c r="C242" s="11" t="s">
        <v>54</v>
      </c>
      <c r="D242" s="11" t="s">
        <v>228</v>
      </c>
      <c r="E242" s="107">
        <f t="shared" si="109"/>
        <v>4</v>
      </c>
      <c r="F242" s="111">
        <v>4</v>
      </c>
      <c r="G242" s="26" t="s">
        <v>278</v>
      </c>
      <c r="H242" s="26" t="s">
        <v>278</v>
      </c>
      <c r="I242" s="26" t="s">
        <v>278</v>
      </c>
      <c r="J242" s="107">
        <f t="shared" si="103"/>
        <v>3.6</v>
      </c>
      <c r="K242" s="111">
        <v>3.6</v>
      </c>
      <c r="L242" s="77" t="s">
        <v>278</v>
      </c>
      <c r="M242" s="77" t="s">
        <v>278</v>
      </c>
      <c r="N242" s="77" t="s">
        <v>278</v>
      </c>
      <c r="O242" s="107">
        <f t="shared" si="104"/>
        <v>3.6</v>
      </c>
      <c r="P242" s="111">
        <f>3.6</f>
        <v>3.6</v>
      </c>
      <c r="Q242" s="77" t="s">
        <v>278</v>
      </c>
      <c r="R242" s="77" t="s">
        <v>278</v>
      </c>
      <c r="S242" s="77" t="s">
        <v>278</v>
      </c>
      <c r="T242" s="107">
        <f>SUMIF(U242:X242,"&gt;0")</f>
        <v>3.6</v>
      </c>
      <c r="U242" s="111">
        <f>3.6</f>
        <v>3.6</v>
      </c>
      <c r="V242" s="77" t="s">
        <v>278</v>
      </c>
      <c r="W242" s="77" t="s">
        <v>278</v>
      </c>
      <c r="X242" s="77" t="s">
        <v>278</v>
      </c>
      <c r="Y242" s="107">
        <f t="shared" si="105"/>
        <v>3.6</v>
      </c>
      <c r="Z242" s="111">
        <f>3.6</f>
        <v>3.6</v>
      </c>
      <c r="AA242" s="77" t="s">
        <v>278</v>
      </c>
      <c r="AB242" s="77" t="s">
        <v>278</v>
      </c>
      <c r="AC242" s="77" t="s">
        <v>278</v>
      </c>
      <c r="AD242" s="107">
        <f t="shared" si="110"/>
        <v>3.6</v>
      </c>
      <c r="AE242" s="111">
        <f>3.6</f>
        <v>3.6</v>
      </c>
      <c r="AF242" s="77" t="s">
        <v>278</v>
      </c>
      <c r="AG242" s="77" t="s">
        <v>278</v>
      </c>
      <c r="AH242" s="77" t="s">
        <v>278</v>
      </c>
      <c r="AI242" s="107">
        <f>SUMIF(AJ242:AM242,"&gt;0")</f>
        <v>2554</v>
      </c>
      <c r="AJ242" s="111">
        <v>2554</v>
      </c>
      <c r="AK242" s="77" t="s">
        <v>278</v>
      </c>
      <c r="AL242" s="77" t="s">
        <v>278</v>
      </c>
      <c r="AM242" s="77" t="s">
        <v>278</v>
      </c>
      <c r="AN242" s="115">
        <f>E242+J242+O242+T242+Y242+AD242+AI242</f>
        <v>2576</v>
      </c>
      <c r="AO242" s="91"/>
    </row>
    <row r="243" spans="1:41" ht="128.25" customHeight="1">
      <c r="A243" s="35" t="s">
        <v>59</v>
      </c>
      <c r="B243" s="40" t="s">
        <v>200</v>
      </c>
      <c r="C243" s="11" t="s">
        <v>54</v>
      </c>
      <c r="D243" s="11" t="s">
        <v>228</v>
      </c>
      <c r="E243" s="76">
        <f t="shared" si="109"/>
        <v>0</v>
      </c>
      <c r="F243" s="26" t="s">
        <v>278</v>
      </c>
      <c r="G243" s="106">
        <f>188295-98770.899-59984.101-29540</f>
        <v>0</v>
      </c>
      <c r="H243" s="26" t="s">
        <v>278</v>
      </c>
      <c r="I243" s="26" t="s">
        <v>278</v>
      </c>
      <c r="J243" s="76">
        <f t="shared" si="103"/>
        <v>0</v>
      </c>
      <c r="K243" s="77" t="s">
        <v>278</v>
      </c>
      <c r="L243" s="77" t="s">
        <v>278</v>
      </c>
      <c r="M243" s="77" t="s">
        <v>278</v>
      </c>
      <c r="N243" s="77" t="s">
        <v>278</v>
      </c>
      <c r="O243" s="76">
        <f t="shared" si="104"/>
        <v>0</v>
      </c>
      <c r="P243" s="77" t="s">
        <v>278</v>
      </c>
      <c r="Q243" s="77" t="s">
        <v>278</v>
      </c>
      <c r="R243" s="77" t="s">
        <v>278</v>
      </c>
      <c r="S243" s="77" t="s">
        <v>278</v>
      </c>
      <c r="T243" s="76">
        <f>SUMIF(U243:X243,"&gt;0")</f>
        <v>0</v>
      </c>
      <c r="U243" s="77" t="s">
        <v>278</v>
      </c>
      <c r="V243" s="77" t="s">
        <v>278</v>
      </c>
      <c r="W243" s="77" t="s">
        <v>278</v>
      </c>
      <c r="X243" s="77" t="s">
        <v>278</v>
      </c>
      <c r="Y243" s="76">
        <f>SUMIF(Z243:AC243,"&gt;0")</f>
        <v>0</v>
      </c>
      <c r="Z243" s="77" t="s">
        <v>278</v>
      </c>
      <c r="AA243" s="77" t="s">
        <v>278</v>
      </c>
      <c r="AB243" s="77" t="s">
        <v>278</v>
      </c>
      <c r="AC243" s="77" t="s">
        <v>278</v>
      </c>
      <c r="AD243" s="76">
        <f t="shared" si="110"/>
        <v>0</v>
      </c>
      <c r="AE243" s="77" t="s">
        <v>278</v>
      </c>
      <c r="AF243" s="77" t="s">
        <v>278</v>
      </c>
      <c r="AG243" s="77" t="s">
        <v>278</v>
      </c>
      <c r="AH243" s="77" t="s">
        <v>278</v>
      </c>
      <c r="AI243" s="107">
        <f>SUMIF(AJ243:AM243,"&gt;0")</f>
        <v>196127</v>
      </c>
      <c r="AJ243" s="77" t="s">
        <v>278</v>
      </c>
      <c r="AK243" s="111">
        <v>196127</v>
      </c>
      <c r="AL243" s="77" t="s">
        <v>278</v>
      </c>
      <c r="AM243" s="77" t="s">
        <v>278</v>
      </c>
      <c r="AN243" s="115">
        <f>E243+J243+O243+T243+Y243+AD243+AI243</f>
        <v>196127</v>
      </c>
      <c r="AO243" s="91"/>
    </row>
    <row r="244" spans="1:41" s="3" customFormat="1" ht="63">
      <c r="A244" s="35" t="s">
        <v>60</v>
      </c>
      <c r="B244" s="42" t="s">
        <v>38</v>
      </c>
      <c r="C244" s="11" t="s">
        <v>39</v>
      </c>
      <c r="D244" s="11" t="s">
        <v>228</v>
      </c>
      <c r="E244" s="107">
        <f t="shared" si="109"/>
        <v>15248</v>
      </c>
      <c r="F244" s="111">
        <v>15248</v>
      </c>
      <c r="G244" s="26" t="s">
        <v>278</v>
      </c>
      <c r="H244" s="26" t="s">
        <v>278</v>
      </c>
      <c r="I244" s="26" t="s">
        <v>278</v>
      </c>
      <c r="J244" s="107">
        <f aca="true" t="shared" si="111" ref="J244:J255">SUMIF(K244:N244,"&gt;0")</f>
        <v>16333</v>
      </c>
      <c r="K244" s="111">
        <f>16129+157+47</f>
        <v>16333</v>
      </c>
      <c r="L244" s="77" t="s">
        <v>278</v>
      </c>
      <c r="M244" s="77" t="s">
        <v>278</v>
      </c>
      <c r="N244" s="77" t="s">
        <v>278</v>
      </c>
      <c r="O244" s="107">
        <f aca="true" t="shared" si="112" ref="O244:O255">SUMIF(P244:S244,"&gt;0")</f>
        <v>17245</v>
      </c>
      <c r="P244" s="111">
        <f>16699+420+126</f>
        <v>17245</v>
      </c>
      <c r="Q244" s="77" t="s">
        <v>278</v>
      </c>
      <c r="R244" s="77" t="s">
        <v>278</v>
      </c>
      <c r="S244" s="77" t="s">
        <v>278</v>
      </c>
      <c r="T244" s="107">
        <f>SUMIF(U244:X244,"&gt;0")</f>
        <v>21347</v>
      </c>
      <c r="U244" s="111">
        <f>21347</f>
        <v>21347</v>
      </c>
      <c r="V244" s="77" t="s">
        <v>278</v>
      </c>
      <c r="W244" s="77" t="s">
        <v>278</v>
      </c>
      <c r="X244" s="77" t="s">
        <v>278</v>
      </c>
      <c r="Y244" s="107">
        <f>SUMIF(Z244:AC244,"&gt;0")</f>
        <v>21347</v>
      </c>
      <c r="Z244" s="111">
        <f>21347</f>
        <v>21347</v>
      </c>
      <c r="AA244" s="77" t="s">
        <v>278</v>
      </c>
      <c r="AB244" s="77" t="s">
        <v>278</v>
      </c>
      <c r="AC244" s="77" t="s">
        <v>278</v>
      </c>
      <c r="AD244" s="107">
        <f t="shared" si="110"/>
        <v>21347</v>
      </c>
      <c r="AE244" s="111">
        <f>21347</f>
        <v>21347</v>
      </c>
      <c r="AF244" s="77" t="s">
        <v>278</v>
      </c>
      <c r="AG244" s="77" t="s">
        <v>278</v>
      </c>
      <c r="AH244" s="77" t="s">
        <v>278</v>
      </c>
      <c r="AI244" s="107">
        <f>SUMIF(AJ244:AM244,"&gt;0")</f>
        <v>19495</v>
      </c>
      <c r="AJ244" s="111">
        <v>19495</v>
      </c>
      <c r="AK244" s="77" t="s">
        <v>278</v>
      </c>
      <c r="AL244" s="77" t="s">
        <v>278</v>
      </c>
      <c r="AM244" s="77" t="s">
        <v>278</v>
      </c>
      <c r="AN244" s="115">
        <f>E244+J244+O244+T244+Y244+AD244+AI244</f>
        <v>132362</v>
      </c>
      <c r="AO244" s="91"/>
    </row>
    <row r="245" spans="1:41" s="3" customFormat="1" ht="158.25" customHeight="1">
      <c r="A245" s="35" t="s">
        <v>61</v>
      </c>
      <c r="B245" s="42" t="s">
        <v>547</v>
      </c>
      <c r="C245" s="11" t="s">
        <v>54</v>
      </c>
      <c r="D245" s="11" t="s">
        <v>228</v>
      </c>
      <c r="E245" s="107">
        <f t="shared" si="109"/>
        <v>3317</v>
      </c>
      <c r="F245" s="26" t="s">
        <v>278</v>
      </c>
      <c r="G245" s="111">
        <f>3417-100</f>
        <v>3317</v>
      </c>
      <c r="H245" s="26" t="s">
        <v>278</v>
      </c>
      <c r="I245" s="26" t="s">
        <v>278</v>
      </c>
      <c r="J245" s="107">
        <f t="shared" si="111"/>
        <v>488.8</v>
      </c>
      <c r="K245" s="77" t="s">
        <v>278</v>
      </c>
      <c r="L245" s="77">
        <f>488.8</f>
        <v>488.8</v>
      </c>
      <c r="M245" s="77" t="s">
        <v>278</v>
      </c>
      <c r="N245" s="77" t="s">
        <v>278</v>
      </c>
      <c r="O245" s="76">
        <f t="shared" si="112"/>
        <v>0</v>
      </c>
      <c r="P245" s="77" t="s">
        <v>278</v>
      </c>
      <c r="Q245" s="77" t="s">
        <v>278</v>
      </c>
      <c r="R245" s="77" t="s">
        <v>278</v>
      </c>
      <c r="S245" s="77" t="s">
        <v>278</v>
      </c>
      <c r="T245" s="76">
        <f>SUMIF(U245:X245,"&gt;0")</f>
        <v>0</v>
      </c>
      <c r="U245" s="77" t="s">
        <v>278</v>
      </c>
      <c r="V245" s="77" t="s">
        <v>278</v>
      </c>
      <c r="W245" s="77" t="s">
        <v>278</v>
      </c>
      <c r="X245" s="77" t="s">
        <v>278</v>
      </c>
      <c r="Y245" s="76">
        <f>SUMIF(Z245:AC245,"&gt;0")</f>
        <v>0</v>
      </c>
      <c r="Z245" s="77" t="s">
        <v>278</v>
      </c>
      <c r="AA245" s="77" t="s">
        <v>278</v>
      </c>
      <c r="AB245" s="77" t="s">
        <v>278</v>
      </c>
      <c r="AC245" s="77" t="s">
        <v>278</v>
      </c>
      <c r="AD245" s="76">
        <f t="shared" si="110"/>
        <v>0</v>
      </c>
      <c r="AE245" s="77" t="s">
        <v>278</v>
      </c>
      <c r="AF245" s="77" t="s">
        <v>278</v>
      </c>
      <c r="AG245" s="77" t="s">
        <v>278</v>
      </c>
      <c r="AH245" s="77" t="s">
        <v>278</v>
      </c>
      <c r="AI245" s="107">
        <f>SUMIF(AJ245:AM245,"&gt;0")</f>
        <v>3473</v>
      </c>
      <c r="AJ245" s="77" t="s">
        <v>278</v>
      </c>
      <c r="AK245" s="111">
        <v>3473</v>
      </c>
      <c r="AL245" s="77" t="s">
        <v>278</v>
      </c>
      <c r="AM245" s="77" t="s">
        <v>278</v>
      </c>
      <c r="AN245" s="115">
        <f>E245+J245+O245+T245+Y245+AD245+AI245</f>
        <v>7278.8</v>
      </c>
      <c r="AO245" s="91"/>
    </row>
    <row r="246" spans="1:41" s="3" customFormat="1" ht="192.75" customHeight="1">
      <c r="A246" s="35" t="s">
        <v>185</v>
      </c>
      <c r="B246" s="42" t="s">
        <v>548</v>
      </c>
      <c r="C246" s="11" t="s">
        <v>54</v>
      </c>
      <c r="D246" s="11" t="s">
        <v>228</v>
      </c>
      <c r="E246" s="107">
        <f t="shared" si="109"/>
        <v>10140</v>
      </c>
      <c r="F246" s="26" t="s">
        <v>278</v>
      </c>
      <c r="G246" s="111">
        <f>10140</f>
        <v>10140</v>
      </c>
      <c r="H246" s="26" t="s">
        <v>278</v>
      </c>
      <c r="I246" s="26" t="s">
        <v>278</v>
      </c>
      <c r="J246" s="107">
        <f t="shared" si="111"/>
        <v>12150.3</v>
      </c>
      <c r="K246" s="77" t="s">
        <v>278</v>
      </c>
      <c r="L246" s="111">
        <f>10750+1400.329</f>
        <v>12150.3</v>
      </c>
      <c r="M246" s="77" t="s">
        <v>278</v>
      </c>
      <c r="N246" s="77" t="s">
        <v>278</v>
      </c>
      <c r="O246" s="107">
        <f t="shared" si="112"/>
        <v>12250</v>
      </c>
      <c r="P246" s="77" t="s">
        <v>278</v>
      </c>
      <c r="Q246" s="111">
        <f>12250</f>
        <v>12250</v>
      </c>
      <c r="R246" s="77" t="s">
        <v>278</v>
      </c>
      <c r="S246" s="77" t="s">
        <v>278</v>
      </c>
      <c r="T246" s="76">
        <f>SUMIF(U246:X246,"&gt;0")</f>
        <v>0</v>
      </c>
      <c r="U246" s="77" t="s">
        <v>278</v>
      </c>
      <c r="V246" s="77" t="s">
        <v>278</v>
      </c>
      <c r="W246" s="77" t="s">
        <v>278</v>
      </c>
      <c r="X246" s="77" t="s">
        <v>278</v>
      </c>
      <c r="Y246" s="76">
        <f>SUMIF(Z246:AC246,"&gt;0")</f>
        <v>0</v>
      </c>
      <c r="Z246" s="77" t="s">
        <v>278</v>
      </c>
      <c r="AA246" s="77" t="s">
        <v>278</v>
      </c>
      <c r="AB246" s="77" t="s">
        <v>278</v>
      </c>
      <c r="AC246" s="77" t="s">
        <v>278</v>
      </c>
      <c r="AD246" s="76">
        <f t="shared" si="110"/>
        <v>0</v>
      </c>
      <c r="AE246" s="77" t="s">
        <v>278</v>
      </c>
      <c r="AF246" s="77" t="s">
        <v>278</v>
      </c>
      <c r="AG246" s="77" t="s">
        <v>278</v>
      </c>
      <c r="AH246" s="77" t="s">
        <v>278</v>
      </c>
      <c r="AI246" s="107">
        <f>SUMIF(AJ246:AM246,"&gt;0")</f>
        <v>9271</v>
      </c>
      <c r="AJ246" s="77" t="s">
        <v>278</v>
      </c>
      <c r="AK246" s="111">
        <v>9271</v>
      </c>
      <c r="AL246" s="77" t="s">
        <v>278</v>
      </c>
      <c r="AM246" s="77" t="s">
        <v>278</v>
      </c>
      <c r="AN246" s="115">
        <f aca="true" t="shared" si="113" ref="AN246:AN253">E246+J246+O246+T246+Y246+AD246+AI246</f>
        <v>43811.3</v>
      </c>
      <c r="AO246" s="91"/>
    </row>
    <row r="247" spans="1:41" s="3" customFormat="1" ht="163.5" customHeight="1">
      <c r="A247" s="35" t="s">
        <v>333</v>
      </c>
      <c r="B247" s="42" t="s">
        <v>334</v>
      </c>
      <c r="C247" s="11" t="s">
        <v>54</v>
      </c>
      <c r="D247" s="11" t="s">
        <v>228</v>
      </c>
      <c r="E247" s="107">
        <f aca="true" t="shared" si="114" ref="E247:E254">SUMIF(F247:I247,"&gt;0")</f>
        <v>1953.1</v>
      </c>
      <c r="F247" s="111">
        <f>715+410+1360+90+4-182.3667+182.3667+0.816+0.82634+1.34851+1.15148-250-380</f>
        <v>1953.1</v>
      </c>
      <c r="G247" s="26" t="s">
        <v>278</v>
      </c>
      <c r="H247" s="26" t="s">
        <v>278</v>
      </c>
      <c r="I247" s="26" t="s">
        <v>278</v>
      </c>
      <c r="J247" s="107">
        <f t="shared" si="111"/>
        <v>1794.4</v>
      </c>
      <c r="K247" s="111">
        <f>2539.4+2.70219-124.08649-40-545.75339-32-5.89038</f>
        <v>1794.4</v>
      </c>
      <c r="L247" s="77" t="s">
        <v>278</v>
      </c>
      <c r="M247" s="77" t="s">
        <v>278</v>
      </c>
      <c r="N247" s="77" t="s">
        <v>278</v>
      </c>
      <c r="O247" s="107">
        <f t="shared" si="112"/>
        <v>1714.5</v>
      </c>
      <c r="P247" s="111">
        <f>398+347+1266.4+109+13+5.91936-45.61754-300.95317-78.2</f>
        <v>1714.5</v>
      </c>
      <c r="Q247" s="77" t="s">
        <v>278</v>
      </c>
      <c r="R247" s="77" t="s">
        <v>278</v>
      </c>
      <c r="S247" s="77" t="s">
        <v>278</v>
      </c>
      <c r="T247" s="107">
        <f aca="true" t="shared" si="115" ref="T247:T255">SUMIF(U247:X247,"&gt;0")</f>
        <v>3579.4</v>
      </c>
      <c r="U247" s="111">
        <f>740+600+2024.4+180+40+90-95</f>
        <v>3579.4</v>
      </c>
      <c r="V247" s="77" t="s">
        <v>278</v>
      </c>
      <c r="W247" s="77" t="s">
        <v>278</v>
      </c>
      <c r="X247" s="77" t="s">
        <v>278</v>
      </c>
      <c r="Y247" s="107">
        <f aca="true" t="shared" si="116" ref="Y247:Y254">SUMIF(Z247:AC247,"&gt;0")</f>
        <v>3584.4</v>
      </c>
      <c r="Z247" s="111">
        <f>740+600+2024.4+180+40-1813.96766+1813.96766</f>
        <v>3584.4</v>
      </c>
      <c r="AA247" s="77" t="s">
        <v>278</v>
      </c>
      <c r="AB247" s="77" t="s">
        <v>278</v>
      </c>
      <c r="AC247" s="77" t="s">
        <v>278</v>
      </c>
      <c r="AD247" s="107">
        <f aca="true" t="shared" si="117" ref="AD247:AD254">SUMIF(AE247:AH247,"&gt;0")</f>
        <v>3584.4</v>
      </c>
      <c r="AE247" s="111">
        <f>740+600+2024.4+180+40-658.74297+658.74297</f>
        <v>3584.4</v>
      </c>
      <c r="AF247" s="77" t="s">
        <v>278</v>
      </c>
      <c r="AG247" s="77" t="s">
        <v>278</v>
      </c>
      <c r="AH247" s="77" t="s">
        <v>278</v>
      </c>
      <c r="AI247" s="76">
        <f aca="true" t="shared" si="118" ref="AI247:AI254">SUMIF(AJ247:AM247,"&gt;0")</f>
        <v>0</v>
      </c>
      <c r="AJ247" s="77" t="s">
        <v>278</v>
      </c>
      <c r="AK247" s="77" t="s">
        <v>278</v>
      </c>
      <c r="AL247" s="77" t="s">
        <v>278</v>
      </c>
      <c r="AM247" s="77" t="s">
        <v>278</v>
      </c>
      <c r="AN247" s="115">
        <f t="shared" si="113"/>
        <v>16210.2</v>
      </c>
      <c r="AO247" s="91"/>
    </row>
    <row r="248" spans="1:41" s="3" customFormat="1" ht="220.5" customHeight="1">
      <c r="A248" s="35" t="s">
        <v>350</v>
      </c>
      <c r="B248" s="42" t="s">
        <v>549</v>
      </c>
      <c r="C248" s="11" t="s">
        <v>54</v>
      </c>
      <c r="D248" s="11" t="s">
        <v>228</v>
      </c>
      <c r="E248" s="107">
        <f t="shared" si="114"/>
        <v>217095</v>
      </c>
      <c r="F248" s="26" t="s">
        <v>278</v>
      </c>
      <c r="G248" s="26" t="s">
        <v>278</v>
      </c>
      <c r="H248" s="111">
        <f>217095</f>
        <v>217095</v>
      </c>
      <c r="I248" s="26" t="s">
        <v>278</v>
      </c>
      <c r="J248" s="107">
        <f t="shared" si="111"/>
        <v>216269</v>
      </c>
      <c r="K248" s="77" t="s">
        <v>278</v>
      </c>
      <c r="L248" s="77" t="s">
        <v>278</v>
      </c>
      <c r="M248" s="111">
        <f>217226-957</f>
        <v>216269</v>
      </c>
      <c r="N248" s="77" t="s">
        <v>278</v>
      </c>
      <c r="O248" s="107">
        <f t="shared" si="112"/>
        <v>217984.5</v>
      </c>
      <c r="P248" s="77" t="s">
        <v>278</v>
      </c>
      <c r="Q248" s="77" t="s">
        <v>278</v>
      </c>
      <c r="R248" s="114">
        <f>217200+784.469</f>
        <v>217984.5</v>
      </c>
      <c r="S248" s="77" t="s">
        <v>278</v>
      </c>
      <c r="T248" s="107">
        <f t="shared" si="115"/>
        <v>216757</v>
      </c>
      <c r="U248" s="77" t="s">
        <v>278</v>
      </c>
      <c r="V248" s="77" t="s">
        <v>278</v>
      </c>
      <c r="W248" s="111">
        <f>216757</f>
        <v>216757</v>
      </c>
      <c r="X248" s="77" t="s">
        <v>278</v>
      </c>
      <c r="Y248" s="107">
        <f t="shared" si="116"/>
        <v>214361</v>
      </c>
      <c r="Z248" s="77" t="s">
        <v>278</v>
      </c>
      <c r="AA248" s="77" t="s">
        <v>278</v>
      </c>
      <c r="AB248" s="111">
        <f>214361</f>
        <v>214361</v>
      </c>
      <c r="AC248" s="77" t="s">
        <v>278</v>
      </c>
      <c r="AD248" s="107">
        <f t="shared" si="117"/>
        <v>214361</v>
      </c>
      <c r="AE248" s="77" t="s">
        <v>278</v>
      </c>
      <c r="AF248" s="77" t="s">
        <v>278</v>
      </c>
      <c r="AG248" s="111">
        <f>214361</f>
        <v>214361</v>
      </c>
      <c r="AH248" s="77" t="s">
        <v>278</v>
      </c>
      <c r="AI248" s="76">
        <f t="shared" si="118"/>
        <v>0</v>
      </c>
      <c r="AJ248" s="77" t="s">
        <v>278</v>
      </c>
      <c r="AK248" s="77" t="s">
        <v>278</v>
      </c>
      <c r="AL248" s="77" t="s">
        <v>278</v>
      </c>
      <c r="AM248" s="77" t="s">
        <v>278</v>
      </c>
      <c r="AN248" s="115">
        <f t="shared" si="113"/>
        <v>1296827.5</v>
      </c>
      <c r="AO248" s="91"/>
    </row>
    <row r="249" spans="1:41" s="3" customFormat="1" ht="192.75" customHeight="1">
      <c r="A249" s="35" t="s">
        <v>354</v>
      </c>
      <c r="B249" s="42" t="s">
        <v>550</v>
      </c>
      <c r="C249" s="11" t="s">
        <v>54</v>
      </c>
      <c r="D249" s="11" t="s">
        <v>237</v>
      </c>
      <c r="E249" s="107">
        <f t="shared" si="114"/>
        <v>240674</v>
      </c>
      <c r="F249" s="26" t="s">
        <v>278</v>
      </c>
      <c r="G249" s="111">
        <f>133937.899+80161.101+39838-8543-3028-1692</f>
        <v>240674</v>
      </c>
      <c r="H249" s="26" t="s">
        <v>278</v>
      </c>
      <c r="I249" s="26" t="s">
        <v>278</v>
      </c>
      <c r="J249" s="107">
        <f t="shared" si="111"/>
        <v>239637</v>
      </c>
      <c r="K249" s="77" t="s">
        <v>278</v>
      </c>
      <c r="L249" s="111">
        <f>243222-3000+1000-1585</f>
        <v>239637</v>
      </c>
      <c r="M249" s="77" t="s">
        <v>278</v>
      </c>
      <c r="N249" s="77" t="s">
        <v>278</v>
      </c>
      <c r="O249" s="107">
        <f t="shared" si="112"/>
        <v>225585</v>
      </c>
      <c r="P249" s="77" t="s">
        <v>278</v>
      </c>
      <c r="Q249" s="114">
        <f>100915+68460+27405+21800+13500+7280-8080-4010-1685</f>
        <v>225585</v>
      </c>
      <c r="R249" s="77" t="s">
        <v>278</v>
      </c>
      <c r="S249" s="77" t="s">
        <v>278</v>
      </c>
      <c r="T249" s="76">
        <f t="shared" si="115"/>
        <v>0</v>
      </c>
      <c r="U249" s="77" t="s">
        <v>278</v>
      </c>
      <c r="V249" s="77" t="s">
        <v>278</v>
      </c>
      <c r="W249" s="77" t="s">
        <v>278</v>
      </c>
      <c r="X249" s="77" t="s">
        <v>278</v>
      </c>
      <c r="Y249" s="76">
        <f t="shared" si="116"/>
        <v>0</v>
      </c>
      <c r="Z249" s="77" t="s">
        <v>278</v>
      </c>
      <c r="AA249" s="77" t="s">
        <v>278</v>
      </c>
      <c r="AB249" s="77" t="s">
        <v>278</v>
      </c>
      <c r="AC249" s="77" t="s">
        <v>278</v>
      </c>
      <c r="AD249" s="76">
        <f t="shared" si="117"/>
        <v>0</v>
      </c>
      <c r="AE249" s="77" t="s">
        <v>278</v>
      </c>
      <c r="AF249" s="77" t="s">
        <v>278</v>
      </c>
      <c r="AG249" s="77" t="s">
        <v>278</v>
      </c>
      <c r="AH249" s="77" t="s">
        <v>278</v>
      </c>
      <c r="AI249" s="76">
        <f t="shared" si="118"/>
        <v>0</v>
      </c>
      <c r="AJ249" s="77" t="s">
        <v>278</v>
      </c>
      <c r="AK249" s="77" t="s">
        <v>278</v>
      </c>
      <c r="AL249" s="77" t="s">
        <v>278</v>
      </c>
      <c r="AM249" s="77" t="s">
        <v>278</v>
      </c>
      <c r="AN249" s="115">
        <f t="shared" si="113"/>
        <v>705896</v>
      </c>
      <c r="AO249" s="91"/>
    </row>
    <row r="250" spans="1:41" s="3" customFormat="1" ht="110.25">
      <c r="A250" s="35" t="s">
        <v>367</v>
      </c>
      <c r="B250" s="42" t="s">
        <v>368</v>
      </c>
      <c r="C250" s="11" t="s">
        <v>54</v>
      </c>
      <c r="D250" s="119">
        <v>2021</v>
      </c>
      <c r="E250" s="107">
        <f t="shared" si="114"/>
        <v>67347</v>
      </c>
      <c r="F250" s="26" t="s">
        <v>278</v>
      </c>
      <c r="G250" s="111">
        <f>35042+21483+10822</f>
        <v>67347</v>
      </c>
      <c r="H250" s="26" t="s">
        <v>278</v>
      </c>
      <c r="I250" s="26" t="s">
        <v>278</v>
      </c>
      <c r="J250" s="76">
        <f t="shared" si="111"/>
        <v>0</v>
      </c>
      <c r="K250" s="77" t="s">
        <v>278</v>
      </c>
      <c r="L250" s="77" t="s">
        <v>278</v>
      </c>
      <c r="M250" s="77" t="s">
        <v>278</v>
      </c>
      <c r="N250" s="77" t="s">
        <v>278</v>
      </c>
      <c r="O250" s="76">
        <f t="shared" si="112"/>
        <v>0</v>
      </c>
      <c r="P250" s="77" t="s">
        <v>278</v>
      </c>
      <c r="Q250" s="77" t="s">
        <v>278</v>
      </c>
      <c r="R250" s="77" t="s">
        <v>278</v>
      </c>
      <c r="S250" s="77" t="s">
        <v>278</v>
      </c>
      <c r="T250" s="76">
        <f t="shared" si="115"/>
        <v>0</v>
      </c>
      <c r="U250" s="77" t="s">
        <v>278</v>
      </c>
      <c r="V250" s="77" t="s">
        <v>278</v>
      </c>
      <c r="W250" s="77" t="s">
        <v>278</v>
      </c>
      <c r="X250" s="77" t="s">
        <v>278</v>
      </c>
      <c r="Y250" s="76">
        <f t="shared" si="116"/>
        <v>0</v>
      </c>
      <c r="Z250" s="77" t="s">
        <v>278</v>
      </c>
      <c r="AA250" s="77" t="s">
        <v>278</v>
      </c>
      <c r="AB250" s="77" t="s">
        <v>278</v>
      </c>
      <c r="AC250" s="77" t="s">
        <v>278</v>
      </c>
      <c r="AD250" s="76">
        <f t="shared" si="117"/>
        <v>0</v>
      </c>
      <c r="AE250" s="77" t="s">
        <v>278</v>
      </c>
      <c r="AF250" s="77" t="s">
        <v>278</v>
      </c>
      <c r="AG250" s="77" t="s">
        <v>278</v>
      </c>
      <c r="AH250" s="77" t="s">
        <v>278</v>
      </c>
      <c r="AI250" s="76">
        <f t="shared" si="118"/>
        <v>0</v>
      </c>
      <c r="AJ250" s="77" t="s">
        <v>278</v>
      </c>
      <c r="AK250" s="77" t="s">
        <v>278</v>
      </c>
      <c r="AL250" s="77" t="s">
        <v>278</v>
      </c>
      <c r="AM250" s="77" t="s">
        <v>278</v>
      </c>
      <c r="AN250" s="115">
        <f t="shared" si="113"/>
        <v>67347</v>
      </c>
      <c r="AO250" s="91"/>
    </row>
    <row r="251" spans="1:41" s="3" customFormat="1" ht="177" customHeight="1">
      <c r="A251" s="35" t="s">
        <v>382</v>
      </c>
      <c r="B251" s="42" t="s">
        <v>551</v>
      </c>
      <c r="C251" s="92" t="s">
        <v>34</v>
      </c>
      <c r="D251" s="119" t="s">
        <v>383</v>
      </c>
      <c r="E251" s="76">
        <f t="shared" si="114"/>
        <v>0</v>
      </c>
      <c r="F251" s="26" t="s">
        <v>278</v>
      </c>
      <c r="G251" s="26" t="s">
        <v>278</v>
      </c>
      <c r="H251" s="26" t="s">
        <v>278</v>
      </c>
      <c r="I251" s="26" t="s">
        <v>278</v>
      </c>
      <c r="J251" s="107">
        <f t="shared" si="111"/>
        <v>128630</v>
      </c>
      <c r="K251" s="111" t="s">
        <v>278</v>
      </c>
      <c r="L251" s="111">
        <f>125320+3310</f>
        <v>128630</v>
      </c>
      <c r="M251" s="77" t="s">
        <v>278</v>
      </c>
      <c r="N251" s="77" t="s">
        <v>278</v>
      </c>
      <c r="O251" s="76">
        <f t="shared" si="112"/>
        <v>0</v>
      </c>
      <c r="P251" s="111" t="s">
        <v>278</v>
      </c>
      <c r="Q251" s="77" t="s">
        <v>278</v>
      </c>
      <c r="R251" s="77" t="s">
        <v>278</v>
      </c>
      <c r="S251" s="77" t="s">
        <v>278</v>
      </c>
      <c r="T251" s="76">
        <f t="shared" si="115"/>
        <v>0</v>
      </c>
      <c r="U251" s="111" t="s">
        <v>278</v>
      </c>
      <c r="V251" s="77" t="s">
        <v>278</v>
      </c>
      <c r="W251" s="77" t="s">
        <v>278</v>
      </c>
      <c r="X251" s="77" t="s">
        <v>278</v>
      </c>
      <c r="Y251" s="76">
        <f t="shared" si="116"/>
        <v>0</v>
      </c>
      <c r="Z251" s="77" t="s">
        <v>278</v>
      </c>
      <c r="AA251" s="77" t="s">
        <v>278</v>
      </c>
      <c r="AB251" s="77" t="s">
        <v>278</v>
      </c>
      <c r="AC251" s="77" t="s">
        <v>278</v>
      </c>
      <c r="AD251" s="76">
        <f t="shared" si="117"/>
        <v>0</v>
      </c>
      <c r="AE251" s="77" t="s">
        <v>278</v>
      </c>
      <c r="AF251" s="77" t="s">
        <v>278</v>
      </c>
      <c r="AG251" s="77" t="s">
        <v>278</v>
      </c>
      <c r="AH251" s="77" t="s">
        <v>278</v>
      </c>
      <c r="AI251" s="76">
        <f t="shared" si="118"/>
        <v>0</v>
      </c>
      <c r="AJ251" s="77" t="s">
        <v>278</v>
      </c>
      <c r="AK251" s="77" t="s">
        <v>278</v>
      </c>
      <c r="AL251" s="77" t="s">
        <v>278</v>
      </c>
      <c r="AM251" s="77" t="s">
        <v>278</v>
      </c>
      <c r="AN251" s="115">
        <f t="shared" si="113"/>
        <v>128630</v>
      </c>
      <c r="AO251" s="91"/>
    </row>
    <row r="252" spans="1:41" s="3" customFormat="1" ht="160.5" customHeight="1">
      <c r="A252" s="35" t="s">
        <v>385</v>
      </c>
      <c r="B252" s="42" t="s">
        <v>552</v>
      </c>
      <c r="C252" s="11" t="s">
        <v>54</v>
      </c>
      <c r="D252" s="119" t="s">
        <v>417</v>
      </c>
      <c r="E252" s="76">
        <f t="shared" si="114"/>
        <v>0</v>
      </c>
      <c r="F252" s="26" t="s">
        <v>278</v>
      </c>
      <c r="G252" s="26" t="s">
        <v>278</v>
      </c>
      <c r="H252" s="26" t="s">
        <v>278</v>
      </c>
      <c r="I252" s="26" t="s">
        <v>278</v>
      </c>
      <c r="J252" s="107">
        <f t="shared" si="111"/>
        <v>5722.2</v>
      </c>
      <c r="K252" s="111" t="s">
        <v>278</v>
      </c>
      <c r="L252" s="111">
        <f>6154.2-432</f>
        <v>5722.2</v>
      </c>
      <c r="M252" s="77" t="s">
        <v>278</v>
      </c>
      <c r="N252" s="77" t="s">
        <v>278</v>
      </c>
      <c r="O252" s="107">
        <f>SUMIF(P252:S252,"&gt;0")</f>
        <v>6470</v>
      </c>
      <c r="P252" s="77" t="s">
        <v>278</v>
      </c>
      <c r="Q252" s="114">
        <f>5582+1788-900</f>
        <v>6470</v>
      </c>
      <c r="R252" s="77" t="s">
        <v>278</v>
      </c>
      <c r="S252" s="77" t="s">
        <v>278</v>
      </c>
      <c r="T252" s="76">
        <f t="shared" si="115"/>
        <v>0</v>
      </c>
      <c r="U252" s="77" t="s">
        <v>278</v>
      </c>
      <c r="V252" s="77" t="s">
        <v>278</v>
      </c>
      <c r="W252" s="77" t="s">
        <v>278</v>
      </c>
      <c r="X252" s="77" t="s">
        <v>278</v>
      </c>
      <c r="Y252" s="76">
        <f t="shared" si="116"/>
        <v>0</v>
      </c>
      <c r="Z252" s="77" t="s">
        <v>278</v>
      </c>
      <c r="AA252" s="77" t="s">
        <v>278</v>
      </c>
      <c r="AB252" s="77" t="s">
        <v>278</v>
      </c>
      <c r="AC252" s="77" t="s">
        <v>278</v>
      </c>
      <c r="AD252" s="76">
        <f t="shared" si="117"/>
        <v>0</v>
      </c>
      <c r="AE252" s="77" t="s">
        <v>278</v>
      </c>
      <c r="AF252" s="77" t="s">
        <v>278</v>
      </c>
      <c r="AG252" s="77" t="s">
        <v>278</v>
      </c>
      <c r="AH252" s="77" t="s">
        <v>278</v>
      </c>
      <c r="AI252" s="76">
        <f t="shared" si="118"/>
        <v>0</v>
      </c>
      <c r="AJ252" s="77" t="s">
        <v>278</v>
      </c>
      <c r="AK252" s="77" t="s">
        <v>278</v>
      </c>
      <c r="AL252" s="77" t="s">
        <v>278</v>
      </c>
      <c r="AM252" s="77" t="s">
        <v>278</v>
      </c>
      <c r="AN252" s="115">
        <f t="shared" si="113"/>
        <v>12192.2</v>
      </c>
      <c r="AO252" s="91"/>
    </row>
    <row r="253" spans="1:41" s="3" customFormat="1" ht="242.25" customHeight="1">
      <c r="A253" s="35" t="s">
        <v>386</v>
      </c>
      <c r="B253" s="42" t="s">
        <v>553</v>
      </c>
      <c r="C253" s="11" t="s">
        <v>54</v>
      </c>
      <c r="D253" s="119" t="s">
        <v>383</v>
      </c>
      <c r="E253" s="76">
        <f t="shared" si="114"/>
        <v>0</v>
      </c>
      <c r="F253" s="26" t="s">
        <v>278</v>
      </c>
      <c r="G253" s="26" t="s">
        <v>278</v>
      </c>
      <c r="H253" s="26" t="s">
        <v>278</v>
      </c>
      <c r="I253" s="26" t="s">
        <v>278</v>
      </c>
      <c r="J253" s="107">
        <f t="shared" si="111"/>
        <v>122511</v>
      </c>
      <c r="K253" s="111" t="s">
        <v>278</v>
      </c>
      <c r="L253" s="111">
        <v>122511</v>
      </c>
      <c r="M253" s="77" t="s">
        <v>278</v>
      </c>
      <c r="N253" s="77" t="s">
        <v>278</v>
      </c>
      <c r="O253" s="76">
        <f>SUMIF(P253:S253,"&gt;0")</f>
        <v>0</v>
      </c>
      <c r="P253" s="111" t="s">
        <v>278</v>
      </c>
      <c r="Q253" s="77" t="s">
        <v>278</v>
      </c>
      <c r="R253" s="77" t="s">
        <v>278</v>
      </c>
      <c r="S253" s="77" t="s">
        <v>278</v>
      </c>
      <c r="T253" s="76">
        <f>SUMIF(U253:X253,"&gt;0")</f>
        <v>0</v>
      </c>
      <c r="U253" s="111" t="s">
        <v>278</v>
      </c>
      <c r="V253" s="77" t="s">
        <v>278</v>
      </c>
      <c r="W253" s="77" t="s">
        <v>278</v>
      </c>
      <c r="X253" s="77" t="s">
        <v>278</v>
      </c>
      <c r="Y253" s="76">
        <f>SUMIF(Z253:AC253,"&gt;0")</f>
        <v>0</v>
      </c>
      <c r="Z253" s="77" t="s">
        <v>278</v>
      </c>
      <c r="AA253" s="77" t="s">
        <v>278</v>
      </c>
      <c r="AB253" s="77" t="s">
        <v>278</v>
      </c>
      <c r="AC253" s="77" t="s">
        <v>278</v>
      </c>
      <c r="AD253" s="76">
        <f t="shared" si="117"/>
        <v>0</v>
      </c>
      <c r="AE253" s="77" t="s">
        <v>278</v>
      </c>
      <c r="AF253" s="77" t="s">
        <v>278</v>
      </c>
      <c r="AG253" s="77" t="s">
        <v>278</v>
      </c>
      <c r="AH253" s="77" t="s">
        <v>278</v>
      </c>
      <c r="AI253" s="76">
        <f t="shared" si="118"/>
        <v>0</v>
      </c>
      <c r="AJ253" s="77" t="s">
        <v>278</v>
      </c>
      <c r="AK253" s="77" t="s">
        <v>278</v>
      </c>
      <c r="AL253" s="77" t="s">
        <v>278</v>
      </c>
      <c r="AM253" s="77" t="s">
        <v>278</v>
      </c>
      <c r="AN253" s="115">
        <f t="shared" si="113"/>
        <v>122511</v>
      </c>
      <c r="AO253" s="91"/>
    </row>
    <row r="254" spans="1:41" s="3" customFormat="1" ht="162.75" customHeight="1">
      <c r="A254" s="35" t="s">
        <v>428</v>
      </c>
      <c r="B254" s="42" t="s">
        <v>554</v>
      </c>
      <c r="C254" s="11" t="s">
        <v>54</v>
      </c>
      <c r="D254" s="119" t="s">
        <v>418</v>
      </c>
      <c r="E254" s="76">
        <f t="shared" si="114"/>
        <v>0</v>
      </c>
      <c r="F254" s="26" t="s">
        <v>278</v>
      </c>
      <c r="G254" s="26" t="s">
        <v>278</v>
      </c>
      <c r="H254" s="26" t="s">
        <v>278</v>
      </c>
      <c r="I254" s="26" t="s">
        <v>278</v>
      </c>
      <c r="J254" s="76">
        <f>SUMIF(K254:N254,"&gt;0")</f>
        <v>0</v>
      </c>
      <c r="K254" s="26" t="s">
        <v>278</v>
      </c>
      <c r="L254" s="26" t="s">
        <v>278</v>
      </c>
      <c r="M254" s="77" t="s">
        <v>278</v>
      </c>
      <c r="N254" s="77" t="s">
        <v>278</v>
      </c>
      <c r="O254" s="107">
        <f>SUMIF(P254:S254,"&gt;0")</f>
        <v>6652.3</v>
      </c>
      <c r="P254" s="111" t="s">
        <v>278</v>
      </c>
      <c r="Q254" s="114">
        <f>931.32539</f>
        <v>931.3</v>
      </c>
      <c r="R254" s="114">
        <f>5720.99883</f>
        <v>5721</v>
      </c>
      <c r="S254" s="77" t="s">
        <v>278</v>
      </c>
      <c r="T254" s="107">
        <f>SUMIF(U254:X254,"&gt;0")</f>
        <v>19624.3</v>
      </c>
      <c r="U254" s="111" t="s">
        <v>278</v>
      </c>
      <c r="V254" s="111">
        <f>2747.4099</f>
        <v>2747.4</v>
      </c>
      <c r="W254" s="111">
        <f>16876.94656</f>
        <v>16876.9</v>
      </c>
      <c r="X254" s="77" t="s">
        <v>278</v>
      </c>
      <c r="Y254" s="107">
        <f t="shared" si="116"/>
        <v>19624.3</v>
      </c>
      <c r="Z254" s="77" t="s">
        <v>278</v>
      </c>
      <c r="AA254" s="111">
        <f>2747.4099</f>
        <v>2747.4</v>
      </c>
      <c r="AB254" s="111">
        <f>16876.94656</f>
        <v>16876.9</v>
      </c>
      <c r="AC254" s="77" t="s">
        <v>278</v>
      </c>
      <c r="AD254" s="107">
        <f t="shared" si="117"/>
        <v>19624.3</v>
      </c>
      <c r="AE254" s="77" t="s">
        <v>278</v>
      </c>
      <c r="AF254" s="111">
        <f>6476.03763</f>
        <v>6476</v>
      </c>
      <c r="AG254" s="111">
        <f>13148.31883</f>
        <v>13148.3</v>
      </c>
      <c r="AH254" s="77" t="s">
        <v>278</v>
      </c>
      <c r="AI254" s="76">
        <f t="shared" si="118"/>
        <v>0</v>
      </c>
      <c r="AJ254" s="77" t="s">
        <v>278</v>
      </c>
      <c r="AK254" s="77" t="s">
        <v>278</v>
      </c>
      <c r="AL254" s="77" t="s">
        <v>278</v>
      </c>
      <c r="AM254" s="77" t="s">
        <v>278</v>
      </c>
      <c r="AN254" s="115">
        <f>E254+J254+O254+T254+Y254+AD254+AI254</f>
        <v>65525.2</v>
      </c>
      <c r="AO254" s="91"/>
    </row>
    <row r="255" spans="1:41" s="3" customFormat="1" ht="246.75" customHeight="1">
      <c r="A255" s="35" t="s">
        <v>437</v>
      </c>
      <c r="B255" s="42" t="s">
        <v>555</v>
      </c>
      <c r="C255" s="11" t="s">
        <v>54</v>
      </c>
      <c r="D255" s="119" t="s">
        <v>429</v>
      </c>
      <c r="E255" s="76">
        <f>SUMIF(F255:I255,"&gt;0")</f>
        <v>0</v>
      </c>
      <c r="F255" s="26" t="s">
        <v>278</v>
      </c>
      <c r="G255" s="26" t="s">
        <v>278</v>
      </c>
      <c r="H255" s="26" t="s">
        <v>278</v>
      </c>
      <c r="I255" s="26" t="s">
        <v>278</v>
      </c>
      <c r="J255" s="76">
        <f t="shared" si="111"/>
        <v>0</v>
      </c>
      <c r="K255" s="26" t="s">
        <v>278</v>
      </c>
      <c r="L255" s="26" t="s">
        <v>278</v>
      </c>
      <c r="M255" s="77" t="s">
        <v>278</v>
      </c>
      <c r="N255" s="77" t="s">
        <v>278</v>
      </c>
      <c r="O255" s="107">
        <f t="shared" si="112"/>
        <v>124239</v>
      </c>
      <c r="P255" s="111" t="s">
        <v>278</v>
      </c>
      <c r="Q255" s="114">
        <f>16743+10863+5501+88604+2528</f>
        <v>124239</v>
      </c>
      <c r="R255" s="77" t="s">
        <v>278</v>
      </c>
      <c r="S255" s="77" t="s">
        <v>278</v>
      </c>
      <c r="T255" s="76">
        <f t="shared" si="115"/>
        <v>0</v>
      </c>
      <c r="U255" s="111" t="s">
        <v>278</v>
      </c>
      <c r="V255" s="77" t="s">
        <v>278</v>
      </c>
      <c r="W255" s="77" t="s">
        <v>278</v>
      </c>
      <c r="X255" s="77" t="s">
        <v>278</v>
      </c>
      <c r="Y255" s="76">
        <f>SUMIF(Z255:AC255,"&gt;0")</f>
        <v>0</v>
      </c>
      <c r="Z255" s="77" t="s">
        <v>278</v>
      </c>
      <c r="AA255" s="77" t="s">
        <v>278</v>
      </c>
      <c r="AB255" s="77" t="s">
        <v>278</v>
      </c>
      <c r="AC255" s="77" t="s">
        <v>278</v>
      </c>
      <c r="AD255" s="76">
        <f>SUMIF(AE255:AH255,"&gt;0")</f>
        <v>0</v>
      </c>
      <c r="AE255" s="77" t="s">
        <v>278</v>
      </c>
      <c r="AF255" s="77" t="s">
        <v>278</v>
      </c>
      <c r="AG255" s="77" t="s">
        <v>278</v>
      </c>
      <c r="AH255" s="77" t="s">
        <v>278</v>
      </c>
      <c r="AI255" s="76">
        <f>SUMIF(AJ255:AM255,"&gt;0")</f>
        <v>0</v>
      </c>
      <c r="AJ255" s="77" t="s">
        <v>278</v>
      </c>
      <c r="AK255" s="77" t="s">
        <v>278</v>
      </c>
      <c r="AL255" s="77" t="s">
        <v>278</v>
      </c>
      <c r="AM255" s="77" t="s">
        <v>278</v>
      </c>
      <c r="AN255" s="115">
        <f>E255+J255+O255+T255+Y255+AD255+AI255</f>
        <v>124239</v>
      </c>
      <c r="AO255" s="91"/>
    </row>
    <row r="256" spans="1:41" s="3" customFormat="1" ht="18.75">
      <c r="A256" s="35"/>
      <c r="B256" s="145" t="s">
        <v>40</v>
      </c>
      <c r="C256" s="14"/>
      <c r="D256" s="14"/>
      <c r="E256" s="112">
        <f>SUM(F256:I256)</f>
        <v>664280.4</v>
      </c>
      <c r="F256" s="107">
        <f>SUM(F221:F255)</f>
        <v>17995.4</v>
      </c>
      <c r="G256" s="107">
        <f>SUM(G221:G255)</f>
        <v>429190</v>
      </c>
      <c r="H256" s="107">
        <f>SUM(H221:H255)</f>
        <v>217095</v>
      </c>
      <c r="I256" s="76">
        <f>SUM(I221:I255)</f>
        <v>0</v>
      </c>
      <c r="J256" s="115">
        <f>SUM(K256:N256)</f>
        <v>852860.3</v>
      </c>
      <c r="K256" s="107">
        <f>SUM(K221:K255)</f>
        <v>18366</v>
      </c>
      <c r="L256" s="107">
        <f>SUM(L221:L255)</f>
        <v>618225.3</v>
      </c>
      <c r="M256" s="76">
        <f>SUM(M221:M255)</f>
        <v>216269</v>
      </c>
      <c r="N256" s="76">
        <f>SUM(N221:N255)</f>
        <v>0</v>
      </c>
      <c r="O256" s="115">
        <f>SUM(P256:S256)</f>
        <v>721798.9</v>
      </c>
      <c r="P256" s="107">
        <f>SUM(P221:P255)</f>
        <v>19193.1</v>
      </c>
      <c r="Q256" s="107">
        <f>SUM(Q221:Q255)</f>
        <v>478900.3</v>
      </c>
      <c r="R256" s="107">
        <f>SUM(R221:R255)</f>
        <v>223705.5</v>
      </c>
      <c r="S256" s="76">
        <f>SUM(S221:S255)</f>
        <v>0</v>
      </c>
      <c r="T256" s="115">
        <f>SUM(U256:X256)</f>
        <v>261679.3</v>
      </c>
      <c r="U256" s="107">
        <f>SUM(U221:U255)</f>
        <v>25298</v>
      </c>
      <c r="V256" s="107">
        <f>SUM(V221:V255)</f>
        <v>2747.4</v>
      </c>
      <c r="W256" s="107">
        <f>SUM(W221:W255)</f>
        <v>233633.9</v>
      </c>
      <c r="X256" s="76">
        <f>SUM(X221:X255)</f>
        <v>0</v>
      </c>
      <c r="Y256" s="112">
        <f>SUM(Z256:AC256)</f>
        <v>259288.3</v>
      </c>
      <c r="Z256" s="107">
        <f>SUM(Z221:Z255)</f>
        <v>25303</v>
      </c>
      <c r="AA256" s="107">
        <f>SUM(AA221:AA255)</f>
        <v>2747.4</v>
      </c>
      <c r="AB256" s="107">
        <f>SUM(AB221:AB255)</f>
        <v>231237.9</v>
      </c>
      <c r="AC256" s="76">
        <f>SUM(AC221:AC255)</f>
        <v>0</v>
      </c>
      <c r="AD256" s="112">
        <f>SUM(AE256:AH256)</f>
        <v>259288.3</v>
      </c>
      <c r="AE256" s="107">
        <f>SUM(AE221:AE255)</f>
        <v>25303</v>
      </c>
      <c r="AF256" s="107">
        <f>SUM(AF221:AF255)</f>
        <v>6476</v>
      </c>
      <c r="AG256" s="107">
        <f>SUM(AG221:AG255)</f>
        <v>227509.3</v>
      </c>
      <c r="AH256" s="76">
        <f>SUM(AH221:AH255)</f>
        <v>0</v>
      </c>
      <c r="AI256" s="112">
        <f>SUM(AJ256:AM256)</f>
        <v>356321</v>
      </c>
      <c r="AJ256" s="107">
        <f>SUM(AJ221:AJ255)</f>
        <v>23127</v>
      </c>
      <c r="AK256" s="107">
        <f>SUM(AK221:AK255)</f>
        <v>333194</v>
      </c>
      <c r="AL256" s="76">
        <f>SUM(AL221:AL255)</f>
        <v>0</v>
      </c>
      <c r="AM256" s="76">
        <f>SUM(AM221:AM255)</f>
        <v>0</v>
      </c>
      <c r="AN256" s="115">
        <f>E256+J256+O256+T256+Y256+AD256+AI256</f>
        <v>3375516.5</v>
      </c>
      <c r="AO256" s="91"/>
    </row>
    <row r="257" spans="1:41" ht="33.75" customHeight="1">
      <c r="A257" s="37" t="s">
        <v>77</v>
      </c>
      <c r="B257" s="148" t="s">
        <v>434</v>
      </c>
      <c r="C257" s="25"/>
      <c r="D257" s="25"/>
      <c r="E257" s="107">
        <f aca="true" t="shared" si="119" ref="E257:AN257">E23+E92+E219+E256</f>
        <v>8834301.3</v>
      </c>
      <c r="F257" s="107">
        <f t="shared" si="119"/>
        <v>2512194.9</v>
      </c>
      <c r="G257" s="107">
        <f t="shared" si="119"/>
        <v>4840289.9</v>
      </c>
      <c r="H257" s="107">
        <f t="shared" si="119"/>
        <v>806215.5</v>
      </c>
      <c r="I257" s="107">
        <f t="shared" si="119"/>
        <v>675601</v>
      </c>
      <c r="J257" s="107">
        <f t="shared" si="119"/>
        <v>11044574.6</v>
      </c>
      <c r="K257" s="107">
        <f t="shared" si="119"/>
        <v>2709292.4</v>
      </c>
      <c r="L257" s="107">
        <f t="shared" si="119"/>
        <v>6388844.8</v>
      </c>
      <c r="M257" s="107">
        <f t="shared" si="119"/>
        <v>1187038.4</v>
      </c>
      <c r="N257" s="107">
        <f t="shared" si="119"/>
        <v>759399</v>
      </c>
      <c r="O257" s="107">
        <f t="shared" si="119"/>
        <v>9263070.9</v>
      </c>
      <c r="P257" s="107">
        <f t="shared" si="119"/>
        <v>2808509.7</v>
      </c>
      <c r="Q257" s="107">
        <f t="shared" si="119"/>
        <v>5184244.3</v>
      </c>
      <c r="R257" s="107">
        <f t="shared" si="119"/>
        <v>463181.2</v>
      </c>
      <c r="S257" s="107">
        <f t="shared" si="119"/>
        <v>807135.7</v>
      </c>
      <c r="T257" s="107">
        <f t="shared" si="119"/>
        <v>4842275.7</v>
      </c>
      <c r="U257" s="107">
        <f t="shared" si="119"/>
        <v>3045644</v>
      </c>
      <c r="V257" s="107">
        <f t="shared" si="119"/>
        <v>413005.2</v>
      </c>
      <c r="W257" s="107">
        <f t="shared" si="119"/>
        <v>584651.2</v>
      </c>
      <c r="X257" s="107">
        <f t="shared" si="119"/>
        <v>798975.3</v>
      </c>
      <c r="Y257" s="107">
        <f t="shared" si="119"/>
        <v>4932035.7</v>
      </c>
      <c r="Z257" s="107">
        <f t="shared" si="119"/>
        <v>2904617.4</v>
      </c>
      <c r="AA257" s="107">
        <f t="shared" si="119"/>
        <v>462083.5</v>
      </c>
      <c r="AB257" s="107">
        <f t="shared" si="119"/>
        <v>766359.5</v>
      </c>
      <c r="AC257" s="107">
        <f t="shared" si="119"/>
        <v>798975.3</v>
      </c>
      <c r="AD257" s="107">
        <f t="shared" si="119"/>
        <v>4491483.3</v>
      </c>
      <c r="AE257" s="107">
        <f t="shared" si="119"/>
        <v>2902350.5</v>
      </c>
      <c r="AF257" s="107">
        <f t="shared" si="119"/>
        <v>262938.5</v>
      </c>
      <c r="AG257" s="107">
        <f t="shared" si="119"/>
        <v>527219</v>
      </c>
      <c r="AH257" s="107">
        <f t="shared" si="119"/>
        <v>798975.3</v>
      </c>
      <c r="AI257" s="107">
        <f t="shared" si="119"/>
        <v>10365972.2</v>
      </c>
      <c r="AJ257" s="107">
        <f t="shared" si="119"/>
        <v>3244079.7</v>
      </c>
      <c r="AK257" s="107">
        <f t="shared" si="119"/>
        <v>6164284.5</v>
      </c>
      <c r="AL257" s="76">
        <f t="shared" si="119"/>
        <v>0</v>
      </c>
      <c r="AM257" s="107">
        <f t="shared" si="119"/>
        <v>957608</v>
      </c>
      <c r="AN257" s="107">
        <f t="shared" si="119"/>
        <v>53773713.7</v>
      </c>
      <c r="AO257" s="91"/>
    </row>
    <row r="258" spans="1:40" s="17" customFormat="1" ht="18.75">
      <c r="A258" s="47"/>
      <c r="B258" s="118" t="s">
        <v>357</v>
      </c>
      <c r="C258" s="14"/>
      <c r="D258" s="96">
        <v>2021</v>
      </c>
      <c r="E258" s="107">
        <f>SUMIF(F258:I258,"&gt;0")</f>
        <v>10677.2</v>
      </c>
      <c r="F258" s="115">
        <f>F93</f>
        <v>10677.2</v>
      </c>
      <c r="G258" s="106">
        <v>0</v>
      </c>
      <c r="H258" s="106">
        <v>0</v>
      </c>
      <c r="I258" s="106">
        <v>0</v>
      </c>
      <c r="J258" s="76">
        <f>SUMIF(K258:N258,"&gt;0")</f>
        <v>0</v>
      </c>
      <c r="K258" s="106">
        <v>0</v>
      </c>
      <c r="L258" s="106">
        <v>0</v>
      </c>
      <c r="M258" s="106">
        <v>0</v>
      </c>
      <c r="N258" s="106">
        <v>0</v>
      </c>
      <c r="O258" s="76">
        <f>SUMIF(P258:S258,"&gt;0")</f>
        <v>0</v>
      </c>
      <c r="P258" s="106">
        <v>0</v>
      </c>
      <c r="Q258" s="106">
        <v>0</v>
      </c>
      <c r="R258" s="106">
        <v>0</v>
      </c>
      <c r="S258" s="106">
        <v>0</v>
      </c>
      <c r="T258" s="76">
        <f>SUMIF(U258:X258,"&gt;0")</f>
        <v>0</v>
      </c>
      <c r="U258" s="106">
        <v>0</v>
      </c>
      <c r="V258" s="106">
        <v>0</v>
      </c>
      <c r="W258" s="106">
        <v>0</v>
      </c>
      <c r="X258" s="106">
        <v>0</v>
      </c>
      <c r="Y258" s="76">
        <f>SUMIF(Z258:AC258,"&gt;0")</f>
        <v>0</v>
      </c>
      <c r="Z258" s="106">
        <v>0</v>
      </c>
      <c r="AA258" s="106">
        <v>0</v>
      </c>
      <c r="AB258" s="106">
        <v>0</v>
      </c>
      <c r="AC258" s="106">
        <v>0</v>
      </c>
      <c r="AD258" s="76">
        <f>SUMIF(AE258:AH258,"&gt;0")</f>
        <v>0</v>
      </c>
      <c r="AE258" s="106">
        <v>0</v>
      </c>
      <c r="AF258" s="106">
        <v>0</v>
      </c>
      <c r="AG258" s="106">
        <v>0</v>
      </c>
      <c r="AH258" s="106">
        <v>0</v>
      </c>
      <c r="AI258" s="76">
        <f>SUMIF(AJ258:AM258,"&gt;0")</f>
        <v>0</v>
      </c>
      <c r="AJ258" s="106">
        <v>0</v>
      </c>
      <c r="AK258" s="106">
        <v>0</v>
      </c>
      <c r="AL258" s="106">
        <v>0</v>
      </c>
      <c r="AM258" s="106">
        <v>0</v>
      </c>
      <c r="AN258" s="107">
        <f>E258+J258+O258+T258+Y258+AD258+AI258</f>
        <v>10677.2</v>
      </c>
    </row>
    <row r="259" spans="1:40" s="17" customFormat="1" ht="18.75">
      <c r="A259" s="47"/>
      <c r="B259" s="118" t="s">
        <v>378</v>
      </c>
      <c r="C259" s="14"/>
      <c r="D259" s="96">
        <v>2021</v>
      </c>
      <c r="E259" s="107">
        <f>SUMIF(F259:I259,"&gt;0")</f>
        <v>605.2</v>
      </c>
      <c r="F259" s="115">
        <f>F94</f>
        <v>605.2</v>
      </c>
      <c r="G259" s="106">
        <v>0</v>
      </c>
      <c r="H259" s="106">
        <v>0</v>
      </c>
      <c r="I259" s="106">
        <v>0</v>
      </c>
      <c r="J259" s="76">
        <f>SUMIF(K259:N259,"&gt;0")</f>
        <v>0</v>
      </c>
      <c r="K259" s="106">
        <v>0</v>
      </c>
      <c r="L259" s="106">
        <v>0</v>
      </c>
      <c r="M259" s="106">
        <v>0</v>
      </c>
      <c r="N259" s="106">
        <v>0</v>
      </c>
      <c r="O259" s="76">
        <f>SUMIF(P259:S259,"&gt;0")</f>
        <v>0</v>
      </c>
      <c r="P259" s="106">
        <v>0</v>
      </c>
      <c r="Q259" s="106">
        <v>0</v>
      </c>
      <c r="R259" s="106">
        <v>0</v>
      </c>
      <c r="S259" s="106">
        <v>0</v>
      </c>
      <c r="T259" s="76">
        <f>SUMIF(U259:X259,"&gt;0")</f>
        <v>0</v>
      </c>
      <c r="U259" s="106">
        <v>0</v>
      </c>
      <c r="V259" s="106">
        <v>0</v>
      </c>
      <c r="W259" s="106">
        <v>0</v>
      </c>
      <c r="X259" s="106">
        <v>0</v>
      </c>
      <c r="Y259" s="76">
        <f>SUMIF(Z259:AC259,"&gt;0")</f>
        <v>0</v>
      </c>
      <c r="Z259" s="106">
        <v>0</v>
      </c>
      <c r="AA259" s="106">
        <v>0</v>
      </c>
      <c r="AB259" s="106">
        <v>0</v>
      </c>
      <c r="AC259" s="106">
        <v>0</v>
      </c>
      <c r="AD259" s="76">
        <f>SUMIF(AE259:AH259,"&gt;0")</f>
        <v>0</v>
      </c>
      <c r="AE259" s="106">
        <v>0</v>
      </c>
      <c r="AF259" s="106">
        <v>0</v>
      </c>
      <c r="AG259" s="106">
        <v>0</v>
      </c>
      <c r="AH259" s="106">
        <v>0</v>
      </c>
      <c r="AI259" s="76">
        <f>SUMIF(AJ259:AM259,"&gt;0")</f>
        <v>0</v>
      </c>
      <c r="AJ259" s="106">
        <v>0</v>
      </c>
      <c r="AK259" s="106">
        <v>0</v>
      </c>
      <c r="AL259" s="106">
        <v>0</v>
      </c>
      <c r="AM259" s="106">
        <v>0</v>
      </c>
      <c r="AN259" s="107">
        <f>E259+J259+O259+T259+Y259+AD259+AI259</f>
        <v>605.2</v>
      </c>
    </row>
    <row r="260" spans="1:40" s="17" customFormat="1" ht="18.75">
      <c r="A260" s="47"/>
      <c r="B260" s="118" t="s">
        <v>384</v>
      </c>
      <c r="C260" s="14"/>
      <c r="D260" s="96">
        <v>2022</v>
      </c>
      <c r="E260" s="76">
        <f>SUMIF(F260:I260,"&gt;0")</f>
        <v>0</v>
      </c>
      <c r="F260" s="106">
        <v>0</v>
      </c>
      <c r="G260" s="106">
        <v>0</v>
      </c>
      <c r="H260" s="106">
        <v>0</v>
      </c>
      <c r="I260" s="106">
        <v>0</v>
      </c>
      <c r="J260" s="107">
        <f>SUMIF(K260:N260,"&gt;0")</f>
        <v>1380.4</v>
      </c>
      <c r="K260" s="107">
        <f>K95</f>
        <v>1380.4</v>
      </c>
      <c r="L260" s="106">
        <v>0</v>
      </c>
      <c r="M260" s="106">
        <v>0</v>
      </c>
      <c r="N260" s="106">
        <v>0</v>
      </c>
      <c r="O260" s="76">
        <f>SUMIF(P260:S260,"&gt;0")</f>
        <v>0</v>
      </c>
      <c r="P260" s="106">
        <v>0</v>
      </c>
      <c r="Q260" s="106">
        <v>0</v>
      </c>
      <c r="R260" s="106">
        <v>0</v>
      </c>
      <c r="S260" s="106">
        <v>0</v>
      </c>
      <c r="T260" s="76">
        <f>SUMIF(U260:X260,"&gt;0")</f>
        <v>0</v>
      </c>
      <c r="U260" s="106">
        <v>0</v>
      </c>
      <c r="V260" s="106">
        <v>0</v>
      </c>
      <c r="W260" s="106">
        <v>0</v>
      </c>
      <c r="X260" s="106">
        <v>0</v>
      </c>
      <c r="Y260" s="76">
        <f>SUMIF(Z260:AC260,"&gt;0")</f>
        <v>0</v>
      </c>
      <c r="Z260" s="106">
        <v>0</v>
      </c>
      <c r="AA260" s="106">
        <v>0</v>
      </c>
      <c r="AB260" s="106">
        <v>0</v>
      </c>
      <c r="AC260" s="106">
        <v>0</v>
      </c>
      <c r="AD260" s="76">
        <f>SUMIF(AE260:AH260,"&gt;0")</f>
        <v>0</v>
      </c>
      <c r="AE260" s="106">
        <v>0</v>
      </c>
      <c r="AF260" s="106">
        <v>0</v>
      </c>
      <c r="AG260" s="106">
        <v>0</v>
      </c>
      <c r="AH260" s="106">
        <v>0</v>
      </c>
      <c r="AI260" s="76">
        <f>SUMIF(AJ260:AM260,"&gt;0")</f>
        <v>0</v>
      </c>
      <c r="AJ260" s="106">
        <v>0</v>
      </c>
      <c r="AK260" s="106">
        <v>0</v>
      </c>
      <c r="AL260" s="106">
        <v>0</v>
      </c>
      <c r="AM260" s="106">
        <v>0</v>
      </c>
      <c r="AN260" s="107">
        <f>E260+J260+O260+T260+Y260+AD260+AI260</f>
        <v>1380.4</v>
      </c>
    </row>
    <row r="261" spans="1:40" s="17" customFormat="1" ht="18.75">
      <c r="A261" s="47"/>
      <c r="B261" s="118" t="s">
        <v>442</v>
      </c>
      <c r="C261" s="14"/>
      <c r="D261" s="96">
        <v>2024</v>
      </c>
      <c r="E261" s="76">
        <f>SUMIF(F261:I261,"&gt;0")</f>
        <v>0</v>
      </c>
      <c r="F261" s="106">
        <v>0</v>
      </c>
      <c r="G261" s="106">
        <v>0</v>
      </c>
      <c r="H261" s="106">
        <v>0</v>
      </c>
      <c r="I261" s="106">
        <v>0</v>
      </c>
      <c r="J261" s="76">
        <f>SUMIF(K261:N261,"&gt;0")</f>
        <v>0</v>
      </c>
      <c r="K261" s="107" t="str">
        <f>K96</f>
        <v>–</v>
      </c>
      <c r="L261" s="106">
        <v>0</v>
      </c>
      <c r="M261" s="106">
        <v>0</v>
      </c>
      <c r="N261" s="106">
        <v>0</v>
      </c>
      <c r="O261" s="76">
        <f>SUMIF(P261:S261,"&gt;0")</f>
        <v>0</v>
      </c>
      <c r="P261" s="106">
        <v>0</v>
      </c>
      <c r="Q261" s="106">
        <v>0</v>
      </c>
      <c r="R261" s="106">
        <v>0</v>
      </c>
      <c r="S261" s="106">
        <v>0</v>
      </c>
      <c r="T261" s="107">
        <f>SUMIF(U261:X261,"&gt;0")</f>
        <v>1006.2</v>
      </c>
      <c r="U261" s="115">
        <f>U96</f>
        <v>1006.2</v>
      </c>
      <c r="V261" s="106">
        <v>0</v>
      </c>
      <c r="W261" s="106">
        <v>0</v>
      </c>
      <c r="X261" s="106">
        <v>0</v>
      </c>
      <c r="Y261" s="76">
        <f>SUMIF(Z261:AC261,"&gt;0")</f>
        <v>0</v>
      </c>
      <c r="Z261" s="106">
        <v>0</v>
      </c>
      <c r="AA261" s="106">
        <v>0</v>
      </c>
      <c r="AB261" s="106">
        <v>0</v>
      </c>
      <c r="AC261" s="106">
        <v>0</v>
      </c>
      <c r="AD261" s="76">
        <f>SUMIF(AE261:AH261,"&gt;0")</f>
        <v>0</v>
      </c>
      <c r="AE261" s="106">
        <v>0</v>
      </c>
      <c r="AF261" s="106">
        <v>0</v>
      </c>
      <c r="AG261" s="106">
        <v>0</v>
      </c>
      <c r="AH261" s="106">
        <v>0</v>
      </c>
      <c r="AI261" s="76">
        <f>SUMIF(AJ261:AM261,"&gt;0")</f>
        <v>0</v>
      </c>
      <c r="AJ261" s="106">
        <v>0</v>
      </c>
      <c r="AK261" s="106">
        <v>0</v>
      </c>
      <c r="AL261" s="106">
        <v>0</v>
      </c>
      <c r="AM261" s="106">
        <v>0</v>
      </c>
      <c r="AN261" s="107">
        <f>E261+J261+O261+T261+Y261+AD261+AI261</f>
        <v>1006.2</v>
      </c>
    </row>
    <row r="262" spans="1:40" s="17" customFormat="1" ht="36" customHeight="1">
      <c r="A262" s="37" t="s">
        <v>435</v>
      </c>
      <c r="B262" s="148" t="s">
        <v>433</v>
      </c>
      <c r="C262" s="14"/>
      <c r="D262" s="96"/>
      <c r="E262" s="107">
        <f>SUMIF(F262:I262,"&gt;0")</f>
        <v>8845583.7</v>
      </c>
      <c r="F262" s="115">
        <f>F257+F259+F258+F260+F261</f>
        <v>2523477.3</v>
      </c>
      <c r="G262" s="115">
        <f>G257+G259+G258+G260+G261</f>
        <v>4840289.9</v>
      </c>
      <c r="H262" s="115">
        <f>H257+H259+H258+H260+H261</f>
        <v>806215.5</v>
      </c>
      <c r="I262" s="115">
        <f>I257+I259+I258+I260+I261</f>
        <v>675601</v>
      </c>
      <c r="J262" s="107">
        <f>SUMIF(K262:N262,"&gt;0")</f>
        <v>11045955</v>
      </c>
      <c r="K262" s="115">
        <f>K257+K259+K258+K260</f>
        <v>2710672.8</v>
      </c>
      <c r="L262" s="115">
        <f>L257+L259+L258+L260+L261</f>
        <v>6388844.8</v>
      </c>
      <c r="M262" s="115">
        <f>M257+M259+M258+M260+M261</f>
        <v>1187038.4</v>
      </c>
      <c r="N262" s="115">
        <f>N257+N259+N258+N260+N261</f>
        <v>759399</v>
      </c>
      <c r="O262" s="107">
        <f>SUMIF(P262:S262,"&gt;0")</f>
        <v>9263070.9</v>
      </c>
      <c r="P262" s="115">
        <f>P257+P259+P258+P260+P261</f>
        <v>2808509.7</v>
      </c>
      <c r="Q262" s="115">
        <f>Q257+Q259+Q258+Q260+Q261</f>
        <v>5184244.3</v>
      </c>
      <c r="R262" s="115">
        <f>R257+R259+R258+R260+R261</f>
        <v>463181.2</v>
      </c>
      <c r="S262" s="115">
        <f>S257+S259+S258+S260+S261</f>
        <v>807135.7</v>
      </c>
      <c r="T262" s="107">
        <f>SUMIF(U262:X262,"&gt;0")</f>
        <v>4843281.9</v>
      </c>
      <c r="U262" s="115">
        <f>U257+U259+U258+U260+U261</f>
        <v>3046650.2</v>
      </c>
      <c r="V262" s="115">
        <f>V257+V259+V258+V260+V261</f>
        <v>413005.2</v>
      </c>
      <c r="W262" s="107">
        <f>W257+W259+W258+W260+W261</f>
        <v>584651.2</v>
      </c>
      <c r="X262" s="115">
        <f>X257+X259+X258+X260+X261</f>
        <v>798975.3</v>
      </c>
      <c r="Y262" s="107">
        <f>SUMIF(Z262:AC262,"&gt;0")</f>
        <v>4932035.7</v>
      </c>
      <c r="Z262" s="115">
        <f>Z257+Z259+Z258+Z260+Z261</f>
        <v>2904617.4</v>
      </c>
      <c r="AA262" s="115">
        <f>AA257+AA259+AA258+AA260+AA261</f>
        <v>462083.5</v>
      </c>
      <c r="AB262" s="107">
        <f>AB257+AB259+AB258+AB260+AB261</f>
        <v>766359.5</v>
      </c>
      <c r="AC262" s="115">
        <f>AC257+AC259+AC258+AC260+AC261</f>
        <v>798975.3</v>
      </c>
      <c r="AD262" s="107">
        <f>SUMIF(AE262:AH262,"&gt;0")</f>
        <v>4491483.3</v>
      </c>
      <c r="AE262" s="115">
        <f>AE257+AE259+AE258+AE260+AE261</f>
        <v>2902350.5</v>
      </c>
      <c r="AF262" s="115">
        <f>AF257+AF259+AF258+AF260+AF261</f>
        <v>262938.5</v>
      </c>
      <c r="AG262" s="107">
        <f>AG257+AG259+AG258+AG260+AG261</f>
        <v>527219</v>
      </c>
      <c r="AH262" s="115">
        <f>AH257+AH259+AH258+AH260+AH261</f>
        <v>798975.3</v>
      </c>
      <c r="AI262" s="107">
        <f>SUMIF(AJ262:AM262,"&gt;0")</f>
        <v>10365972.2</v>
      </c>
      <c r="AJ262" s="115">
        <f>AJ257+AJ259+AJ258+AJ260+AJ261</f>
        <v>3244079.7</v>
      </c>
      <c r="AK262" s="115">
        <f>AK257+AK259+AK258+AK260+AK261</f>
        <v>6164284.5</v>
      </c>
      <c r="AL262" s="106">
        <f>AL257+AL259+AL258+AL260+AL261</f>
        <v>0</v>
      </c>
      <c r="AM262" s="115">
        <f>AM257+AM259+AM258+AM260+AM261</f>
        <v>957608</v>
      </c>
      <c r="AN262" s="107">
        <f>E262+J262+O262+T262+Y262+AD262+AI262</f>
        <v>53787382.7</v>
      </c>
    </row>
    <row r="263" spans="4:41" ht="15.75">
      <c r="D263" s="57"/>
      <c r="AO263" s="62"/>
    </row>
    <row r="264" spans="2:41" ht="15.75">
      <c r="B264" s="105"/>
      <c r="D264" s="122"/>
      <c r="E264" s="108"/>
      <c r="F264" s="108"/>
      <c r="G264" s="108"/>
      <c r="H264" s="108"/>
      <c r="I264" s="108"/>
      <c r="J264" s="108"/>
      <c r="K264" s="108"/>
      <c r="L264" s="108"/>
      <c r="M264" s="108"/>
      <c r="N264" s="108"/>
      <c r="O264" s="108"/>
      <c r="P264" s="108"/>
      <c r="Q264" s="108"/>
      <c r="R264" s="108"/>
      <c r="S264" s="108"/>
      <c r="T264" s="108"/>
      <c r="U264" s="108"/>
      <c r="V264" s="108"/>
      <c r="W264" s="108"/>
      <c r="X264" s="108"/>
      <c r="Y264" s="108"/>
      <c r="Z264" s="108"/>
      <c r="AA264" s="108"/>
      <c r="AB264" s="108"/>
      <c r="AC264" s="108"/>
      <c r="AD264" s="108"/>
      <c r="AE264" s="108"/>
      <c r="AF264" s="108"/>
      <c r="AG264" s="108"/>
      <c r="AH264" s="108"/>
      <c r="AI264" s="108"/>
      <c r="AJ264" s="108"/>
      <c r="AK264" s="108"/>
      <c r="AL264" s="108"/>
      <c r="AM264" s="108"/>
      <c r="AN264" s="108"/>
      <c r="AO264" s="20"/>
    </row>
    <row r="265" spans="2:41" ht="15.75">
      <c r="B265" s="105"/>
      <c r="D265" s="122"/>
      <c r="E265" s="108"/>
      <c r="F265" s="108"/>
      <c r="G265" s="108"/>
      <c r="H265" s="108"/>
      <c r="I265" s="108"/>
      <c r="J265" s="108"/>
      <c r="K265" s="108"/>
      <c r="L265" s="108"/>
      <c r="M265" s="108"/>
      <c r="N265" s="108"/>
      <c r="O265" s="108"/>
      <c r="P265" s="108"/>
      <c r="Q265" s="108"/>
      <c r="R265" s="108"/>
      <c r="S265" s="108"/>
      <c r="T265" s="108"/>
      <c r="U265" s="108"/>
      <c r="V265" s="108"/>
      <c r="W265" s="108"/>
      <c r="X265" s="108"/>
      <c r="Y265" s="108"/>
      <c r="Z265" s="108"/>
      <c r="AA265" s="108"/>
      <c r="AB265" s="108"/>
      <c r="AC265" s="108"/>
      <c r="AD265" s="108"/>
      <c r="AE265" s="108"/>
      <c r="AF265" s="108"/>
      <c r="AG265" s="108"/>
      <c r="AH265" s="108"/>
      <c r="AI265" s="108"/>
      <c r="AJ265" s="108"/>
      <c r="AK265" s="108"/>
      <c r="AL265" s="108"/>
      <c r="AM265" s="108"/>
      <c r="AN265" s="108"/>
      <c r="AO265" s="20"/>
    </row>
    <row r="266" spans="2:41" ht="15.75">
      <c r="B266" s="105"/>
      <c r="D266" s="122"/>
      <c r="E266" s="108"/>
      <c r="F266" s="108"/>
      <c r="G266" s="108"/>
      <c r="H266" s="108"/>
      <c r="I266" s="108"/>
      <c r="J266" s="108"/>
      <c r="K266" s="108"/>
      <c r="L266" s="108"/>
      <c r="M266" s="108"/>
      <c r="N266" s="108"/>
      <c r="O266" s="108"/>
      <c r="P266" s="108"/>
      <c r="Q266" s="108"/>
      <c r="R266" s="108"/>
      <c r="S266" s="108"/>
      <c r="T266" s="108"/>
      <c r="U266" s="108"/>
      <c r="V266" s="108"/>
      <c r="W266" s="108"/>
      <c r="X266" s="108"/>
      <c r="Y266" s="108"/>
      <c r="Z266" s="108"/>
      <c r="AA266" s="108"/>
      <c r="AB266" s="108"/>
      <c r="AC266" s="108"/>
      <c r="AD266" s="108"/>
      <c r="AE266" s="108"/>
      <c r="AF266" s="108"/>
      <c r="AG266" s="108"/>
      <c r="AH266" s="108"/>
      <c r="AI266" s="108"/>
      <c r="AJ266" s="108"/>
      <c r="AK266" s="108"/>
      <c r="AL266" s="108"/>
      <c r="AM266" s="108"/>
      <c r="AN266" s="108"/>
      <c r="AO266" s="20"/>
    </row>
    <row r="267" spans="2:41" ht="15.75">
      <c r="B267" s="105"/>
      <c r="D267" s="122"/>
      <c r="E267" s="108"/>
      <c r="F267" s="108"/>
      <c r="G267" s="108"/>
      <c r="H267" s="108"/>
      <c r="I267" s="108"/>
      <c r="J267" s="108"/>
      <c r="K267" s="108"/>
      <c r="L267" s="108"/>
      <c r="M267" s="108"/>
      <c r="N267" s="108"/>
      <c r="O267" s="108"/>
      <c r="P267" s="108"/>
      <c r="Q267" s="108"/>
      <c r="R267" s="108"/>
      <c r="S267" s="108"/>
      <c r="T267" s="108"/>
      <c r="U267" s="108"/>
      <c r="V267" s="108"/>
      <c r="W267" s="108"/>
      <c r="X267" s="108"/>
      <c r="Y267" s="108"/>
      <c r="Z267" s="108"/>
      <c r="AA267" s="108"/>
      <c r="AB267" s="108"/>
      <c r="AC267" s="108"/>
      <c r="AD267" s="108"/>
      <c r="AE267" s="108"/>
      <c r="AF267" s="108"/>
      <c r="AG267" s="108"/>
      <c r="AH267" s="108"/>
      <c r="AI267" s="108"/>
      <c r="AJ267" s="108"/>
      <c r="AK267" s="108"/>
      <c r="AL267" s="108"/>
      <c r="AM267" s="108"/>
      <c r="AN267" s="108"/>
      <c r="AO267" s="20"/>
    </row>
    <row r="268" spans="2:41" ht="15.75">
      <c r="B268" s="105"/>
      <c r="D268" s="122"/>
      <c r="E268" s="108"/>
      <c r="F268" s="108"/>
      <c r="G268" s="108"/>
      <c r="H268" s="108"/>
      <c r="I268" s="108"/>
      <c r="J268" s="108"/>
      <c r="K268" s="108"/>
      <c r="L268" s="108"/>
      <c r="M268" s="108"/>
      <c r="N268" s="108"/>
      <c r="O268" s="108"/>
      <c r="P268" s="108"/>
      <c r="Q268" s="108"/>
      <c r="R268" s="108"/>
      <c r="S268" s="108"/>
      <c r="T268" s="108"/>
      <c r="U268" s="108"/>
      <c r="V268" s="108"/>
      <c r="W268" s="108"/>
      <c r="X268" s="108"/>
      <c r="Y268" s="108"/>
      <c r="Z268" s="108"/>
      <c r="AA268" s="108"/>
      <c r="AB268" s="108"/>
      <c r="AC268" s="108"/>
      <c r="AD268" s="108"/>
      <c r="AE268" s="108"/>
      <c r="AF268" s="108"/>
      <c r="AG268" s="108"/>
      <c r="AH268" s="108"/>
      <c r="AI268" s="108"/>
      <c r="AJ268" s="108"/>
      <c r="AK268" s="108"/>
      <c r="AL268" s="108"/>
      <c r="AM268" s="108"/>
      <c r="AN268" s="108"/>
      <c r="AO268" s="20"/>
    </row>
    <row r="269" spans="1:41" ht="15.75">
      <c r="A269" s="59"/>
      <c r="B269" s="60"/>
      <c r="C269" s="61"/>
      <c r="D269" s="122"/>
      <c r="E269" s="108"/>
      <c r="F269" s="108"/>
      <c r="G269" s="108"/>
      <c r="H269" s="108"/>
      <c r="I269" s="108"/>
      <c r="J269" s="108"/>
      <c r="K269" s="108"/>
      <c r="L269" s="108"/>
      <c r="M269" s="108"/>
      <c r="N269" s="108"/>
      <c r="O269" s="108"/>
      <c r="P269" s="108"/>
      <c r="Q269" s="108"/>
      <c r="R269" s="108"/>
      <c r="S269" s="108"/>
      <c r="T269" s="108"/>
      <c r="U269" s="108"/>
      <c r="V269" s="108"/>
      <c r="W269" s="108"/>
      <c r="X269" s="108"/>
      <c r="Y269" s="108"/>
      <c r="Z269" s="108"/>
      <c r="AA269" s="108"/>
      <c r="AB269" s="108"/>
      <c r="AC269" s="108"/>
      <c r="AD269" s="108"/>
      <c r="AE269" s="108"/>
      <c r="AF269" s="108"/>
      <c r="AG269" s="108"/>
      <c r="AH269" s="108"/>
      <c r="AI269" s="108"/>
      <c r="AJ269" s="108"/>
      <c r="AK269" s="108"/>
      <c r="AL269" s="108"/>
      <c r="AM269" s="108"/>
      <c r="AN269" s="108"/>
      <c r="AO269" s="34"/>
    </row>
    <row r="270" spans="1:41" s="120" customFormat="1" ht="15.75">
      <c r="A270" s="55"/>
      <c r="B270" s="179"/>
      <c r="C270" s="6"/>
      <c r="D270" s="122"/>
      <c r="E270" s="108"/>
      <c r="F270" s="108"/>
      <c r="G270" s="108"/>
      <c r="H270" s="108"/>
      <c r="I270" s="108"/>
      <c r="J270" s="108"/>
      <c r="K270" s="108"/>
      <c r="L270" s="108"/>
      <c r="M270" s="108"/>
      <c r="N270" s="108"/>
      <c r="O270" s="108"/>
      <c r="P270" s="108"/>
      <c r="Q270" s="108"/>
      <c r="R270" s="108"/>
      <c r="S270" s="108"/>
      <c r="T270" s="108"/>
      <c r="U270" s="108"/>
      <c r="V270" s="108"/>
      <c r="W270" s="108"/>
      <c r="X270" s="108"/>
      <c r="Y270" s="108"/>
      <c r="Z270" s="108"/>
      <c r="AA270" s="108"/>
      <c r="AB270" s="108"/>
      <c r="AC270" s="108"/>
      <c r="AD270" s="108"/>
      <c r="AE270" s="108"/>
      <c r="AF270" s="108"/>
      <c r="AG270" s="108"/>
      <c r="AH270" s="108"/>
      <c r="AI270" s="108"/>
      <c r="AJ270" s="108"/>
      <c r="AK270" s="108"/>
      <c r="AL270" s="108"/>
      <c r="AM270" s="108"/>
      <c r="AN270" s="108"/>
      <c r="AO270" s="48"/>
    </row>
    <row r="271" spans="1:41" s="120" customFormat="1" ht="15.75">
      <c r="A271" s="55"/>
      <c r="B271" s="179"/>
      <c r="C271" s="6"/>
      <c r="D271" s="122"/>
      <c r="E271" s="108"/>
      <c r="F271" s="108"/>
      <c r="G271" s="108"/>
      <c r="H271" s="108"/>
      <c r="I271" s="108"/>
      <c r="J271" s="108"/>
      <c r="K271" s="108"/>
      <c r="L271" s="108"/>
      <c r="M271" s="108"/>
      <c r="N271" s="108"/>
      <c r="O271" s="108"/>
      <c r="P271" s="108"/>
      <c r="Q271" s="108"/>
      <c r="R271" s="108"/>
      <c r="S271" s="108"/>
      <c r="T271" s="108"/>
      <c r="U271" s="108"/>
      <c r="V271" s="108"/>
      <c r="W271" s="108"/>
      <c r="X271" s="108"/>
      <c r="Y271" s="108"/>
      <c r="Z271" s="108"/>
      <c r="AA271" s="108"/>
      <c r="AB271" s="108"/>
      <c r="AC271" s="108"/>
      <c r="AD271" s="108"/>
      <c r="AE271" s="108"/>
      <c r="AF271" s="108"/>
      <c r="AG271" s="108"/>
      <c r="AH271" s="108"/>
      <c r="AI271" s="108"/>
      <c r="AJ271" s="108"/>
      <c r="AK271" s="108"/>
      <c r="AL271" s="108"/>
      <c r="AM271" s="108"/>
      <c r="AN271" s="108"/>
      <c r="AO271" s="48"/>
    </row>
    <row r="272" spans="1:41" s="120" customFormat="1" ht="15.75">
      <c r="A272" s="55"/>
      <c r="B272" s="179"/>
      <c r="C272" s="6"/>
      <c r="D272" s="122"/>
      <c r="E272" s="108"/>
      <c r="F272" s="108"/>
      <c r="G272" s="108"/>
      <c r="H272" s="108"/>
      <c r="I272" s="108"/>
      <c r="J272" s="108"/>
      <c r="K272" s="108"/>
      <c r="L272" s="108"/>
      <c r="M272" s="108"/>
      <c r="N272" s="108"/>
      <c r="O272" s="108"/>
      <c r="P272" s="108"/>
      <c r="Q272" s="108"/>
      <c r="R272" s="108"/>
      <c r="S272" s="108"/>
      <c r="T272" s="108"/>
      <c r="U272" s="108"/>
      <c r="V272" s="108"/>
      <c r="W272" s="108"/>
      <c r="X272" s="108"/>
      <c r="Y272" s="108"/>
      <c r="Z272" s="108"/>
      <c r="AA272" s="108"/>
      <c r="AB272" s="108"/>
      <c r="AC272" s="108"/>
      <c r="AD272" s="108"/>
      <c r="AE272" s="108"/>
      <c r="AF272" s="108"/>
      <c r="AG272" s="108"/>
      <c r="AH272" s="108"/>
      <c r="AI272" s="108"/>
      <c r="AJ272" s="108"/>
      <c r="AK272" s="108"/>
      <c r="AL272" s="108"/>
      <c r="AM272" s="108"/>
      <c r="AN272" s="108"/>
      <c r="AO272" s="48"/>
    </row>
    <row r="273" spans="1:41" ht="15.75">
      <c r="A273" s="55"/>
      <c r="B273" s="67"/>
      <c r="D273" s="15"/>
      <c r="E273" s="48"/>
      <c r="F273" s="48"/>
      <c r="G273" s="48"/>
      <c r="H273" s="48"/>
      <c r="I273" s="48"/>
      <c r="J273" s="48"/>
      <c r="K273" s="48"/>
      <c r="L273" s="48"/>
      <c r="M273" s="48"/>
      <c r="N273" s="48"/>
      <c r="O273" s="48"/>
      <c r="P273" s="48"/>
      <c r="Q273" s="48"/>
      <c r="R273" s="48"/>
      <c r="S273" s="48"/>
      <c r="T273" s="48"/>
      <c r="U273" s="48"/>
      <c r="V273" s="48"/>
      <c r="W273" s="48"/>
      <c r="X273" s="48"/>
      <c r="Y273" s="48"/>
      <c r="Z273" s="48"/>
      <c r="AA273" s="48"/>
      <c r="AB273" s="48"/>
      <c r="AC273" s="48"/>
      <c r="AD273" s="48"/>
      <c r="AE273" s="48"/>
      <c r="AF273" s="48"/>
      <c r="AG273" s="48"/>
      <c r="AH273" s="48"/>
      <c r="AI273" s="48"/>
      <c r="AJ273" s="48"/>
      <c r="AK273" s="48"/>
      <c r="AL273" s="48"/>
      <c r="AM273" s="48"/>
      <c r="AN273" s="48"/>
      <c r="AO273" s="34"/>
    </row>
    <row r="274" spans="1:41" ht="15.75" customHeight="1">
      <c r="A274" s="55"/>
      <c r="B274" s="69"/>
      <c r="D274" s="15"/>
      <c r="E274" s="48"/>
      <c r="F274" s="48"/>
      <c r="G274" s="48"/>
      <c r="H274" s="48"/>
      <c r="I274" s="48"/>
      <c r="J274" s="48"/>
      <c r="K274" s="48"/>
      <c r="L274" s="48"/>
      <c r="M274" s="48"/>
      <c r="N274" s="48"/>
      <c r="O274" s="48"/>
      <c r="P274" s="48"/>
      <c r="Q274" s="48"/>
      <c r="R274" s="48"/>
      <c r="S274" s="48"/>
      <c r="T274" s="48"/>
      <c r="U274" s="108"/>
      <c r="V274" s="48"/>
      <c r="W274" s="48"/>
      <c r="X274" s="48"/>
      <c r="Y274" s="48"/>
      <c r="Z274" s="48"/>
      <c r="AA274" s="48"/>
      <c r="AB274" s="48"/>
      <c r="AC274" s="48"/>
      <c r="AD274" s="48"/>
      <c r="AE274" s="140"/>
      <c r="AF274" s="48"/>
      <c r="AG274" s="48"/>
      <c r="AH274" s="48"/>
      <c r="AI274" s="48"/>
      <c r="AJ274" s="48"/>
      <c r="AK274" s="48"/>
      <c r="AL274" s="48"/>
      <c r="AM274" s="48"/>
      <c r="AN274" s="109"/>
      <c r="AO274" s="34"/>
    </row>
    <row r="275" spans="1:41" ht="15.75" customHeight="1">
      <c r="A275" s="55"/>
      <c r="B275" s="69"/>
      <c r="D275" s="1"/>
      <c r="E275" s="49"/>
      <c r="F275" s="49"/>
      <c r="G275" s="49"/>
      <c r="H275" s="49"/>
      <c r="I275" s="49"/>
      <c r="J275" s="49"/>
      <c r="K275" s="49"/>
      <c r="L275" s="49"/>
      <c r="M275" s="49"/>
      <c r="N275" s="49"/>
      <c r="O275" s="49"/>
      <c r="P275" s="49"/>
      <c r="Q275" s="49"/>
      <c r="R275" s="49"/>
      <c r="S275" s="49"/>
      <c r="T275" s="138"/>
      <c r="U275" s="138"/>
      <c r="V275" s="138"/>
      <c r="W275" s="139"/>
      <c r="X275" s="49"/>
      <c r="Y275" s="141"/>
      <c r="Z275" s="141"/>
      <c r="AA275" s="141"/>
      <c r="AB275" s="141"/>
      <c r="AC275" s="141"/>
      <c r="AD275" s="141"/>
      <c r="AE275" s="139"/>
      <c r="AF275" s="141"/>
      <c r="AG275" s="49"/>
      <c r="AH275" s="49"/>
      <c r="AI275" s="50"/>
      <c r="AJ275" s="51"/>
      <c r="AK275" s="51"/>
      <c r="AL275" s="51"/>
      <c r="AM275" s="51"/>
      <c r="AN275" s="109"/>
      <c r="AO275" s="34"/>
    </row>
    <row r="276" spans="1:41" ht="15.75" customHeight="1">
      <c r="A276" s="55"/>
      <c r="B276" s="69"/>
      <c r="E276" s="49"/>
      <c r="F276" s="49"/>
      <c r="G276" s="49"/>
      <c r="H276" s="49"/>
      <c r="I276" s="49"/>
      <c r="J276" s="49"/>
      <c r="K276" s="49"/>
      <c r="L276" s="49"/>
      <c r="M276" s="49"/>
      <c r="N276" s="49"/>
      <c r="O276" s="49"/>
      <c r="P276" s="49"/>
      <c r="Q276" s="49"/>
      <c r="R276" s="49"/>
      <c r="S276" s="49"/>
      <c r="T276" s="139"/>
      <c r="U276" s="139"/>
      <c r="V276" s="139"/>
      <c r="W276" s="139"/>
      <c r="X276" s="49"/>
      <c r="Y276" s="139"/>
      <c r="Z276" s="139"/>
      <c r="AA276" s="139"/>
      <c r="AB276" s="139"/>
      <c r="AC276" s="139"/>
      <c r="AD276" s="139"/>
      <c r="AE276" s="139"/>
      <c r="AF276" s="139"/>
      <c r="AG276" s="49"/>
      <c r="AH276" s="49"/>
      <c r="AI276" s="49"/>
      <c r="AJ276" s="49"/>
      <c r="AK276" s="49"/>
      <c r="AL276" s="49"/>
      <c r="AM276" s="49"/>
      <c r="AN276" s="109"/>
      <c r="AO276" s="34"/>
    </row>
    <row r="277" spans="1:41" ht="15.75" customHeight="1">
      <c r="A277" s="55"/>
      <c r="B277" s="69"/>
      <c r="D277" s="1"/>
      <c r="E277" s="51"/>
      <c r="F277" s="51"/>
      <c r="G277" s="51"/>
      <c r="H277" s="51"/>
      <c r="I277" s="51"/>
      <c r="J277" s="51"/>
      <c r="K277" s="51"/>
      <c r="L277" s="51"/>
      <c r="M277" s="51"/>
      <c r="N277" s="51"/>
      <c r="O277" s="51"/>
      <c r="P277" s="51"/>
      <c r="Q277" s="51"/>
      <c r="R277" s="51"/>
      <c r="S277" s="51"/>
      <c r="T277" s="52"/>
      <c r="U277" s="52"/>
      <c r="V277" s="52"/>
      <c r="W277" s="52"/>
      <c r="X277" s="51"/>
      <c r="Y277" s="52"/>
      <c r="Z277" s="52"/>
      <c r="AA277" s="52"/>
      <c r="AB277" s="52"/>
      <c r="AC277" s="52"/>
      <c r="AD277" s="52"/>
      <c r="AE277" s="52"/>
      <c r="AF277" s="52"/>
      <c r="AG277" s="51"/>
      <c r="AH277" s="51"/>
      <c r="AI277" s="50"/>
      <c r="AJ277" s="51"/>
      <c r="AK277" s="51"/>
      <c r="AL277" s="51"/>
      <c r="AM277" s="51"/>
      <c r="AN277" s="109"/>
      <c r="AO277" s="33"/>
    </row>
    <row r="278" spans="1:40" s="46" customFormat="1" ht="15.75">
      <c r="A278" s="180"/>
      <c r="B278" s="181"/>
      <c r="C278" s="45"/>
      <c r="D278" s="44"/>
      <c r="E278" s="53"/>
      <c r="F278" s="53"/>
      <c r="G278" s="53"/>
      <c r="H278" s="53"/>
      <c r="I278" s="53"/>
      <c r="J278" s="53"/>
      <c r="K278" s="53"/>
      <c r="L278" s="53"/>
      <c r="M278" s="53"/>
      <c r="N278" s="53"/>
      <c r="O278" s="53"/>
      <c r="P278" s="53"/>
      <c r="Q278" s="53"/>
      <c r="R278" s="53"/>
      <c r="S278" s="53"/>
      <c r="T278" s="140"/>
      <c r="U278" s="140"/>
      <c r="V278" s="140"/>
      <c r="W278" s="140"/>
      <c r="X278" s="53"/>
      <c r="Y278" s="140"/>
      <c r="Z278" s="140"/>
      <c r="AA278" s="140"/>
      <c r="AB278" s="140"/>
      <c r="AC278" s="140"/>
      <c r="AD278" s="140"/>
      <c r="AE278" s="140"/>
      <c r="AF278" s="140"/>
      <c r="AG278" s="53"/>
      <c r="AH278" s="53"/>
      <c r="AI278" s="52"/>
      <c r="AJ278" s="54"/>
      <c r="AK278" s="54"/>
      <c r="AL278" s="54"/>
      <c r="AM278" s="54"/>
      <c r="AN278" s="110"/>
    </row>
    <row r="279" spans="1:40" ht="15.75">
      <c r="A279" s="55"/>
      <c r="B279" s="69"/>
      <c r="E279" s="51"/>
      <c r="F279" s="51"/>
      <c r="G279" s="51"/>
      <c r="H279" s="51"/>
      <c r="I279" s="51"/>
      <c r="J279" s="51"/>
      <c r="K279" s="51"/>
      <c r="L279" s="51"/>
      <c r="M279" s="51"/>
      <c r="N279" s="51"/>
      <c r="O279" s="51"/>
      <c r="P279" s="51"/>
      <c r="Q279" s="51"/>
      <c r="R279" s="51"/>
      <c r="S279" s="51"/>
      <c r="T279" s="52"/>
      <c r="U279" s="52"/>
      <c r="V279" s="52"/>
      <c r="W279" s="52"/>
      <c r="X279" s="51"/>
      <c r="Y279" s="52"/>
      <c r="Z279" s="143"/>
      <c r="AA279" s="52"/>
      <c r="AB279" s="52"/>
      <c r="AC279" s="52"/>
      <c r="AD279" s="143"/>
      <c r="AE279" s="143"/>
      <c r="AF279" s="143"/>
      <c r="AG279" s="51"/>
      <c r="AH279" s="51"/>
      <c r="AI279" s="48"/>
      <c r="AJ279" s="51"/>
      <c r="AK279" s="51"/>
      <c r="AL279" s="51"/>
      <c r="AM279" s="51"/>
      <c r="AN279" s="48"/>
    </row>
    <row r="280" spans="1:40" ht="15.75">
      <c r="A280" s="55"/>
      <c r="B280" s="69"/>
      <c r="E280" s="51"/>
      <c r="F280" s="51"/>
      <c r="G280" s="51"/>
      <c r="H280" s="51"/>
      <c r="I280" s="51"/>
      <c r="J280" s="51"/>
      <c r="K280" s="51"/>
      <c r="L280" s="51"/>
      <c r="M280" s="51"/>
      <c r="N280" s="51"/>
      <c r="O280" s="51"/>
      <c r="P280" s="51"/>
      <c r="Q280" s="51"/>
      <c r="R280" s="51"/>
      <c r="S280" s="51"/>
      <c r="T280" s="52"/>
      <c r="U280" s="52"/>
      <c r="V280" s="52"/>
      <c r="W280" s="52"/>
      <c r="X280" s="51"/>
      <c r="Y280" s="143"/>
      <c r="Z280" s="143"/>
      <c r="AA280" s="143"/>
      <c r="AB280" s="52"/>
      <c r="AC280" s="52"/>
      <c r="AD280" s="143"/>
      <c r="AE280" s="143"/>
      <c r="AF280" s="143"/>
      <c r="AG280" s="51"/>
      <c r="AH280" s="51"/>
      <c r="AI280" s="50"/>
      <c r="AJ280" s="51"/>
      <c r="AK280" s="51"/>
      <c r="AL280" s="51"/>
      <c r="AM280" s="51"/>
      <c r="AN280" s="48"/>
    </row>
    <row r="281" spans="2:40" ht="15.75">
      <c r="B281" s="69"/>
      <c r="E281" s="51"/>
      <c r="F281" s="51"/>
      <c r="G281" s="51"/>
      <c r="H281" s="51"/>
      <c r="I281" s="51"/>
      <c r="J281" s="51"/>
      <c r="K281" s="51"/>
      <c r="L281" s="51"/>
      <c r="M281" s="51"/>
      <c r="N281" s="51"/>
      <c r="O281" s="51"/>
      <c r="P281" s="51"/>
      <c r="Q281" s="51"/>
      <c r="R281" s="51"/>
      <c r="S281" s="51"/>
      <c r="T281" s="52"/>
      <c r="U281" s="52"/>
      <c r="V281" s="52"/>
      <c r="W281" s="52"/>
      <c r="X281" s="51"/>
      <c r="Y281" s="52"/>
      <c r="Z281" s="52"/>
      <c r="AA281" s="52"/>
      <c r="AB281" s="52"/>
      <c r="AC281" s="52"/>
      <c r="AD281" s="143"/>
      <c r="AE281" s="143"/>
      <c r="AF281" s="143"/>
      <c r="AG281" s="51"/>
      <c r="AH281" s="51"/>
      <c r="AI281" s="50"/>
      <c r="AJ281" s="51"/>
      <c r="AK281" s="51"/>
      <c r="AL281" s="51"/>
      <c r="AM281" s="51"/>
      <c r="AN281" s="48"/>
    </row>
    <row r="282" spans="1:40" ht="15.75">
      <c r="A282" s="1"/>
      <c r="B282" s="69"/>
      <c r="E282" s="48"/>
      <c r="F282" s="48"/>
      <c r="G282" s="48"/>
      <c r="H282" s="48"/>
      <c r="I282" s="48"/>
      <c r="J282" s="48"/>
      <c r="K282" s="48"/>
      <c r="L282" s="48"/>
      <c r="M282" s="48"/>
      <c r="N282" s="48"/>
      <c r="O282" s="48"/>
      <c r="P282" s="48"/>
      <c r="Q282" s="48"/>
      <c r="R282" s="48"/>
      <c r="S282" s="48"/>
      <c r="T282" s="140"/>
      <c r="U282" s="140"/>
      <c r="V282" s="140"/>
      <c r="W282" s="140"/>
      <c r="X282" s="48"/>
      <c r="Y282" s="143"/>
      <c r="Z282" s="143"/>
      <c r="AA282" s="143"/>
      <c r="AB282" s="53"/>
      <c r="AC282" s="53"/>
      <c r="AD282" s="53"/>
      <c r="AE282" s="53"/>
      <c r="AF282" s="53"/>
      <c r="AG282" s="48"/>
      <c r="AH282" s="48"/>
      <c r="AI282" s="50"/>
      <c r="AJ282" s="51"/>
      <c r="AK282" s="51"/>
      <c r="AL282" s="51"/>
      <c r="AM282" s="51"/>
      <c r="AN282" s="48"/>
    </row>
    <row r="283" spans="1:40" ht="15.75">
      <c r="A283" s="1"/>
      <c r="B283" s="67"/>
      <c r="E283" s="51"/>
      <c r="F283" s="51"/>
      <c r="G283" s="51"/>
      <c r="H283" s="51"/>
      <c r="I283" s="51"/>
      <c r="J283" s="51"/>
      <c r="K283" s="51"/>
      <c r="L283" s="51"/>
      <c r="M283" s="51"/>
      <c r="N283" s="51"/>
      <c r="O283" s="51"/>
      <c r="P283" s="51"/>
      <c r="Q283" s="51"/>
      <c r="R283" s="51"/>
      <c r="S283" s="51"/>
      <c r="T283" s="52"/>
      <c r="U283" s="52"/>
      <c r="V283" s="52"/>
      <c r="W283" s="52"/>
      <c r="X283" s="51"/>
      <c r="Y283" s="52"/>
      <c r="Z283" s="52"/>
      <c r="AA283" s="52"/>
      <c r="AB283" s="54"/>
      <c r="AC283" s="54"/>
      <c r="AD283" s="54"/>
      <c r="AE283" s="54"/>
      <c r="AF283" s="54"/>
      <c r="AG283" s="51"/>
      <c r="AH283" s="51"/>
      <c r="AI283" s="50"/>
      <c r="AJ283" s="51"/>
      <c r="AK283" s="51"/>
      <c r="AL283" s="51"/>
      <c r="AM283" s="51"/>
      <c r="AN283" s="48"/>
    </row>
    <row r="284" spans="20:32" ht="15.75">
      <c r="T284" s="142"/>
      <c r="U284" s="142"/>
      <c r="V284" s="142"/>
      <c r="W284" s="142"/>
      <c r="Y284" s="142"/>
      <c r="Z284" s="142"/>
      <c r="AA284" s="142"/>
      <c r="AB284" s="44"/>
      <c r="AC284" s="44"/>
      <c r="AD284" s="44"/>
      <c r="AE284" s="44"/>
      <c r="AF284" s="44"/>
    </row>
    <row r="285" spans="20:22" ht="15.75">
      <c r="T285" s="149"/>
      <c r="U285" s="149"/>
      <c r="V285" s="149"/>
    </row>
    <row r="288" spans="1:40" ht="15.75">
      <c r="A288" s="1"/>
      <c r="E288" s="30"/>
      <c r="F288" s="30"/>
      <c r="G288" s="30"/>
      <c r="H288" s="30"/>
      <c r="I288" s="30"/>
      <c r="J288" s="30"/>
      <c r="K288" s="30"/>
      <c r="L288" s="30"/>
      <c r="M288" s="30"/>
      <c r="N288" s="30"/>
      <c r="O288" s="30"/>
      <c r="P288" s="30"/>
      <c r="Q288" s="30"/>
      <c r="R288" s="30"/>
      <c r="S288" s="30"/>
      <c r="T288" s="30"/>
      <c r="U288" s="30"/>
      <c r="V288" s="30"/>
      <c r="W288" s="30"/>
      <c r="X288" s="30"/>
      <c r="Y288" s="30"/>
      <c r="Z288" s="30"/>
      <c r="AA288" s="30"/>
      <c r="AB288" s="30"/>
      <c r="AC288" s="30"/>
      <c r="AD288" s="30"/>
      <c r="AE288" s="30"/>
      <c r="AF288" s="30"/>
      <c r="AG288" s="30"/>
      <c r="AH288" s="30"/>
      <c r="AI288" s="29"/>
      <c r="AJ288" s="30"/>
      <c r="AK288" s="30"/>
      <c r="AL288" s="30"/>
      <c r="AM288" s="30"/>
      <c r="AN288" s="29"/>
    </row>
    <row r="289" spans="1:40" ht="15.75">
      <c r="A289" s="1"/>
      <c r="E289" s="30"/>
      <c r="F289" s="30"/>
      <c r="G289" s="30"/>
      <c r="H289" s="30"/>
      <c r="I289" s="30"/>
      <c r="J289" s="30"/>
      <c r="K289" s="30"/>
      <c r="L289" s="30"/>
      <c r="M289" s="30"/>
      <c r="N289" s="30"/>
      <c r="O289" s="30"/>
      <c r="P289" s="30"/>
      <c r="Q289" s="30"/>
      <c r="R289" s="30"/>
      <c r="S289" s="30"/>
      <c r="T289" s="30"/>
      <c r="U289" s="30"/>
      <c r="V289" s="30"/>
      <c r="W289" s="30"/>
      <c r="X289" s="30"/>
      <c r="Y289" s="30"/>
      <c r="Z289" s="30"/>
      <c r="AA289" s="30"/>
      <c r="AB289" s="30"/>
      <c r="AC289" s="30"/>
      <c r="AD289" s="30"/>
      <c r="AE289" s="30"/>
      <c r="AF289" s="30"/>
      <c r="AG289" s="30"/>
      <c r="AH289" s="30"/>
      <c r="AI289" s="29"/>
      <c r="AJ289" s="30"/>
      <c r="AK289" s="30"/>
      <c r="AL289" s="30"/>
      <c r="AM289" s="30"/>
      <c r="AN289" s="29"/>
    </row>
    <row r="290" spans="1:40" ht="15.75">
      <c r="A290" s="1"/>
      <c r="E290" s="30"/>
      <c r="F290" s="30"/>
      <c r="G290" s="30"/>
      <c r="H290" s="30"/>
      <c r="I290" s="30"/>
      <c r="J290" s="30"/>
      <c r="K290" s="30"/>
      <c r="L290" s="30"/>
      <c r="M290" s="30"/>
      <c r="N290" s="30"/>
      <c r="O290" s="30"/>
      <c r="P290" s="30"/>
      <c r="Q290" s="30"/>
      <c r="R290" s="30"/>
      <c r="S290" s="30"/>
      <c r="T290" s="30"/>
      <c r="U290" s="30"/>
      <c r="V290" s="30"/>
      <c r="W290" s="30"/>
      <c r="X290" s="30"/>
      <c r="Y290" s="30"/>
      <c r="Z290" s="30"/>
      <c r="AA290" s="30"/>
      <c r="AB290" s="30"/>
      <c r="AC290" s="30"/>
      <c r="AD290" s="30"/>
      <c r="AE290" s="30"/>
      <c r="AF290" s="30"/>
      <c r="AG290" s="30"/>
      <c r="AH290" s="30"/>
      <c r="AI290" s="29"/>
      <c r="AJ290" s="30"/>
      <c r="AK290" s="30"/>
      <c r="AL290" s="30"/>
      <c r="AM290" s="30"/>
      <c r="AN290" s="29"/>
    </row>
    <row r="291" spans="1:40" ht="15.75">
      <c r="A291" s="1"/>
      <c r="E291" s="30"/>
      <c r="F291" s="30"/>
      <c r="G291" s="30"/>
      <c r="H291" s="30"/>
      <c r="I291" s="30"/>
      <c r="J291" s="30"/>
      <c r="K291" s="30"/>
      <c r="L291" s="30"/>
      <c r="M291" s="30"/>
      <c r="N291" s="30"/>
      <c r="O291" s="30"/>
      <c r="P291" s="30"/>
      <c r="Q291" s="30"/>
      <c r="R291" s="30"/>
      <c r="S291" s="30"/>
      <c r="T291" s="30"/>
      <c r="U291" s="30"/>
      <c r="V291" s="30"/>
      <c r="W291" s="30"/>
      <c r="X291" s="30"/>
      <c r="Y291" s="30"/>
      <c r="Z291" s="30"/>
      <c r="AA291" s="30"/>
      <c r="AB291" s="30"/>
      <c r="AC291" s="30"/>
      <c r="AD291" s="30"/>
      <c r="AE291" s="30"/>
      <c r="AF291" s="30"/>
      <c r="AG291" s="30"/>
      <c r="AH291" s="30"/>
      <c r="AI291" s="29"/>
      <c r="AJ291" s="30"/>
      <c r="AK291" s="30"/>
      <c r="AL291" s="30"/>
      <c r="AM291" s="30"/>
      <c r="AN291" s="29"/>
    </row>
    <row r="292" spans="1:40" ht="15.75">
      <c r="A292" s="1"/>
      <c r="B292" s="105"/>
      <c r="E292" s="30"/>
      <c r="F292" s="30"/>
      <c r="G292" s="30"/>
      <c r="H292" s="30"/>
      <c r="I292" s="30"/>
      <c r="J292" s="30"/>
      <c r="K292" s="30"/>
      <c r="L292" s="30"/>
      <c r="M292" s="30"/>
      <c r="N292" s="30"/>
      <c r="O292" s="30"/>
      <c r="P292" s="30"/>
      <c r="Q292" s="30"/>
      <c r="R292" s="30"/>
      <c r="S292" s="30"/>
      <c r="T292" s="30"/>
      <c r="U292" s="30"/>
      <c r="V292" s="30"/>
      <c r="W292" s="30"/>
      <c r="X292" s="30"/>
      <c r="Y292" s="30"/>
      <c r="Z292" s="30"/>
      <c r="AA292" s="30"/>
      <c r="AB292" s="30"/>
      <c r="AC292" s="30"/>
      <c r="AD292" s="30"/>
      <c r="AE292" s="30"/>
      <c r="AF292" s="30"/>
      <c r="AG292" s="30"/>
      <c r="AH292" s="30"/>
      <c r="AI292" s="29"/>
      <c r="AJ292" s="30"/>
      <c r="AK292" s="30"/>
      <c r="AL292" s="30"/>
      <c r="AM292" s="30"/>
      <c r="AN292" s="29"/>
    </row>
    <row r="293" spans="1:40" ht="15.75">
      <c r="A293" s="1"/>
      <c r="E293" s="30"/>
      <c r="F293" s="30"/>
      <c r="G293" s="30"/>
      <c r="H293" s="30"/>
      <c r="I293" s="30"/>
      <c r="J293" s="30"/>
      <c r="K293" s="30"/>
      <c r="L293" s="30"/>
      <c r="M293" s="30"/>
      <c r="N293" s="30"/>
      <c r="O293" s="30"/>
      <c r="P293" s="30"/>
      <c r="Q293" s="30"/>
      <c r="R293" s="30"/>
      <c r="S293" s="30"/>
      <c r="T293" s="30"/>
      <c r="U293" s="30"/>
      <c r="V293" s="30"/>
      <c r="W293" s="30"/>
      <c r="X293" s="30"/>
      <c r="Y293" s="30"/>
      <c r="Z293" s="30"/>
      <c r="AA293" s="30"/>
      <c r="AB293" s="30"/>
      <c r="AC293" s="30"/>
      <c r="AD293" s="30"/>
      <c r="AE293" s="30"/>
      <c r="AF293" s="30"/>
      <c r="AG293" s="30"/>
      <c r="AH293" s="30"/>
      <c r="AI293" s="29"/>
      <c r="AJ293" s="30"/>
      <c r="AK293" s="30"/>
      <c r="AL293" s="30"/>
      <c r="AM293" s="30"/>
      <c r="AN293" s="29"/>
    </row>
  </sheetData>
  <sheetProtection/>
  <autoFilter ref="A15:AO283"/>
  <mergeCells count="35">
    <mergeCell ref="E13:S13"/>
    <mergeCell ref="B24:AC24"/>
    <mergeCell ref="P7:S7"/>
    <mergeCell ref="B13:B15"/>
    <mergeCell ref="C13:C15"/>
    <mergeCell ref="D13:D15"/>
    <mergeCell ref="E11:AN11"/>
    <mergeCell ref="AN14:AN15"/>
    <mergeCell ref="A10:S10"/>
    <mergeCell ref="O14:S14"/>
    <mergeCell ref="E14:I14"/>
    <mergeCell ref="A44:A46"/>
    <mergeCell ref="C44:C46"/>
    <mergeCell ref="A25:A28"/>
    <mergeCell ref="A36:A37"/>
    <mergeCell ref="C36:C37"/>
    <mergeCell ref="C25:C28"/>
    <mergeCell ref="AJ9:AM9"/>
    <mergeCell ref="Y14:AC14"/>
    <mergeCell ref="AI14:AM14"/>
    <mergeCell ref="T14:X14"/>
    <mergeCell ref="B18:AC18"/>
    <mergeCell ref="AJ8:AM8"/>
    <mergeCell ref="A17:AC17"/>
    <mergeCell ref="J14:N14"/>
    <mergeCell ref="A13:A15"/>
    <mergeCell ref="AD14:AH14"/>
    <mergeCell ref="B97:AC97"/>
    <mergeCell ref="B220:AC220"/>
    <mergeCell ref="C49:C50"/>
    <mergeCell ref="A51:A52"/>
    <mergeCell ref="C51:C52"/>
    <mergeCell ref="A58:A59"/>
    <mergeCell ref="C58:C59"/>
    <mergeCell ref="A49:A50"/>
  </mergeCells>
  <printOptions/>
  <pageMargins left="0.3937007874015748" right="0.15748031496062992" top="0.5905511811023623" bottom="0.31496062992125984" header="0.15748031496062992" footer="0.15748031496062992"/>
  <pageSetup horizontalDpi="600" verticalDpi="600" orientation="landscape" pageOrder="overThenDown" paperSize="9" scale="43" r:id="rId3"/>
  <headerFooter>
    <oddFooter>&amp;R&amp;P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mestoivanchenko.lv</dc:creator>
  <cp:keywords/>
  <dc:description/>
  <cp:lastModifiedBy>Лыткина Инна Викторовна</cp:lastModifiedBy>
  <cp:lastPrinted>2024-02-14T10:40:29Z</cp:lastPrinted>
  <dcterms:created xsi:type="dcterms:W3CDTF">2016-04-28T12:33:42Z</dcterms:created>
  <dcterms:modified xsi:type="dcterms:W3CDTF">2024-03-30T15:55:45Z</dcterms:modified>
  <cp:category/>
  <cp:version/>
  <cp:contentType/>
  <cp:contentStatus/>
</cp:coreProperties>
</file>