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25" windowWidth="7560" windowHeight="6705" activeTab="0"/>
  </bookViews>
  <sheets>
    <sheet name="Приложение1 Финансирование" sheetId="1" r:id="rId1"/>
  </sheets>
  <definedNames>
    <definedName name="_xlfn.SUMIFS" hidden="1">#NAME?</definedName>
    <definedName name="_xlnm._FilterDatabase" localSheetId="0" hidden="1">'Приложение1 Финансирование'!$A$15:$AS$261</definedName>
    <definedName name="_xlnm.Print_Titles" localSheetId="0">'Приложение1 Финансирование'!$13:$16</definedName>
    <definedName name="_xlnm.Print_Area" localSheetId="0">'Приложение1 Финансирование'!$A$1:$AN$241</definedName>
  </definedNames>
  <calcPr fullCalcOnLoad="1" fullPrecision="0"/>
</workbook>
</file>

<file path=xl/sharedStrings.xml><?xml version="1.0" encoding="utf-8"?>
<sst xmlns="http://schemas.openxmlformats.org/spreadsheetml/2006/main" count="5654" uniqueCount="530">
  <si>
    <t>Выплата ежемесячного вознаграждения за выполнение функций классного руководителя педагогическим работникам муниципальных бюджетных учреждений, реализующих общеобразовательные программы начального общего, основного общего и среднего  общего образования</t>
  </si>
  <si>
    <t>Возмещение затрат на бесплатное двухразовое питание (завтрак, обед) для обучающихся с ограниченными возможностями здоровья  в МОУ, осуществляющих реализацию образовательной программы дошкольного образования</t>
  </si>
  <si>
    <t>Обустройство и приспособление приоритетных объектов дошкольного образования, дополнительного образования детей с целью обеспечения их доступности для инвалидов</t>
  </si>
  <si>
    <t>Предоставление широкополосного доступа  к сети Интернет с использованием средств контентной фильтрации информации муниципальным образовательным учреждениям,  в том числе детям-инвалидам, находящимся на индивидуальном обучении и получающим общее образование в дистанционной форме</t>
  </si>
  <si>
    <t>Капитальный ремонт кровли ОУ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</si>
  <si>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предпринимателям, физическим лицам - производителям товаров, работ, услуг в целях возмещения затрат по предоставлению бесплатного, льготного питания обучающимся муниципальных общеобразовательных учреждений городского округа Тольятти</t>
  </si>
  <si>
    <t>Приложение  № 1</t>
  </si>
  <si>
    <t>Ответственный исполнитель</t>
  </si>
  <si>
    <t xml:space="preserve">Итого </t>
  </si>
  <si>
    <t>Всего</t>
  </si>
  <si>
    <t xml:space="preserve">Местный бюджет </t>
  </si>
  <si>
    <t xml:space="preserve">Областной бюджет </t>
  </si>
  <si>
    <t xml:space="preserve"> Федеральный бюджет </t>
  </si>
  <si>
    <t>Итого по задаче 1</t>
  </si>
  <si>
    <t>Департамент градостроительной деятельности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</si>
  <si>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</si>
  <si>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</si>
  <si>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</si>
  <si>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</si>
  <si>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</si>
  <si>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</si>
  <si>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</si>
  <si>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</si>
  <si>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</si>
  <si>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2.7</t>
  </si>
  <si>
    <t>2.8</t>
  </si>
  <si>
    <t>3</t>
  </si>
  <si>
    <t>3.1</t>
  </si>
  <si>
    <t>3.2</t>
  </si>
  <si>
    <t>3.3</t>
  </si>
  <si>
    <t>3.5.</t>
  </si>
  <si>
    <t>3.6.</t>
  </si>
  <si>
    <t>3.7.</t>
  </si>
  <si>
    <t>Организация и осуществление перевозок учащихся, связанных с учебно-воспитательным процессом</t>
  </si>
  <si>
    <t>3.8.</t>
  </si>
  <si>
    <t>3.9.</t>
  </si>
  <si>
    <t>3.10.</t>
  </si>
  <si>
    <t>3.11.</t>
  </si>
  <si>
    <t>3.12.</t>
  </si>
  <si>
    <t>Департамент образования</t>
  </si>
  <si>
    <t>3.13.</t>
  </si>
  <si>
    <t>3.14.</t>
  </si>
  <si>
    <t xml:space="preserve">Предоставление субсидий социально ориентированным некоммерческим организациям, не являющимся государственными (муниципальными) учреждениями, на осуществление ими деятельности по оказанию помощи родителям (законным представителям) воспитанников в воспитании детей, охране и укреплении их физического и психического здоровья, развитии индивидуальных способностей и необходимой коррекции нарушений их развития </t>
  </si>
  <si>
    <t>Обеспечение деятельности муниципальных казенных образовательных учреждений дополнительного профессионального образования городского округа Тольятти</t>
  </si>
  <si>
    <t>МКОУ ДПО РЦ (Департамент образования)</t>
  </si>
  <si>
    <t>Итого по задаче 4</t>
  </si>
  <si>
    <t>4.1.</t>
  </si>
  <si>
    <t>Наименование целей, задач и мероприятий муниципальной программы</t>
  </si>
  <si>
    <t>Сроки реализации</t>
  </si>
  <si>
    <t>Финансовое обеспечение реализации муниципальной программы, тыс. руб.</t>
  </si>
  <si>
    <t>Внебюджетные средства</t>
  </si>
  <si>
    <t>Итого по  задаче 3</t>
  </si>
  <si>
    <t>Выполнение муниципального задания  муниципальными дошкольными образовательными учреждениями городского округа Тольятти (далее- МДОУ)</t>
  </si>
  <si>
    <t>Выполнение муниципального задания  муниципальными  учреждениями  дополнительного образования городского округа Тольятти (далее- МОУДО)</t>
  </si>
  <si>
    <t>Выполнение муниципального задания  муниципальными общеобразовательными учреждениями городского округа Тольятти (далее- школы)</t>
  </si>
  <si>
    <t>МДОУ, находящиеся в ведомственном подчинении Департамента образования (Департамент образования)</t>
  </si>
  <si>
    <t>Школы, находящиеся в ведомственном подчинении Департамента образования (Департамент образования)</t>
  </si>
  <si>
    <t>Центр и пансионат, находящиеся в ведомственном подчинении Департамента образования (Департамент образования)</t>
  </si>
  <si>
    <t xml:space="preserve">Проектирование и строительство  здания МДОУ  в   21 квартале Автозаводского района городского округа Тольятти </t>
  </si>
  <si>
    <t xml:space="preserve">Проектирование и строительство школы в 14а квартале Автозаводского района городского округа Тольятти </t>
  </si>
  <si>
    <t>Строительство детских автогородков на территории МОУ</t>
  </si>
  <si>
    <t>МОУ, находящиеся в ведомственном подчинении Департамента образования (Департамент образования)</t>
  </si>
  <si>
    <t>МОУДО, находящиеся в ведомственном подчинении Департамента образования (Департамент образования)</t>
  </si>
  <si>
    <t>Возмещение затрат за присмотр и уход за детьми-инвалидами, детьми-сиротами и детьми, оставшимися без попечения родителей, а также за детьми с туберкулезной интоксикацией, обучающимся в МОУ, реализующих образовательную программу дошкольного образования</t>
  </si>
  <si>
    <t>4.2</t>
  </si>
  <si>
    <t>4.3</t>
  </si>
  <si>
    <t>4.5</t>
  </si>
  <si>
    <t>4.6</t>
  </si>
  <si>
    <t>4.7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</si>
  <si>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</si>
  <si>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</si>
  <si>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</si>
  <si>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</si>
  <si>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</si>
  <si>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</si>
  <si>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</si>
  <si>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</si>
  <si>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</si>
  <si>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</si>
  <si>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</si>
  <si>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</si>
  <si>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Устройство спортивных площадок на территории МОУ</t>
  </si>
  <si>
    <t xml:space="preserve">2.6 </t>
  </si>
  <si>
    <t>Обеспечение антитеррористической защищенности и безопасных условий пребывания в МОУ</t>
  </si>
  <si>
    <t>Проектирование и  приведение в соответствие с действующими техническими требованиями инженерных коммуникаций и оборудования,  повышение энергетической эффективности зданий МОУ</t>
  </si>
  <si>
    <t>5</t>
  </si>
  <si>
    <t>Оплата коммунальных услуг, содержание зданий и помещений в соответствии с требованиями технического регламента, выполнение санитарно-эпидемиологических требований и требований трудового законодательства к условиям организации рабочих мест, обучения и отдыха обучающихся, выполнение предписаний контролирующих органов</t>
  </si>
  <si>
    <t>Выполнение муниципального задания  муниципальными   учреждениями городского округа Тольятти, осуществляющими обеспечение образовательной деятельности (далее-  центр и пансионат)</t>
  </si>
  <si>
    <t>Проектирование и строительство здания объекта дошкольного образования в 17 А квартале Автозаводского района</t>
  </si>
  <si>
    <t>Городской фестиваль искусств "Творчество без границ"</t>
  </si>
  <si>
    <t>Городской праздник "Медалист"</t>
  </si>
  <si>
    <t>Научное общество учащихся городского округа  Тольятти</t>
  </si>
  <si>
    <t>Проект "Мир искусства детям"</t>
  </si>
  <si>
    <t>Городской конкурс "Инфо-мир"</t>
  </si>
  <si>
    <t>Городская Спартакиада технического творчества</t>
  </si>
  <si>
    <t>Городской фестиваль литературного творчества «Веснушки», профильная смена "Культурологический марафон"</t>
  </si>
  <si>
    <t>Городские этапы региональных конкурсов (художественной направленности)</t>
  </si>
  <si>
    <t>Городская школьная студия-лаборатория кино и телевидения</t>
  </si>
  <si>
    <t>Марафон "Академия технического творчества"</t>
  </si>
  <si>
    <t>Профильная смена технического творчества "Технополигон"</t>
  </si>
  <si>
    <t>МБОУ ДО "Планета" (Департамент образования)</t>
  </si>
  <si>
    <t>МБОУ ДО "Диалог" (Департамент образования)</t>
  </si>
  <si>
    <t>МАОУ ДПО ЦИТ (Департамент образования)</t>
  </si>
  <si>
    <t>МБОУ ДО ГЦИР (Департамент образования)</t>
  </si>
  <si>
    <t>МБОУДО "ДДЮТ" (Департамент образования)</t>
  </si>
  <si>
    <t>МБОУ ДО ГЦИР  (Департамент образования)</t>
  </si>
  <si>
    <t>МБУ детский сад № 54  (Департамент образования)</t>
  </si>
  <si>
    <t>3.1.1</t>
  </si>
  <si>
    <t>3.1.3</t>
  </si>
  <si>
    <t>3.1.9</t>
  </si>
  <si>
    <t>3.1.10</t>
  </si>
  <si>
    <t>3.1.11</t>
  </si>
  <si>
    <t>3.1.12</t>
  </si>
  <si>
    <t>3.1.13</t>
  </si>
  <si>
    <t>3.1.14</t>
  </si>
  <si>
    <t>3.1.15</t>
  </si>
  <si>
    <t>3.1.17</t>
  </si>
  <si>
    <t>3.1.18</t>
  </si>
  <si>
    <t>3.1.19</t>
  </si>
  <si>
    <t>3.1.20</t>
  </si>
  <si>
    <t>3.1.21</t>
  </si>
  <si>
    <t>Городской конкурс "Мы выбираем здоровье"</t>
  </si>
  <si>
    <t>Акция "За жизнь без барьеров"</t>
  </si>
  <si>
    <t>Акция "Учись быть пешеходом"</t>
  </si>
  <si>
    <t>Гороской конкурс "Папа, мама, я , знающая ПДД семья"</t>
  </si>
  <si>
    <t>Муниципальный этап Всероссийских спортивных соревнований школьников "Президентские состязания" и "Президентские игры"</t>
  </si>
  <si>
    <t>Городские соревнования среди команд дошкольных образовательных организаций "Веселые старты"</t>
  </si>
  <si>
    <t>Городские соревнования по спортивному ориентированию «Солнечный ориентир»</t>
  </si>
  <si>
    <t>Открытый городской фестиваль спортивных танцев  с элементами  черлидинга «Танцевальный салют»</t>
  </si>
  <si>
    <t>МБУ "Школа № 69" (Департамент образования)</t>
  </si>
  <si>
    <t>МБУ детский сад № 2 (Департамент образования)</t>
  </si>
  <si>
    <t>МБУ детский сад №  90 (Департамент образования)</t>
  </si>
  <si>
    <t>МБУ детский сад №  116 (Департамент образования)</t>
  </si>
  <si>
    <t>МБУ детский сад №  2 (Департамент образования)</t>
  </si>
  <si>
    <t>МБОУ ДО "Эдельвейс"  (Департамент образования)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</si>
  <si>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</si>
  <si>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</si>
  <si>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</si>
  <si>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</si>
  <si>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</si>
  <si>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</si>
  <si>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</si>
  <si>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</si>
  <si>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</si>
  <si>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</si>
  <si>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</si>
  <si>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</si>
  <si>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</si>
  <si>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</si>
  <si>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Городские соревнования патриотических объединений "Школа безопасности"; "Юный спасатель"</t>
  </si>
  <si>
    <t>Профильная смена "Защитники Отечества"</t>
  </si>
  <si>
    <t xml:space="preserve">Поисково-исследовательская экспедиция "Наш Тольятти - моя малая Родина" </t>
  </si>
  <si>
    <t xml:space="preserve">Месячник военно-патриотической работы </t>
  </si>
  <si>
    <t>Городские соревнования по пулевой и кроссовой стрельбе</t>
  </si>
  <si>
    <t>Профильная смена органов ученического самоуправления</t>
  </si>
  <si>
    <t>Городской фестиваль дружбы народов Поволжья</t>
  </si>
  <si>
    <t>Мероприятия с городами-побратимами</t>
  </si>
  <si>
    <t>Городской конкурс волонтерских объединений "Спешите делать добро"</t>
  </si>
  <si>
    <t>Военно-спортивная игра "Зарница"</t>
  </si>
  <si>
    <t>Профильная смена активистов школьных музеев</t>
  </si>
  <si>
    <t>МБОУ ДО ДМЦ  (Департамент образования)</t>
  </si>
  <si>
    <t>МБОУДО "Гранит"  (Департамент образования)</t>
  </si>
  <si>
    <t>МБОУ ДО "Диалог"  (Департамент образования)</t>
  </si>
  <si>
    <t>МБУ "Школа № 32"  (Департамент образования)</t>
  </si>
  <si>
    <t>МБУ "Школа № 91"  (Департамент образования)</t>
  </si>
  <si>
    <t>МБУ "Школа № 47"  (Департамент образования)</t>
  </si>
  <si>
    <t>МБУ "Школа № 93"  (Департамент образования)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</si>
  <si>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</si>
  <si>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</si>
  <si>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</si>
  <si>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</si>
  <si>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</si>
  <si>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</si>
  <si>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</si>
  <si>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</si>
  <si>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</si>
  <si>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3.3.10</t>
  </si>
  <si>
    <t>3.3.11</t>
  </si>
  <si>
    <t>3.3.12</t>
  </si>
  <si>
    <t>3.3.13</t>
  </si>
  <si>
    <t>3.3.14</t>
  </si>
  <si>
    <t>3.3.15</t>
  </si>
  <si>
    <t>Городской конкурс "Мама, папа, я -новогодняя семья"</t>
  </si>
  <si>
    <t>3.4.1</t>
  </si>
  <si>
    <t>3.4.2</t>
  </si>
  <si>
    <t>3.4.3</t>
  </si>
  <si>
    <t>3.4.4</t>
  </si>
  <si>
    <t>3.4</t>
  </si>
  <si>
    <t>Городской праздник "День учителя"</t>
  </si>
  <si>
    <t>Городские конкурсы профессионального мастерства педагогических работников</t>
  </si>
  <si>
    <t>Августовская педагогическая конференция</t>
  </si>
  <si>
    <t>Городской конкурс "Детский сад года"</t>
  </si>
  <si>
    <t>4.1.1</t>
  </si>
  <si>
    <t>4.1.2</t>
  </si>
  <si>
    <t>4.1.3</t>
  </si>
  <si>
    <t>4.1.4</t>
  </si>
  <si>
    <t>Проведение муниципального этапа и участие в организации и проведении регионального этапа Всероссийской предметной олимпиады школьников</t>
  </si>
  <si>
    <t>Городская легкоатлетическая эстафета, посвященная Дню Победы</t>
  </si>
  <si>
    <t>Цикл мероприятий по правовому и информационному просвещению семьи: родителей (законных представителей) и обучающихся:</t>
  </si>
  <si>
    <t>Цикл мероприятий по совершенствованию учительского корпуса:</t>
  </si>
  <si>
    <t>Проведение городского этапа  и участие в организации и проведении областного этапа   конкурс-фестиваль "Безопасное колесо"</t>
  </si>
  <si>
    <t>Городские этапы региональных конкурсов (патриотической направленности)</t>
  </si>
  <si>
    <t>Цикл мероприятий по формированию здорового образа жизни обучающихся:</t>
  </si>
  <si>
    <t xml:space="preserve"> Цикл  мероприятий по патриотическому воспитанию детей и молодежи:</t>
  </si>
  <si>
    <t>Строительство общеобразовательной школы на 1600 мест, расположенной по адресу: Самарская область, г. Тольятти, Автозаводский район, квартал 20</t>
  </si>
  <si>
    <t>Предоставление субсидий социально ориентированным некоммерческим организациям , не являющимсягосударственными (муниципальными) учреждениями, на проведение ими  мероприятий по энергосбережению и  повышение энергетической эффективности зданий (помещений)</t>
  </si>
  <si>
    <t>2.3.1</t>
  </si>
  <si>
    <t>2.3.2</t>
  </si>
  <si>
    <t>3.1.22</t>
  </si>
  <si>
    <t>Городская акция "Неделя семейного чтения"</t>
  </si>
  <si>
    <t>МБУ детский сад № 56  (Департамент образования)</t>
  </si>
  <si>
    <t>3.2.15</t>
  </si>
  <si>
    <t>Спортивные соревнования "Семейная спартакиада" среди муниципальных образовательных учреждений</t>
  </si>
  <si>
    <t>3.1.23</t>
  </si>
  <si>
    <t>МБУ детский сад № 33  (Департамент образования)</t>
  </si>
  <si>
    <t>Городской конкурс по творческому моделированию "Конструкторские идеи"</t>
  </si>
  <si>
    <t>3.2.16</t>
  </si>
  <si>
    <t>МБУ детский сад №  81 (Департамент образования)</t>
  </si>
  <si>
    <t>Городской фестиваль "Профи-дебют"</t>
  </si>
  <si>
    <t>МБОУДО "ДДЮТ", МБОУДО ДТДМ, МБОУ ДО "Планета", МБОУ ДО "Свежий ветер", МБОУ ДО "Родник", МБОУ ДО "Мечта" (Департамент образования)</t>
  </si>
  <si>
    <t>3.1.25</t>
  </si>
  <si>
    <t>МБОУДО "ДДЮТ", МБОУДО ДТДМ, МБОУ ДО "Планета", МБОУ ДО ГЦИР (Департамент образования)</t>
  </si>
  <si>
    <t>3.1.26</t>
  </si>
  <si>
    <t>МБУ "Школа № 16", МБУ "Школа № 70" (Департамент образования)</t>
  </si>
  <si>
    <t>3.2.17</t>
  </si>
  <si>
    <t>МБУ "Школа № 16" (Департамент образования)</t>
  </si>
  <si>
    <t>Спартакиада детей с ограниченными возможностями здоровья</t>
  </si>
  <si>
    <t>3.3.16</t>
  </si>
  <si>
    <t>Военно-спортивная игра "Зарница Поволжья"</t>
  </si>
  <si>
    <t>Городской конкурс "Лучшее детское объединение"</t>
  </si>
  <si>
    <t>МБУ "Школа № 47", МБОУ ДО ДМЦ (Департамент образования)</t>
  </si>
  <si>
    <t>Осуществление ежемесячной денежной выплаты в размере 5000 (пять тысяч) рублей  молодым, в возрасте не старше 30 лет, педагогическим работникам, принятым на работу по трудовому договору по педагогической специальности, отнесенной к профессиональной квалификационной группе должностей педагогических работников, утвержденной Приказом Министерства здравоохранения и социального развития Российской Федерации от 05.05.2008 N 216н "Об утверждении профессиональных квалификационных групп должностей работников образования" (далее - педагогическая специальность) в муниципальное бюджетное общеобразовательное учреждение и муниципальное бюджетное дошкольное образовательное учреждение, муниципальное автономное дошкольное образовательное учреждение, являющееся основным местом их работы, в течение года после окончания ими высшего или среднего специального учебного заведения по направлению подготовки "Образование и педагогика" или в области, соответствующей преподаваемому предмету</t>
  </si>
  <si>
    <t>Предоставление субсидий социально ориентированным некоммерческим организациям, не являющимся государственными (муниципальными) учреждениями, на осуществление ими уставной деятельности в сфере  дошкольного образования на территории городского округа Тольятти</t>
  </si>
  <si>
    <t>№
п/п</t>
  </si>
  <si>
    <t>4.8</t>
  </si>
  <si>
    <t>3.15.</t>
  </si>
  <si>
    <t>Оснащение МОУ основными средствами, материальными запасами, программным обеспечением (в т.ч. лицензиями)</t>
  </si>
  <si>
    <t>МБОУДО "ДДЮТ",
МАОУ ДПО ЦИТ,
МБУ "Школа № 94",
МБУ «Гимназия № 38» (Департамент образования)</t>
  </si>
  <si>
    <t>МАОУ ДС № 80  (Департамент образования)</t>
  </si>
  <si>
    <t>МАОУ детский сад № 27 (Департамент образования)</t>
  </si>
  <si>
    <t>МАОУ детский сад № 69   (Департамент образования)</t>
  </si>
  <si>
    <t>Проведение капитального ремонта и оснащение основными средствами и материальными запасами зданий (помещений) муниципальных образовательных учреждений, пригодных для создания дополнительных мест детям, обучающимся по основным общеобразовательным программам дошкольного образования, а также на благоустройство прилегающих к ним территорий</t>
  </si>
  <si>
    <t>Компенсации расходов по оплате жилого помещения, занимаемого по договору найма жилого помещения частного жилищного фонда, поднайма жилого помещения частного, государственного и муниципального жилищного фонда, педагогическим работникам муниципальных образовательных учреждений, находящимся в ведомственном подчинении департамента образования администрации городского округа Тольятти</t>
  </si>
  <si>
    <t>Городской конкурс чтецов "Лучики поэзии"</t>
  </si>
  <si>
    <t>МБОУДО "ДДЮТ", МБОУДО ДТДМ (Департамент образования)</t>
  </si>
  <si>
    <t>4.1.5</t>
  </si>
  <si>
    <t>4.1.6</t>
  </si>
  <si>
    <t>Фестиваль коллективов образовательных учреждений</t>
  </si>
  <si>
    <t>Спартакиада коллективов образовательных учреждений</t>
  </si>
  <si>
    <t>Профильная смена "Юные инспекторы движения"</t>
  </si>
  <si>
    <t>3.1.27</t>
  </si>
  <si>
    <t>3.3.17</t>
  </si>
  <si>
    <t>3.3.18</t>
  </si>
  <si>
    <t>Городское мероприятие "Кадетский бал"</t>
  </si>
  <si>
    <t>Участие активистов местного отделения Российского движения школьников в областных слетах, сборах, форумах</t>
  </si>
  <si>
    <t>2.12</t>
  </si>
  <si>
    <t>Осуществление ежемесячных денежных выплат в размере 3700 (Три тысячи семьсот) рублей на ставку заработной платы педагогическим работникам муниципальных образовательных организаций, реализующих общеобразовательные программы дошкольного образования в муниципальных общеобразовательных и дошкольных образовательных организациях</t>
  </si>
  <si>
    <t>Осуществление ежемесячной денежной выплаты в размере 1500 (одной тысячи пятисот) рублей на ставку заработной платы педагогическим работникам муниципальных общеобразовательных организаций, реализующих дополнительные общеобразовательные программы</t>
  </si>
  <si>
    <t>Учебные сборы учащихся 10-х классов (юношей)</t>
  </si>
  <si>
    <t>Конкурс социальных проектов "Гражданин"</t>
  </si>
  <si>
    <t>2.13</t>
  </si>
  <si>
    <t>2.14</t>
  </si>
  <si>
    <t>Приобретение, установка и ремонт спортивных, игровых, досуговых площадок, бассейнов в муниципальных учреждениях отдыха и оздоровления детей</t>
  </si>
  <si>
    <t>Замена, ремонт асфальтовых дорожек и подъездных путей в муниципальных учреждениях отдыха и оздоровления детей</t>
  </si>
  <si>
    <t>Соревнования среди дошкольных образовательных организаций "Малые спортивные игры"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</si>
  <si>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предпринимателям, а также физическим лицам - производителям услуг в целях возмещения затрат на предоставление питания обучающимся муниципальных образовательных учреждений городского округа Тольятти в период их пребывания в лагерях с дневным пребыванием детей, организованных на базе данных учреждений</t>
  </si>
  <si>
    <t>Выплата педагогическим работникам муниципальных общеобразовательных организаций, участвующим  в проведении государственной итоговой аттестации по образовательным программам основного общего и среднего общего образования, компенсации за работу по подготовке и проведению государственной итоговой аттестации</t>
  </si>
  <si>
    <t>2.15</t>
  </si>
  <si>
    <t>3.4.5</t>
  </si>
  <si>
    <t>4.1.7</t>
  </si>
  <si>
    <t>4.1.8</t>
  </si>
  <si>
    <t>4.1.9</t>
  </si>
  <si>
    <t>Психолого-педагогическая, методическая и консультативная помощь родителям (законным представителям) детей</t>
  </si>
  <si>
    <t>Подготовка управленческих команд муниципальных общеобразовательных учреждений</t>
  </si>
  <si>
    <t>Повышение квалификации педагогов в части использования ИК-технологий</t>
  </si>
  <si>
    <t>Участие в мероприятиях проекта "Под крылом Синей птицы"</t>
  </si>
  <si>
    <t>Проект "Профессия-выбор-успех":
- он-лайн уроки "ПроеКТОриЯ";
- профтестирование и профпробы в рамках проекта "Билет в будущее"</t>
  </si>
  <si>
    <t>Предоставление субсидий социально ориентированным некоммерческим организациям, не являющимся государственными (муниципальными) учреждениями, на проведение капитального ремонта и оснащение основными средствами и материальными запасами зданий (помещений), пригодных для создания дополнительных мест детям, обучающимся по основным общеобразовательным программам дошкольного образования, а также на благоустройство прилегающих к ним территорий</t>
  </si>
  <si>
    <t>Проектирование и строительство объектов образования</t>
  </si>
  <si>
    <t>4.1.10</t>
  </si>
  <si>
    <t>День воспитателя и всех дошкольных работников</t>
  </si>
  <si>
    <t>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канализации, а также проведение капитального ремонта зданий с наибольшей степенью физического износа</t>
  </si>
  <si>
    <t>Городские мероприятия, посвященные проведению Десятилетия детства (День защиты детей, День города, День знаний, проект "Выходные Тольятти")</t>
  </si>
  <si>
    <t>3.2.19</t>
  </si>
  <si>
    <t>Городское мероприятие "Туристский поход с проверкой туристских навыков" в рамках Всероссийского физкультурно-спортивного комплекса "Готов к труду и обороне"</t>
  </si>
  <si>
    <t>3.3.19</t>
  </si>
  <si>
    <t>Городской конкурс школьных музеев</t>
  </si>
  <si>
    <t>МБУ "Школа № 41" (Департамент образования)</t>
  </si>
  <si>
    <t>4.4</t>
  </si>
  <si>
    <t>План на 2027 год</t>
  </si>
  <si>
    <t>План на 2026 год</t>
  </si>
  <si>
    <t>План на 2025 год</t>
  </si>
  <si>
    <t>План на 2021 год</t>
  </si>
  <si>
    <t>План на 2022 год</t>
  </si>
  <si>
    <t>План на 2023 год</t>
  </si>
  <si>
    <t>План на 2024 год</t>
  </si>
  <si>
    <t xml:space="preserve">2021-2027 </t>
  </si>
  <si>
    <t xml:space="preserve">Федеральный бюджет </t>
  </si>
  <si>
    <t>Итого по задаче 2</t>
  </si>
  <si>
    <t>4</t>
  </si>
  <si>
    <t>Научно-практическая конференция «Старт в медицину»</t>
  </si>
  <si>
    <t>Городская интерактивная квест-игра «Погружение в профессию»</t>
  </si>
  <si>
    <t>Городская химическая квест-игра «Мир химии»</t>
  </si>
  <si>
    <t>МБУ "Гимназия № 35" (Департамент образования)</t>
  </si>
  <si>
    <t>МБУ "Школа № 32" (Департамент образования)</t>
  </si>
  <si>
    <t>3.1.29</t>
  </si>
  <si>
    <t>3.1.30</t>
  </si>
  <si>
    <t>3.1.31</t>
  </si>
  <si>
    <t>"Родительский университет"</t>
  </si>
  <si>
    <t xml:space="preserve">Городской конкурс агитбригад ЮИД, участие в областном конкурсе </t>
  </si>
  <si>
    <t>Городское прогфилактическое мероприятие "Академия ПДД"</t>
  </si>
  <si>
    <t>Городской  фестиваль детского творчества  «Талантливые дошколята»</t>
  </si>
  <si>
    <t>МАОУ ДС № 120 (Департамент образования)</t>
  </si>
  <si>
    <t>2021-2027</t>
  </si>
  <si>
    <t>Городской фестиваль "Семейные традици"</t>
  </si>
  <si>
    <t>Городской фестиваль. "Хоровод дружбы"</t>
  </si>
  <si>
    <t>МБУ д/с № 84 (Департамент образования"</t>
  </si>
  <si>
    <t>Городской конкурс "Музей для детей"</t>
  </si>
  <si>
    <t>МБУ д/с № 116 (Департамент образования)</t>
  </si>
  <si>
    <t>Городской конкурс "Легенды Жигулей"</t>
  </si>
  <si>
    <t>МБУ д/с № 48 (Депатрамент образования)</t>
  </si>
  <si>
    <t>3.3.23</t>
  </si>
  <si>
    <t>Городской экологический фестиваль  «Мини - мистер и мисс Экология»</t>
  </si>
  <si>
    <t>МБУ детские сады №  100, 104 (Департамент образования)</t>
  </si>
  <si>
    <t xml:space="preserve">Городской смотр-конкурс «Дошколята –защитники природы»  </t>
  </si>
  <si>
    <t>МБУ детский сад №  51, МАОУ детский сад № 69 (Департамент образования)</t>
  </si>
  <si>
    <t>МБУ детский сад №  73 (Департамент образования)</t>
  </si>
  <si>
    <t>Городской шахматный  турнир  "Волшебная пешка"</t>
  </si>
  <si>
    <t>Городской смотр-конкурс  по профилактике детского дорожно-транспортного травматизма "Зеленый огонек"</t>
  </si>
  <si>
    <t>Городской конкурс семейных историй «Безопасный мир»</t>
  </si>
  <si>
    <t>МБУ детский сад №  22 (Департамент образования)</t>
  </si>
  <si>
    <t>Городской конкурс по профилактике  детского дорожно-транспортного травматизма  «Безопасный перекресток»</t>
  </si>
  <si>
    <t>Городские соревнования по футболу среди дошкольных образовательных организаций</t>
  </si>
  <si>
    <t>Открытый городской музыкальный конкурс "Папа, мама, я - поющая семья"</t>
  </si>
  <si>
    <t>Окружной этап  регионального конкурса детского творчества "Талантики"</t>
  </si>
  <si>
    <t>МБУ детский сад № 52 (Департамент образования)</t>
  </si>
  <si>
    <t>МБУ детский сад № 41 (Департамент образования)</t>
  </si>
  <si>
    <t>МБОУ ДО "Гранит" (Департамент образования)</t>
  </si>
  <si>
    <t>Муниципальный этап соревнований школьных спортивных клубов</t>
  </si>
  <si>
    <t>Муниципальный этап соревнований по мини-футболу в рамках проекта "Мини-футбол в школу"</t>
  </si>
  <si>
    <t>МБОУДО "Мечта" (Департамент образования)</t>
  </si>
  <si>
    <t>МБУ "Школа № 16"  (Департамент образования)</t>
  </si>
  <si>
    <t>МБОУДО "ДДЮТ", МБОУДО ДТДМ, МБОУДО "Гранит", МБОУ ДО "Эдельвейс" (Департамент образования)</t>
  </si>
  <si>
    <t>Профильная смена "Бизнес-погружение"</t>
  </si>
  <si>
    <t>Муниципальный этап конкурса учащихся общеобразовательных организаций «Ученик года»</t>
  </si>
  <si>
    <t>Конкурс исследовательских работ «Я-исследователь», участие в конкурсе проектно-исследовательских  работ обучающихся 2-4 классов  «Старт»</t>
  </si>
  <si>
    <t>Муниципальный и региональный этапы Всероссийской открытой олимпиады школьников "Наше наследие", участие во всероссийском конкурсе</t>
  </si>
  <si>
    <t>Городской проект «Ступени успеха: экономическое образование и воспитание»</t>
  </si>
  <si>
    <t xml:space="preserve">Городская научно-практическая конференция "Первые шаги в науку", участие в областном конкурсе "Взлет" исследовательских проектов </t>
  </si>
  <si>
    <t>3.1.2</t>
  </si>
  <si>
    <t>3.1.4</t>
  </si>
  <si>
    <t>3.1.5</t>
  </si>
  <si>
    <t>3.1.6</t>
  </si>
  <si>
    <t>3.1.7</t>
  </si>
  <si>
    <t>3.1.8</t>
  </si>
  <si>
    <t>Учебно-тренировочные сборы для учащихся, ставших победителями и призерами окружного этапа всероссийской олимпиады школьников</t>
  </si>
  <si>
    <t>3.1.16</t>
  </si>
  <si>
    <t>3.1.24</t>
  </si>
  <si>
    <t>3.1.28</t>
  </si>
  <si>
    <t>3.1.32</t>
  </si>
  <si>
    <t>3.1.33</t>
  </si>
  <si>
    <t>3.1.34</t>
  </si>
  <si>
    <t>3.1.35</t>
  </si>
  <si>
    <t>3.1.36</t>
  </si>
  <si>
    <t>3.2.18</t>
  </si>
  <si>
    <t>3.2.20</t>
  </si>
  <si>
    <t>3.2.21</t>
  </si>
  <si>
    <t>3.2.22</t>
  </si>
  <si>
    <t>3.2.23</t>
  </si>
  <si>
    <t>3.2.24</t>
  </si>
  <si>
    <t>3.2.25</t>
  </si>
  <si>
    <t>3.2.26</t>
  </si>
  <si>
    <t>МБУ «Гимназия № 38» (Департамент образования)</t>
  </si>
  <si>
    <t>МБОУ ДО "Родник" (Департамент образования)</t>
  </si>
  <si>
    <t>3.1.37</t>
  </si>
  <si>
    <t>Городской фестиваль "TLT. ТехноФЕСТ"</t>
  </si>
  <si>
    <t>МБОУДО ДТДМ
(Департамент образования)</t>
  </si>
  <si>
    <t>Научно-практическая конференция «Служение Отечеству»</t>
  </si>
  <si>
    <t>МБУ "Школа № 89"  (Департамент образования)</t>
  </si>
  <si>
    <t>3.3.20</t>
  </si>
  <si>
    <t>3.3.21</t>
  </si>
  <si>
    <t>3.3.22</t>
  </si>
  <si>
    <t>3.4.6</t>
  </si>
  <si>
    <t xml:space="preserve"> Цикл мероприятий интеллектуальной, культурологической, художественно-эстетической  направленностей:</t>
  </si>
  <si>
    <t>Задача 3: Создание условий воспитательной среды, способствующей развитию талантов и способностей каждого ребенка как перспективы его успешного «социального лифта»</t>
  </si>
  <si>
    <t>–</t>
  </si>
  <si>
    <t>Задача 4: Формирование новых подходов к повышению профессиональных компетенций управленческого и педагогического персонала с учетом внедрения «национальной системы учительского роста»</t>
  </si>
  <si>
    <t>4.1.11</t>
  </si>
  <si>
    <t>Вовлечение учителей общеобразовательных организаций   в национальную систему профессионального роста педагогических работников</t>
  </si>
  <si>
    <t>4.1.12</t>
  </si>
  <si>
    <t>4.1.13</t>
  </si>
  <si>
    <t>Прохождение  педагогическими работниками  добровольной независимой оценки профессиональной квалификации</t>
  </si>
  <si>
    <t>4.1.14</t>
  </si>
  <si>
    <t>Прохождение педагогическими работниками общего образования  повышение квалификации в рамках периодической аттестации в цифровой форме с использованием информационного ресурса «Одного окна», в общем числе педагогических работников общего образования</t>
  </si>
  <si>
    <t>4.1.15</t>
  </si>
  <si>
    <t>Реализация инновационных программ и проектов муниципальных образовательных учреждений</t>
  </si>
  <si>
    <t>4.1.16</t>
  </si>
  <si>
    <t>Городской конкурс методических разработок конструкторов уроков "Событие года" (в рамках городского сетевого проекта по внедрению модели "блочно-событийные погружения")</t>
  </si>
  <si>
    <t>МКОУ ДПО РЦ
(Департамент образования)</t>
  </si>
  <si>
    <t>Задача 2: Создание материально-технических условий и обновленной образовательной среды для обеспечения деятельности муниципальных образовательных учреждений</t>
  </si>
  <si>
    <t xml:space="preserve">Проектирование и строительство объекта дошкольного образования по адресу: г.Тольятти, Автозаводский район, бульвар Цветной, дом 17, 16 квартал  </t>
  </si>
  <si>
    <t xml:space="preserve">2022-2023 </t>
  </si>
  <si>
    <t xml:space="preserve">Проектирование и строительство объекта муниципальной собственности здания детского сада №210 "Ладушки"  в микрорайоне   "Северный" Центрального района  городского округа Тольятти </t>
  </si>
  <si>
    <t>Проектирвание и строительство общеобразовательной школы на 630 мест, расположенной по адресу: Самарская область, г. Тольятти, Автозаводский район,  18 квартал, севернее жилого дома № 78 по ул.70 лет Октября"</t>
  </si>
  <si>
    <t>Проектирование и строительство пристроев к  МБУ "Детский сад № 138 "Дубравушка" по адресу: 445092, г. Тольятти, мкр. Поволжский, ул. Полевая. 20  и МАОУ Детский сад № 210 "Ладушки" по адресу: 445030, г. Тольятти, Автозаводский район, ул. Автостроителей, 19</t>
  </si>
  <si>
    <t>Цель: Обеспечение условий для повышения доступности качественного образования в городском округе Тольятти с учетом реализации национальных проектов «Образование», «Демография»</t>
  </si>
  <si>
    <t>Задача 1: Обеспечение выполнения муниципального задания муниципальными образовательными учреждениями (далее – МОУ)</t>
  </si>
  <si>
    <t xml:space="preserve">Реконструкция и технологическое присоединение к системам энергообеспечения объектов отрасли "Образование" </t>
  </si>
  <si>
    <t>Технические обследования, подготовка проектно-сметной документации с прохождением госэкспертизы на капитальный ремонт зданий, в том числе  инженерных куммуникаций</t>
  </si>
  <si>
    <t>2.3.3</t>
  </si>
  <si>
    <t>2.3.4</t>
  </si>
  <si>
    <t>Замена оконных блоков</t>
  </si>
  <si>
    <t>2021-2022</t>
  </si>
  <si>
    <t>2.3.5</t>
  </si>
  <si>
    <t>Капитальный ремонт спортивных залов</t>
  </si>
  <si>
    <t>2.3.6</t>
  </si>
  <si>
    <t>2.3.7</t>
  </si>
  <si>
    <t>2.3.8</t>
  </si>
  <si>
    <t>2.3.9</t>
  </si>
  <si>
    <t>2.3.10</t>
  </si>
  <si>
    <t>Капитальный ремонт асфальтового покрытия на территориях ОУ</t>
  </si>
  <si>
    <t>Устройство теневых навесов на территориях ОУ</t>
  </si>
  <si>
    <t>2021-2025</t>
  </si>
  <si>
    <t>2.9</t>
  </si>
  <si>
    <t>2.10</t>
  </si>
  <si>
    <t>2.11</t>
  </si>
  <si>
    <t xml:space="preserve">2021-2022 </t>
  </si>
  <si>
    <t>Оснащение основными средствами и материальными запасами в рамках реализации мероприятий по строительству объекта: "Детский сад, расположенный по адресу Самарская область,  г. Тольятти, мкр. Северный, пригодных для создания дополнительных мест детям, обучающимся по основным общеобразовательным программам дошкольного образования</t>
  </si>
  <si>
    <t xml:space="preserve">Капитальный ремонт зданий МОУ и благоустройство прилегающей территории  (в т.ч. проектирование с получением госэкспертизы)     </t>
  </si>
  <si>
    <t xml:space="preserve">Перечень мероприятий муниципальной программы  «Развитие системы образования городского округа Тольятти на 2021-2027 годы»                 </t>
  </si>
  <si>
    <t>Капитальный ремонт бассейнов</t>
  </si>
  <si>
    <t>2.5.1</t>
  </si>
  <si>
    <t>Приобретение основных средств и инвентаря для муниципальных учреждений отдыха и оздоровления детей</t>
  </si>
  <si>
    <t>2.1.13</t>
  </si>
  <si>
    <t>Проектирование и реконструкция здания школы, расположенной по адресу: 445091, Самарская область, г. Тольятти, ул. Ингельберга, 52</t>
  </si>
  <si>
    <t>Проектирование, реконструкция и технологическое присоединение к системам энергообеспечения общеобразовательной школы по адресу: 445012 г. Тольятти, Комсомольский район, ул. Матросова, 5</t>
  </si>
  <si>
    <t>2021-2023</t>
  </si>
  <si>
    <t>Реализация мероприятий СОНКО, осуществляющими деятельность в сфере образования, способствующую реализации Программы</t>
  </si>
  <si>
    <t>3.2.27</t>
  </si>
  <si>
    <t>Городской фестиваль-конкурс дошкольных образовательных учреждений «Здоровое питание – здоровые дети»</t>
  </si>
  <si>
    <t>МАОУ детский сад №  210 (Департамент образования)</t>
  </si>
  <si>
    <t>Оснащение Центра по предупреждению детского дорожно-транспортного травматизма</t>
  </si>
  <si>
    <t>Внедрение системы непрерывного повышения профессионального мастерства педагогических работников</t>
  </si>
  <si>
    <t>Обеспечение качественного, сбалансированного питания воспитанников, организованного на базе пищеблоков муниципальных дошкольных образовательных учреждений городского округа Тольятти</t>
  </si>
  <si>
    <t>Обеспечение участия в региональных этапах конкурсов и соревнований спортивной направленности</t>
  </si>
  <si>
    <t>МБОУДО "ДДЮТ", МБОУДО ДТДМ, МБОУ ДО "Планета", МБОУ ДО "Свежий ветер", МБОУ ДО ГЦИР, МБОУ ДО "Родник", МБОУДО "Икар" (Департамент образования)</t>
  </si>
  <si>
    <t xml:space="preserve">к муниципальной программе «Развитие системы образования городского округа Тольятти на 2021-2027 годы»
</t>
  </si>
  <si>
    <t>4.9</t>
  </si>
  <si>
    <t xml:space="preserve">Ежемесячные  доплаты матерям (или другим родственникам, фактически осуществляющим уход за ребенком), находящимся в отпусках по уходу за ребенком до достижения им установленного законом возраста и состоящим в трудовых отношениях на условиях трудового договора с муниципальными образовательными учреждениями, находящимися в ведомственном подчинении департамента образования администрации городского округа Тольятти
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</si>
  <si>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предпринимателям, физическим лицам - производителям товаров, работ, услуг на организацию бесплатного горячего питания обучающихся, получающих начальное общее образование в муниципальных образовательных организациях городского округа Тольятти</t>
  </si>
  <si>
    <t>2.16</t>
  </si>
  <si>
    <t>Создание в общеобразовательных организациях условий для инклюзивного образования детей-инвалидов (в том числе на приобретение оборудования, создание универсальной безбарьерной среды, разработку проектно-сметной документации и получение положительного заключения государственной экспертизы на проектно-сметную документацию)</t>
  </si>
  <si>
    <t>МБОУДО "ДДЮТ"МБОУ ДО "Свежий ветер"МБОУ ДО "Родник"МБУ "Школа № 16" (Департамент образования)</t>
  </si>
  <si>
    <t>МАОУ детский сад № 49 (Департамент образования)</t>
  </si>
  <si>
    <t>Городская акция "Родители - За безопасное детство"</t>
  </si>
  <si>
    <t>МБОУДО "ДДЮТ", МБУ «Гимназия
№ 38» (Департамент образования)</t>
  </si>
  <si>
    <t>4.1.17</t>
  </si>
  <si>
    <t>Организация методического сопровождения окружных сетевых предметных методических объединений</t>
  </si>
  <si>
    <t>Городские соревнования среди команд дошкольных образовательных организаций «Лыжные старты»</t>
  </si>
  <si>
    <t>к постановлению администрации</t>
  </si>
  <si>
    <t>от ________________  № _____________________</t>
  </si>
  <si>
    <t>Проведение капитального  ремонта в муниципальных учреждениях отдыха и оздоровления детей, в том числе разработка проектно-сметной документации и государственная экспертиза сметной документации</t>
  </si>
  <si>
    <t>Окружной форум родителей</t>
  </si>
  <si>
    <t>Окружное родительское собрание по актуальным вопросам обучения и воспитания</t>
  </si>
  <si>
    <t>Строительство объекта "Детский сад ЛДС-2 в составе 2 этапа строительства комплекса зданий и сооружений жилищного и социального назначения</t>
  </si>
  <si>
    <t>2.17</t>
  </si>
  <si>
    <t>Развитие инфраструктуры муниципальных учреждений отдыха и оздоровления детей</t>
  </si>
  <si>
    <t>2.3.11</t>
  </si>
  <si>
    <t>2.1.14</t>
  </si>
  <si>
    <t>4.10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</si>
  <si>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организаций, формируемых за счёт поступающих в областной бюджет средств федерального бюджета</t>
  </si>
  <si>
    <t>2.3.12</t>
  </si>
  <si>
    <t>Капитальный ремонт и оснащение помещений муниципальных образовательных учреждений в целях приведения в соответствие с нормативными требованиями</t>
  </si>
  <si>
    <t>МБУ детский сад №  48 (Департамент образования)</t>
  </si>
  <si>
    <t>Проектирование и строительство объекта "Детский сад на 350 мест в микрорайоне "Калина" г. Тольятти"</t>
  </si>
  <si>
    <t>2.3.13</t>
  </si>
  <si>
    <t>Капитальный ремонт систем противопожарной защиты (АПС И СОУЭ)</t>
  </si>
  <si>
    <t>4.11</t>
  </si>
  <si>
    <t>Осуществление ежемесячных денежных выплат в размере 5000 (пять тысяч) рублей на ставку заработной платы педагогическим работникам муниципальных образовательных учреждений, реализующих общеобразовательные программы дошкольного образования в муниципальных общеобразовательных и дошкольных образовательных учреждениях</t>
  </si>
  <si>
    <t>2.1.15</t>
  </si>
  <si>
    <t xml:space="preserve">Проектирование и строительство по объекту "Детский сад, расположенный по адресу: Самарская область, г.Тольятти, Комсомольский район, мкр.Жигулевское море"  </t>
  </si>
  <si>
    <t>Оплата принятых в 2019 году обязательств</t>
  </si>
  <si>
    <t>ИТОГО по муниципальной программе без учета оплаты принятых ранее обязательств</t>
  </si>
  <si>
    <t>ИТОГО по муниципальной программе с учетом оплаты принятых ранее обязательств</t>
  </si>
  <si>
    <t>2.3.14</t>
  </si>
  <si>
    <t>2.18</t>
  </si>
  <si>
    <t>2.19</t>
  </si>
  <si>
    <t>Оснащение зданий (объектов (территорий)) муниципальных образовательных учреждений техническими средствами комплексной безопасности</t>
  </si>
  <si>
    <t>2.1.16</t>
  </si>
  <si>
    <t>Капитальный ремонт здания школы, расположенной по адресу: 445091, Самарская область, г. Тольятти, ул. Ингельберга, 52</t>
  </si>
  <si>
    <t>3.1.38</t>
  </si>
  <si>
    <t>Городской конкурс по LEGO-конструированию "Детская мастерская ЭкоРоботов"</t>
  </si>
  <si>
    <t>Оснащение оборудованием пищеблоков образовательных учреждений</t>
  </si>
  <si>
    <t>Проектирование и строительство объекта «Детский сад ЛДС-1 с инженерно-техническим обеспечением в составе 6 этапа строительства комплекса зданий и сооружений жилищного и социального назначения"</t>
  </si>
  <si>
    <t>Капитальный ремонт и благоустройство прилегающей территории находящихся в муниципальной собственности зданий учреждений образования (включая строительный контроль)</t>
  </si>
  <si>
    <t>2.20</t>
  </si>
  <si>
    <t>Приобретение, изготовление и монтаж украшений для оформления учреждений к праздничным мероприятиям</t>
  </si>
  <si>
    <t>4.12</t>
  </si>
  <si>
    <t>Осуществление ежемесячных денежных выплат в размере 6 150 (шести тысяч ста пятидесяти) рублей на ставку заработной платы педагогическим работникам муниципальных образовательных организаций, реализующих общеобразовательные программы дошкольного образования, в период с 01.10.2021 по 31.12.2021</t>
  </si>
  <si>
    <t>3.1.39</t>
  </si>
  <si>
    <t>3.1.40</t>
  </si>
  <si>
    <t>3.1.41</t>
  </si>
  <si>
    <t xml:space="preserve">2022 </t>
  </si>
  <si>
    <t>Городской конкурс по ранней профориентации детей дошкольного возраста "Радуга профессий"</t>
  </si>
  <si>
    <t>МБУ детский сад № 162 (Департамент образования)</t>
  </si>
  <si>
    <t>Городской фестиваль технического творчества дошкольных образовательных учреждений "Вместе в будущее"</t>
  </si>
  <si>
    <t>МБУ детский сад № 199 (Департамент образования)</t>
  </si>
  <si>
    <t>Профильная смена для обучающихся профильных педагогических классов</t>
  </si>
  <si>
    <t>МБУ "Гимназия № 39", МБУ "Школа № 70" (Департамент образования)</t>
  </si>
  <si>
    <t>3.2.28</t>
  </si>
  <si>
    <t>МБУ "Гимназия № 39", МАОУ детский сад № 79 (Департамент образования)</t>
  </si>
  <si>
    <t>МБУ "Гимназия № 39", МБУ детский сад № 138 (Департамент образования)</t>
  </si>
  <si>
    <t>МБОУ ДО ГЦИР, МБОУ ДО "Диалог" (Департамент образования)</t>
  </si>
  <si>
    <t>Городской конкурс по становлению у дошкольников ценностей здорового образа жизни "Здоровячок"</t>
  </si>
  <si>
    <t>МБУ детский сад № 28 (Департамент образования)</t>
  </si>
  <si>
    <t>МБОУДО "ДДЮТ", МБУ "Школа № 47" (Департамент образования)</t>
  </si>
  <si>
    <t>Выездная загородная экологическая школа</t>
  </si>
  <si>
    <t>Открытый городской фестиваль детского и юношеского творчества среди лиц с ограниченными возможностями здоровья "Красно-белый Кот"</t>
  </si>
  <si>
    <t>Оплата принятых в 2020 году обязательств</t>
  </si>
  <si>
    <t>Выплата региональному оператору
(фонд капитального ремонта)</t>
  </si>
  <si>
    <t>2.3.15</t>
  </si>
  <si>
    <t>Капитальный ремонт и (или) оснащение основными средствами и материальными запасами зданий (помещений), находящихся в муниципальной собственности, занимаемых муниципальными образовательными учреждениями, а также благоустройство прилегающей территории</t>
  </si>
  <si>
    <t>2.3.16</t>
  </si>
  <si>
    <t>Субсидии на проведение капитального ремонта пищеблоков образовательных учреждений</t>
  </si>
  <si>
    <t>4.13</t>
  </si>
  <si>
    <t>Предоставление субсидий на осуществление ежемесячных денежных выплат педагогическим работникам автономных некоммерческих организаций, реализующих  общеобразовательные программы дошкольного образования, одним из которых является орган местного самоуправления муниципального образования</t>
  </si>
  <si>
    <t>2022</t>
  </si>
  <si>
    <t>Оплата принятых в 2018 году обязательств</t>
  </si>
  <si>
    <t>4.14</t>
  </si>
  <si>
    <t>Осуществление начиная с марта 2022 года ежемесячных денежных выплат в размере 3 200 (трех тысяч двухсот) рублей на ставку заработной платы педагогическим работникам муниципальных общеобразовательных организаций, реализующих дополнительные общеобразовательные программы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</si>
</sst>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#,##0.000"/>
    <numFmt numFmtId="184" formatCode="0.000"/>
    <numFmt numFmtId="185" formatCode="0.0"/>
    <numFmt numFmtId="186" formatCode="_-* #,##0.000_р_._-;\-* #,##0.000_р_._-;_-* &quot;-&quot;??_р_._-;_-@_-"/>
    <numFmt numFmtId="187" formatCode="_-* #,##0.000_р_._-;\-* #,##0.000_р_._-;_-* &quot;-&quot;???_р_._-;_-@_-"/>
    <numFmt numFmtId="188" formatCode="#,##0.0000"/>
    <numFmt numFmtId="189" formatCode="#,##0.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  <numFmt numFmtId="195" formatCode="#,##0.000;#,##0.000;&quot;-&quot;"/>
    <numFmt numFmtId="196" formatCode="#,##0.000;#,##0.000;&quot;–&quot;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 Cyr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 Cyr"/>
      <family val="2"/>
    </font>
    <font>
      <b/>
      <sz val="12"/>
      <color rgb="FFFF0000"/>
      <name val="Times New Roman"/>
      <family val="1"/>
    </font>
    <font>
      <b/>
      <sz val="10"/>
      <color rgb="FFFF0000"/>
      <name val="Arial Cyr"/>
      <family val="0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56" applyFont="1" applyFill="1" applyAlignment="1">
      <alignment vertical="center"/>
      <protection/>
    </xf>
    <xf numFmtId="0" fontId="0" fillId="0" borderId="0" xfId="0" applyFont="1" applyFill="1" applyAlignment="1">
      <alignment/>
    </xf>
    <xf numFmtId="0" fontId="2" fillId="0" borderId="0" xfId="56" applyFont="1" applyFill="1" applyBorder="1" applyAlignment="1">
      <alignment vertical="center"/>
      <protection/>
    </xf>
    <xf numFmtId="182" fontId="2" fillId="0" borderId="0" xfId="56" applyNumberFormat="1" applyFont="1" applyFill="1" applyAlignment="1">
      <alignment vertical="center"/>
      <protection/>
    </xf>
    <xf numFmtId="0" fontId="7" fillId="0" borderId="0" xfId="56" applyFont="1" applyFill="1" applyAlignment="1">
      <alignment vertical="center"/>
      <protection/>
    </xf>
    <xf numFmtId="0" fontId="6" fillId="0" borderId="10" xfId="56" applyFont="1" applyFill="1" applyBorder="1" applyAlignment="1">
      <alignment vertical="center" wrapText="1"/>
      <protection/>
    </xf>
    <xf numFmtId="0" fontId="3" fillId="0" borderId="0" xfId="56" applyFont="1" applyFill="1" applyAlignment="1">
      <alignment horizontal="center" vertical="center"/>
      <protection/>
    </xf>
    <xf numFmtId="0" fontId="6" fillId="0" borderId="0" xfId="56" applyFont="1" applyFill="1" applyAlignment="1">
      <alignment horizontal="center" vertical="center"/>
      <protection/>
    </xf>
    <xf numFmtId="4" fontId="6" fillId="0" borderId="0" xfId="56" applyNumberFormat="1" applyFont="1" applyFill="1" applyAlignment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6" fillId="0" borderId="10" xfId="56" applyFont="1" applyFill="1" applyBorder="1" applyAlignment="1">
      <alignment horizontal="center" vertical="center" wrapText="1"/>
      <protection/>
    </xf>
    <xf numFmtId="183" fontId="3" fillId="0" borderId="11" xfId="56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6" fillId="0" borderId="11" xfId="56" applyFont="1" applyFill="1" applyBorder="1" applyAlignment="1">
      <alignment horizontal="center" vertical="center" wrapText="1"/>
      <protection/>
    </xf>
    <xf numFmtId="183" fontId="6" fillId="0" borderId="11" xfId="56" applyNumberFormat="1" applyFont="1" applyFill="1" applyBorder="1" applyAlignment="1">
      <alignment horizontal="center" vertical="center"/>
      <protection/>
    </xf>
    <xf numFmtId="0" fontId="3" fillId="0" borderId="0" xfId="56" applyFont="1" applyFill="1" applyAlignment="1">
      <alignment horizontal="left" vertical="center"/>
      <protection/>
    </xf>
    <xf numFmtId="0" fontId="6" fillId="0" borderId="0" xfId="0" applyFont="1" applyFill="1" applyAlignment="1">
      <alignment horizontal="left"/>
    </xf>
    <xf numFmtId="0" fontId="4" fillId="0" borderId="0" xfId="56" applyFont="1" applyFill="1" applyAlignment="1">
      <alignment vertical="center"/>
      <protection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vertical="top" wrapText="1"/>
    </xf>
    <xf numFmtId="183" fontId="6" fillId="0" borderId="0" xfId="56" applyNumberFormat="1" applyFont="1" applyFill="1" applyBorder="1" applyAlignment="1">
      <alignment horizontal="right" vertical="center"/>
      <protection/>
    </xf>
    <xf numFmtId="183" fontId="7" fillId="0" borderId="0" xfId="56" applyNumberFormat="1" applyFont="1" applyFill="1" applyAlignment="1">
      <alignment vertical="center"/>
      <protection/>
    </xf>
    <xf numFmtId="183" fontId="6" fillId="0" borderId="11" xfId="56" applyNumberFormat="1" applyFont="1" applyFill="1" applyBorder="1" applyAlignment="1">
      <alignment horizontal="center" vertical="center" wrapText="1"/>
      <protection/>
    </xf>
    <xf numFmtId="0" fontId="10" fillId="0" borderId="0" xfId="56" applyFont="1" applyFill="1" applyAlignment="1">
      <alignment vertical="center"/>
      <protection/>
    </xf>
    <xf numFmtId="0" fontId="7" fillId="0" borderId="0" xfId="56" applyFont="1" applyFill="1" applyAlignment="1">
      <alignment horizontal="center" vertical="center"/>
      <protection/>
    </xf>
    <xf numFmtId="183" fontId="3" fillId="0" borderId="11" xfId="56" applyNumberFormat="1" applyFont="1" applyFill="1" applyBorder="1" applyAlignment="1">
      <alignment horizontal="center" vertical="center"/>
      <protection/>
    </xf>
    <xf numFmtId="183" fontId="2" fillId="0" borderId="0" xfId="56" applyNumberFormat="1" applyFont="1" applyFill="1" applyAlignment="1">
      <alignment vertical="center"/>
      <protection/>
    </xf>
    <xf numFmtId="0" fontId="3" fillId="0" borderId="11" xfId="56" applyFont="1" applyFill="1" applyBorder="1" applyAlignment="1">
      <alignment horizontal="center" vertical="center" wrapText="1"/>
      <protection/>
    </xf>
    <xf numFmtId="0" fontId="3" fillId="0" borderId="11" xfId="56" applyFont="1" applyFill="1" applyBorder="1" applyAlignment="1">
      <alignment horizontal="center" vertical="center"/>
      <protection/>
    </xf>
    <xf numFmtId="184" fontId="3" fillId="0" borderId="11" xfId="0" applyNumberFormat="1" applyFont="1" applyFill="1" applyBorder="1" applyAlignment="1">
      <alignment vertical="top" wrapText="1"/>
    </xf>
    <xf numFmtId="183" fontId="6" fillId="0" borderId="0" xfId="56" applyNumberFormat="1" applyFont="1" applyFill="1" applyAlignment="1">
      <alignment horizontal="center" vertical="top"/>
      <protection/>
    </xf>
    <xf numFmtId="183" fontId="3" fillId="0" borderId="0" xfId="56" applyNumberFormat="1" applyFont="1" applyFill="1" applyAlignment="1">
      <alignment horizontal="center" vertical="top"/>
      <protection/>
    </xf>
    <xf numFmtId="184" fontId="4" fillId="0" borderId="0" xfId="56" applyNumberFormat="1" applyFont="1" applyFill="1" applyAlignment="1">
      <alignment vertical="center"/>
      <protection/>
    </xf>
    <xf numFmtId="183" fontId="6" fillId="0" borderId="0" xfId="56" applyNumberFormat="1" applyFont="1" applyFill="1" applyBorder="1" applyAlignment="1">
      <alignment horizontal="right" vertical="center" wrapText="1"/>
      <protection/>
    </xf>
    <xf numFmtId="183" fontId="2" fillId="0" borderId="0" xfId="56" applyNumberFormat="1" applyFont="1" applyFill="1" applyBorder="1" applyAlignment="1">
      <alignment vertical="center"/>
      <protection/>
    </xf>
    <xf numFmtId="184" fontId="6" fillId="0" borderId="0" xfId="56" applyNumberFormat="1" applyFont="1" applyFill="1" applyBorder="1" applyAlignment="1">
      <alignment horizontal="center" vertical="center"/>
      <protection/>
    </xf>
    <xf numFmtId="49" fontId="3" fillId="0" borderId="11" xfId="56" applyNumberFormat="1" applyFont="1" applyFill="1" applyBorder="1" applyAlignment="1">
      <alignment horizontal="center" vertical="top"/>
      <protection/>
    </xf>
    <xf numFmtId="183" fontId="3" fillId="0" borderId="11" xfId="0" applyNumberFormat="1" applyFont="1" applyFill="1" applyBorder="1" applyAlignment="1">
      <alignment horizontal="left" vertical="top" wrapText="1"/>
    </xf>
    <xf numFmtId="49" fontId="6" fillId="0" borderId="11" xfId="56" applyNumberFormat="1" applyFont="1" applyFill="1" applyBorder="1" applyAlignment="1">
      <alignment horizontal="center" vertical="top"/>
      <protection/>
    </xf>
    <xf numFmtId="183" fontId="6" fillId="0" borderId="11" xfId="56" applyNumberFormat="1" applyFont="1" applyFill="1" applyBorder="1" applyAlignment="1">
      <alignment horizontal="center" vertical="top"/>
      <protection/>
    </xf>
    <xf numFmtId="183" fontId="6" fillId="0" borderId="11" xfId="56" applyNumberFormat="1" applyFont="1" applyFill="1" applyBorder="1" applyAlignment="1">
      <alignment horizontal="center" vertical="top" wrapText="1"/>
      <protection/>
    </xf>
    <xf numFmtId="0" fontId="3" fillId="0" borderId="11" xfId="56" applyFont="1" applyFill="1" applyBorder="1" applyAlignment="1">
      <alignment horizontal="left" vertical="top" wrapText="1"/>
      <protection/>
    </xf>
    <xf numFmtId="49" fontId="3" fillId="0" borderId="11" xfId="56" applyNumberFormat="1" applyFont="1" applyFill="1" applyBorder="1" applyAlignment="1">
      <alignment horizontal="center" vertical="top" wrapText="1"/>
      <protection/>
    </xf>
    <xf numFmtId="183" fontId="3" fillId="0" borderId="11" xfId="56" applyNumberFormat="1" applyFont="1" applyFill="1" applyBorder="1" applyAlignment="1">
      <alignment horizontal="left" vertical="top" wrapText="1"/>
      <protection/>
    </xf>
    <xf numFmtId="183" fontId="6" fillId="0" borderId="11" xfId="0" applyNumberFormat="1" applyFont="1" applyFill="1" applyBorder="1" applyAlignment="1">
      <alignment horizontal="center" vertical="center" wrapText="1"/>
    </xf>
    <xf numFmtId="0" fontId="53" fillId="0" borderId="0" xfId="56" applyFont="1" applyFill="1" applyAlignment="1">
      <alignment horizontal="center" vertical="center"/>
      <protection/>
    </xf>
    <xf numFmtId="183" fontId="53" fillId="0" borderId="0" xfId="56" applyNumberFormat="1" applyFont="1" applyFill="1" applyAlignment="1">
      <alignment horizontal="center" vertical="center"/>
      <protection/>
    </xf>
    <xf numFmtId="0" fontId="54" fillId="0" borderId="0" xfId="56" applyFont="1" applyFill="1" applyAlignment="1">
      <alignment vertical="center"/>
      <protection/>
    </xf>
    <xf numFmtId="49" fontId="8" fillId="0" borderId="11" xfId="0" applyNumberFormat="1" applyFont="1" applyFill="1" applyBorder="1" applyAlignment="1">
      <alignment horizontal="center" vertical="top"/>
    </xf>
    <xf numFmtId="183" fontId="6" fillId="0" borderId="0" xfId="56" applyNumberFormat="1" applyFont="1" applyFill="1" applyAlignment="1">
      <alignment horizontal="right" vertical="center"/>
      <protection/>
    </xf>
    <xf numFmtId="184" fontId="6" fillId="0" borderId="0" xfId="56" applyNumberFormat="1" applyFont="1" applyFill="1" applyAlignment="1">
      <alignment horizontal="right" vertical="center"/>
      <protection/>
    </xf>
    <xf numFmtId="0" fontId="6" fillId="0" borderId="0" xfId="56" applyFont="1" applyFill="1" applyAlignment="1">
      <alignment horizontal="right" vertical="center"/>
      <protection/>
    </xf>
    <xf numFmtId="0" fontId="3" fillId="0" borderId="0" xfId="56" applyFont="1" applyFill="1" applyAlignment="1">
      <alignment horizontal="right" vertical="center"/>
      <protection/>
    </xf>
    <xf numFmtId="0" fontId="55" fillId="0" borderId="0" xfId="56" applyFont="1" applyFill="1" applyAlignment="1">
      <alignment horizontal="right" vertical="center"/>
      <protection/>
    </xf>
    <xf numFmtId="183" fontId="53" fillId="0" borderId="0" xfId="56" applyNumberFormat="1" applyFont="1" applyFill="1" applyAlignment="1">
      <alignment horizontal="right" vertical="center"/>
      <protection/>
    </xf>
    <xf numFmtId="0" fontId="53" fillId="0" borderId="0" xfId="56" applyFont="1" applyFill="1" applyAlignment="1">
      <alignment horizontal="right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 vertical="top" wrapText="1"/>
    </xf>
    <xf numFmtId="0" fontId="55" fillId="0" borderId="0" xfId="56" applyFont="1" applyFill="1" applyAlignment="1">
      <alignment horizontal="left" vertical="center"/>
      <protection/>
    </xf>
    <xf numFmtId="184" fontId="4" fillId="0" borderId="0" xfId="56" applyNumberFormat="1" applyFont="1" applyFill="1" applyAlignment="1">
      <alignment vertical="center" wrapText="1"/>
      <protection/>
    </xf>
    <xf numFmtId="49" fontId="3" fillId="0" borderId="0" xfId="56" applyNumberFormat="1" applyFont="1" applyFill="1" applyBorder="1" applyAlignment="1">
      <alignment horizontal="center" vertical="top"/>
      <protection/>
    </xf>
    <xf numFmtId="183" fontId="3" fillId="0" borderId="0" xfId="56" applyNumberFormat="1" applyFont="1" applyFill="1" applyBorder="1" applyAlignment="1">
      <alignment horizontal="left" vertical="top" wrapText="1"/>
      <protection/>
    </xf>
    <xf numFmtId="183" fontId="3" fillId="0" borderId="0" xfId="56" applyNumberFormat="1" applyFont="1" applyFill="1" applyBorder="1" applyAlignment="1">
      <alignment horizontal="center" vertical="center" wrapText="1"/>
      <protection/>
    </xf>
    <xf numFmtId="0" fontId="56" fillId="0" borderId="0" xfId="56" applyFont="1" applyFill="1" applyBorder="1" applyAlignment="1">
      <alignment horizontal="right" vertical="center"/>
      <protection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56" applyFont="1" applyFill="1" applyBorder="1" applyAlignment="1">
      <alignment horizontal="left" vertical="center"/>
      <protection/>
    </xf>
    <xf numFmtId="183" fontId="3" fillId="0" borderId="13" xfId="56" applyNumberFormat="1" applyFont="1" applyFill="1" applyBorder="1" applyAlignment="1">
      <alignment horizontal="center" vertical="center" wrapText="1"/>
      <protection/>
    </xf>
    <xf numFmtId="0" fontId="3" fillId="0" borderId="0" xfId="56" applyFont="1" applyFill="1" applyBorder="1" applyAlignment="1">
      <alignment horizontal="center" vertical="center" wrapText="1"/>
      <protection/>
    </xf>
    <xf numFmtId="0" fontId="6" fillId="0" borderId="14" xfId="56" applyFont="1" applyFill="1" applyBorder="1" applyAlignment="1">
      <alignment vertical="center" wrapText="1"/>
      <protection/>
    </xf>
    <xf numFmtId="0" fontId="3" fillId="0" borderId="0" xfId="56" applyFont="1" applyFill="1" applyBorder="1" applyAlignment="1">
      <alignment vertical="center"/>
      <protection/>
    </xf>
    <xf numFmtId="196" fontId="6" fillId="0" borderId="11" xfId="56" applyNumberFormat="1" applyFont="1" applyFill="1" applyBorder="1" applyAlignment="1">
      <alignment horizontal="center" vertical="top" wrapText="1"/>
      <protection/>
    </xf>
    <xf numFmtId="183" fontId="3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top" wrapText="1"/>
    </xf>
    <xf numFmtId="196" fontId="6" fillId="0" borderId="11" xfId="56" applyNumberFormat="1" applyFont="1" applyFill="1" applyBorder="1" applyAlignment="1">
      <alignment horizontal="center" vertical="center"/>
      <protection/>
    </xf>
    <xf numFmtId="0" fontId="3" fillId="0" borderId="11" xfId="56" applyNumberFormat="1" applyFont="1" applyFill="1" applyBorder="1" applyAlignment="1">
      <alignment horizontal="center" vertical="center" wrapText="1"/>
      <protection/>
    </xf>
    <xf numFmtId="0" fontId="3" fillId="0" borderId="12" xfId="0" applyNumberFormat="1" applyFont="1" applyFill="1" applyBorder="1" applyAlignment="1">
      <alignment vertical="top" wrapText="1"/>
    </xf>
    <xf numFmtId="196" fontId="6" fillId="0" borderId="11" xfId="56" applyNumberFormat="1" applyFont="1" applyFill="1" applyBorder="1" applyAlignment="1">
      <alignment horizontal="center" vertical="center" wrapText="1"/>
      <protection/>
    </xf>
    <xf numFmtId="196" fontId="6" fillId="0" borderId="11" xfId="0" applyNumberFormat="1" applyFont="1" applyFill="1" applyBorder="1" applyAlignment="1">
      <alignment horizontal="center" vertical="center" wrapText="1"/>
    </xf>
    <xf numFmtId="0" fontId="6" fillId="0" borderId="11" xfId="56" applyFont="1" applyFill="1" applyBorder="1" applyAlignment="1">
      <alignment horizontal="center" vertical="top"/>
      <protection/>
    </xf>
    <xf numFmtId="0" fontId="6" fillId="0" borderId="15" xfId="56" applyFont="1" applyFill="1" applyBorder="1" applyAlignment="1">
      <alignment vertical="center" wrapText="1"/>
      <protection/>
    </xf>
    <xf numFmtId="0" fontId="6" fillId="0" borderId="16" xfId="56" applyFont="1" applyFill="1" applyBorder="1" applyAlignment="1">
      <alignment vertical="center" wrapText="1"/>
      <protection/>
    </xf>
    <xf numFmtId="0" fontId="6" fillId="0" borderId="15" xfId="56" applyFont="1" applyFill="1" applyBorder="1" applyAlignment="1">
      <alignment vertical="top"/>
      <protection/>
    </xf>
    <xf numFmtId="183" fontId="6" fillId="0" borderId="16" xfId="56" applyNumberFormat="1" applyFont="1" applyFill="1" applyBorder="1" applyAlignment="1">
      <alignment horizontal="right" vertical="top"/>
      <protection/>
    </xf>
    <xf numFmtId="183" fontId="5" fillId="0" borderId="0" xfId="56" applyNumberFormat="1" applyFont="1" applyFill="1" applyAlignment="1">
      <alignment vertical="center"/>
      <protection/>
    </xf>
    <xf numFmtId="0" fontId="5" fillId="0" borderId="0" xfId="56" applyFont="1" applyFill="1" applyAlignment="1">
      <alignment vertical="center"/>
      <protection/>
    </xf>
    <xf numFmtId="183" fontId="6" fillId="0" borderId="12" xfId="56" applyNumberFormat="1" applyFont="1" applyFill="1" applyBorder="1" applyAlignment="1">
      <alignment horizontal="right" vertical="top" wrapText="1"/>
      <protection/>
    </xf>
    <xf numFmtId="183" fontId="3" fillId="0" borderId="15" xfId="56" applyNumberFormat="1" applyFont="1" applyFill="1" applyBorder="1" applyAlignment="1">
      <alignment horizontal="right" vertical="top" wrapText="1"/>
      <protection/>
    </xf>
    <xf numFmtId="183" fontId="6" fillId="0" borderId="15" xfId="56" applyNumberFormat="1" applyFont="1" applyFill="1" applyBorder="1" applyAlignment="1">
      <alignment horizontal="right" vertical="top" wrapText="1"/>
      <protection/>
    </xf>
    <xf numFmtId="183" fontId="6" fillId="0" borderId="16" xfId="56" applyNumberFormat="1" applyFont="1" applyFill="1" applyBorder="1" applyAlignment="1">
      <alignment horizontal="right" vertical="top" wrapText="1"/>
      <protection/>
    </xf>
    <xf numFmtId="3" fontId="3" fillId="0" borderId="11" xfId="56" applyNumberFormat="1" applyFont="1" applyFill="1" applyBorder="1" applyAlignment="1">
      <alignment horizontal="center" vertical="center" wrapText="1"/>
      <protection/>
    </xf>
    <xf numFmtId="0" fontId="4" fillId="0" borderId="0" xfId="56" applyFont="1" applyFill="1" applyAlignment="1">
      <alignment horizontal="center" vertical="center"/>
      <protection/>
    </xf>
    <xf numFmtId="184" fontId="4" fillId="0" borderId="0" xfId="56" applyNumberFormat="1" applyFont="1" applyFill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justify" vertical="center"/>
    </xf>
    <xf numFmtId="49" fontId="3" fillId="0" borderId="11" xfId="0" applyNumberFormat="1" applyFont="1" applyFill="1" applyBorder="1" applyAlignment="1">
      <alignment horizontal="center" vertical="top"/>
    </xf>
    <xf numFmtId="3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/>
    </xf>
    <xf numFmtId="0" fontId="57" fillId="0" borderId="11" xfId="0" applyFont="1" applyFill="1" applyBorder="1" applyAlignment="1">
      <alignment horizontal="left" vertical="top" wrapText="1"/>
    </xf>
    <xf numFmtId="1" fontId="3" fillId="0" borderId="11" xfId="56" applyNumberFormat="1" applyFont="1" applyFill="1" applyBorder="1" applyAlignment="1">
      <alignment horizontal="center" vertical="center" wrapText="1"/>
      <protection/>
    </xf>
    <xf numFmtId="0" fontId="57" fillId="0" borderId="11" xfId="0" applyFont="1" applyFill="1" applyBorder="1" applyAlignment="1">
      <alignment vertical="top" wrapText="1"/>
    </xf>
    <xf numFmtId="0" fontId="3" fillId="0" borderId="17" xfId="56" applyFont="1" applyFill="1" applyBorder="1" applyAlignment="1">
      <alignment horizontal="left" vertical="top" wrapText="1"/>
      <protection/>
    </xf>
    <xf numFmtId="183" fontId="3" fillId="0" borderId="17" xfId="56" applyNumberFormat="1" applyFont="1" applyFill="1" applyBorder="1" applyAlignment="1">
      <alignment horizontal="center" vertical="center" wrapText="1"/>
      <protection/>
    </xf>
    <xf numFmtId="49" fontId="6" fillId="0" borderId="12" xfId="56" applyNumberFormat="1" applyFont="1" applyFill="1" applyBorder="1" applyAlignment="1">
      <alignment horizontal="center" vertical="top"/>
      <protection/>
    </xf>
    <xf numFmtId="183" fontId="6" fillId="0" borderId="15" xfId="56" applyNumberFormat="1" applyFont="1" applyFill="1" applyBorder="1" applyAlignment="1">
      <alignment vertical="top" wrapText="1"/>
      <protection/>
    </xf>
    <xf numFmtId="183" fontId="3" fillId="0" borderId="15" xfId="56" applyNumberFormat="1" applyFont="1" applyFill="1" applyBorder="1" applyAlignment="1">
      <alignment vertical="top" wrapText="1"/>
      <protection/>
    </xf>
    <xf numFmtId="183" fontId="6" fillId="0" borderId="16" xfId="56" applyNumberFormat="1" applyFont="1" applyFill="1" applyBorder="1" applyAlignment="1">
      <alignment vertical="top" wrapText="1"/>
      <protection/>
    </xf>
    <xf numFmtId="183" fontId="3" fillId="0" borderId="17" xfId="56" applyNumberFormat="1" applyFont="1" applyFill="1" applyBorder="1" applyAlignment="1">
      <alignment vertical="top" wrapText="1"/>
      <protection/>
    </xf>
    <xf numFmtId="183" fontId="3" fillId="0" borderId="17" xfId="56" applyNumberFormat="1" applyFont="1" applyFill="1" applyBorder="1" applyAlignment="1">
      <alignment horizontal="right" vertical="center" wrapText="1"/>
      <protection/>
    </xf>
    <xf numFmtId="183" fontId="10" fillId="0" borderId="0" xfId="56" applyNumberFormat="1" applyFont="1" applyFill="1" applyAlignment="1">
      <alignment vertical="center"/>
      <protection/>
    </xf>
    <xf numFmtId="0" fontId="3" fillId="0" borderId="11" xfId="0" applyFont="1" applyFill="1" applyBorder="1" applyAlignment="1">
      <alignment horizontal="left" vertical="top"/>
    </xf>
    <xf numFmtId="0" fontId="5" fillId="0" borderId="0" xfId="0" applyFont="1" applyFill="1" applyAlignment="1">
      <alignment vertical="center" wrapText="1"/>
    </xf>
    <xf numFmtId="183" fontId="3" fillId="0" borderId="0" xfId="56" applyNumberFormat="1" applyFont="1" applyFill="1" applyAlignment="1">
      <alignment horizontal="left" vertical="center"/>
      <protection/>
    </xf>
    <xf numFmtId="196" fontId="3" fillId="0" borderId="11" xfId="56" applyNumberFormat="1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left" vertical="top" wrapText="1"/>
    </xf>
    <xf numFmtId="182" fontId="6" fillId="0" borderId="11" xfId="56" applyNumberFormat="1" applyFont="1" applyFill="1" applyBorder="1" applyAlignment="1">
      <alignment horizontal="center" vertical="center"/>
      <protection/>
    </xf>
    <xf numFmtId="182" fontId="6" fillId="0" borderId="0" xfId="56" applyNumberFormat="1" applyFont="1" applyFill="1" applyAlignment="1">
      <alignment horizontal="right"/>
      <protection/>
    </xf>
    <xf numFmtId="182" fontId="6" fillId="0" borderId="0" xfId="56" applyNumberFormat="1" applyFont="1" applyFill="1" applyAlignment="1">
      <alignment horizontal="right" vertical="center"/>
      <protection/>
    </xf>
    <xf numFmtId="182" fontId="55" fillId="0" borderId="0" xfId="56" applyNumberFormat="1" applyFont="1" applyFill="1" applyAlignment="1">
      <alignment horizontal="right" vertical="center"/>
      <protection/>
    </xf>
    <xf numFmtId="182" fontId="3" fillId="0" borderId="11" xfId="56" applyNumberFormat="1" applyFont="1" applyFill="1" applyBorder="1" applyAlignment="1">
      <alignment horizontal="center" vertical="center" wrapText="1"/>
      <protection/>
    </xf>
    <xf numFmtId="182" fontId="6" fillId="0" borderId="11" xfId="56" applyNumberFormat="1" applyFont="1" applyFill="1" applyBorder="1" applyAlignment="1">
      <alignment horizontal="center" vertical="top" wrapText="1"/>
      <protection/>
    </xf>
    <xf numFmtId="182" fontId="3" fillId="0" borderId="11" xfId="0" applyNumberFormat="1" applyFont="1" applyFill="1" applyBorder="1" applyAlignment="1">
      <alignment horizontal="center" vertical="center" wrapText="1"/>
    </xf>
    <xf numFmtId="182" fontId="3" fillId="0" borderId="11" xfId="56" applyNumberFormat="1" applyFont="1" applyFill="1" applyBorder="1" applyAlignment="1">
      <alignment horizontal="center" vertical="center"/>
      <protection/>
    </xf>
    <xf numFmtId="182" fontId="6" fillId="0" borderId="11" xfId="56" applyNumberFormat="1" applyFont="1" applyFill="1" applyBorder="1" applyAlignment="1">
      <alignment horizontal="center" vertical="center" wrapText="1"/>
      <protection/>
    </xf>
    <xf numFmtId="182" fontId="6" fillId="0" borderId="11" xfId="0" applyNumberFormat="1" applyFont="1" applyFill="1" applyBorder="1" applyAlignment="1">
      <alignment horizontal="center" vertical="center" wrapText="1"/>
    </xf>
    <xf numFmtId="3" fontId="6" fillId="0" borderId="11" xfId="56" applyNumberFormat="1" applyFont="1" applyFill="1" applyBorder="1" applyAlignment="1">
      <alignment horizontal="center" vertical="center"/>
      <protection/>
    </xf>
    <xf numFmtId="0" fontId="8" fillId="0" borderId="11" xfId="0" applyFont="1" applyFill="1" applyBorder="1" applyAlignment="1">
      <alignment vertical="top" wrapText="1"/>
    </xf>
    <xf numFmtId="49" fontId="3" fillId="0" borderId="11" xfId="56" applyNumberFormat="1" applyFont="1" applyFill="1" applyBorder="1" applyAlignment="1">
      <alignment horizontal="center" vertical="center" wrapText="1"/>
      <protection/>
    </xf>
    <xf numFmtId="184" fontId="6" fillId="0" borderId="0" xfId="56" applyNumberFormat="1" applyFont="1" applyFill="1" applyAlignment="1">
      <alignment horizontal="center" vertical="center"/>
      <protection/>
    </xf>
    <xf numFmtId="0" fontId="2" fillId="0" borderId="0" xfId="56" applyFill="1" applyAlignment="1">
      <alignment vertical="center"/>
      <protection/>
    </xf>
    <xf numFmtId="1" fontId="3" fillId="0" borderId="11" xfId="56" applyNumberFormat="1" applyFont="1" applyFill="1" applyBorder="1" applyAlignment="1">
      <alignment vertical="center" wrapText="1"/>
      <protection/>
    </xf>
    <xf numFmtId="0" fontId="3" fillId="0" borderId="0" xfId="56" applyFont="1" applyFill="1" applyAlignment="1">
      <alignment horizontal="right"/>
      <protection/>
    </xf>
    <xf numFmtId="183" fontId="6" fillId="0" borderId="11" xfId="0" applyNumberFormat="1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center" vertical="center" wrapText="1"/>
    </xf>
    <xf numFmtId="49" fontId="3" fillId="0" borderId="13" xfId="56" applyNumberFormat="1" applyFont="1" applyFill="1" applyBorder="1" applyAlignment="1">
      <alignment horizontal="center" vertical="top"/>
      <protection/>
    </xf>
    <xf numFmtId="183" fontId="6" fillId="0" borderId="11" xfId="56" applyNumberFormat="1" applyFont="1" applyFill="1" applyBorder="1" applyAlignment="1">
      <alignment horizontal="left" vertical="top" wrapText="1"/>
      <protection/>
    </xf>
    <xf numFmtId="0" fontId="9" fillId="0" borderId="1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3" fillId="0" borderId="13" xfId="56" applyFont="1" applyFill="1" applyBorder="1" applyAlignment="1">
      <alignment horizontal="center" vertical="center" wrapText="1"/>
      <protection/>
    </xf>
    <xf numFmtId="0" fontId="3" fillId="0" borderId="17" xfId="56" applyFont="1" applyFill="1" applyBorder="1" applyAlignment="1">
      <alignment horizontal="center" vertical="center" wrapText="1"/>
      <protection/>
    </xf>
    <xf numFmtId="49" fontId="3" fillId="0" borderId="13" xfId="56" applyNumberFormat="1" applyFont="1" applyFill="1" applyBorder="1" applyAlignment="1">
      <alignment horizontal="center" vertical="top"/>
      <protection/>
    </xf>
    <xf numFmtId="49" fontId="3" fillId="0" borderId="17" xfId="56" applyNumberFormat="1" applyFont="1" applyFill="1" applyBorder="1" applyAlignment="1">
      <alignment horizontal="center" vertical="top"/>
      <protection/>
    </xf>
    <xf numFmtId="49" fontId="3" fillId="0" borderId="18" xfId="56" applyNumberFormat="1" applyFont="1" applyFill="1" applyBorder="1" applyAlignment="1">
      <alignment horizontal="center" vertical="top"/>
      <protection/>
    </xf>
    <xf numFmtId="183" fontId="6" fillId="0" borderId="11" xfId="56" applyNumberFormat="1" applyFont="1" applyFill="1" applyBorder="1" applyAlignment="1">
      <alignment horizontal="left" vertical="top" wrapText="1"/>
      <protection/>
    </xf>
    <xf numFmtId="0" fontId="9" fillId="0" borderId="1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12" xfId="56" applyFont="1" applyFill="1" applyBorder="1" applyAlignment="1">
      <alignment horizontal="center" vertical="center" wrapText="1"/>
      <protection/>
    </xf>
    <xf numFmtId="0" fontId="3" fillId="0" borderId="15" xfId="56" applyFont="1" applyFill="1" applyBorder="1" applyAlignment="1">
      <alignment horizontal="center" vertical="center" wrapText="1"/>
      <protection/>
    </xf>
    <xf numFmtId="0" fontId="3" fillId="0" borderId="16" xfId="56" applyFont="1" applyFill="1" applyBorder="1" applyAlignment="1">
      <alignment horizontal="center" vertical="center" wrapText="1"/>
      <protection/>
    </xf>
    <xf numFmtId="0" fontId="6" fillId="0" borderId="12" xfId="56" applyFont="1" applyFill="1" applyBorder="1" applyAlignment="1">
      <alignment horizontal="left" vertical="top" wrapText="1"/>
      <protection/>
    </xf>
    <xf numFmtId="0" fontId="6" fillId="0" borderId="15" xfId="56" applyFont="1" applyFill="1" applyBorder="1" applyAlignment="1">
      <alignment horizontal="left" vertical="top" wrapText="1"/>
      <protection/>
    </xf>
    <xf numFmtId="0" fontId="6" fillId="0" borderId="16" xfId="56" applyFont="1" applyFill="1" applyBorder="1" applyAlignment="1">
      <alignment horizontal="left" vertical="top" wrapText="1"/>
      <protection/>
    </xf>
    <xf numFmtId="0" fontId="6" fillId="0" borderId="11" xfId="56" applyFont="1" applyFill="1" applyBorder="1" applyAlignment="1">
      <alignment horizontal="left" vertical="center" wrapText="1"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0" fontId="6" fillId="0" borderId="15" xfId="56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3" fillId="0" borderId="0" xfId="56" applyFont="1" applyFill="1" applyAlignment="1">
      <alignment horizontal="left" vertical="top" wrapText="1"/>
      <protection/>
    </xf>
    <xf numFmtId="0" fontId="3" fillId="0" borderId="18" xfId="56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1" xfId="56" applyFont="1" applyFill="1" applyBorder="1" applyAlignment="1">
      <alignment horizontal="center" vertical="center" wrapText="1"/>
      <protection/>
    </xf>
    <xf numFmtId="4" fontId="6" fillId="0" borderId="11" xfId="56" applyNumberFormat="1" applyFont="1" applyFill="1" applyBorder="1" applyAlignment="1">
      <alignment horizontal="center" vertical="center" wrapText="1"/>
      <protection/>
    </xf>
    <xf numFmtId="0" fontId="6" fillId="0" borderId="17" xfId="56" applyFont="1" applyFill="1" applyBorder="1" applyAlignment="1">
      <alignment horizontal="left" vertical="center" wrapText="1"/>
      <protection/>
    </xf>
    <xf numFmtId="0" fontId="3" fillId="0" borderId="11" xfId="56" applyFont="1" applyFill="1" applyBorder="1" applyAlignment="1">
      <alignment horizontal="center" vertical="center"/>
      <protection/>
    </xf>
    <xf numFmtId="183" fontId="6" fillId="0" borderId="11" xfId="56" applyNumberFormat="1" applyFont="1" applyFill="1" applyBorder="1" applyAlignment="1">
      <alignment horizontal="left" vertical="top"/>
      <protection/>
    </xf>
    <xf numFmtId="183" fontId="6" fillId="0" borderId="13" xfId="56" applyNumberFormat="1" applyFont="1" applyFill="1" applyBorder="1" applyAlignment="1">
      <alignment horizontal="left" vertical="top"/>
      <protection/>
    </xf>
    <xf numFmtId="183" fontId="3" fillId="0" borderId="0" xfId="56" applyNumberFormat="1" applyFont="1" applyFill="1" applyBorder="1" applyAlignment="1">
      <alignment horizontal="left" vertical="center"/>
      <protection/>
    </xf>
    <xf numFmtId="0" fontId="53" fillId="0" borderId="0" xfId="56" applyFont="1" applyFill="1" applyBorder="1" applyAlignment="1">
      <alignment horizontal="left" vertical="center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 2" xfId="55"/>
    <cellStyle name="Обычный 3" xfId="56"/>
    <cellStyle name="Обычный 4" xfId="57"/>
    <cellStyle name="Обычный 5" xfId="58"/>
    <cellStyle name="Обычный 51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71"/>
  <sheetViews>
    <sheetView tabSelected="1" view="pageBreakPreview" zoomScale="73" zoomScaleSheetLayoutView="73" workbookViewId="0" topLeftCell="A1">
      <pane xSplit="3" ySplit="15" topLeftCell="D4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41" sqref="D41"/>
    </sheetView>
  </sheetViews>
  <sheetFormatPr defaultColWidth="9.140625" defaultRowHeight="12.75"/>
  <cols>
    <col min="1" max="1" width="9.7109375" style="7" customWidth="1"/>
    <col min="2" max="2" width="51.00390625" style="16" customWidth="1"/>
    <col min="3" max="3" width="21.140625" style="7" customWidth="1"/>
    <col min="4" max="4" width="13.00390625" style="7" customWidth="1"/>
    <col min="5" max="8" width="14.8515625" style="7" customWidth="1"/>
    <col min="9" max="9" width="16.8515625" style="7" customWidth="1"/>
    <col min="10" max="13" width="14.8515625" style="7" customWidth="1"/>
    <col min="14" max="14" width="17.28125" style="7" customWidth="1"/>
    <col min="15" max="18" width="14.8515625" style="7" customWidth="1"/>
    <col min="19" max="19" width="17.28125" style="7" customWidth="1"/>
    <col min="20" max="23" width="14.8515625" style="7" customWidth="1"/>
    <col min="24" max="24" width="16.57421875" style="7" customWidth="1"/>
    <col min="25" max="28" width="14.8515625" style="7" customWidth="1"/>
    <col min="29" max="29" width="16.8515625" style="7" customWidth="1"/>
    <col min="30" max="30" width="15.57421875" style="7" customWidth="1"/>
    <col min="31" max="33" width="14.8515625" style="7" customWidth="1"/>
    <col min="34" max="34" width="17.140625" style="7" customWidth="1"/>
    <col min="35" max="35" width="15.7109375" style="8" customWidth="1"/>
    <col min="36" max="38" width="15.7109375" style="7" customWidth="1"/>
    <col min="39" max="39" width="17.28125" style="7" customWidth="1"/>
    <col min="40" max="40" width="17.57421875" style="9" customWidth="1"/>
    <col min="41" max="41" width="7.7109375" style="1" customWidth="1"/>
    <col min="42" max="42" width="9.57421875" style="1" customWidth="1"/>
    <col min="43" max="43" width="12.7109375" style="1" customWidth="1"/>
    <col min="44" max="44" width="14.28125" style="1" customWidth="1"/>
    <col min="45" max="45" width="29.7109375" style="1" customWidth="1"/>
    <col min="46" max="46" width="18.8515625" style="1" customWidth="1"/>
    <col min="47" max="47" width="9.140625" style="1" customWidth="1"/>
    <col min="48" max="48" width="15.140625" style="1" customWidth="1"/>
    <col min="49" max="49" width="15.28125" style="1" customWidth="1"/>
    <col min="50" max="16384" width="9.140625" style="1" customWidth="1"/>
  </cols>
  <sheetData>
    <row r="1" spans="3:16" ht="15.75">
      <c r="C1" s="53"/>
      <c r="D1" s="16"/>
      <c r="P1" s="16" t="s">
        <v>6</v>
      </c>
    </row>
    <row r="2" spans="3:16" ht="15.75">
      <c r="C2" s="53"/>
      <c r="D2" s="16"/>
      <c r="P2" s="16" t="s">
        <v>459</v>
      </c>
    </row>
    <row r="3" spans="3:16" ht="15.75">
      <c r="C3" s="53"/>
      <c r="D3" s="16"/>
      <c r="P3" s="16" t="s">
        <v>460</v>
      </c>
    </row>
    <row r="4" spans="3:4" ht="15.75">
      <c r="C4" s="53"/>
      <c r="D4" s="16"/>
    </row>
    <row r="5" spans="3:4" ht="15.75">
      <c r="C5" s="53"/>
      <c r="D5" s="16"/>
    </row>
    <row r="6" spans="1:40" ht="22.5" customHeight="1">
      <c r="A6" s="57"/>
      <c r="E6" s="65"/>
      <c r="F6" s="65"/>
      <c r="G6" s="65"/>
      <c r="H6" s="65"/>
      <c r="I6" s="65"/>
      <c r="K6" s="65"/>
      <c r="L6" s="65"/>
      <c r="M6" s="65"/>
      <c r="N6" s="65"/>
      <c r="O6" s="65"/>
      <c r="P6" s="16" t="s">
        <v>6</v>
      </c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K6" s="1"/>
      <c r="AL6" s="1"/>
      <c r="AM6" s="1"/>
      <c r="AN6" s="1"/>
    </row>
    <row r="7" spans="5:40" ht="39.75" customHeight="1">
      <c r="E7" s="66"/>
      <c r="F7" s="66"/>
      <c r="G7" s="66"/>
      <c r="H7" s="66"/>
      <c r="I7" s="66"/>
      <c r="K7" s="66"/>
      <c r="L7" s="66"/>
      <c r="M7" s="66"/>
      <c r="N7" s="66"/>
      <c r="O7" s="66"/>
      <c r="P7" s="161" t="s">
        <v>446</v>
      </c>
      <c r="Q7" s="161"/>
      <c r="R7" s="161"/>
      <c r="S7" s="161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K7" s="1"/>
      <c r="AL7" s="1"/>
      <c r="AM7" s="1"/>
      <c r="AN7" s="1"/>
    </row>
    <row r="8" spans="1:39" ht="15.75">
      <c r="A8" s="57"/>
      <c r="B8" s="73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J8" s="160"/>
      <c r="AK8" s="160"/>
      <c r="AL8" s="160"/>
      <c r="AM8" s="160"/>
    </row>
    <row r="9" spans="1:39" ht="15.75">
      <c r="A9" s="5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J9" s="160"/>
      <c r="AK9" s="160"/>
      <c r="AL9" s="160"/>
      <c r="AM9" s="160"/>
    </row>
    <row r="10" spans="1:40" s="2" customFormat="1" ht="31.5" customHeight="1">
      <c r="A10" s="150" t="s">
        <v>429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</row>
    <row r="11" spans="1:40" s="2" customFormat="1" ht="15.75">
      <c r="A11" s="13"/>
      <c r="B11" s="17"/>
      <c r="C11" s="10"/>
      <c r="D11" s="13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</row>
    <row r="12" spans="3:40" ht="15.75">
      <c r="C12" s="11"/>
      <c r="D12" s="11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spans="1:40" ht="15.75" customHeight="1">
      <c r="A13" s="164" t="s">
        <v>233</v>
      </c>
      <c r="B13" s="143" t="s">
        <v>47</v>
      </c>
      <c r="C13" s="163" t="s">
        <v>7</v>
      </c>
      <c r="D13" s="164" t="s">
        <v>48</v>
      </c>
      <c r="E13" s="158" t="s">
        <v>49</v>
      </c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5"/>
    </row>
    <row r="14" spans="1:40" ht="15.75" customHeight="1">
      <c r="A14" s="167"/>
      <c r="B14" s="162"/>
      <c r="C14" s="163"/>
      <c r="D14" s="164"/>
      <c r="E14" s="151" t="s">
        <v>292</v>
      </c>
      <c r="F14" s="152"/>
      <c r="G14" s="152"/>
      <c r="H14" s="152"/>
      <c r="I14" s="153"/>
      <c r="J14" s="151" t="s">
        <v>293</v>
      </c>
      <c r="K14" s="152"/>
      <c r="L14" s="152"/>
      <c r="M14" s="152"/>
      <c r="N14" s="153"/>
      <c r="O14" s="151" t="s">
        <v>294</v>
      </c>
      <c r="P14" s="152"/>
      <c r="Q14" s="152"/>
      <c r="R14" s="152"/>
      <c r="S14" s="153"/>
      <c r="T14" s="151" t="s">
        <v>295</v>
      </c>
      <c r="U14" s="152"/>
      <c r="V14" s="152"/>
      <c r="W14" s="152"/>
      <c r="X14" s="153"/>
      <c r="Y14" s="151" t="s">
        <v>291</v>
      </c>
      <c r="Z14" s="152"/>
      <c r="AA14" s="152"/>
      <c r="AB14" s="152"/>
      <c r="AC14" s="153"/>
      <c r="AD14" s="151" t="s">
        <v>290</v>
      </c>
      <c r="AE14" s="152"/>
      <c r="AF14" s="152"/>
      <c r="AG14" s="152"/>
      <c r="AH14" s="153"/>
      <c r="AI14" s="164" t="s">
        <v>289</v>
      </c>
      <c r="AJ14" s="164"/>
      <c r="AK14" s="164"/>
      <c r="AL14" s="164"/>
      <c r="AM14" s="164"/>
      <c r="AN14" s="165" t="s">
        <v>8</v>
      </c>
    </row>
    <row r="15" spans="1:40" ht="31.5">
      <c r="A15" s="167"/>
      <c r="B15" s="144"/>
      <c r="C15" s="163"/>
      <c r="D15" s="164"/>
      <c r="E15" s="14" t="s">
        <v>9</v>
      </c>
      <c r="F15" s="28" t="s">
        <v>10</v>
      </c>
      <c r="G15" s="28" t="s">
        <v>11</v>
      </c>
      <c r="H15" s="28" t="s">
        <v>297</v>
      </c>
      <c r="I15" s="28" t="s">
        <v>50</v>
      </c>
      <c r="J15" s="14" t="s">
        <v>9</v>
      </c>
      <c r="K15" s="28" t="s">
        <v>10</v>
      </c>
      <c r="L15" s="28" t="s">
        <v>11</v>
      </c>
      <c r="M15" s="28" t="s">
        <v>297</v>
      </c>
      <c r="N15" s="28" t="s">
        <v>50</v>
      </c>
      <c r="O15" s="14" t="s">
        <v>9</v>
      </c>
      <c r="P15" s="28" t="s">
        <v>10</v>
      </c>
      <c r="Q15" s="28" t="s">
        <v>11</v>
      </c>
      <c r="R15" s="28" t="s">
        <v>297</v>
      </c>
      <c r="S15" s="28" t="s">
        <v>50</v>
      </c>
      <c r="T15" s="14" t="s">
        <v>9</v>
      </c>
      <c r="U15" s="28" t="s">
        <v>10</v>
      </c>
      <c r="V15" s="28" t="s">
        <v>11</v>
      </c>
      <c r="W15" s="28" t="s">
        <v>297</v>
      </c>
      <c r="X15" s="28" t="s">
        <v>50</v>
      </c>
      <c r="Y15" s="14" t="s">
        <v>9</v>
      </c>
      <c r="Z15" s="28" t="s">
        <v>10</v>
      </c>
      <c r="AA15" s="28" t="s">
        <v>11</v>
      </c>
      <c r="AB15" s="28" t="s">
        <v>297</v>
      </c>
      <c r="AC15" s="28" t="s">
        <v>50</v>
      </c>
      <c r="AD15" s="14" t="s">
        <v>9</v>
      </c>
      <c r="AE15" s="28" t="s">
        <v>10</v>
      </c>
      <c r="AF15" s="28" t="s">
        <v>11</v>
      </c>
      <c r="AG15" s="28" t="s">
        <v>297</v>
      </c>
      <c r="AH15" s="28" t="s">
        <v>50</v>
      </c>
      <c r="AI15" s="14" t="s">
        <v>9</v>
      </c>
      <c r="AJ15" s="28" t="s">
        <v>10</v>
      </c>
      <c r="AK15" s="28" t="s">
        <v>11</v>
      </c>
      <c r="AL15" s="28" t="s">
        <v>12</v>
      </c>
      <c r="AM15" s="28" t="s">
        <v>50</v>
      </c>
      <c r="AN15" s="165"/>
    </row>
    <row r="16" spans="1:40" s="3" customFormat="1" ht="15.75">
      <c r="A16" s="29">
        <v>1</v>
      </c>
      <c r="B16" s="29">
        <v>2</v>
      </c>
      <c r="C16" s="29">
        <v>3</v>
      </c>
      <c r="D16" s="29">
        <v>4</v>
      </c>
      <c r="E16" s="29">
        <v>5</v>
      </c>
      <c r="F16" s="29">
        <v>6</v>
      </c>
      <c r="G16" s="29">
        <v>7</v>
      </c>
      <c r="H16" s="29">
        <v>8</v>
      </c>
      <c r="I16" s="29">
        <v>9</v>
      </c>
      <c r="J16" s="29">
        <v>10</v>
      </c>
      <c r="K16" s="29">
        <v>11</v>
      </c>
      <c r="L16" s="29">
        <v>12</v>
      </c>
      <c r="M16" s="29">
        <v>13</v>
      </c>
      <c r="N16" s="29">
        <v>14</v>
      </c>
      <c r="O16" s="29">
        <v>15</v>
      </c>
      <c r="P16" s="29">
        <v>16</v>
      </c>
      <c r="Q16" s="29">
        <v>17</v>
      </c>
      <c r="R16" s="29">
        <v>18</v>
      </c>
      <c r="S16" s="29">
        <v>19</v>
      </c>
      <c r="T16" s="29">
        <v>20</v>
      </c>
      <c r="U16" s="29">
        <v>21</v>
      </c>
      <c r="V16" s="29">
        <v>22</v>
      </c>
      <c r="W16" s="29">
        <v>23</v>
      </c>
      <c r="X16" s="29">
        <v>24</v>
      </c>
      <c r="Y16" s="29">
        <v>25</v>
      </c>
      <c r="Z16" s="29">
        <v>26</v>
      </c>
      <c r="AA16" s="29">
        <v>27</v>
      </c>
      <c r="AB16" s="29">
        <v>28</v>
      </c>
      <c r="AC16" s="29">
        <v>29</v>
      </c>
      <c r="AD16" s="29">
        <v>30</v>
      </c>
      <c r="AE16" s="29">
        <v>31</v>
      </c>
      <c r="AF16" s="29">
        <v>32</v>
      </c>
      <c r="AG16" s="29">
        <v>33</v>
      </c>
      <c r="AH16" s="29">
        <v>34</v>
      </c>
      <c r="AI16" s="29">
        <v>35</v>
      </c>
      <c r="AJ16" s="29">
        <v>36</v>
      </c>
      <c r="AK16" s="29">
        <v>37</v>
      </c>
      <c r="AL16" s="29">
        <v>38</v>
      </c>
      <c r="AM16" s="29">
        <v>39</v>
      </c>
      <c r="AN16" s="29">
        <v>40</v>
      </c>
    </row>
    <row r="17" spans="1:40" s="3" customFormat="1" ht="51" customHeight="1">
      <c r="A17" s="166" t="s">
        <v>405</v>
      </c>
      <c r="B17" s="166"/>
      <c r="C17" s="166"/>
      <c r="D17" s="16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72"/>
    </row>
    <row r="18" spans="1:40" ht="41.25" customHeight="1">
      <c r="A18" s="83">
        <v>1</v>
      </c>
      <c r="B18" s="157" t="s">
        <v>406</v>
      </c>
      <c r="C18" s="157"/>
      <c r="D18" s="157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5"/>
    </row>
    <row r="19" spans="1:40" ht="126">
      <c r="A19" s="37" t="s">
        <v>15</v>
      </c>
      <c r="B19" s="38" t="s">
        <v>52</v>
      </c>
      <c r="C19" s="12" t="s">
        <v>55</v>
      </c>
      <c r="D19" s="12" t="s">
        <v>296</v>
      </c>
      <c r="E19" s="120">
        <f>SUMIF(F19:I19,"&gt;0")</f>
        <v>1940243</v>
      </c>
      <c r="F19" s="124">
        <f>440404+294762+15400-12900+12900</f>
        <v>750566</v>
      </c>
      <c r="G19" s="124">
        <f>1210512-13422.345-7412.655</f>
        <v>1189677</v>
      </c>
      <c r="H19" s="28" t="s">
        <v>385</v>
      </c>
      <c r="I19" s="28" t="s">
        <v>385</v>
      </c>
      <c r="J19" s="120">
        <f>SUMIF(K19:N19,"&gt;0")</f>
        <v>2054340.7</v>
      </c>
      <c r="K19" s="124">
        <f>464954+311256+4705.624+1303.057-2800</f>
        <v>779418.7</v>
      </c>
      <c r="L19" s="124">
        <f>1204653+70269</f>
        <v>1274922</v>
      </c>
      <c r="M19" s="79" t="s">
        <v>385</v>
      </c>
      <c r="N19" s="79" t="s">
        <v>385</v>
      </c>
      <c r="O19" s="120">
        <f>SUMIF(P19:S19,"&gt;0")</f>
        <v>2063343.9</v>
      </c>
      <c r="P19" s="124">
        <f>464954+311256+239.595+3920.276</f>
        <v>780369.9</v>
      </c>
      <c r="Q19" s="124">
        <f>1212238+70736</f>
        <v>1282974</v>
      </c>
      <c r="R19" s="79" t="s">
        <v>385</v>
      </c>
      <c r="S19" s="79" t="s">
        <v>385</v>
      </c>
      <c r="T19" s="120">
        <f>SUMIF(U19:X19,"&gt;0")</f>
        <v>2072540</v>
      </c>
      <c r="U19" s="124">
        <f>464954+311256</f>
        <v>776210</v>
      </c>
      <c r="V19" s="124">
        <f>1224822+71508</f>
        <v>1296330</v>
      </c>
      <c r="W19" s="79" t="s">
        <v>385</v>
      </c>
      <c r="X19" s="79" t="s">
        <v>385</v>
      </c>
      <c r="Y19" s="120">
        <f>SUMIF(Z19:AC19,"&gt;0")</f>
        <v>2481299</v>
      </c>
      <c r="Z19" s="124">
        <v>855501</v>
      </c>
      <c r="AA19" s="124">
        <v>1625798</v>
      </c>
      <c r="AB19" s="79" t="s">
        <v>385</v>
      </c>
      <c r="AC19" s="79" t="s">
        <v>385</v>
      </c>
      <c r="AD19" s="120">
        <f>SUMIF(AE19:AH19,"&gt;0")</f>
        <v>2576588</v>
      </c>
      <c r="AE19" s="124">
        <v>885758</v>
      </c>
      <c r="AF19" s="124">
        <v>1690830</v>
      </c>
      <c r="AG19" s="79" t="s">
        <v>385</v>
      </c>
      <c r="AH19" s="79" t="s">
        <v>385</v>
      </c>
      <c r="AI19" s="120">
        <f>SUMIF(AJ19:AM19,"&gt;0")</f>
        <v>2665597</v>
      </c>
      <c r="AJ19" s="124">
        <v>907134</v>
      </c>
      <c r="AK19" s="124">
        <v>1758463</v>
      </c>
      <c r="AL19" s="79" t="s">
        <v>385</v>
      </c>
      <c r="AM19" s="79" t="s">
        <v>385</v>
      </c>
      <c r="AN19" s="128">
        <f>E19+J19+O19+T19+Y19+AD19+AI19</f>
        <v>15853951.6</v>
      </c>
    </row>
    <row r="20" spans="1:40" ht="126">
      <c r="A20" s="37" t="s">
        <v>16</v>
      </c>
      <c r="B20" s="38" t="s">
        <v>54</v>
      </c>
      <c r="C20" s="12" t="s">
        <v>56</v>
      </c>
      <c r="D20" s="12" t="s">
        <v>296</v>
      </c>
      <c r="E20" s="120">
        <f>SUMIF(F20:I20,"&gt;0")</f>
        <v>3336258.2</v>
      </c>
      <c r="F20" s="124">
        <f>596779+67289+26594-10.82</f>
        <v>690651.2</v>
      </c>
      <c r="G20" s="124">
        <f>2361339+213801+74151+135-3819</f>
        <v>2645607</v>
      </c>
      <c r="H20" s="28" t="s">
        <v>385</v>
      </c>
      <c r="I20" s="28" t="s">
        <v>385</v>
      </c>
      <c r="J20" s="120">
        <f>SUMIF(K20:N20,"&gt;0")</f>
        <v>3563006.8</v>
      </c>
      <c r="K20" s="124">
        <f>68595+626397+16002.771</f>
        <v>710994.8</v>
      </c>
      <c r="L20" s="124">
        <f>2457104+210768+77216+(94907+12000+17)</f>
        <v>2852012</v>
      </c>
      <c r="M20" s="79" t="s">
        <v>385</v>
      </c>
      <c r="N20" s="79" t="s">
        <v>385</v>
      </c>
      <c r="O20" s="120">
        <f>SUMIF(P20:S20,"&gt;0")</f>
        <v>3623445.2</v>
      </c>
      <c r="P20" s="124">
        <f>68595+626397+5526.168</f>
        <v>700518.2</v>
      </c>
      <c r="Q20" s="124">
        <f>2525516+209935+77785+(97686+11948+57)</f>
        <v>2922927</v>
      </c>
      <c r="R20" s="79" t="s">
        <v>385</v>
      </c>
      <c r="S20" s="79" t="s">
        <v>385</v>
      </c>
      <c r="T20" s="120">
        <f>SUMIF(U20:X20,"&gt;0")</f>
        <v>3670440</v>
      </c>
      <c r="U20" s="124">
        <f>68595+626397</f>
        <v>694992</v>
      </c>
      <c r="V20" s="124">
        <f>2573027+212501+78162+(99581+12105+73)-1</f>
        <v>2975448</v>
      </c>
      <c r="W20" s="79" t="s">
        <v>385</v>
      </c>
      <c r="X20" s="79" t="s">
        <v>385</v>
      </c>
      <c r="Y20" s="120">
        <f>SUMIF(Z20:AC20,"&gt;0")</f>
        <v>4445610</v>
      </c>
      <c r="Z20" s="124">
        <v>907074</v>
      </c>
      <c r="AA20" s="124">
        <v>3538536</v>
      </c>
      <c r="AB20" s="79" t="s">
        <v>385</v>
      </c>
      <c r="AC20" s="79" t="s">
        <v>385</v>
      </c>
      <c r="AD20" s="120">
        <f>SUMIF(AE20:AH20,"&gt;0")</f>
        <v>4688754</v>
      </c>
      <c r="AE20" s="124">
        <v>956847</v>
      </c>
      <c r="AF20" s="124">
        <v>3731907</v>
      </c>
      <c r="AG20" s="79" t="s">
        <v>385</v>
      </c>
      <c r="AH20" s="79" t="s">
        <v>385</v>
      </c>
      <c r="AI20" s="120">
        <f>SUMIF(AJ20:AM20,"&gt;0")</f>
        <v>4937223</v>
      </c>
      <c r="AJ20" s="124">
        <v>1007702</v>
      </c>
      <c r="AK20" s="124">
        <v>3929521</v>
      </c>
      <c r="AL20" s="79" t="s">
        <v>385</v>
      </c>
      <c r="AM20" s="79" t="s">
        <v>385</v>
      </c>
      <c r="AN20" s="128">
        <f>E20+J20+O20+T20+Y20+AD20+AI20</f>
        <v>28264737.2</v>
      </c>
    </row>
    <row r="21" spans="1:40" ht="126">
      <c r="A21" s="37" t="s">
        <v>17</v>
      </c>
      <c r="B21" s="38" t="s">
        <v>53</v>
      </c>
      <c r="C21" s="12" t="s">
        <v>62</v>
      </c>
      <c r="D21" s="12" t="s">
        <v>296</v>
      </c>
      <c r="E21" s="120">
        <f>SUMIF(F21:I21,"&gt;0")</f>
        <v>358804</v>
      </c>
      <c r="F21" s="124">
        <f>346025+12779</f>
        <v>358804</v>
      </c>
      <c r="G21" s="28" t="s">
        <v>385</v>
      </c>
      <c r="H21" s="28" t="s">
        <v>385</v>
      </c>
      <c r="I21" s="28" t="s">
        <v>385</v>
      </c>
      <c r="J21" s="120">
        <f>SUMIF(K21:N21,"&gt;0")</f>
        <v>377417.8</v>
      </c>
      <c r="K21" s="124">
        <f>376357+1060.8</f>
        <v>377417.8</v>
      </c>
      <c r="L21" s="124" t="s">
        <v>385</v>
      </c>
      <c r="M21" s="79" t="s">
        <v>385</v>
      </c>
      <c r="N21" s="79" t="s">
        <v>385</v>
      </c>
      <c r="O21" s="120">
        <f>SUMIF(P21:S21,"&gt;0")</f>
        <v>378902.9</v>
      </c>
      <c r="P21" s="124">
        <f>376357+2545.92</f>
        <v>378902.9</v>
      </c>
      <c r="Q21" s="124" t="s">
        <v>385</v>
      </c>
      <c r="R21" s="79" t="s">
        <v>385</v>
      </c>
      <c r="S21" s="79" t="s">
        <v>385</v>
      </c>
      <c r="T21" s="120">
        <f>SUMIF(U21:X21,"&gt;0")</f>
        <v>376357</v>
      </c>
      <c r="U21" s="124">
        <v>376357</v>
      </c>
      <c r="V21" s="124" t="s">
        <v>385</v>
      </c>
      <c r="W21" s="79" t="s">
        <v>385</v>
      </c>
      <c r="X21" s="79" t="s">
        <v>385</v>
      </c>
      <c r="Y21" s="120">
        <f>SUMIF(Z21:AC21,"&gt;0")</f>
        <v>412614</v>
      </c>
      <c r="Z21" s="124">
        <v>412614</v>
      </c>
      <c r="AA21" s="79" t="s">
        <v>385</v>
      </c>
      <c r="AB21" s="79" t="s">
        <v>385</v>
      </c>
      <c r="AC21" s="79" t="s">
        <v>385</v>
      </c>
      <c r="AD21" s="120">
        <f>SUMIF(AE21:AH21,"&gt;0")</f>
        <v>429119</v>
      </c>
      <c r="AE21" s="124">
        <v>429119</v>
      </c>
      <c r="AF21" s="79" t="s">
        <v>385</v>
      </c>
      <c r="AG21" s="79" t="s">
        <v>385</v>
      </c>
      <c r="AH21" s="79" t="s">
        <v>385</v>
      </c>
      <c r="AI21" s="120">
        <f>SUMIF(AJ21:AM21,"&gt;0")</f>
        <v>446284</v>
      </c>
      <c r="AJ21" s="124">
        <v>446284</v>
      </c>
      <c r="AK21" s="79" t="s">
        <v>385</v>
      </c>
      <c r="AL21" s="79" t="s">
        <v>385</v>
      </c>
      <c r="AM21" s="79" t="s">
        <v>385</v>
      </c>
      <c r="AN21" s="128">
        <f>E21+J21+O21+T21+Y21+AD21+AI21</f>
        <v>2779498.7</v>
      </c>
    </row>
    <row r="22" spans="1:40" ht="126">
      <c r="A22" s="37" t="s">
        <v>18</v>
      </c>
      <c r="B22" s="38" t="s">
        <v>87</v>
      </c>
      <c r="C22" s="12" t="s">
        <v>57</v>
      </c>
      <c r="D22" s="12" t="s">
        <v>296</v>
      </c>
      <c r="E22" s="120">
        <f>SUMIF(F22:I22,"&gt;0")</f>
        <v>56680</v>
      </c>
      <c r="F22" s="124">
        <v>56680</v>
      </c>
      <c r="G22" s="28" t="s">
        <v>385</v>
      </c>
      <c r="H22" s="28" t="s">
        <v>385</v>
      </c>
      <c r="I22" s="28" t="s">
        <v>385</v>
      </c>
      <c r="J22" s="120">
        <f>SUMIF(K22:N22,"&gt;0")</f>
        <v>60793</v>
      </c>
      <c r="K22" s="124">
        <v>60793</v>
      </c>
      <c r="L22" s="79" t="s">
        <v>385</v>
      </c>
      <c r="M22" s="79" t="s">
        <v>385</v>
      </c>
      <c r="N22" s="79" t="s">
        <v>385</v>
      </c>
      <c r="O22" s="120">
        <f>SUMIF(P22:S22,"&gt;0")</f>
        <v>60793</v>
      </c>
      <c r="P22" s="124">
        <v>60793</v>
      </c>
      <c r="Q22" s="79" t="s">
        <v>385</v>
      </c>
      <c r="R22" s="79" t="s">
        <v>385</v>
      </c>
      <c r="S22" s="79" t="s">
        <v>385</v>
      </c>
      <c r="T22" s="120">
        <f>SUMIF(U22:X22,"&gt;0")</f>
        <v>60793</v>
      </c>
      <c r="U22" s="124">
        <v>60793</v>
      </c>
      <c r="V22" s="79" t="s">
        <v>385</v>
      </c>
      <c r="W22" s="79" t="s">
        <v>385</v>
      </c>
      <c r="X22" s="79" t="s">
        <v>385</v>
      </c>
      <c r="Y22" s="120">
        <f>SUMIF(Z22:AC22,"&gt;0")</f>
        <v>70596</v>
      </c>
      <c r="Z22" s="124">
        <v>70596</v>
      </c>
      <c r="AA22" s="79" t="s">
        <v>385</v>
      </c>
      <c r="AB22" s="79" t="s">
        <v>385</v>
      </c>
      <c r="AC22" s="79" t="s">
        <v>385</v>
      </c>
      <c r="AD22" s="120">
        <f>SUMIF(AE22:AH22,"&gt;0")</f>
        <v>73419</v>
      </c>
      <c r="AE22" s="124">
        <v>73419</v>
      </c>
      <c r="AF22" s="79" t="s">
        <v>385</v>
      </c>
      <c r="AG22" s="79" t="s">
        <v>385</v>
      </c>
      <c r="AH22" s="79" t="s">
        <v>385</v>
      </c>
      <c r="AI22" s="120">
        <f>SUMIF(AJ22:AM22,"&gt;0")</f>
        <v>76355</v>
      </c>
      <c r="AJ22" s="124">
        <v>76355</v>
      </c>
      <c r="AK22" s="79" t="s">
        <v>385</v>
      </c>
      <c r="AL22" s="79" t="s">
        <v>385</v>
      </c>
      <c r="AM22" s="79" t="s">
        <v>385</v>
      </c>
      <c r="AN22" s="128">
        <f>E22+J22+O22+T22+Y22+AD22+AI22</f>
        <v>459429</v>
      </c>
    </row>
    <row r="23" spans="1:43" s="5" customFormat="1" ht="20.25">
      <c r="A23" s="39"/>
      <c r="B23" s="168" t="s">
        <v>13</v>
      </c>
      <c r="C23" s="40"/>
      <c r="D23" s="41"/>
      <c r="E23" s="125">
        <f>SUM(F23:I23)</f>
        <v>5691985.2</v>
      </c>
      <c r="F23" s="125">
        <f>SUM(F19:F22)</f>
        <v>1856701.2</v>
      </c>
      <c r="G23" s="125">
        <f>SUM(G19:G22)</f>
        <v>3835284</v>
      </c>
      <c r="H23" s="74">
        <f>SUM(H19:H22)</f>
        <v>0</v>
      </c>
      <c r="I23" s="74">
        <f>SUM(I19:I22)</f>
        <v>0</v>
      </c>
      <c r="J23" s="125">
        <f>SUM(K23:N23)</f>
        <v>6055558.3</v>
      </c>
      <c r="K23" s="125">
        <f>SUM(K19:K22)</f>
        <v>1928624.3</v>
      </c>
      <c r="L23" s="125">
        <f>SUM(L19:L22)</f>
        <v>4126934</v>
      </c>
      <c r="M23" s="74">
        <f>SUM(M19:M22)</f>
        <v>0</v>
      </c>
      <c r="N23" s="74">
        <f>SUM(N19:N22)</f>
        <v>0</v>
      </c>
      <c r="O23" s="125">
        <f>SUM(P23:S23)</f>
        <v>6126485</v>
      </c>
      <c r="P23" s="125">
        <f>SUM(P19:P22)</f>
        <v>1920584</v>
      </c>
      <c r="Q23" s="74">
        <f>SUM(Q19:Q22)</f>
        <v>4205901</v>
      </c>
      <c r="R23" s="74">
        <f>SUM(R19:R22)</f>
        <v>0</v>
      </c>
      <c r="S23" s="74">
        <f>SUM(S19:S22)</f>
        <v>0</v>
      </c>
      <c r="T23" s="125">
        <f>SUM(U23:X23)</f>
        <v>6180130</v>
      </c>
      <c r="U23" s="125">
        <f>SUM(U19:U22)</f>
        <v>1908352</v>
      </c>
      <c r="V23" s="74">
        <f>SUM(V19:V22)</f>
        <v>4271778</v>
      </c>
      <c r="W23" s="74">
        <f>SUM(W19:W22)</f>
        <v>0</v>
      </c>
      <c r="X23" s="74">
        <f>SUM(X19:X22)</f>
        <v>0</v>
      </c>
      <c r="Y23" s="125">
        <f>SUM(Z23:AC23)</f>
        <v>7410119</v>
      </c>
      <c r="Z23" s="125">
        <f>SUM(Z19:Z22)</f>
        <v>2245785</v>
      </c>
      <c r="AA23" s="125">
        <f>SUM(AA19:AA22)</f>
        <v>5164334</v>
      </c>
      <c r="AB23" s="74">
        <f>SUM(AB19:AB22)</f>
        <v>0</v>
      </c>
      <c r="AC23" s="74">
        <f>SUM(AC19:AC22)</f>
        <v>0</v>
      </c>
      <c r="AD23" s="125">
        <f>SUM(AE23:AH23)</f>
        <v>7767880</v>
      </c>
      <c r="AE23" s="125">
        <f>SUM(AE19:AE22)</f>
        <v>2345143</v>
      </c>
      <c r="AF23" s="125">
        <f>SUM(AF19:AF22)</f>
        <v>5422737</v>
      </c>
      <c r="AG23" s="74">
        <f>SUM(AG19:AG22)</f>
        <v>0</v>
      </c>
      <c r="AH23" s="74">
        <f>SUM(AH19:AH22)</f>
        <v>0</v>
      </c>
      <c r="AI23" s="125">
        <f>SUM(AJ23:AM23)</f>
        <v>8125459</v>
      </c>
      <c r="AJ23" s="125">
        <f>SUM(AJ19:AJ22)</f>
        <v>2437475</v>
      </c>
      <c r="AK23" s="125">
        <f>SUM(AK19:AK22)</f>
        <v>5687984</v>
      </c>
      <c r="AL23" s="74">
        <f>SUM(AL19:AL22)</f>
        <v>0</v>
      </c>
      <c r="AM23" s="74">
        <f>SUM(AM19:AM22)</f>
        <v>0</v>
      </c>
      <c r="AN23" s="128">
        <f>E23+J23+O23+T23+Y23+AD23+AI23</f>
        <v>47357616.5</v>
      </c>
      <c r="AO23" s="22"/>
      <c r="AQ23" s="22"/>
    </row>
    <row r="24" spans="1:43" s="89" customFormat="1" ht="48" customHeight="1">
      <c r="A24" s="83">
        <v>2</v>
      </c>
      <c r="B24" s="154" t="s">
        <v>399</v>
      </c>
      <c r="C24" s="155"/>
      <c r="D24" s="15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7"/>
      <c r="AO24" s="88"/>
      <c r="AP24" s="88"/>
      <c r="AQ24" s="88"/>
    </row>
    <row r="25" spans="1:40" s="18" customFormat="1" ht="47.25" customHeight="1">
      <c r="A25" s="145" t="s">
        <v>19</v>
      </c>
      <c r="B25" s="42" t="s">
        <v>278</v>
      </c>
      <c r="C25" s="141" t="s">
        <v>14</v>
      </c>
      <c r="D25" s="12" t="s">
        <v>296</v>
      </c>
      <c r="E25" s="120">
        <f>SUMIF(F25:I25,"&gt;0")</f>
        <v>806561.2</v>
      </c>
      <c r="F25" s="128">
        <f>SUM(F28:F45)-F26</f>
        <v>56093.7</v>
      </c>
      <c r="G25" s="128">
        <f>SUM(G28:G45)</f>
        <v>372195.9</v>
      </c>
      <c r="H25" s="128">
        <f>SUM(H28:H45)</f>
        <v>378271.6</v>
      </c>
      <c r="I25" s="81">
        <f>SUM(I28:I45)</f>
        <v>0</v>
      </c>
      <c r="J25" s="120">
        <f>SUMIF(K25:N25,"&gt;0")</f>
        <v>1331794.8</v>
      </c>
      <c r="K25" s="128">
        <f>SUM(K28:K45)-K27</f>
        <v>104292.7</v>
      </c>
      <c r="L25" s="128">
        <f>SUM(L28:L45)-L27</f>
        <v>896915</v>
      </c>
      <c r="M25" s="128">
        <f>SUM(M28:M45)</f>
        <v>330587.1</v>
      </c>
      <c r="N25" s="81">
        <f>SUM(N28:N45)</f>
        <v>0</v>
      </c>
      <c r="O25" s="120">
        <f>SUMIF(P25:S25,"&gt;0")</f>
        <v>326563.1</v>
      </c>
      <c r="P25" s="128">
        <f>SUM(P28:P45)</f>
        <v>36998.3</v>
      </c>
      <c r="Q25" s="128">
        <f>SUM(Q28:Q45)</f>
        <v>289564.8</v>
      </c>
      <c r="R25" s="81">
        <f>SUM(R28:R45)</f>
        <v>0</v>
      </c>
      <c r="S25" s="81">
        <f>SUM(S28:S45)</f>
        <v>0</v>
      </c>
      <c r="T25" s="120">
        <f>SUMIF(U25:X25,"&gt;0")</f>
        <v>22867</v>
      </c>
      <c r="U25" s="128">
        <f>SUM(U28:U45)</f>
        <v>22867</v>
      </c>
      <c r="V25" s="81">
        <f>SUM(V28:V45)</f>
        <v>0</v>
      </c>
      <c r="W25" s="81">
        <f>SUM(W28:W45)</f>
        <v>0</v>
      </c>
      <c r="X25" s="81">
        <f>SUM(X28:X45)</f>
        <v>0</v>
      </c>
      <c r="Y25" s="78">
        <f>SUMIF(Z25:AC25,"&gt;0")</f>
        <v>0</v>
      </c>
      <c r="Z25" s="81">
        <f>SUM(Z28:Z45)</f>
        <v>0</v>
      </c>
      <c r="AA25" s="81">
        <f>SUM(AA28:AA45)</f>
        <v>0</v>
      </c>
      <c r="AB25" s="81">
        <f>SUM(AB28:AB45)</f>
        <v>0</v>
      </c>
      <c r="AC25" s="81">
        <f>SUM(AC28:AC45)</f>
        <v>0</v>
      </c>
      <c r="AD25" s="78">
        <f>SUMIF(AE25:AH25,"&gt;0")</f>
        <v>0</v>
      </c>
      <c r="AE25" s="81">
        <f>SUM(AE28:AE45)</f>
        <v>0</v>
      </c>
      <c r="AF25" s="81">
        <f>SUM(AF28:AF45)</f>
        <v>0</v>
      </c>
      <c r="AG25" s="81">
        <f>SUM(AG28:AG45)</f>
        <v>0</v>
      </c>
      <c r="AH25" s="81">
        <f>SUM(AH28:AH45)</f>
        <v>0</v>
      </c>
      <c r="AI25" s="78">
        <f>SUMIF(AJ25:AM25,"&gt;0")</f>
        <v>0</v>
      </c>
      <c r="AJ25" s="81">
        <f>SUM(AJ28:AJ45)</f>
        <v>0</v>
      </c>
      <c r="AK25" s="81">
        <f>SUM(AK28:AK45)</f>
        <v>0</v>
      </c>
      <c r="AL25" s="81">
        <f>SUM(AL28:AL45)</f>
        <v>0</v>
      </c>
      <c r="AM25" s="81">
        <f>SUM(AM28:AM45)</f>
        <v>0</v>
      </c>
      <c r="AN25" s="128">
        <f>E25+J25+O25+T25+Y25+AD25+AI25</f>
        <v>2487786.1</v>
      </c>
    </row>
    <row r="26" spans="1:40" s="18" customFormat="1" ht="18.75">
      <c r="A26" s="147"/>
      <c r="B26" s="77" t="s">
        <v>481</v>
      </c>
      <c r="C26" s="149"/>
      <c r="D26" s="104">
        <v>2021</v>
      </c>
      <c r="E26" s="120">
        <f>SUMIF(F26:I26,"&gt;0")</f>
        <v>7032.5</v>
      </c>
      <c r="F26" s="124">
        <f>F43</f>
        <v>7032.5</v>
      </c>
      <c r="G26" s="118">
        <v>0</v>
      </c>
      <c r="H26" s="118">
        <v>0</v>
      </c>
      <c r="I26" s="118">
        <v>0</v>
      </c>
      <c r="J26" s="78">
        <f>SUMIF(K26:N26,"&gt;0")</f>
        <v>0</v>
      </c>
      <c r="K26" s="118">
        <v>0</v>
      </c>
      <c r="L26" s="118">
        <v>0</v>
      </c>
      <c r="M26" s="118">
        <v>0</v>
      </c>
      <c r="N26" s="118">
        <v>0</v>
      </c>
      <c r="O26" s="78">
        <f>SUMIF(P26:S26,"&gt;0")</f>
        <v>0</v>
      </c>
      <c r="P26" s="118">
        <v>0</v>
      </c>
      <c r="Q26" s="118">
        <v>0</v>
      </c>
      <c r="R26" s="118">
        <v>0</v>
      </c>
      <c r="S26" s="118">
        <v>0</v>
      </c>
      <c r="T26" s="78">
        <f>SUMIF(U26:X26,"&gt;0")</f>
        <v>0</v>
      </c>
      <c r="U26" s="118">
        <v>0</v>
      </c>
      <c r="V26" s="118">
        <v>0</v>
      </c>
      <c r="W26" s="118">
        <v>0</v>
      </c>
      <c r="X26" s="118">
        <v>0</v>
      </c>
      <c r="Y26" s="78">
        <f>SUMIF(Z26:AC26,"&gt;0")</f>
        <v>0</v>
      </c>
      <c r="Z26" s="118">
        <v>0</v>
      </c>
      <c r="AA26" s="118">
        <v>0</v>
      </c>
      <c r="AB26" s="118">
        <v>0</v>
      </c>
      <c r="AC26" s="118">
        <v>0</v>
      </c>
      <c r="AD26" s="78">
        <f>SUMIF(AE26:AH26,"&gt;0")</f>
        <v>0</v>
      </c>
      <c r="AE26" s="118">
        <v>0</v>
      </c>
      <c r="AF26" s="118">
        <v>0</v>
      </c>
      <c r="AG26" s="118">
        <v>0</v>
      </c>
      <c r="AH26" s="118">
        <v>0</v>
      </c>
      <c r="AI26" s="78">
        <f>SUMIF(AJ26:AM26,"&gt;0")</f>
        <v>0</v>
      </c>
      <c r="AJ26" s="118">
        <v>0</v>
      </c>
      <c r="AK26" s="118">
        <v>0</v>
      </c>
      <c r="AL26" s="118">
        <v>0</v>
      </c>
      <c r="AM26" s="118">
        <v>0</v>
      </c>
      <c r="AN26" s="120">
        <f>E26+J26+O26+T26+Y26+AD26+AI26</f>
        <v>7032.5</v>
      </c>
    </row>
    <row r="27" spans="1:40" s="18" customFormat="1" ht="18.75">
      <c r="A27" s="147"/>
      <c r="B27" s="77" t="s">
        <v>527</v>
      </c>
      <c r="C27" s="149"/>
      <c r="D27" s="104">
        <v>2022</v>
      </c>
      <c r="E27" s="78">
        <f>SUMIF(F27:I27,"&gt;0")</f>
        <v>0</v>
      </c>
      <c r="F27" s="118">
        <v>0</v>
      </c>
      <c r="G27" s="118">
        <v>0</v>
      </c>
      <c r="H27" s="118">
        <v>0</v>
      </c>
      <c r="I27" s="118">
        <v>0</v>
      </c>
      <c r="J27" s="120">
        <f>SUMIF(K27:N27,"&gt;0")</f>
        <v>1380.4</v>
      </c>
      <c r="K27" s="124">
        <f>K44</f>
        <v>1380.4</v>
      </c>
      <c r="L27" s="118">
        <v>0</v>
      </c>
      <c r="M27" s="118">
        <v>0</v>
      </c>
      <c r="N27" s="118">
        <v>0</v>
      </c>
      <c r="O27" s="78">
        <f>SUMIF(P27:S27,"&gt;0")</f>
        <v>0</v>
      </c>
      <c r="P27" s="118">
        <v>0</v>
      </c>
      <c r="Q27" s="118">
        <v>0</v>
      </c>
      <c r="R27" s="118">
        <v>0</v>
      </c>
      <c r="S27" s="118">
        <v>0</v>
      </c>
      <c r="T27" s="78">
        <f>SUMIF(U27:X27,"&gt;0")</f>
        <v>0</v>
      </c>
      <c r="U27" s="118">
        <v>0</v>
      </c>
      <c r="V27" s="118">
        <v>0</v>
      </c>
      <c r="W27" s="118">
        <v>0</v>
      </c>
      <c r="X27" s="118">
        <v>0</v>
      </c>
      <c r="Y27" s="78">
        <f>SUMIF(Z27:AC27,"&gt;0")</f>
        <v>0</v>
      </c>
      <c r="Z27" s="118">
        <v>0</v>
      </c>
      <c r="AA27" s="118">
        <v>0</v>
      </c>
      <c r="AB27" s="118">
        <v>0</v>
      </c>
      <c r="AC27" s="118">
        <v>0</v>
      </c>
      <c r="AD27" s="78">
        <f>SUMIF(AE27:AH27,"&gt;0")</f>
        <v>0</v>
      </c>
      <c r="AE27" s="118">
        <v>0</v>
      </c>
      <c r="AF27" s="118">
        <v>0</v>
      </c>
      <c r="AG27" s="118">
        <v>0</v>
      </c>
      <c r="AH27" s="118">
        <v>0</v>
      </c>
      <c r="AI27" s="78">
        <f>SUMIF(AJ27:AM27,"&gt;0")</f>
        <v>0</v>
      </c>
      <c r="AJ27" s="118">
        <v>0</v>
      </c>
      <c r="AK27" s="118">
        <v>0</v>
      </c>
      <c r="AL27" s="118">
        <v>0</v>
      </c>
      <c r="AM27" s="118">
        <v>0</v>
      </c>
      <c r="AN27" s="120">
        <f>E27+J27+O27+T27+Y27+AD27+AI27</f>
        <v>1380.4</v>
      </c>
    </row>
    <row r="28" spans="1:40" s="18" customFormat="1" ht="63">
      <c r="A28" s="37" t="s">
        <v>69</v>
      </c>
      <c r="B28" s="77" t="s">
        <v>400</v>
      </c>
      <c r="C28" s="76" t="s">
        <v>14</v>
      </c>
      <c r="D28" s="12" t="s">
        <v>401</v>
      </c>
      <c r="E28" s="78">
        <f>SUMIF(F28:I28,"&gt;0")</f>
        <v>0</v>
      </c>
      <c r="F28" s="28" t="s">
        <v>385</v>
      </c>
      <c r="G28" s="28" t="s">
        <v>385</v>
      </c>
      <c r="H28" s="28" t="s">
        <v>385</v>
      </c>
      <c r="I28" s="28" t="s">
        <v>385</v>
      </c>
      <c r="J28" s="78">
        <f>SUMIF(K28:N28,"&gt;0")</f>
        <v>0</v>
      </c>
      <c r="K28" s="79" t="s">
        <v>385</v>
      </c>
      <c r="L28" s="79" t="s">
        <v>385</v>
      </c>
      <c r="M28" s="79" t="s">
        <v>385</v>
      </c>
      <c r="N28" s="79" t="s">
        <v>385</v>
      </c>
      <c r="O28" s="78">
        <f>SUMIF(P28:S28,"&gt;0")</f>
        <v>0</v>
      </c>
      <c r="P28" s="79" t="s">
        <v>385</v>
      </c>
      <c r="Q28" s="79" t="s">
        <v>385</v>
      </c>
      <c r="R28" s="79" t="s">
        <v>385</v>
      </c>
      <c r="S28" s="79" t="s">
        <v>385</v>
      </c>
      <c r="T28" s="78">
        <f>SUMIF(U28:X28,"&gt;0")</f>
        <v>0</v>
      </c>
      <c r="U28" s="79" t="s">
        <v>385</v>
      </c>
      <c r="V28" s="79" t="s">
        <v>385</v>
      </c>
      <c r="W28" s="79" t="s">
        <v>385</v>
      </c>
      <c r="X28" s="79" t="s">
        <v>385</v>
      </c>
      <c r="Y28" s="78">
        <f>SUMIF(Z28:AC28,"&gt;0")</f>
        <v>0</v>
      </c>
      <c r="Z28" s="79" t="s">
        <v>385</v>
      </c>
      <c r="AA28" s="79" t="s">
        <v>385</v>
      </c>
      <c r="AB28" s="79" t="s">
        <v>385</v>
      </c>
      <c r="AC28" s="79" t="s">
        <v>385</v>
      </c>
      <c r="AD28" s="78">
        <f>SUMIF(AE28:AH28,"&gt;0")</f>
        <v>0</v>
      </c>
      <c r="AE28" s="79" t="s">
        <v>385</v>
      </c>
      <c r="AF28" s="79" t="s">
        <v>385</v>
      </c>
      <c r="AG28" s="79" t="s">
        <v>385</v>
      </c>
      <c r="AH28" s="79" t="s">
        <v>385</v>
      </c>
      <c r="AI28" s="78">
        <f>SUMIF(AJ28:AM28,"&gt;0")</f>
        <v>0</v>
      </c>
      <c r="AJ28" s="79" t="s">
        <v>385</v>
      </c>
      <c r="AK28" s="79" t="s">
        <v>385</v>
      </c>
      <c r="AL28" s="79" t="s">
        <v>385</v>
      </c>
      <c r="AM28" s="79" t="s">
        <v>385</v>
      </c>
      <c r="AN28" s="78">
        <f aca="true" t="shared" si="0" ref="AN28:AN49">E28+J28+O28+T28+Y28+AD28+AI28</f>
        <v>0</v>
      </c>
    </row>
    <row r="29" spans="1:40" s="18" customFormat="1" ht="47.25">
      <c r="A29" s="37" t="s">
        <v>70</v>
      </c>
      <c r="B29" s="77" t="s">
        <v>88</v>
      </c>
      <c r="C29" s="76" t="s">
        <v>14</v>
      </c>
      <c r="D29" s="12" t="s">
        <v>296</v>
      </c>
      <c r="E29" s="78">
        <f aca="true" t="shared" si="1" ref="E29:E84">SUMIF(F29:I29,"&gt;0")</f>
        <v>0</v>
      </c>
      <c r="F29" s="28" t="s">
        <v>385</v>
      </c>
      <c r="G29" s="28" t="s">
        <v>385</v>
      </c>
      <c r="H29" s="28" t="s">
        <v>385</v>
      </c>
      <c r="I29" s="28" t="s">
        <v>385</v>
      </c>
      <c r="J29" s="78">
        <f aca="true" t="shared" si="2" ref="J29:J37">SUMIF(K29:N29,"&gt;0")</f>
        <v>0</v>
      </c>
      <c r="K29" s="79" t="s">
        <v>385</v>
      </c>
      <c r="L29" s="79" t="s">
        <v>385</v>
      </c>
      <c r="M29" s="79" t="s">
        <v>385</v>
      </c>
      <c r="N29" s="79" t="s">
        <v>385</v>
      </c>
      <c r="O29" s="78">
        <f aca="true" t="shared" si="3" ref="O29:O37">SUMIF(P29:S29,"&gt;0")</f>
        <v>0</v>
      </c>
      <c r="P29" s="79" t="s">
        <v>385</v>
      </c>
      <c r="Q29" s="79" t="s">
        <v>385</v>
      </c>
      <c r="R29" s="79" t="s">
        <v>385</v>
      </c>
      <c r="S29" s="79" t="s">
        <v>385</v>
      </c>
      <c r="T29" s="78">
        <f aca="true" t="shared" si="4" ref="T29:T37">SUMIF(U29:X29,"&gt;0")</f>
        <v>0</v>
      </c>
      <c r="U29" s="79" t="s">
        <v>385</v>
      </c>
      <c r="V29" s="79" t="s">
        <v>385</v>
      </c>
      <c r="W29" s="79" t="s">
        <v>385</v>
      </c>
      <c r="X29" s="79" t="s">
        <v>385</v>
      </c>
      <c r="Y29" s="78">
        <f aca="true" t="shared" si="5" ref="Y29:Y37">SUMIF(Z29:AC29,"&gt;0")</f>
        <v>0</v>
      </c>
      <c r="Z29" s="79" t="s">
        <v>385</v>
      </c>
      <c r="AA29" s="79" t="s">
        <v>385</v>
      </c>
      <c r="AB29" s="79" t="s">
        <v>385</v>
      </c>
      <c r="AC29" s="79" t="s">
        <v>385</v>
      </c>
      <c r="AD29" s="78">
        <f aca="true" t="shared" si="6" ref="AD29:AD37">SUMIF(AE29:AH29,"&gt;0")</f>
        <v>0</v>
      </c>
      <c r="AE29" s="79" t="s">
        <v>385</v>
      </c>
      <c r="AF29" s="79" t="s">
        <v>385</v>
      </c>
      <c r="AG29" s="79" t="s">
        <v>385</v>
      </c>
      <c r="AH29" s="79" t="s">
        <v>385</v>
      </c>
      <c r="AI29" s="78">
        <f aca="true" t="shared" si="7" ref="AI29:AI37">SUMIF(AJ29:AM29,"&gt;0")</f>
        <v>0</v>
      </c>
      <c r="AJ29" s="79" t="s">
        <v>385</v>
      </c>
      <c r="AK29" s="79" t="s">
        <v>385</v>
      </c>
      <c r="AL29" s="79" t="s">
        <v>385</v>
      </c>
      <c r="AM29" s="79" t="s">
        <v>385</v>
      </c>
      <c r="AN29" s="78">
        <f t="shared" si="0"/>
        <v>0</v>
      </c>
    </row>
    <row r="30" spans="1:40" s="18" customFormat="1" ht="47.25">
      <c r="A30" s="37" t="s">
        <v>71</v>
      </c>
      <c r="B30" s="77" t="s">
        <v>58</v>
      </c>
      <c r="C30" s="76" t="s">
        <v>14</v>
      </c>
      <c r="D30" s="12" t="s">
        <v>296</v>
      </c>
      <c r="E30" s="78">
        <f t="shared" si="1"/>
        <v>0</v>
      </c>
      <c r="F30" s="28" t="s">
        <v>385</v>
      </c>
      <c r="G30" s="28" t="s">
        <v>385</v>
      </c>
      <c r="H30" s="28" t="s">
        <v>385</v>
      </c>
      <c r="I30" s="28" t="s">
        <v>385</v>
      </c>
      <c r="J30" s="78">
        <f t="shared" si="2"/>
        <v>0</v>
      </c>
      <c r="K30" s="79" t="s">
        <v>385</v>
      </c>
      <c r="L30" s="79" t="s">
        <v>385</v>
      </c>
      <c r="M30" s="79" t="s">
        <v>385</v>
      </c>
      <c r="N30" s="79" t="s">
        <v>385</v>
      </c>
      <c r="O30" s="78">
        <f t="shared" si="3"/>
        <v>0</v>
      </c>
      <c r="P30" s="79" t="s">
        <v>385</v>
      </c>
      <c r="Q30" s="79" t="s">
        <v>385</v>
      </c>
      <c r="R30" s="79" t="s">
        <v>385</v>
      </c>
      <c r="S30" s="79" t="s">
        <v>385</v>
      </c>
      <c r="T30" s="78">
        <f t="shared" si="4"/>
        <v>0</v>
      </c>
      <c r="U30" s="79" t="s">
        <v>385</v>
      </c>
      <c r="V30" s="79" t="s">
        <v>385</v>
      </c>
      <c r="W30" s="79" t="s">
        <v>385</v>
      </c>
      <c r="X30" s="79" t="s">
        <v>385</v>
      </c>
      <c r="Y30" s="78">
        <f t="shared" si="5"/>
        <v>0</v>
      </c>
      <c r="Z30" s="79" t="s">
        <v>385</v>
      </c>
      <c r="AA30" s="79" t="s">
        <v>385</v>
      </c>
      <c r="AB30" s="79" t="s">
        <v>385</v>
      </c>
      <c r="AC30" s="79" t="s">
        <v>385</v>
      </c>
      <c r="AD30" s="78">
        <f t="shared" si="6"/>
        <v>0</v>
      </c>
      <c r="AE30" s="79" t="s">
        <v>385</v>
      </c>
      <c r="AF30" s="79" t="s">
        <v>385</v>
      </c>
      <c r="AG30" s="79" t="s">
        <v>385</v>
      </c>
      <c r="AH30" s="79" t="s">
        <v>385</v>
      </c>
      <c r="AI30" s="78">
        <f t="shared" si="7"/>
        <v>0</v>
      </c>
      <c r="AJ30" s="79" t="s">
        <v>385</v>
      </c>
      <c r="AK30" s="79" t="s">
        <v>385</v>
      </c>
      <c r="AL30" s="79" t="s">
        <v>385</v>
      </c>
      <c r="AM30" s="79" t="s">
        <v>385</v>
      </c>
      <c r="AN30" s="78">
        <f t="shared" si="0"/>
        <v>0</v>
      </c>
    </row>
    <row r="31" spans="1:40" s="18" customFormat="1" ht="78.75">
      <c r="A31" s="37" t="s">
        <v>72</v>
      </c>
      <c r="B31" s="77" t="s">
        <v>402</v>
      </c>
      <c r="C31" s="76" t="s">
        <v>14</v>
      </c>
      <c r="D31" s="12" t="s">
        <v>296</v>
      </c>
      <c r="E31" s="78">
        <f t="shared" si="1"/>
        <v>0</v>
      </c>
      <c r="F31" s="28" t="s">
        <v>385</v>
      </c>
      <c r="G31" s="28" t="s">
        <v>385</v>
      </c>
      <c r="H31" s="28" t="s">
        <v>385</v>
      </c>
      <c r="I31" s="28" t="s">
        <v>385</v>
      </c>
      <c r="J31" s="120">
        <f t="shared" si="2"/>
        <v>3756.6</v>
      </c>
      <c r="K31" s="124">
        <f>7273-1472.18629-2044.25287</f>
        <v>3756.6</v>
      </c>
      <c r="L31" s="79" t="s">
        <v>385</v>
      </c>
      <c r="M31" s="79" t="s">
        <v>385</v>
      </c>
      <c r="N31" s="79" t="s">
        <v>385</v>
      </c>
      <c r="O31" s="120">
        <f t="shared" si="3"/>
        <v>7273</v>
      </c>
      <c r="P31" s="124">
        <v>7273</v>
      </c>
      <c r="Q31" s="79" t="s">
        <v>385</v>
      </c>
      <c r="R31" s="79" t="s">
        <v>385</v>
      </c>
      <c r="S31" s="79" t="s">
        <v>385</v>
      </c>
      <c r="T31" s="120">
        <f t="shared" si="4"/>
        <v>7644</v>
      </c>
      <c r="U31" s="124">
        <v>7644</v>
      </c>
      <c r="V31" s="79" t="s">
        <v>385</v>
      </c>
      <c r="W31" s="79" t="s">
        <v>385</v>
      </c>
      <c r="X31" s="79" t="s">
        <v>385</v>
      </c>
      <c r="Y31" s="78">
        <f t="shared" si="5"/>
        <v>0</v>
      </c>
      <c r="Z31" s="79" t="s">
        <v>385</v>
      </c>
      <c r="AA31" s="79" t="s">
        <v>385</v>
      </c>
      <c r="AB31" s="79" t="s">
        <v>385</v>
      </c>
      <c r="AC31" s="79" t="s">
        <v>385</v>
      </c>
      <c r="AD31" s="78">
        <f t="shared" si="6"/>
        <v>0</v>
      </c>
      <c r="AE31" s="79" t="s">
        <v>385</v>
      </c>
      <c r="AF31" s="79" t="s">
        <v>385</v>
      </c>
      <c r="AG31" s="79" t="s">
        <v>385</v>
      </c>
      <c r="AH31" s="79" t="s">
        <v>385</v>
      </c>
      <c r="AI31" s="78">
        <f t="shared" si="7"/>
        <v>0</v>
      </c>
      <c r="AJ31" s="79" t="s">
        <v>385</v>
      </c>
      <c r="AK31" s="79" t="s">
        <v>385</v>
      </c>
      <c r="AL31" s="79" t="s">
        <v>385</v>
      </c>
      <c r="AM31" s="79" t="s">
        <v>385</v>
      </c>
      <c r="AN31" s="120">
        <f t="shared" si="0"/>
        <v>18673.6</v>
      </c>
    </row>
    <row r="32" spans="1:40" s="18" customFormat="1" ht="47.25">
      <c r="A32" s="37" t="s">
        <v>73</v>
      </c>
      <c r="B32" s="20" t="s">
        <v>59</v>
      </c>
      <c r="C32" s="76" t="s">
        <v>14</v>
      </c>
      <c r="D32" s="12" t="s">
        <v>296</v>
      </c>
      <c r="E32" s="78">
        <f t="shared" si="1"/>
        <v>0</v>
      </c>
      <c r="F32" s="28" t="s">
        <v>385</v>
      </c>
      <c r="G32" s="28" t="s">
        <v>385</v>
      </c>
      <c r="H32" s="28" t="s">
        <v>385</v>
      </c>
      <c r="I32" s="28" t="s">
        <v>385</v>
      </c>
      <c r="J32" s="78">
        <f t="shared" si="2"/>
        <v>0</v>
      </c>
      <c r="K32" s="79" t="s">
        <v>385</v>
      </c>
      <c r="L32" s="79" t="s">
        <v>385</v>
      </c>
      <c r="M32" s="79" t="s">
        <v>385</v>
      </c>
      <c r="N32" s="79" t="s">
        <v>385</v>
      </c>
      <c r="O32" s="78">
        <f t="shared" si="3"/>
        <v>0</v>
      </c>
      <c r="P32" s="79" t="s">
        <v>385</v>
      </c>
      <c r="Q32" s="79" t="s">
        <v>385</v>
      </c>
      <c r="R32" s="79" t="s">
        <v>385</v>
      </c>
      <c r="S32" s="79" t="s">
        <v>385</v>
      </c>
      <c r="T32" s="78">
        <f t="shared" si="4"/>
        <v>0</v>
      </c>
      <c r="U32" s="79" t="s">
        <v>385</v>
      </c>
      <c r="V32" s="79" t="s">
        <v>385</v>
      </c>
      <c r="W32" s="79" t="s">
        <v>385</v>
      </c>
      <c r="X32" s="79" t="s">
        <v>385</v>
      </c>
      <c r="Y32" s="78">
        <f t="shared" si="5"/>
        <v>0</v>
      </c>
      <c r="Z32" s="79" t="s">
        <v>385</v>
      </c>
      <c r="AA32" s="79" t="s">
        <v>385</v>
      </c>
      <c r="AB32" s="79" t="s">
        <v>385</v>
      </c>
      <c r="AC32" s="79" t="s">
        <v>385</v>
      </c>
      <c r="AD32" s="78">
        <f t="shared" si="6"/>
        <v>0</v>
      </c>
      <c r="AE32" s="79" t="s">
        <v>385</v>
      </c>
      <c r="AF32" s="79" t="s">
        <v>385</v>
      </c>
      <c r="AG32" s="79" t="s">
        <v>385</v>
      </c>
      <c r="AH32" s="79" t="s">
        <v>385</v>
      </c>
      <c r="AI32" s="78">
        <f t="shared" si="7"/>
        <v>0</v>
      </c>
      <c r="AJ32" s="79" t="s">
        <v>385</v>
      </c>
      <c r="AK32" s="79" t="s">
        <v>385</v>
      </c>
      <c r="AL32" s="79" t="s">
        <v>385</v>
      </c>
      <c r="AM32" s="79" t="s">
        <v>385</v>
      </c>
      <c r="AN32" s="78">
        <f t="shared" si="0"/>
        <v>0</v>
      </c>
    </row>
    <row r="33" spans="1:40" s="18" customFormat="1" ht="47.25">
      <c r="A33" s="37" t="s">
        <v>74</v>
      </c>
      <c r="B33" s="20" t="s">
        <v>60</v>
      </c>
      <c r="C33" s="76" t="s">
        <v>14</v>
      </c>
      <c r="D33" s="12" t="s">
        <v>296</v>
      </c>
      <c r="E33" s="78">
        <f t="shared" si="1"/>
        <v>0</v>
      </c>
      <c r="F33" s="28" t="s">
        <v>385</v>
      </c>
      <c r="G33" s="28" t="s">
        <v>385</v>
      </c>
      <c r="H33" s="28" t="s">
        <v>385</v>
      </c>
      <c r="I33" s="28" t="s">
        <v>385</v>
      </c>
      <c r="J33" s="78">
        <f t="shared" si="2"/>
        <v>0</v>
      </c>
      <c r="K33" s="79" t="s">
        <v>385</v>
      </c>
      <c r="L33" s="79" t="s">
        <v>385</v>
      </c>
      <c r="M33" s="79" t="s">
        <v>385</v>
      </c>
      <c r="N33" s="79" t="s">
        <v>385</v>
      </c>
      <c r="O33" s="78">
        <f t="shared" si="3"/>
        <v>0</v>
      </c>
      <c r="P33" s="79" t="s">
        <v>385</v>
      </c>
      <c r="Q33" s="79" t="s">
        <v>385</v>
      </c>
      <c r="R33" s="79" t="s">
        <v>385</v>
      </c>
      <c r="S33" s="79" t="s">
        <v>385</v>
      </c>
      <c r="T33" s="78">
        <f t="shared" si="4"/>
        <v>0</v>
      </c>
      <c r="U33" s="79" t="s">
        <v>385</v>
      </c>
      <c r="V33" s="79" t="s">
        <v>385</v>
      </c>
      <c r="W33" s="79" t="s">
        <v>385</v>
      </c>
      <c r="X33" s="79" t="s">
        <v>385</v>
      </c>
      <c r="Y33" s="78">
        <f t="shared" si="5"/>
        <v>0</v>
      </c>
      <c r="Z33" s="79" t="s">
        <v>385</v>
      </c>
      <c r="AA33" s="79" t="s">
        <v>385</v>
      </c>
      <c r="AB33" s="79" t="s">
        <v>385</v>
      </c>
      <c r="AC33" s="79" t="s">
        <v>385</v>
      </c>
      <c r="AD33" s="78">
        <f t="shared" si="6"/>
        <v>0</v>
      </c>
      <c r="AE33" s="79" t="s">
        <v>385</v>
      </c>
      <c r="AF33" s="79" t="s">
        <v>385</v>
      </c>
      <c r="AG33" s="79" t="s">
        <v>385</v>
      </c>
      <c r="AH33" s="79" t="s">
        <v>385</v>
      </c>
      <c r="AI33" s="78">
        <f t="shared" si="7"/>
        <v>0</v>
      </c>
      <c r="AJ33" s="79" t="s">
        <v>385</v>
      </c>
      <c r="AK33" s="79" t="s">
        <v>385</v>
      </c>
      <c r="AL33" s="79" t="s">
        <v>385</v>
      </c>
      <c r="AM33" s="79" t="s">
        <v>385</v>
      </c>
      <c r="AN33" s="78">
        <f t="shared" si="0"/>
        <v>0</v>
      </c>
    </row>
    <row r="34" spans="1:40" s="18" customFormat="1" ht="94.5">
      <c r="A34" s="37" t="s">
        <v>75</v>
      </c>
      <c r="B34" s="20" t="s">
        <v>403</v>
      </c>
      <c r="C34" s="76" t="s">
        <v>14</v>
      </c>
      <c r="D34" s="12" t="s">
        <v>296</v>
      </c>
      <c r="E34" s="78">
        <f t="shared" si="1"/>
        <v>0</v>
      </c>
      <c r="F34" s="28" t="s">
        <v>385</v>
      </c>
      <c r="G34" s="28" t="s">
        <v>385</v>
      </c>
      <c r="H34" s="28" t="s">
        <v>385</v>
      </c>
      <c r="I34" s="28" t="s">
        <v>385</v>
      </c>
      <c r="J34" s="78">
        <f t="shared" si="2"/>
        <v>0</v>
      </c>
      <c r="K34" s="79" t="s">
        <v>385</v>
      </c>
      <c r="L34" s="79" t="s">
        <v>385</v>
      </c>
      <c r="M34" s="79" t="s">
        <v>385</v>
      </c>
      <c r="N34" s="79" t="s">
        <v>385</v>
      </c>
      <c r="O34" s="78">
        <f t="shared" si="3"/>
        <v>0</v>
      </c>
      <c r="P34" s="79" t="s">
        <v>385</v>
      </c>
      <c r="Q34" s="79" t="s">
        <v>385</v>
      </c>
      <c r="R34" s="79" t="s">
        <v>385</v>
      </c>
      <c r="S34" s="79" t="s">
        <v>385</v>
      </c>
      <c r="T34" s="78">
        <f t="shared" si="4"/>
        <v>0</v>
      </c>
      <c r="U34" s="79" t="s">
        <v>385</v>
      </c>
      <c r="V34" s="79" t="s">
        <v>385</v>
      </c>
      <c r="W34" s="79" t="s">
        <v>385</v>
      </c>
      <c r="X34" s="79" t="s">
        <v>385</v>
      </c>
      <c r="Y34" s="78">
        <f t="shared" si="5"/>
        <v>0</v>
      </c>
      <c r="Z34" s="79" t="s">
        <v>385</v>
      </c>
      <c r="AA34" s="79" t="s">
        <v>385</v>
      </c>
      <c r="AB34" s="79" t="s">
        <v>385</v>
      </c>
      <c r="AC34" s="79" t="s">
        <v>385</v>
      </c>
      <c r="AD34" s="78">
        <f t="shared" si="6"/>
        <v>0</v>
      </c>
      <c r="AE34" s="79" t="s">
        <v>385</v>
      </c>
      <c r="AF34" s="79" t="s">
        <v>385</v>
      </c>
      <c r="AG34" s="79" t="s">
        <v>385</v>
      </c>
      <c r="AH34" s="79" t="s">
        <v>385</v>
      </c>
      <c r="AI34" s="78">
        <f t="shared" si="7"/>
        <v>0</v>
      </c>
      <c r="AJ34" s="79" t="s">
        <v>385</v>
      </c>
      <c r="AK34" s="79" t="s">
        <v>385</v>
      </c>
      <c r="AL34" s="79" t="s">
        <v>385</v>
      </c>
      <c r="AM34" s="79" t="s">
        <v>385</v>
      </c>
      <c r="AN34" s="78">
        <f t="shared" si="0"/>
        <v>0</v>
      </c>
    </row>
    <row r="35" spans="1:40" s="18" customFormat="1" ht="63">
      <c r="A35" s="37" t="s">
        <v>76</v>
      </c>
      <c r="B35" s="20" t="s">
        <v>204</v>
      </c>
      <c r="C35" s="76" t="s">
        <v>14</v>
      </c>
      <c r="D35" s="12" t="s">
        <v>296</v>
      </c>
      <c r="E35" s="120">
        <f t="shared" si="1"/>
        <v>606288.6</v>
      </c>
      <c r="F35" s="124">
        <f>36708.97385-6394.5</f>
        <v>30314.5</v>
      </c>
      <c r="G35" s="124">
        <f>190665.00307+52942.5804</f>
        <v>243607.6</v>
      </c>
      <c r="H35" s="124">
        <f>332366.5</f>
        <v>332366.5</v>
      </c>
      <c r="I35" s="28" t="s">
        <v>385</v>
      </c>
      <c r="J35" s="120">
        <f t="shared" si="2"/>
        <v>1286035.8</v>
      </c>
      <c r="K35" s="124">
        <f>23670+39593.44143+20766.96067</f>
        <v>84030.4</v>
      </c>
      <c r="L35" s="124">
        <f>185955.244+685463.0432</f>
        <v>871418.3</v>
      </c>
      <c r="M35" s="124">
        <f>330587.1</f>
        <v>330587.1</v>
      </c>
      <c r="N35" s="79" t="s">
        <v>385</v>
      </c>
      <c r="O35" s="120">
        <f t="shared" si="3"/>
        <v>304805.1</v>
      </c>
      <c r="P35" s="124">
        <f>6324+8916.25023</f>
        <v>15240.3</v>
      </c>
      <c r="Q35" s="124">
        <f>116964.8+172599.9543</f>
        <v>289564.8</v>
      </c>
      <c r="R35" s="79" t="s">
        <v>385</v>
      </c>
      <c r="S35" s="79" t="s">
        <v>385</v>
      </c>
      <c r="T35" s="78">
        <f t="shared" si="4"/>
        <v>0</v>
      </c>
      <c r="U35" s="79" t="s">
        <v>385</v>
      </c>
      <c r="V35" s="79" t="s">
        <v>385</v>
      </c>
      <c r="W35" s="79" t="s">
        <v>385</v>
      </c>
      <c r="X35" s="79" t="s">
        <v>385</v>
      </c>
      <c r="Y35" s="78">
        <f t="shared" si="5"/>
        <v>0</v>
      </c>
      <c r="Z35" s="79" t="s">
        <v>385</v>
      </c>
      <c r="AA35" s="79" t="s">
        <v>385</v>
      </c>
      <c r="AB35" s="79" t="s">
        <v>385</v>
      </c>
      <c r="AC35" s="79" t="s">
        <v>385</v>
      </c>
      <c r="AD35" s="78">
        <f t="shared" si="6"/>
        <v>0</v>
      </c>
      <c r="AE35" s="79" t="s">
        <v>385</v>
      </c>
      <c r="AF35" s="79" t="s">
        <v>385</v>
      </c>
      <c r="AG35" s="79" t="s">
        <v>385</v>
      </c>
      <c r="AH35" s="79" t="s">
        <v>385</v>
      </c>
      <c r="AI35" s="78">
        <f t="shared" si="7"/>
        <v>0</v>
      </c>
      <c r="AJ35" s="79" t="s">
        <v>385</v>
      </c>
      <c r="AK35" s="79" t="s">
        <v>385</v>
      </c>
      <c r="AL35" s="79" t="s">
        <v>385</v>
      </c>
      <c r="AM35" s="79" t="s">
        <v>385</v>
      </c>
      <c r="AN35" s="128">
        <f t="shared" si="0"/>
        <v>2197129.5</v>
      </c>
    </row>
    <row r="36" spans="1:40" s="18" customFormat="1" ht="47.25">
      <c r="A36" s="37" t="s">
        <v>77</v>
      </c>
      <c r="B36" s="20" t="s">
        <v>474</v>
      </c>
      <c r="C36" s="76" t="s">
        <v>14</v>
      </c>
      <c r="D36" s="12" t="s">
        <v>296</v>
      </c>
      <c r="E36" s="120">
        <f t="shared" si="1"/>
        <v>9100</v>
      </c>
      <c r="F36" s="124">
        <f>10135.642-518-517.642</f>
        <v>9100</v>
      </c>
      <c r="G36" s="28" t="s">
        <v>385</v>
      </c>
      <c r="H36" s="28" t="s">
        <v>385</v>
      </c>
      <c r="I36" s="28" t="s">
        <v>385</v>
      </c>
      <c r="J36" s="120">
        <f t="shared" si="2"/>
        <v>9580</v>
      </c>
      <c r="K36" s="124">
        <v>9580</v>
      </c>
      <c r="L36" s="79" t="s">
        <v>385</v>
      </c>
      <c r="M36" s="79" t="s">
        <v>385</v>
      </c>
      <c r="N36" s="79" t="s">
        <v>385</v>
      </c>
      <c r="O36" s="120">
        <f t="shared" si="3"/>
        <v>9580</v>
      </c>
      <c r="P36" s="124">
        <v>9580</v>
      </c>
      <c r="Q36" s="79" t="s">
        <v>385</v>
      </c>
      <c r="R36" s="79" t="s">
        <v>385</v>
      </c>
      <c r="S36" s="79" t="s">
        <v>385</v>
      </c>
      <c r="T36" s="120">
        <f t="shared" si="4"/>
        <v>10068</v>
      </c>
      <c r="U36" s="124">
        <v>10068</v>
      </c>
      <c r="V36" s="79" t="s">
        <v>385</v>
      </c>
      <c r="W36" s="79" t="s">
        <v>385</v>
      </c>
      <c r="X36" s="79" t="s">
        <v>385</v>
      </c>
      <c r="Y36" s="78">
        <f t="shared" si="5"/>
        <v>0</v>
      </c>
      <c r="Z36" s="79" t="s">
        <v>385</v>
      </c>
      <c r="AA36" s="79" t="s">
        <v>385</v>
      </c>
      <c r="AB36" s="79" t="s">
        <v>385</v>
      </c>
      <c r="AC36" s="79" t="s">
        <v>385</v>
      </c>
      <c r="AD36" s="78">
        <f t="shared" si="6"/>
        <v>0</v>
      </c>
      <c r="AE36" s="79" t="s">
        <v>385</v>
      </c>
      <c r="AF36" s="79" t="s">
        <v>385</v>
      </c>
      <c r="AG36" s="79" t="s">
        <v>385</v>
      </c>
      <c r="AH36" s="79" t="s">
        <v>385</v>
      </c>
      <c r="AI36" s="78">
        <f t="shared" si="7"/>
        <v>0</v>
      </c>
      <c r="AJ36" s="79" t="s">
        <v>385</v>
      </c>
      <c r="AK36" s="79" t="s">
        <v>385</v>
      </c>
      <c r="AL36" s="79" t="s">
        <v>385</v>
      </c>
      <c r="AM36" s="79" t="s">
        <v>385</v>
      </c>
      <c r="AN36" s="120">
        <f t="shared" si="0"/>
        <v>38328</v>
      </c>
    </row>
    <row r="37" spans="1:40" s="18" customFormat="1" ht="63">
      <c r="A37" s="139" t="s">
        <v>78</v>
      </c>
      <c r="B37" s="20" t="s">
        <v>464</v>
      </c>
      <c r="C37" s="138" t="s">
        <v>14</v>
      </c>
      <c r="D37" s="12" t="s">
        <v>313</v>
      </c>
      <c r="E37" s="120">
        <f t="shared" si="1"/>
        <v>184191.3</v>
      </c>
      <c r="F37" s="124">
        <f>9516.86752+181</f>
        <v>9697.9</v>
      </c>
      <c r="G37" s="124">
        <f>128588.33771</f>
        <v>128588.3</v>
      </c>
      <c r="H37" s="124">
        <f>45905.14519</f>
        <v>45905.1</v>
      </c>
      <c r="I37" s="28" t="s">
        <v>385</v>
      </c>
      <c r="J37" s="120">
        <f t="shared" si="2"/>
        <v>26930.4</v>
      </c>
      <c r="K37" s="124">
        <f>1341.93402+91.78618-1205.90862+1205.90862</f>
        <v>1433.7</v>
      </c>
      <c r="L37" s="124">
        <f>25496.74638-22912.26374+22912.26374</f>
        <v>25496.7</v>
      </c>
      <c r="M37" s="79" t="s">
        <v>385</v>
      </c>
      <c r="N37" s="79" t="s">
        <v>385</v>
      </c>
      <c r="O37" s="78">
        <f t="shared" si="3"/>
        <v>0</v>
      </c>
      <c r="P37" s="79" t="s">
        <v>385</v>
      </c>
      <c r="Q37" s="79" t="s">
        <v>385</v>
      </c>
      <c r="R37" s="79" t="s">
        <v>385</v>
      </c>
      <c r="S37" s="79" t="s">
        <v>385</v>
      </c>
      <c r="T37" s="78">
        <f t="shared" si="4"/>
        <v>0</v>
      </c>
      <c r="U37" s="79" t="s">
        <v>385</v>
      </c>
      <c r="V37" s="79" t="s">
        <v>385</v>
      </c>
      <c r="W37" s="79" t="s">
        <v>385</v>
      </c>
      <c r="X37" s="79" t="s">
        <v>385</v>
      </c>
      <c r="Y37" s="78">
        <f t="shared" si="5"/>
        <v>0</v>
      </c>
      <c r="Z37" s="79" t="s">
        <v>385</v>
      </c>
      <c r="AA37" s="79" t="s">
        <v>385</v>
      </c>
      <c r="AB37" s="79" t="s">
        <v>385</v>
      </c>
      <c r="AC37" s="79" t="s">
        <v>385</v>
      </c>
      <c r="AD37" s="78">
        <f t="shared" si="6"/>
        <v>0</v>
      </c>
      <c r="AE37" s="79" t="s">
        <v>385</v>
      </c>
      <c r="AF37" s="79" t="s">
        <v>385</v>
      </c>
      <c r="AG37" s="79" t="s">
        <v>385</v>
      </c>
      <c r="AH37" s="79" t="s">
        <v>385</v>
      </c>
      <c r="AI37" s="78">
        <f t="shared" si="7"/>
        <v>0</v>
      </c>
      <c r="AJ37" s="79" t="s">
        <v>385</v>
      </c>
      <c r="AK37" s="79" t="s">
        <v>385</v>
      </c>
      <c r="AL37" s="79" t="s">
        <v>385</v>
      </c>
      <c r="AM37" s="79" t="s">
        <v>385</v>
      </c>
      <c r="AN37" s="128">
        <f t="shared" si="0"/>
        <v>211121.7</v>
      </c>
    </row>
    <row r="38" spans="1:40" s="18" customFormat="1" ht="94.5">
      <c r="A38" s="37" t="s">
        <v>79</v>
      </c>
      <c r="B38" s="77" t="s">
        <v>404</v>
      </c>
      <c r="C38" s="76" t="s">
        <v>14</v>
      </c>
      <c r="D38" s="12" t="s">
        <v>313</v>
      </c>
      <c r="E38" s="78">
        <f t="shared" si="1"/>
        <v>0</v>
      </c>
      <c r="F38" s="28" t="s">
        <v>385</v>
      </c>
      <c r="G38" s="28" t="s">
        <v>385</v>
      </c>
      <c r="H38" s="28" t="s">
        <v>385</v>
      </c>
      <c r="I38" s="28" t="s">
        <v>385</v>
      </c>
      <c r="J38" s="78">
        <f aca="true" t="shared" si="8" ref="J38:J45">SUMIF(K38:N38,"&gt;0")</f>
        <v>0</v>
      </c>
      <c r="K38" s="79" t="s">
        <v>385</v>
      </c>
      <c r="L38" s="79" t="s">
        <v>385</v>
      </c>
      <c r="M38" s="79" t="s">
        <v>385</v>
      </c>
      <c r="N38" s="79" t="s">
        <v>385</v>
      </c>
      <c r="O38" s="78">
        <f aca="true" t="shared" si="9" ref="O38:O50">SUMIF(P38:S38,"&gt;0")</f>
        <v>0</v>
      </c>
      <c r="P38" s="79" t="s">
        <v>385</v>
      </c>
      <c r="Q38" s="79" t="s">
        <v>385</v>
      </c>
      <c r="R38" s="79" t="s">
        <v>385</v>
      </c>
      <c r="S38" s="79" t="s">
        <v>385</v>
      </c>
      <c r="T38" s="78">
        <f aca="true" t="shared" si="10" ref="T38:T50">SUMIF(U38:X38,"&gt;0")</f>
        <v>0</v>
      </c>
      <c r="U38" s="79" t="s">
        <v>385</v>
      </c>
      <c r="V38" s="79" t="s">
        <v>385</v>
      </c>
      <c r="W38" s="79" t="s">
        <v>385</v>
      </c>
      <c r="X38" s="79" t="s">
        <v>385</v>
      </c>
      <c r="Y38" s="78">
        <f aca="true" t="shared" si="11" ref="Y38:Y50">SUMIF(Z38:AC38,"&gt;0")</f>
        <v>0</v>
      </c>
      <c r="Z38" s="79" t="s">
        <v>385</v>
      </c>
      <c r="AA38" s="79" t="s">
        <v>385</v>
      </c>
      <c r="AB38" s="79" t="s">
        <v>385</v>
      </c>
      <c r="AC38" s="79" t="s">
        <v>385</v>
      </c>
      <c r="AD38" s="78">
        <f aca="true" t="shared" si="12" ref="AD38:AD50">SUMIF(AE38:AH38,"&gt;0")</f>
        <v>0</v>
      </c>
      <c r="AE38" s="79" t="s">
        <v>385</v>
      </c>
      <c r="AF38" s="79" t="s">
        <v>385</v>
      </c>
      <c r="AG38" s="79" t="s">
        <v>385</v>
      </c>
      <c r="AH38" s="79" t="s">
        <v>385</v>
      </c>
      <c r="AI38" s="78">
        <f aca="true" t="shared" si="13" ref="AI38:AI50">SUMIF(AJ38:AM38,"&gt;0")</f>
        <v>0</v>
      </c>
      <c r="AJ38" s="79" t="s">
        <v>385</v>
      </c>
      <c r="AK38" s="79" t="s">
        <v>385</v>
      </c>
      <c r="AL38" s="79" t="s">
        <v>385</v>
      </c>
      <c r="AM38" s="79" t="s">
        <v>385</v>
      </c>
      <c r="AN38" s="78">
        <f aca="true" t="shared" si="14" ref="AN38:AN46">E38+J38+O38+T38+Y38+AD38+AI38</f>
        <v>0</v>
      </c>
    </row>
    <row r="39" spans="1:40" s="18" customFormat="1" ht="47.25">
      <c r="A39" s="139" t="s">
        <v>80</v>
      </c>
      <c r="B39" s="77" t="s">
        <v>434</v>
      </c>
      <c r="C39" s="138" t="s">
        <v>14</v>
      </c>
      <c r="D39" s="12" t="s">
        <v>436</v>
      </c>
      <c r="E39" s="78">
        <f t="shared" si="1"/>
        <v>0</v>
      </c>
      <c r="F39" s="28" t="s">
        <v>385</v>
      </c>
      <c r="G39" s="28" t="s">
        <v>385</v>
      </c>
      <c r="H39" s="28" t="s">
        <v>385</v>
      </c>
      <c r="I39" s="28" t="s">
        <v>385</v>
      </c>
      <c r="J39" s="120">
        <f>SUMIF(K39:N39,"&gt;0")</f>
        <v>587</v>
      </c>
      <c r="K39" s="124">
        <f>587</f>
        <v>587</v>
      </c>
      <c r="L39" s="79" t="s">
        <v>385</v>
      </c>
      <c r="M39" s="79" t="s">
        <v>385</v>
      </c>
      <c r="N39" s="79" t="s">
        <v>385</v>
      </c>
      <c r="O39" s="78">
        <f t="shared" si="9"/>
        <v>0</v>
      </c>
      <c r="P39" s="79" t="s">
        <v>385</v>
      </c>
      <c r="Q39" s="79" t="s">
        <v>385</v>
      </c>
      <c r="R39" s="79" t="s">
        <v>385</v>
      </c>
      <c r="S39" s="79" t="s">
        <v>385</v>
      </c>
      <c r="T39" s="78">
        <f t="shared" si="10"/>
        <v>0</v>
      </c>
      <c r="U39" s="79" t="s">
        <v>385</v>
      </c>
      <c r="V39" s="79" t="s">
        <v>385</v>
      </c>
      <c r="W39" s="79" t="s">
        <v>385</v>
      </c>
      <c r="X39" s="79" t="s">
        <v>385</v>
      </c>
      <c r="Y39" s="78">
        <f t="shared" si="11"/>
        <v>0</v>
      </c>
      <c r="Z39" s="79" t="s">
        <v>385</v>
      </c>
      <c r="AA39" s="79" t="s">
        <v>385</v>
      </c>
      <c r="AB39" s="79" t="s">
        <v>385</v>
      </c>
      <c r="AC39" s="79" t="s">
        <v>385</v>
      </c>
      <c r="AD39" s="78">
        <f t="shared" si="12"/>
        <v>0</v>
      </c>
      <c r="AE39" s="79" t="s">
        <v>385</v>
      </c>
      <c r="AF39" s="79" t="s">
        <v>385</v>
      </c>
      <c r="AG39" s="79" t="s">
        <v>385</v>
      </c>
      <c r="AH39" s="79" t="s">
        <v>385</v>
      </c>
      <c r="AI39" s="78">
        <f t="shared" si="13"/>
        <v>0</v>
      </c>
      <c r="AJ39" s="79" t="s">
        <v>385</v>
      </c>
      <c r="AK39" s="79" t="s">
        <v>385</v>
      </c>
      <c r="AL39" s="79" t="s">
        <v>385</v>
      </c>
      <c r="AM39" s="79" t="s">
        <v>385</v>
      </c>
      <c r="AN39" s="78">
        <f t="shared" si="14"/>
        <v>587</v>
      </c>
    </row>
    <row r="40" spans="1:40" s="18" customFormat="1" ht="78.75">
      <c r="A40" s="37" t="s">
        <v>433</v>
      </c>
      <c r="B40" s="77" t="s">
        <v>435</v>
      </c>
      <c r="C40" s="76" t="s">
        <v>14</v>
      </c>
      <c r="D40" s="12" t="s">
        <v>313</v>
      </c>
      <c r="E40" s="78">
        <f t="shared" si="1"/>
        <v>0</v>
      </c>
      <c r="F40" s="28" t="s">
        <v>385</v>
      </c>
      <c r="G40" s="28" t="s">
        <v>385</v>
      </c>
      <c r="H40" s="28" t="s">
        <v>385</v>
      </c>
      <c r="I40" s="28" t="s">
        <v>385</v>
      </c>
      <c r="J40" s="78">
        <f t="shared" si="8"/>
        <v>0</v>
      </c>
      <c r="K40" s="79" t="s">
        <v>385</v>
      </c>
      <c r="L40" s="79" t="s">
        <v>385</v>
      </c>
      <c r="M40" s="79" t="s">
        <v>385</v>
      </c>
      <c r="N40" s="79" t="s">
        <v>385</v>
      </c>
      <c r="O40" s="78">
        <f t="shared" si="9"/>
        <v>0</v>
      </c>
      <c r="P40" s="79" t="s">
        <v>385</v>
      </c>
      <c r="Q40" s="79" t="s">
        <v>385</v>
      </c>
      <c r="R40" s="79" t="s">
        <v>385</v>
      </c>
      <c r="S40" s="79" t="s">
        <v>385</v>
      </c>
      <c r="T40" s="78">
        <f t="shared" si="10"/>
        <v>0</v>
      </c>
      <c r="U40" s="79" t="s">
        <v>385</v>
      </c>
      <c r="V40" s="79" t="s">
        <v>385</v>
      </c>
      <c r="W40" s="79" t="s">
        <v>385</v>
      </c>
      <c r="X40" s="79" t="s">
        <v>385</v>
      </c>
      <c r="Y40" s="78">
        <f t="shared" si="11"/>
        <v>0</v>
      </c>
      <c r="Z40" s="79" t="s">
        <v>385</v>
      </c>
      <c r="AA40" s="79" t="s">
        <v>385</v>
      </c>
      <c r="AB40" s="79" t="s">
        <v>385</v>
      </c>
      <c r="AC40" s="79" t="s">
        <v>385</v>
      </c>
      <c r="AD40" s="78">
        <f t="shared" si="12"/>
        <v>0</v>
      </c>
      <c r="AE40" s="79" t="s">
        <v>385</v>
      </c>
      <c r="AF40" s="79" t="s">
        <v>385</v>
      </c>
      <c r="AG40" s="79" t="s">
        <v>385</v>
      </c>
      <c r="AH40" s="79" t="s">
        <v>385</v>
      </c>
      <c r="AI40" s="78">
        <f t="shared" si="13"/>
        <v>0</v>
      </c>
      <c r="AJ40" s="79" t="s">
        <v>385</v>
      </c>
      <c r="AK40" s="79" t="s">
        <v>385</v>
      </c>
      <c r="AL40" s="79" t="s">
        <v>385</v>
      </c>
      <c r="AM40" s="79" t="s">
        <v>385</v>
      </c>
      <c r="AN40" s="78">
        <f t="shared" si="14"/>
        <v>0</v>
      </c>
    </row>
    <row r="41" spans="1:40" s="18" customFormat="1" ht="78.75">
      <c r="A41" s="37" t="s">
        <v>468</v>
      </c>
      <c r="B41" s="20" t="s">
        <v>493</v>
      </c>
      <c r="C41" s="76" t="s">
        <v>14</v>
      </c>
      <c r="D41" s="12" t="s">
        <v>313</v>
      </c>
      <c r="E41" s="120">
        <f t="shared" si="1"/>
        <v>5200</v>
      </c>
      <c r="F41" s="124">
        <f>7820.814-1310.4-1310.414</f>
        <v>5200</v>
      </c>
      <c r="G41" s="28" t="s">
        <v>385</v>
      </c>
      <c r="H41" s="28" t="s">
        <v>385</v>
      </c>
      <c r="I41" s="28" t="s">
        <v>385</v>
      </c>
      <c r="J41" s="120">
        <f t="shared" si="8"/>
        <v>4905</v>
      </c>
      <c r="K41" s="124">
        <v>4905</v>
      </c>
      <c r="L41" s="79" t="s">
        <v>385</v>
      </c>
      <c r="M41" s="79" t="s">
        <v>385</v>
      </c>
      <c r="N41" s="79" t="s">
        <v>385</v>
      </c>
      <c r="O41" s="120">
        <f t="shared" si="9"/>
        <v>4905</v>
      </c>
      <c r="P41" s="124">
        <v>4905</v>
      </c>
      <c r="Q41" s="79" t="s">
        <v>385</v>
      </c>
      <c r="R41" s="79" t="s">
        <v>385</v>
      </c>
      <c r="S41" s="79" t="s">
        <v>385</v>
      </c>
      <c r="T41" s="120">
        <f t="shared" si="10"/>
        <v>5155</v>
      </c>
      <c r="U41" s="124">
        <v>5155</v>
      </c>
      <c r="V41" s="79" t="s">
        <v>385</v>
      </c>
      <c r="W41" s="79" t="s">
        <v>385</v>
      </c>
      <c r="X41" s="79" t="s">
        <v>385</v>
      </c>
      <c r="Y41" s="78">
        <f t="shared" si="11"/>
        <v>0</v>
      </c>
      <c r="Z41" s="79" t="s">
        <v>385</v>
      </c>
      <c r="AA41" s="79" t="s">
        <v>385</v>
      </c>
      <c r="AB41" s="79" t="s">
        <v>385</v>
      </c>
      <c r="AC41" s="79" t="s">
        <v>385</v>
      </c>
      <c r="AD41" s="78">
        <f t="shared" si="12"/>
        <v>0</v>
      </c>
      <c r="AE41" s="79" t="s">
        <v>385</v>
      </c>
      <c r="AF41" s="79" t="s">
        <v>385</v>
      </c>
      <c r="AG41" s="79" t="s">
        <v>385</v>
      </c>
      <c r="AH41" s="79" t="s">
        <v>385</v>
      </c>
      <c r="AI41" s="78">
        <f t="shared" si="13"/>
        <v>0</v>
      </c>
      <c r="AJ41" s="79" t="s">
        <v>385</v>
      </c>
      <c r="AK41" s="79" t="s">
        <v>385</v>
      </c>
      <c r="AL41" s="79" t="s">
        <v>385</v>
      </c>
      <c r="AM41" s="79" t="s">
        <v>385</v>
      </c>
      <c r="AN41" s="120">
        <f t="shared" si="14"/>
        <v>20165</v>
      </c>
    </row>
    <row r="42" spans="1:40" s="18" customFormat="1" ht="63">
      <c r="A42" s="145" t="s">
        <v>479</v>
      </c>
      <c r="B42" s="20" t="s">
        <v>480</v>
      </c>
      <c r="C42" s="141" t="s">
        <v>14</v>
      </c>
      <c r="D42" s="135" t="s">
        <v>412</v>
      </c>
      <c r="E42" s="78">
        <f t="shared" si="1"/>
        <v>0</v>
      </c>
      <c r="F42" s="28" t="s">
        <v>385</v>
      </c>
      <c r="G42" s="28" t="s">
        <v>385</v>
      </c>
      <c r="H42" s="28" t="s">
        <v>385</v>
      </c>
      <c r="I42" s="28" t="s">
        <v>385</v>
      </c>
      <c r="J42" s="78">
        <f t="shared" si="8"/>
        <v>0</v>
      </c>
      <c r="K42" s="79" t="s">
        <v>385</v>
      </c>
      <c r="L42" s="79" t="s">
        <v>385</v>
      </c>
      <c r="M42" s="79" t="s">
        <v>385</v>
      </c>
      <c r="N42" s="79" t="s">
        <v>385</v>
      </c>
      <c r="O42" s="78">
        <f t="shared" si="9"/>
        <v>0</v>
      </c>
      <c r="P42" s="79" t="s">
        <v>385</v>
      </c>
      <c r="Q42" s="79" t="s">
        <v>385</v>
      </c>
      <c r="R42" s="79" t="s">
        <v>385</v>
      </c>
      <c r="S42" s="79" t="s">
        <v>385</v>
      </c>
      <c r="T42" s="78">
        <f t="shared" si="10"/>
        <v>0</v>
      </c>
      <c r="U42" s="79" t="s">
        <v>385</v>
      </c>
      <c r="V42" s="79" t="s">
        <v>385</v>
      </c>
      <c r="W42" s="79" t="s">
        <v>385</v>
      </c>
      <c r="X42" s="79" t="s">
        <v>385</v>
      </c>
      <c r="Y42" s="78">
        <f t="shared" si="11"/>
        <v>0</v>
      </c>
      <c r="Z42" s="79" t="s">
        <v>385</v>
      </c>
      <c r="AA42" s="79" t="s">
        <v>385</v>
      </c>
      <c r="AB42" s="79" t="s">
        <v>385</v>
      </c>
      <c r="AC42" s="79" t="s">
        <v>385</v>
      </c>
      <c r="AD42" s="78">
        <f t="shared" si="12"/>
        <v>0</v>
      </c>
      <c r="AE42" s="79" t="s">
        <v>385</v>
      </c>
      <c r="AF42" s="79" t="s">
        <v>385</v>
      </c>
      <c r="AG42" s="79" t="s">
        <v>385</v>
      </c>
      <c r="AH42" s="79" t="s">
        <v>385</v>
      </c>
      <c r="AI42" s="78">
        <f t="shared" si="13"/>
        <v>0</v>
      </c>
      <c r="AJ42" s="79" t="s">
        <v>385</v>
      </c>
      <c r="AK42" s="79" t="s">
        <v>385</v>
      </c>
      <c r="AL42" s="79" t="s">
        <v>385</v>
      </c>
      <c r="AM42" s="79" t="s">
        <v>385</v>
      </c>
      <c r="AN42" s="78">
        <f t="shared" si="14"/>
        <v>0</v>
      </c>
    </row>
    <row r="43" spans="1:40" s="18" customFormat="1" ht="18.75">
      <c r="A43" s="147"/>
      <c r="B43" s="77" t="s">
        <v>481</v>
      </c>
      <c r="C43" s="149"/>
      <c r="D43" s="104">
        <v>2021</v>
      </c>
      <c r="E43" s="120">
        <f>SUMIF(F43:I43,"&gt;0")</f>
        <v>7032.5</v>
      </c>
      <c r="F43" s="124">
        <f>5020.607+2011.926</f>
        <v>7032.5</v>
      </c>
      <c r="G43" s="28" t="s">
        <v>385</v>
      </c>
      <c r="H43" s="28" t="s">
        <v>385</v>
      </c>
      <c r="I43" s="28" t="s">
        <v>385</v>
      </c>
      <c r="J43" s="78">
        <f>SUMIF(K43:N43,"&gt;0")</f>
        <v>0</v>
      </c>
      <c r="K43" s="79" t="s">
        <v>385</v>
      </c>
      <c r="L43" s="79" t="s">
        <v>385</v>
      </c>
      <c r="M43" s="79" t="s">
        <v>385</v>
      </c>
      <c r="N43" s="79" t="s">
        <v>385</v>
      </c>
      <c r="O43" s="78">
        <f>SUMIF(P43:S43,"&gt;0")</f>
        <v>0</v>
      </c>
      <c r="P43" s="79" t="s">
        <v>385</v>
      </c>
      <c r="Q43" s="79" t="s">
        <v>385</v>
      </c>
      <c r="R43" s="79" t="s">
        <v>385</v>
      </c>
      <c r="S43" s="79" t="s">
        <v>385</v>
      </c>
      <c r="T43" s="78">
        <f>SUMIF(U43:X43,"&gt;0")</f>
        <v>0</v>
      </c>
      <c r="U43" s="79" t="s">
        <v>385</v>
      </c>
      <c r="V43" s="79" t="s">
        <v>385</v>
      </c>
      <c r="W43" s="79" t="s">
        <v>385</v>
      </c>
      <c r="X43" s="79" t="s">
        <v>385</v>
      </c>
      <c r="Y43" s="78">
        <f>SUMIF(Z43:AC43,"&gt;0")</f>
        <v>0</v>
      </c>
      <c r="Z43" s="79" t="s">
        <v>385</v>
      </c>
      <c r="AA43" s="79" t="s">
        <v>385</v>
      </c>
      <c r="AB43" s="79" t="s">
        <v>385</v>
      </c>
      <c r="AC43" s="79" t="s">
        <v>385</v>
      </c>
      <c r="AD43" s="78">
        <f>SUMIF(AE43:AH43,"&gt;0")</f>
        <v>0</v>
      </c>
      <c r="AE43" s="79" t="s">
        <v>385</v>
      </c>
      <c r="AF43" s="79" t="s">
        <v>385</v>
      </c>
      <c r="AG43" s="79" t="s">
        <v>385</v>
      </c>
      <c r="AH43" s="79" t="s">
        <v>385</v>
      </c>
      <c r="AI43" s="78">
        <f>SUMIF(AJ43:AM43,"&gt;0")</f>
        <v>0</v>
      </c>
      <c r="AJ43" s="79" t="s">
        <v>385</v>
      </c>
      <c r="AK43" s="79" t="s">
        <v>385</v>
      </c>
      <c r="AL43" s="79" t="s">
        <v>385</v>
      </c>
      <c r="AM43" s="79" t="s">
        <v>385</v>
      </c>
      <c r="AN43" s="120">
        <f>E43+J43+O43+T43+Y43+AD43+AI43</f>
        <v>7032.5</v>
      </c>
    </row>
    <row r="44" spans="1:40" s="18" customFormat="1" ht="18.75">
      <c r="A44" s="147"/>
      <c r="B44" s="77" t="s">
        <v>527</v>
      </c>
      <c r="C44" s="149"/>
      <c r="D44" s="104">
        <v>2022</v>
      </c>
      <c r="E44" s="78">
        <f>SUMIF(F44:I44,"&gt;0")</f>
        <v>0</v>
      </c>
      <c r="F44" s="28" t="s">
        <v>385</v>
      </c>
      <c r="G44" s="28" t="s">
        <v>385</v>
      </c>
      <c r="H44" s="28" t="s">
        <v>385</v>
      </c>
      <c r="I44" s="28" t="s">
        <v>385</v>
      </c>
      <c r="J44" s="120">
        <f>SUMIF(K44:N44,"&gt;0")</f>
        <v>1380.4</v>
      </c>
      <c r="K44" s="124">
        <f>1380.40011</f>
        <v>1380.4</v>
      </c>
      <c r="L44" s="79" t="s">
        <v>385</v>
      </c>
      <c r="M44" s="79" t="s">
        <v>385</v>
      </c>
      <c r="N44" s="79" t="s">
        <v>385</v>
      </c>
      <c r="O44" s="78">
        <f>SUMIF(P44:S44,"&gt;0")</f>
        <v>0</v>
      </c>
      <c r="P44" s="79" t="s">
        <v>385</v>
      </c>
      <c r="Q44" s="79" t="s">
        <v>385</v>
      </c>
      <c r="R44" s="79" t="s">
        <v>385</v>
      </c>
      <c r="S44" s="79" t="s">
        <v>385</v>
      </c>
      <c r="T44" s="78">
        <f>SUMIF(U44:X44,"&gt;0")</f>
        <v>0</v>
      </c>
      <c r="U44" s="79" t="s">
        <v>385</v>
      </c>
      <c r="V44" s="79" t="s">
        <v>385</v>
      </c>
      <c r="W44" s="79" t="s">
        <v>385</v>
      </c>
      <c r="X44" s="79" t="s">
        <v>385</v>
      </c>
      <c r="Y44" s="78">
        <f>SUMIF(Z44:AC44,"&gt;0")</f>
        <v>0</v>
      </c>
      <c r="Z44" s="79" t="s">
        <v>385</v>
      </c>
      <c r="AA44" s="79" t="s">
        <v>385</v>
      </c>
      <c r="AB44" s="79" t="s">
        <v>385</v>
      </c>
      <c r="AC44" s="79" t="s">
        <v>385</v>
      </c>
      <c r="AD44" s="78">
        <f>SUMIF(AE44:AH44,"&gt;0")</f>
        <v>0</v>
      </c>
      <c r="AE44" s="79" t="s">
        <v>385</v>
      </c>
      <c r="AF44" s="79" t="s">
        <v>385</v>
      </c>
      <c r="AG44" s="79" t="s">
        <v>385</v>
      </c>
      <c r="AH44" s="79" t="s">
        <v>385</v>
      </c>
      <c r="AI44" s="78">
        <f>SUMIF(AJ44:AM44,"&gt;0")</f>
        <v>0</v>
      </c>
      <c r="AJ44" s="79" t="s">
        <v>385</v>
      </c>
      <c r="AK44" s="79" t="s">
        <v>385</v>
      </c>
      <c r="AL44" s="79" t="s">
        <v>385</v>
      </c>
      <c r="AM44" s="79" t="s">
        <v>385</v>
      </c>
      <c r="AN44" s="120">
        <f>E44+J44+O44+T44+Y44+AD44+AI44</f>
        <v>1380.4</v>
      </c>
    </row>
    <row r="45" spans="1:40" s="18" customFormat="1" ht="47.25">
      <c r="A45" s="37" t="s">
        <v>488</v>
      </c>
      <c r="B45" s="77" t="s">
        <v>489</v>
      </c>
      <c r="C45" s="76" t="s">
        <v>14</v>
      </c>
      <c r="D45" s="104">
        <v>2021</v>
      </c>
      <c r="E45" s="120">
        <f t="shared" si="1"/>
        <v>1781.3</v>
      </c>
      <c r="F45" s="124">
        <f>1781.265</f>
        <v>1781.3</v>
      </c>
      <c r="G45" s="28" t="s">
        <v>385</v>
      </c>
      <c r="H45" s="28" t="s">
        <v>385</v>
      </c>
      <c r="I45" s="28" t="s">
        <v>385</v>
      </c>
      <c r="J45" s="78">
        <f t="shared" si="8"/>
        <v>0</v>
      </c>
      <c r="K45" s="79" t="s">
        <v>385</v>
      </c>
      <c r="L45" s="79" t="s">
        <v>385</v>
      </c>
      <c r="M45" s="79" t="s">
        <v>385</v>
      </c>
      <c r="N45" s="79" t="s">
        <v>385</v>
      </c>
      <c r="O45" s="78">
        <f t="shared" si="9"/>
        <v>0</v>
      </c>
      <c r="P45" s="79" t="s">
        <v>385</v>
      </c>
      <c r="Q45" s="79" t="s">
        <v>385</v>
      </c>
      <c r="R45" s="79" t="s">
        <v>385</v>
      </c>
      <c r="S45" s="79" t="s">
        <v>385</v>
      </c>
      <c r="T45" s="78">
        <f t="shared" si="10"/>
        <v>0</v>
      </c>
      <c r="U45" s="79" t="s">
        <v>385</v>
      </c>
      <c r="V45" s="79" t="s">
        <v>385</v>
      </c>
      <c r="W45" s="79" t="s">
        <v>385</v>
      </c>
      <c r="X45" s="79" t="s">
        <v>385</v>
      </c>
      <c r="Y45" s="78">
        <f t="shared" si="11"/>
        <v>0</v>
      </c>
      <c r="Z45" s="79" t="s">
        <v>385</v>
      </c>
      <c r="AA45" s="79" t="s">
        <v>385</v>
      </c>
      <c r="AB45" s="79" t="s">
        <v>385</v>
      </c>
      <c r="AC45" s="79" t="s">
        <v>385</v>
      </c>
      <c r="AD45" s="78">
        <f t="shared" si="12"/>
        <v>0</v>
      </c>
      <c r="AE45" s="79" t="s">
        <v>385</v>
      </c>
      <c r="AF45" s="79" t="s">
        <v>385</v>
      </c>
      <c r="AG45" s="79" t="s">
        <v>385</v>
      </c>
      <c r="AH45" s="79" t="s">
        <v>385</v>
      </c>
      <c r="AI45" s="78">
        <f t="shared" si="13"/>
        <v>0</v>
      </c>
      <c r="AJ45" s="79" t="s">
        <v>385</v>
      </c>
      <c r="AK45" s="79" t="s">
        <v>385</v>
      </c>
      <c r="AL45" s="79" t="s">
        <v>385</v>
      </c>
      <c r="AM45" s="79" t="s">
        <v>385</v>
      </c>
      <c r="AN45" s="120">
        <f t="shared" si="14"/>
        <v>1781.3</v>
      </c>
    </row>
    <row r="46" spans="1:40" s="18" customFormat="1" ht="110.25" customHeight="1">
      <c r="A46" s="145" t="s">
        <v>20</v>
      </c>
      <c r="B46" s="77" t="s">
        <v>407</v>
      </c>
      <c r="C46" s="141" t="s">
        <v>61</v>
      </c>
      <c r="D46" s="12" t="s">
        <v>313</v>
      </c>
      <c r="E46" s="78">
        <f t="shared" si="1"/>
        <v>0</v>
      </c>
      <c r="F46" s="28" t="s">
        <v>385</v>
      </c>
      <c r="G46" s="28" t="s">
        <v>385</v>
      </c>
      <c r="H46" s="28" t="s">
        <v>385</v>
      </c>
      <c r="I46" s="28" t="s">
        <v>385</v>
      </c>
      <c r="J46" s="78">
        <f aca="true" t="shared" si="15" ref="J46:J56">SUMIF(K46:N46,"&gt;0")</f>
        <v>0</v>
      </c>
      <c r="K46" s="79" t="s">
        <v>385</v>
      </c>
      <c r="L46" s="79" t="s">
        <v>385</v>
      </c>
      <c r="M46" s="79" t="s">
        <v>385</v>
      </c>
      <c r="N46" s="79" t="s">
        <v>385</v>
      </c>
      <c r="O46" s="78">
        <f t="shared" si="9"/>
        <v>0</v>
      </c>
      <c r="P46" s="79" t="s">
        <v>385</v>
      </c>
      <c r="Q46" s="79" t="s">
        <v>385</v>
      </c>
      <c r="R46" s="79" t="s">
        <v>385</v>
      </c>
      <c r="S46" s="79" t="s">
        <v>385</v>
      </c>
      <c r="T46" s="78">
        <f t="shared" si="10"/>
        <v>0</v>
      </c>
      <c r="U46" s="79" t="s">
        <v>385</v>
      </c>
      <c r="V46" s="79" t="s">
        <v>385</v>
      </c>
      <c r="W46" s="79" t="s">
        <v>385</v>
      </c>
      <c r="X46" s="79" t="s">
        <v>385</v>
      </c>
      <c r="Y46" s="78">
        <f t="shared" si="11"/>
        <v>0</v>
      </c>
      <c r="Z46" s="79" t="s">
        <v>385</v>
      </c>
      <c r="AA46" s="79" t="s">
        <v>385</v>
      </c>
      <c r="AB46" s="79" t="s">
        <v>385</v>
      </c>
      <c r="AC46" s="79" t="s">
        <v>385</v>
      </c>
      <c r="AD46" s="78">
        <f t="shared" si="12"/>
        <v>0</v>
      </c>
      <c r="AE46" s="79" t="s">
        <v>385</v>
      </c>
      <c r="AF46" s="79" t="s">
        <v>385</v>
      </c>
      <c r="AG46" s="79" t="s">
        <v>385</v>
      </c>
      <c r="AH46" s="79" t="s">
        <v>385</v>
      </c>
      <c r="AI46" s="78">
        <f t="shared" si="13"/>
        <v>0</v>
      </c>
      <c r="AJ46" s="79" t="s">
        <v>385</v>
      </c>
      <c r="AK46" s="79" t="s">
        <v>385</v>
      </c>
      <c r="AL46" s="79" t="s">
        <v>385</v>
      </c>
      <c r="AM46" s="79" t="s">
        <v>385</v>
      </c>
      <c r="AN46" s="78">
        <f t="shared" si="14"/>
        <v>0</v>
      </c>
    </row>
    <row r="47" spans="1:40" s="18" customFormat="1" ht="18.75">
      <c r="A47" s="146"/>
      <c r="B47" s="77" t="s">
        <v>481</v>
      </c>
      <c r="C47" s="142"/>
      <c r="D47" s="104">
        <v>2021</v>
      </c>
      <c r="E47" s="120">
        <f>SUMIF(F47:I47,"&gt;0")</f>
        <v>3644.7</v>
      </c>
      <c r="F47" s="124">
        <f>3644.685</f>
        <v>3644.7</v>
      </c>
      <c r="G47" s="118">
        <v>0</v>
      </c>
      <c r="H47" s="118">
        <v>0</v>
      </c>
      <c r="I47" s="118">
        <v>0</v>
      </c>
      <c r="J47" s="78">
        <f>SUMIF(K47:N47,"&gt;0")</f>
        <v>0</v>
      </c>
      <c r="K47" s="118">
        <v>0</v>
      </c>
      <c r="L47" s="118">
        <v>0</v>
      </c>
      <c r="M47" s="118">
        <v>0</v>
      </c>
      <c r="N47" s="118">
        <v>0</v>
      </c>
      <c r="O47" s="78">
        <f>SUMIF(P47:S47,"&gt;0")</f>
        <v>0</v>
      </c>
      <c r="P47" s="118">
        <v>0</v>
      </c>
      <c r="Q47" s="118">
        <v>0</v>
      </c>
      <c r="R47" s="118">
        <v>0</v>
      </c>
      <c r="S47" s="118">
        <v>0</v>
      </c>
      <c r="T47" s="78">
        <f>SUMIF(U47:X47,"&gt;0")</f>
        <v>0</v>
      </c>
      <c r="U47" s="118">
        <v>0</v>
      </c>
      <c r="V47" s="118">
        <v>0</v>
      </c>
      <c r="W47" s="118">
        <v>0</v>
      </c>
      <c r="X47" s="118">
        <v>0</v>
      </c>
      <c r="Y47" s="78">
        <f>SUMIF(Z47:AC47,"&gt;0")</f>
        <v>0</v>
      </c>
      <c r="Z47" s="118">
        <v>0</v>
      </c>
      <c r="AA47" s="118">
        <v>0</v>
      </c>
      <c r="AB47" s="118">
        <v>0</v>
      </c>
      <c r="AC47" s="118">
        <v>0</v>
      </c>
      <c r="AD47" s="78">
        <f>SUMIF(AE47:AH47,"&gt;0")</f>
        <v>0</v>
      </c>
      <c r="AE47" s="118">
        <v>0</v>
      </c>
      <c r="AF47" s="118">
        <v>0</v>
      </c>
      <c r="AG47" s="118">
        <v>0</v>
      </c>
      <c r="AH47" s="118">
        <v>0</v>
      </c>
      <c r="AI47" s="78">
        <f>SUMIF(AJ47:AM47,"&gt;0")</f>
        <v>0</v>
      </c>
      <c r="AJ47" s="118">
        <v>0</v>
      </c>
      <c r="AK47" s="118">
        <v>0</v>
      </c>
      <c r="AL47" s="118">
        <v>0</v>
      </c>
      <c r="AM47" s="118">
        <v>0</v>
      </c>
      <c r="AN47" s="120">
        <f>E47+J47+O47+T47+Y47+AD47+AI47</f>
        <v>3644.7</v>
      </c>
    </row>
    <row r="48" spans="1:40" s="18" customFormat="1" ht="110.25" customHeight="1">
      <c r="A48" s="145" t="s">
        <v>21</v>
      </c>
      <c r="B48" s="30" t="s">
        <v>428</v>
      </c>
      <c r="C48" s="143" t="s">
        <v>61</v>
      </c>
      <c r="D48" s="12" t="s">
        <v>296</v>
      </c>
      <c r="E48" s="120">
        <f>SUMIF(F48:I48,"&gt;0")</f>
        <v>58834.5</v>
      </c>
      <c r="F48" s="128">
        <f>SUM(F50:F55,F57:F66)</f>
        <v>24584.2</v>
      </c>
      <c r="G48" s="128">
        <f>SUM(G50:G55,G57:G66)</f>
        <v>31998.1</v>
      </c>
      <c r="H48" s="128">
        <f>SUM(H50:H55,H57:H66)</f>
        <v>2252.2</v>
      </c>
      <c r="I48" s="81">
        <f>SUM(I50:I55,I57:I66)</f>
        <v>0</v>
      </c>
      <c r="J48" s="128">
        <f t="shared" si="15"/>
        <v>392586.1</v>
      </c>
      <c r="K48" s="128">
        <f>SUM(K50:K66)</f>
        <v>75060.6</v>
      </c>
      <c r="L48" s="128">
        <f>SUM(L50:L66)</f>
        <v>143735.7</v>
      </c>
      <c r="M48" s="128">
        <f>SUM(M50:M66)</f>
        <v>171962.5</v>
      </c>
      <c r="N48" s="128">
        <f>SUM(N50:N66)</f>
        <v>1827.3</v>
      </c>
      <c r="O48" s="128">
        <f t="shared" si="9"/>
        <v>156885</v>
      </c>
      <c r="P48" s="128">
        <f>SUM(P50:P66)</f>
        <v>74507.6</v>
      </c>
      <c r="Q48" s="128">
        <f>SUM(Q50:Q66)</f>
        <v>82377.4</v>
      </c>
      <c r="R48" s="81">
        <f>SUM(R50:R66)</f>
        <v>0</v>
      </c>
      <c r="S48" s="81">
        <f>SUM(S50:S66)</f>
        <v>0</v>
      </c>
      <c r="T48" s="120">
        <f t="shared" si="10"/>
        <v>37031</v>
      </c>
      <c r="U48" s="128">
        <f>SUM(U50:U66)</f>
        <v>37031</v>
      </c>
      <c r="V48" s="81">
        <f>SUM(V50:V66)</f>
        <v>0</v>
      </c>
      <c r="W48" s="81">
        <f>SUM(W50:W66)</f>
        <v>0</v>
      </c>
      <c r="X48" s="81">
        <f>SUM(X50:X66)</f>
        <v>0</v>
      </c>
      <c r="Y48" s="120">
        <f t="shared" si="11"/>
        <v>227937</v>
      </c>
      <c r="Z48" s="128">
        <f>SUM(Z50:Z66)</f>
        <v>131985.6</v>
      </c>
      <c r="AA48" s="128">
        <f>SUM(AA50:AA66)</f>
        <v>95951.4</v>
      </c>
      <c r="AB48" s="81">
        <f>SUM(AB50:AB66)</f>
        <v>0</v>
      </c>
      <c r="AC48" s="81">
        <f>SUM(AC50:AC66)</f>
        <v>0</v>
      </c>
      <c r="AD48" s="120">
        <f t="shared" si="12"/>
        <v>177964.4</v>
      </c>
      <c r="AE48" s="128">
        <f>SUM(AE50:AE66)</f>
        <v>124490</v>
      </c>
      <c r="AF48" s="128">
        <f>SUM(AF50:AF66)</f>
        <v>53474.4</v>
      </c>
      <c r="AG48" s="81">
        <f>SUM(AG50:AG66)</f>
        <v>0</v>
      </c>
      <c r="AH48" s="81">
        <f>SUM(AH50:AH66)</f>
        <v>0</v>
      </c>
      <c r="AI48" s="120">
        <f t="shared" si="13"/>
        <v>230415</v>
      </c>
      <c r="AJ48" s="128">
        <f>SUM(AJ50:AJ66)</f>
        <v>132357.3</v>
      </c>
      <c r="AK48" s="128">
        <f>SUM(AK50:AK66)</f>
        <v>98057.7</v>
      </c>
      <c r="AL48" s="81">
        <f>SUM(AL50:AL66)</f>
        <v>0</v>
      </c>
      <c r="AM48" s="81">
        <f>SUM(AM50:AM66)</f>
        <v>0</v>
      </c>
      <c r="AN48" s="128">
        <f t="shared" si="0"/>
        <v>1281653</v>
      </c>
    </row>
    <row r="49" spans="1:40" s="18" customFormat="1" ht="18.75">
      <c r="A49" s="146"/>
      <c r="B49" s="77" t="s">
        <v>518</v>
      </c>
      <c r="C49" s="144"/>
      <c r="D49" s="104">
        <v>2021</v>
      </c>
      <c r="E49" s="120">
        <f>SUMIF(F49:I49,"&gt;0")</f>
        <v>605.2</v>
      </c>
      <c r="F49" s="124">
        <f>F56</f>
        <v>605.2</v>
      </c>
      <c r="G49" s="118">
        <v>0</v>
      </c>
      <c r="H49" s="118">
        <v>0</v>
      </c>
      <c r="I49" s="118">
        <v>0</v>
      </c>
      <c r="J49" s="78">
        <f>SUMIF(K49:N49,"&gt;0")</f>
        <v>0</v>
      </c>
      <c r="K49" s="118">
        <v>0</v>
      </c>
      <c r="L49" s="118">
        <v>0</v>
      </c>
      <c r="M49" s="118">
        <v>0</v>
      </c>
      <c r="N49" s="118">
        <v>0</v>
      </c>
      <c r="O49" s="78">
        <f t="shared" si="9"/>
        <v>0</v>
      </c>
      <c r="P49" s="118">
        <v>0</v>
      </c>
      <c r="Q49" s="118">
        <v>0</v>
      </c>
      <c r="R49" s="118">
        <v>0</v>
      </c>
      <c r="S49" s="118">
        <v>0</v>
      </c>
      <c r="T49" s="78">
        <f>SUMIF(U49:X49,"&gt;0")</f>
        <v>0</v>
      </c>
      <c r="U49" s="118">
        <v>0</v>
      </c>
      <c r="V49" s="118">
        <v>0</v>
      </c>
      <c r="W49" s="118">
        <v>0</v>
      </c>
      <c r="X49" s="118">
        <v>0</v>
      </c>
      <c r="Y49" s="78">
        <f t="shared" si="11"/>
        <v>0</v>
      </c>
      <c r="Z49" s="118">
        <v>0</v>
      </c>
      <c r="AA49" s="118">
        <v>0</v>
      </c>
      <c r="AB49" s="118">
        <v>0</v>
      </c>
      <c r="AC49" s="118">
        <v>0</v>
      </c>
      <c r="AD49" s="78">
        <f t="shared" si="12"/>
        <v>0</v>
      </c>
      <c r="AE49" s="118">
        <v>0</v>
      </c>
      <c r="AF49" s="118">
        <v>0</v>
      </c>
      <c r="AG49" s="118">
        <v>0</v>
      </c>
      <c r="AH49" s="118">
        <v>0</v>
      </c>
      <c r="AI49" s="78">
        <f t="shared" si="13"/>
        <v>0</v>
      </c>
      <c r="AJ49" s="118">
        <v>0</v>
      </c>
      <c r="AK49" s="118">
        <v>0</v>
      </c>
      <c r="AL49" s="118">
        <v>0</v>
      </c>
      <c r="AM49" s="118">
        <v>0</v>
      </c>
      <c r="AN49" s="120">
        <f t="shared" si="0"/>
        <v>605.2</v>
      </c>
    </row>
    <row r="50" spans="1:40" s="18" customFormat="1" ht="110.25">
      <c r="A50" s="37" t="s">
        <v>206</v>
      </c>
      <c r="B50" s="30" t="s">
        <v>408</v>
      </c>
      <c r="C50" s="28" t="s">
        <v>61</v>
      </c>
      <c r="D50" s="12" t="s">
        <v>296</v>
      </c>
      <c r="E50" s="78">
        <f t="shared" si="1"/>
        <v>0</v>
      </c>
      <c r="F50" s="28" t="s">
        <v>385</v>
      </c>
      <c r="G50" s="28" t="s">
        <v>385</v>
      </c>
      <c r="H50" s="28" t="s">
        <v>385</v>
      </c>
      <c r="I50" s="28" t="s">
        <v>385</v>
      </c>
      <c r="J50" s="78">
        <f t="shared" si="15"/>
        <v>0</v>
      </c>
      <c r="K50" s="79" t="s">
        <v>385</v>
      </c>
      <c r="L50" s="79" t="s">
        <v>385</v>
      </c>
      <c r="M50" s="79" t="s">
        <v>385</v>
      </c>
      <c r="N50" s="79" t="s">
        <v>385</v>
      </c>
      <c r="O50" s="78">
        <f t="shared" si="9"/>
        <v>0</v>
      </c>
      <c r="P50" s="79" t="s">
        <v>385</v>
      </c>
      <c r="Q50" s="79" t="s">
        <v>385</v>
      </c>
      <c r="R50" s="79" t="s">
        <v>385</v>
      </c>
      <c r="S50" s="79" t="s">
        <v>385</v>
      </c>
      <c r="T50" s="78">
        <f t="shared" si="10"/>
        <v>0</v>
      </c>
      <c r="U50" s="79" t="s">
        <v>385</v>
      </c>
      <c r="V50" s="79" t="s">
        <v>385</v>
      </c>
      <c r="W50" s="79" t="s">
        <v>385</v>
      </c>
      <c r="X50" s="79" t="s">
        <v>385</v>
      </c>
      <c r="Y50" s="120">
        <f t="shared" si="11"/>
        <v>1000</v>
      </c>
      <c r="Z50" s="124">
        <v>1000</v>
      </c>
      <c r="AA50" s="79" t="s">
        <v>385</v>
      </c>
      <c r="AB50" s="79" t="s">
        <v>385</v>
      </c>
      <c r="AC50" s="79" t="s">
        <v>385</v>
      </c>
      <c r="AD50" s="120">
        <f t="shared" si="12"/>
        <v>1000</v>
      </c>
      <c r="AE50" s="124">
        <v>1000</v>
      </c>
      <c r="AF50" s="79" t="s">
        <v>385</v>
      </c>
      <c r="AG50" s="79" t="s">
        <v>385</v>
      </c>
      <c r="AH50" s="79" t="s">
        <v>385</v>
      </c>
      <c r="AI50" s="120">
        <f t="shared" si="13"/>
        <v>1000</v>
      </c>
      <c r="AJ50" s="124">
        <v>1000</v>
      </c>
      <c r="AK50" s="79" t="s">
        <v>385</v>
      </c>
      <c r="AL50" s="79" t="s">
        <v>385</v>
      </c>
      <c r="AM50" s="79" t="s">
        <v>385</v>
      </c>
      <c r="AN50" s="128">
        <f>E50+J50+O50+T50+Y50+AD50+AI50</f>
        <v>3000</v>
      </c>
    </row>
    <row r="51" spans="1:40" s="18" customFormat="1" ht="110.25">
      <c r="A51" s="37" t="s">
        <v>207</v>
      </c>
      <c r="B51" s="30" t="s">
        <v>461</v>
      </c>
      <c r="C51" s="28" t="s">
        <v>61</v>
      </c>
      <c r="D51" s="12" t="s">
        <v>296</v>
      </c>
      <c r="E51" s="130">
        <f t="shared" si="1"/>
        <v>0</v>
      </c>
      <c r="F51" s="94">
        <f>275-275</f>
        <v>0</v>
      </c>
      <c r="G51" s="94">
        <f>5213-5213</f>
        <v>0</v>
      </c>
      <c r="H51" s="28" t="s">
        <v>385</v>
      </c>
      <c r="I51" s="28" t="s">
        <v>385</v>
      </c>
      <c r="J51" s="78">
        <f t="shared" si="15"/>
        <v>0</v>
      </c>
      <c r="K51" s="79" t="s">
        <v>385</v>
      </c>
      <c r="L51" s="79" t="s">
        <v>385</v>
      </c>
      <c r="M51" s="79" t="s">
        <v>385</v>
      </c>
      <c r="N51" s="79" t="s">
        <v>385</v>
      </c>
      <c r="O51" s="78">
        <f aca="true" t="shared" si="16" ref="O51:O77">SUMIF(P51:S51,"&gt;0")</f>
        <v>0</v>
      </c>
      <c r="P51" s="79" t="s">
        <v>385</v>
      </c>
      <c r="Q51" s="79" t="s">
        <v>385</v>
      </c>
      <c r="R51" s="79" t="s">
        <v>385</v>
      </c>
      <c r="S51" s="79" t="s">
        <v>385</v>
      </c>
      <c r="T51" s="78">
        <f aca="true" t="shared" si="17" ref="T51:T84">SUMIF(U51:X51,"&gt;0")</f>
        <v>0</v>
      </c>
      <c r="U51" s="79" t="s">
        <v>385</v>
      </c>
      <c r="V51" s="79" t="s">
        <v>385</v>
      </c>
      <c r="W51" s="79" t="s">
        <v>385</v>
      </c>
      <c r="X51" s="79" t="s">
        <v>385</v>
      </c>
      <c r="Y51" s="78">
        <f aca="true" t="shared" si="18" ref="Y51:Y84">SUMIF(Z51:AC51,"&gt;0")</f>
        <v>0</v>
      </c>
      <c r="Z51" s="79" t="s">
        <v>385</v>
      </c>
      <c r="AA51" s="79" t="s">
        <v>385</v>
      </c>
      <c r="AB51" s="79" t="s">
        <v>385</v>
      </c>
      <c r="AC51" s="79" t="s">
        <v>385</v>
      </c>
      <c r="AD51" s="78">
        <f aca="true" t="shared" si="19" ref="AD51:AD84">SUMIF(AE51:AH51,"&gt;0")</f>
        <v>0</v>
      </c>
      <c r="AE51" s="79" t="s">
        <v>385</v>
      </c>
      <c r="AF51" s="79" t="s">
        <v>385</v>
      </c>
      <c r="AG51" s="79" t="s">
        <v>385</v>
      </c>
      <c r="AH51" s="79" t="s">
        <v>385</v>
      </c>
      <c r="AI51" s="78">
        <f aca="true" t="shared" si="20" ref="AI51:AI84">SUMIF(AJ51:AM51,"&gt;0")</f>
        <v>0</v>
      </c>
      <c r="AJ51" s="79" t="s">
        <v>385</v>
      </c>
      <c r="AK51" s="79" t="s">
        <v>385</v>
      </c>
      <c r="AL51" s="79" t="s">
        <v>385</v>
      </c>
      <c r="AM51" s="79" t="s">
        <v>385</v>
      </c>
      <c r="AN51" s="78">
        <f aca="true" t="shared" si="21" ref="AN51:AN84">E51+J51+O51+T51+Y51+AD51+AI51</f>
        <v>0</v>
      </c>
    </row>
    <row r="52" spans="1:40" s="18" customFormat="1" ht="110.25">
      <c r="A52" s="37" t="s">
        <v>409</v>
      </c>
      <c r="B52" s="30" t="s">
        <v>4</v>
      </c>
      <c r="C52" s="28" t="s">
        <v>61</v>
      </c>
      <c r="D52" s="12" t="s">
        <v>296</v>
      </c>
      <c r="E52" s="120">
        <f t="shared" si="1"/>
        <v>12540.7</v>
      </c>
      <c r="F52" s="127">
        <f>1407+567+13211-10-256.7775-2377.506</f>
        <v>12540.7</v>
      </c>
      <c r="G52" s="28" t="s">
        <v>385</v>
      </c>
      <c r="H52" s="28" t="s">
        <v>385</v>
      </c>
      <c r="I52" s="28" t="s">
        <v>385</v>
      </c>
      <c r="J52" s="120">
        <f t="shared" si="15"/>
        <v>15713</v>
      </c>
      <c r="K52" s="127">
        <v>15713</v>
      </c>
      <c r="L52" s="79" t="s">
        <v>385</v>
      </c>
      <c r="M52" s="79" t="s">
        <v>385</v>
      </c>
      <c r="N52" s="79" t="s">
        <v>385</v>
      </c>
      <c r="O52" s="120">
        <f t="shared" si="16"/>
        <v>15713</v>
      </c>
      <c r="P52" s="127">
        <v>15713</v>
      </c>
      <c r="Q52" s="79" t="s">
        <v>385</v>
      </c>
      <c r="R52" s="79" t="s">
        <v>385</v>
      </c>
      <c r="S52" s="79" t="s">
        <v>385</v>
      </c>
      <c r="T52" s="120">
        <f t="shared" si="17"/>
        <v>15713</v>
      </c>
      <c r="U52" s="127">
        <v>15713</v>
      </c>
      <c r="V52" s="79" t="s">
        <v>385</v>
      </c>
      <c r="W52" s="79" t="s">
        <v>385</v>
      </c>
      <c r="X52" s="79" t="s">
        <v>385</v>
      </c>
      <c r="Y52" s="120">
        <f t="shared" si="18"/>
        <v>19157</v>
      </c>
      <c r="Z52" s="127">
        <v>19157</v>
      </c>
      <c r="AA52" s="79" t="s">
        <v>385</v>
      </c>
      <c r="AB52" s="79" t="s">
        <v>385</v>
      </c>
      <c r="AC52" s="79" t="s">
        <v>385</v>
      </c>
      <c r="AD52" s="120">
        <f t="shared" si="19"/>
        <v>19157</v>
      </c>
      <c r="AE52" s="127">
        <v>19157</v>
      </c>
      <c r="AF52" s="79" t="s">
        <v>385</v>
      </c>
      <c r="AG52" s="79" t="s">
        <v>385</v>
      </c>
      <c r="AH52" s="79" t="s">
        <v>385</v>
      </c>
      <c r="AI52" s="120">
        <f t="shared" si="20"/>
        <v>19157</v>
      </c>
      <c r="AJ52" s="127">
        <v>19157</v>
      </c>
      <c r="AK52" s="79" t="s">
        <v>385</v>
      </c>
      <c r="AL52" s="79" t="s">
        <v>385</v>
      </c>
      <c r="AM52" s="79" t="s">
        <v>385</v>
      </c>
      <c r="AN52" s="128">
        <f>E52+J52+O52+T52+Y52+AD52+AI52</f>
        <v>117150.7</v>
      </c>
    </row>
    <row r="53" spans="1:40" s="18" customFormat="1" ht="110.25">
      <c r="A53" s="37" t="s">
        <v>410</v>
      </c>
      <c r="B53" s="30" t="s">
        <v>411</v>
      </c>
      <c r="C53" s="28" t="s">
        <v>61</v>
      </c>
      <c r="D53" s="12" t="s">
        <v>412</v>
      </c>
      <c r="E53" s="78">
        <f t="shared" si="1"/>
        <v>0</v>
      </c>
      <c r="F53" s="28" t="s">
        <v>385</v>
      </c>
      <c r="G53" s="28" t="s">
        <v>385</v>
      </c>
      <c r="H53" s="28" t="s">
        <v>385</v>
      </c>
      <c r="I53" s="28" t="s">
        <v>385</v>
      </c>
      <c r="J53" s="78">
        <f t="shared" si="15"/>
        <v>0</v>
      </c>
      <c r="K53" s="79" t="s">
        <v>385</v>
      </c>
      <c r="L53" s="79" t="s">
        <v>385</v>
      </c>
      <c r="M53" s="79" t="s">
        <v>385</v>
      </c>
      <c r="N53" s="79" t="s">
        <v>385</v>
      </c>
      <c r="O53" s="120">
        <f t="shared" si="16"/>
        <v>1229.3</v>
      </c>
      <c r="P53" s="124">
        <f>1229.34</f>
        <v>1229.3</v>
      </c>
      <c r="Q53" s="79" t="s">
        <v>385</v>
      </c>
      <c r="R53" s="79" t="s">
        <v>385</v>
      </c>
      <c r="S53" s="79" t="s">
        <v>385</v>
      </c>
      <c r="T53" s="78">
        <f t="shared" si="17"/>
        <v>0</v>
      </c>
      <c r="U53" s="79" t="s">
        <v>385</v>
      </c>
      <c r="V53" s="79" t="s">
        <v>385</v>
      </c>
      <c r="W53" s="79" t="s">
        <v>385</v>
      </c>
      <c r="X53" s="79" t="s">
        <v>385</v>
      </c>
      <c r="Y53" s="78">
        <f t="shared" si="18"/>
        <v>0</v>
      </c>
      <c r="Z53" s="79" t="s">
        <v>385</v>
      </c>
      <c r="AA53" s="79" t="s">
        <v>385</v>
      </c>
      <c r="AB53" s="79" t="s">
        <v>385</v>
      </c>
      <c r="AC53" s="79" t="s">
        <v>385</v>
      </c>
      <c r="AD53" s="78">
        <f t="shared" si="19"/>
        <v>0</v>
      </c>
      <c r="AE53" s="79" t="s">
        <v>385</v>
      </c>
      <c r="AF53" s="79" t="s">
        <v>385</v>
      </c>
      <c r="AG53" s="79" t="s">
        <v>385</v>
      </c>
      <c r="AH53" s="79" t="s">
        <v>385</v>
      </c>
      <c r="AI53" s="78">
        <f t="shared" si="20"/>
        <v>0</v>
      </c>
      <c r="AJ53" s="79" t="s">
        <v>385</v>
      </c>
      <c r="AK53" s="79" t="s">
        <v>385</v>
      </c>
      <c r="AL53" s="79" t="s">
        <v>385</v>
      </c>
      <c r="AM53" s="79" t="s">
        <v>385</v>
      </c>
      <c r="AN53" s="78">
        <f t="shared" si="21"/>
        <v>1229.3</v>
      </c>
    </row>
    <row r="54" spans="1:40" s="18" customFormat="1" ht="110.25">
      <c r="A54" s="37" t="s">
        <v>413</v>
      </c>
      <c r="B54" s="30" t="s">
        <v>414</v>
      </c>
      <c r="C54" s="28" t="s">
        <v>61</v>
      </c>
      <c r="D54" s="12" t="s">
        <v>296</v>
      </c>
      <c r="E54" s="78">
        <f t="shared" si="1"/>
        <v>0</v>
      </c>
      <c r="F54" s="28" t="s">
        <v>385</v>
      </c>
      <c r="G54" s="28" t="s">
        <v>385</v>
      </c>
      <c r="H54" s="28" t="s">
        <v>385</v>
      </c>
      <c r="I54" s="28" t="s">
        <v>385</v>
      </c>
      <c r="J54" s="78">
        <f t="shared" si="15"/>
        <v>0</v>
      </c>
      <c r="K54" s="79" t="s">
        <v>385</v>
      </c>
      <c r="L54" s="79" t="s">
        <v>385</v>
      </c>
      <c r="M54" s="79" t="s">
        <v>385</v>
      </c>
      <c r="N54" s="79" t="s">
        <v>385</v>
      </c>
      <c r="O54" s="78">
        <f>SUMIF(P54:S54,"&gt;0")</f>
        <v>0</v>
      </c>
      <c r="P54" s="79" t="s">
        <v>385</v>
      </c>
      <c r="Q54" s="79" t="s">
        <v>385</v>
      </c>
      <c r="R54" s="79" t="s">
        <v>385</v>
      </c>
      <c r="S54" s="79" t="s">
        <v>385</v>
      </c>
      <c r="T54" s="78">
        <f t="shared" si="17"/>
        <v>0</v>
      </c>
      <c r="U54" s="79" t="s">
        <v>385</v>
      </c>
      <c r="V54" s="79" t="s">
        <v>385</v>
      </c>
      <c r="W54" s="79" t="s">
        <v>385</v>
      </c>
      <c r="X54" s="79" t="s">
        <v>385</v>
      </c>
      <c r="Y54" s="120">
        <f t="shared" si="18"/>
        <v>9792</v>
      </c>
      <c r="Z54" s="127">
        <v>9792</v>
      </c>
      <c r="AA54" s="79" t="s">
        <v>385</v>
      </c>
      <c r="AB54" s="79" t="s">
        <v>385</v>
      </c>
      <c r="AC54" s="79" t="s">
        <v>385</v>
      </c>
      <c r="AD54" s="120">
        <f t="shared" si="19"/>
        <v>9792</v>
      </c>
      <c r="AE54" s="127">
        <v>9792</v>
      </c>
      <c r="AF54" s="79" t="s">
        <v>385</v>
      </c>
      <c r="AG54" s="79" t="s">
        <v>385</v>
      </c>
      <c r="AH54" s="79" t="s">
        <v>385</v>
      </c>
      <c r="AI54" s="120">
        <f t="shared" si="20"/>
        <v>9792</v>
      </c>
      <c r="AJ54" s="127">
        <v>9792</v>
      </c>
      <c r="AK54" s="79" t="s">
        <v>385</v>
      </c>
      <c r="AL54" s="79" t="s">
        <v>385</v>
      </c>
      <c r="AM54" s="79" t="s">
        <v>385</v>
      </c>
      <c r="AN54" s="128">
        <f t="shared" si="21"/>
        <v>29376</v>
      </c>
    </row>
    <row r="55" spans="1:40" s="18" customFormat="1" ht="110.25" customHeight="1">
      <c r="A55" s="145" t="s">
        <v>415</v>
      </c>
      <c r="B55" s="30" t="s">
        <v>281</v>
      </c>
      <c r="C55" s="143" t="s">
        <v>61</v>
      </c>
      <c r="D55" s="12" t="s">
        <v>313</v>
      </c>
      <c r="E55" s="120">
        <f t="shared" si="1"/>
        <v>3647.3</v>
      </c>
      <c r="F55" s="124">
        <f>182.3667+182.3667-182.3667</f>
        <v>182.4</v>
      </c>
      <c r="G55" s="124">
        <f>1212.73856</f>
        <v>1212.7</v>
      </c>
      <c r="H55" s="124">
        <f>2252.22872</f>
        <v>2252.2</v>
      </c>
      <c r="I55" s="28" t="s">
        <v>385</v>
      </c>
      <c r="J55" s="78">
        <f t="shared" si="15"/>
        <v>0</v>
      </c>
      <c r="K55" s="79" t="s">
        <v>385</v>
      </c>
      <c r="L55" s="79" t="s">
        <v>385</v>
      </c>
      <c r="M55" s="79" t="s">
        <v>385</v>
      </c>
      <c r="N55" s="79" t="s">
        <v>385</v>
      </c>
      <c r="O55" s="78">
        <f>SUMIF(P55:S55,"&gt;0")</f>
        <v>0</v>
      </c>
      <c r="P55" s="79" t="s">
        <v>385</v>
      </c>
      <c r="Q55" s="79" t="s">
        <v>385</v>
      </c>
      <c r="R55" s="79" t="s">
        <v>385</v>
      </c>
      <c r="S55" s="79" t="s">
        <v>385</v>
      </c>
      <c r="T55" s="78">
        <f t="shared" si="17"/>
        <v>0</v>
      </c>
      <c r="U55" s="79" t="s">
        <v>385</v>
      </c>
      <c r="V55" s="79" t="s">
        <v>385</v>
      </c>
      <c r="W55" s="79" t="s">
        <v>385</v>
      </c>
      <c r="X55" s="79" t="s">
        <v>385</v>
      </c>
      <c r="Y55" s="120">
        <f t="shared" si="18"/>
        <v>112884</v>
      </c>
      <c r="Z55" s="124">
        <v>16932.6</v>
      </c>
      <c r="AA55" s="124">
        <v>95951.4</v>
      </c>
      <c r="AB55" s="79" t="s">
        <v>385</v>
      </c>
      <c r="AC55" s="79" t="s">
        <v>385</v>
      </c>
      <c r="AD55" s="120">
        <f t="shared" si="19"/>
        <v>62911.4</v>
      </c>
      <c r="AE55" s="124">
        <v>9437</v>
      </c>
      <c r="AF55" s="124">
        <v>53474.4</v>
      </c>
      <c r="AG55" s="79" t="s">
        <v>385</v>
      </c>
      <c r="AH55" s="79" t="s">
        <v>385</v>
      </c>
      <c r="AI55" s="120">
        <f t="shared" si="20"/>
        <v>115362</v>
      </c>
      <c r="AJ55" s="124">
        <v>17304.3</v>
      </c>
      <c r="AK55" s="124">
        <v>98057.7</v>
      </c>
      <c r="AL55" s="79" t="s">
        <v>385</v>
      </c>
      <c r="AM55" s="79" t="s">
        <v>385</v>
      </c>
      <c r="AN55" s="128">
        <f t="shared" si="21"/>
        <v>294804.7</v>
      </c>
    </row>
    <row r="56" spans="1:40" s="18" customFormat="1" ht="18.75">
      <c r="A56" s="146"/>
      <c r="B56" s="77" t="s">
        <v>518</v>
      </c>
      <c r="C56" s="144"/>
      <c r="D56" s="104">
        <v>2021</v>
      </c>
      <c r="E56" s="120">
        <f t="shared" si="1"/>
        <v>605.2</v>
      </c>
      <c r="F56" s="124">
        <f>605.19794</f>
        <v>605.2</v>
      </c>
      <c r="G56" s="118">
        <v>0</v>
      </c>
      <c r="H56" s="118">
        <v>0</v>
      </c>
      <c r="I56" s="118">
        <v>0</v>
      </c>
      <c r="J56" s="78">
        <f t="shared" si="15"/>
        <v>0</v>
      </c>
      <c r="K56" s="118">
        <v>0</v>
      </c>
      <c r="L56" s="118">
        <v>0</v>
      </c>
      <c r="M56" s="118">
        <v>0</v>
      </c>
      <c r="N56" s="118">
        <v>0</v>
      </c>
      <c r="O56" s="78">
        <f>SUMIF(P56:S56,"&gt;0")</f>
        <v>0</v>
      </c>
      <c r="P56" s="118">
        <v>0</v>
      </c>
      <c r="Q56" s="118">
        <v>0</v>
      </c>
      <c r="R56" s="118">
        <v>0</v>
      </c>
      <c r="S56" s="118">
        <v>0</v>
      </c>
      <c r="T56" s="78">
        <f t="shared" si="17"/>
        <v>0</v>
      </c>
      <c r="U56" s="118">
        <v>0</v>
      </c>
      <c r="V56" s="118">
        <v>0</v>
      </c>
      <c r="W56" s="118">
        <v>0</v>
      </c>
      <c r="X56" s="118">
        <v>0</v>
      </c>
      <c r="Y56" s="78">
        <f t="shared" si="18"/>
        <v>0</v>
      </c>
      <c r="Z56" s="118">
        <v>0</v>
      </c>
      <c r="AA56" s="118">
        <v>0</v>
      </c>
      <c r="AB56" s="118">
        <v>0</v>
      </c>
      <c r="AC56" s="118">
        <v>0</v>
      </c>
      <c r="AD56" s="78">
        <f t="shared" si="19"/>
        <v>0</v>
      </c>
      <c r="AE56" s="118">
        <v>0</v>
      </c>
      <c r="AF56" s="118">
        <v>0</v>
      </c>
      <c r="AG56" s="118">
        <v>0</v>
      </c>
      <c r="AH56" s="118">
        <v>0</v>
      </c>
      <c r="AI56" s="78">
        <f t="shared" si="20"/>
        <v>0</v>
      </c>
      <c r="AJ56" s="118">
        <v>0</v>
      </c>
      <c r="AK56" s="118">
        <v>0</v>
      </c>
      <c r="AL56" s="118">
        <v>0</v>
      </c>
      <c r="AM56" s="118">
        <v>0</v>
      </c>
      <c r="AN56" s="120">
        <f t="shared" si="21"/>
        <v>605.2</v>
      </c>
    </row>
    <row r="57" spans="1:40" s="18" customFormat="1" ht="144" customHeight="1">
      <c r="A57" s="37" t="s">
        <v>416</v>
      </c>
      <c r="B57" s="30" t="s">
        <v>241</v>
      </c>
      <c r="C57" s="28" t="s">
        <v>61</v>
      </c>
      <c r="D57" s="79">
        <v>2021</v>
      </c>
      <c r="E57" s="120">
        <f t="shared" si="1"/>
        <v>6067.7</v>
      </c>
      <c r="F57" s="124">
        <f>145+257.892</f>
        <v>402.9</v>
      </c>
      <c r="G57" s="124">
        <f>2027+3637.758</f>
        <v>5664.8</v>
      </c>
      <c r="H57" s="28" t="s">
        <v>385</v>
      </c>
      <c r="I57" s="28" t="s">
        <v>385</v>
      </c>
      <c r="J57" s="78">
        <f aca="true" t="shared" si="22" ref="J57:J78">SUMIF(K57:N57,"&gt;0")</f>
        <v>0</v>
      </c>
      <c r="K57" s="79" t="s">
        <v>385</v>
      </c>
      <c r="L57" s="79" t="s">
        <v>385</v>
      </c>
      <c r="M57" s="79" t="s">
        <v>385</v>
      </c>
      <c r="N57" s="79" t="s">
        <v>385</v>
      </c>
      <c r="O57" s="78">
        <f t="shared" si="16"/>
        <v>0</v>
      </c>
      <c r="P57" s="79" t="s">
        <v>385</v>
      </c>
      <c r="Q57" s="79" t="s">
        <v>385</v>
      </c>
      <c r="R57" s="79" t="s">
        <v>385</v>
      </c>
      <c r="S57" s="79" t="s">
        <v>385</v>
      </c>
      <c r="T57" s="78">
        <f t="shared" si="17"/>
        <v>0</v>
      </c>
      <c r="U57" s="79" t="s">
        <v>385</v>
      </c>
      <c r="V57" s="79" t="s">
        <v>385</v>
      </c>
      <c r="W57" s="79" t="s">
        <v>385</v>
      </c>
      <c r="X57" s="79" t="s">
        <v>385</v>
      </c>
      <c r="Y57" s="78">
        <f t="shared" si="18"/>
        <v>0</v>
      </c>
      <c r="Z57" s="79" t="s">
        <v>385</v>
      </c>
      <c r="AA57" s="79" t="s">
        <v>385</v>
      </c>
      <c r="AB57" s="79" t="s">
        <v>385</v>
      </c>
      <c r="AC57" s="79" t="s">
        <v>385</v>
      </c>
      <c r="AD57" s="78">
        <f t="shared" si="19"/>
        <v>0</v>
      </c>
      <c r="AE57" s="79" t="s">
        <v>385</v>
      </c>
      <c r="AF57" s="79" t="s">
        <v>385</v>
      </c>
      <c r="AG57" s="79" t="s">
        <v>385</v>
      </c>
      <c r="AH57" s="79" t="s">
        <v>385</v>
      </c>
      <c r="AI57" s="78">
        <f t="shared" si="20"/>
        <v>0</v>
      </c>
      <c r="AJ57" s="79" t="s">
        <v>385</v>
      </c>
      <c r="AK57" s="79" t="s">
        <v>385</v>
      </c>
      <c r="AL57" s="79" t="s">
        <v>385</v>
      </c>
      <c r="AM57" s="79" t="s">
        <v>385</v>
      </c>
      <c r="AN57" s="120">
        <f t="shared" si="21"/>
        <v>6067.7</v>
      </c>
    </row>
    <row r="58" spans="1:40" s="18" customFormat="1" ht="110.25">
      <c r="A58" s="37" t="s">
        <v>417</v>
      </c>
      <c r="B58" s="30" t="s">
        <v>430</v>
      </c>
      <c r="C58" s="28" t="s">
        <v>61</v>
      </c>
      <c r="D58" s="12" t="s">
        <v>412</v>
      </c>
      <c r="E58" s="78">
        <f t="shared" si="1"/>
        <v>0</v>
      </c>
      <c r="F58" s="28" t="s">
        <v>385</v>
      </c>
      <c r="G58" s="28" t="s">
        <v>385</v>
      </c>
      <c r="H58" s="28" t="s">
        <v>385</v>
      </c>
      <c r="I58" s="28" t="s">
        <v>385</v>
      </c>
      <c r="J58" s="78">
        <f aca="true" t="shared" si="23" ref="J58:J66">SUMIF(K58:N58,"&gt;0")</f>
        <v>0</v>
      </c>
      <c r="K58" s="79" t="s">
        <v>385</v>
      </c>
      <c r="L58" s="79" t="s">
        <v>385</v>
      </c>
      <c r="M58" s="79" t="s">
        <v>385</v>
      </c>
      <c r="N58" s="79" t="s">
        <v>385</v>
      </c>
      <c r="O58" s="78">
        <f t="shared" si="16"/>
        <v>0</v>
      </c>
      <c r="P58" s="79" t="s">
        <v>385</v>
      </c>
      <c r="Q58" s="79" t="s">
        <v>385</v>
      </c>
      <c r="R58" s="79" t="s">
        <v>385</v>
      </c>
      <c r="S58" s="79" t="s">
        <v>385</v>
      </c>
      <c r="T58" s="78">
        <f t="shared" si="17"/>
        <v>0</v>
      </c>
      <c r="U58" s="79" t="s">
        <v>385</v>
      </c>
      <c r="V58" s="79" t="s">
        <v>385</v>
      </c>
      <c r="W58" s="79" t="s">
        <v>385</v>
      </c>
      <c r="X58" s="79" t="s">
        <v>385</v>
      </c>
      <c r="Y58" s="78">
        <f t="shared" si="18"/>
        <v>0</v>
      </c>
      <c r="Z58" s="79" t="s">
        <v>385</v>
      </c>
      <c r="AA58" s="79" t="s">
        <v>385</v>
      </c>
      <c r="AB58" s="79" t="s">
        <v>385</v>
      </c>
      <c r="AC58" s="79" t="s">
        <v>385</v>
      </c>
      <c r="AD58" s="78">
        <f t="shared" si="19"/>
        <v>0</v>
      </c>
      <c r="AE58" s="79" t="s">
        <v>385</v>
      </c>
      <c r="AF58" s="79" t="s">
        <v>385</v>
      </c>
      <c r="AG58" s="79" t="s">
        <v>385</v>
      </c>
      <c r="AH58" s="79" t="s">
        <v>385</v>
      </c>
      <c r="AI58" s="78">
        <f t="shared" si="20"/>
        <v>0</v>
      </c>
      <c r="AJ58" s="79" t="s">
        <v>385</v>
      </c>
      <c r="AK58" s="79" t="s">
        <v>385</v>
      </c>
      <c r="AL58" s="79" t="s">
        <v>385</v>
      </c>
      <c r="AM58" s="79" t="s">
        <v>385</v>
      </c>
      <c r="AN58" s="78">
        <f t="shared" si="21"/>
        <v>0</v>
      </c>
    </row>
    <row r="59" spans="1:40" s="19" customFormat="1" ht="110.25">
      <c r="A59" s="37" t="s">
        <v>418</v>
      </c>
      <c r="B59" s="30" t="s">
        <v>420</v>
      </c>
      <c r="C59" s="28" t="s">
        <v>61</v>
      </c>
      <c r="D59" s="12" t="s">
        <v>313</v>
      </c>
      <c r="E59" s="78">
        <f t="shared" si="1"/>
        <v>0</v>
      </c>
      <c r="F59" s="28" t="s">
        <v>385</v>
      </c>
      <c r="G59" s="28" t="s">
        <v>385</v>
      </c>
      <c r="H59" s="28" t="s">
        <v>385</v>
      </c>
      <c r="I59" s="28" t="s">
        <v>385</v>
      </c>
      <c r="J59" s="78">
        <f t="shared" si="23"/>
        <v>0</v>
      </c>
      <c r="K59" s="79" t="s">
        <v>385</v>
      </c>
      <c r="L59" s="79" t="s">
        <v>385</v>
      </c>
      <c r="M59" s="79" t="s">
        <v>385</v>
      </c>
      <c r="N59" s="79" t="s">
        <v>385</v>
      </c>
      <c r="O59" s="78">
        <f aca="true" t="shared" si="24" ref="O59:O67">SUMIF(P59:S59,"&gt;0")</f>
        <v>0</v>
      </c>
      <c r="P59" s="79" t="s">
        <v>385</v>
      </c>
      <c r="Q59" s="79" t="s">
        <v>385</v>
      </c>
      <c r="R59" s="79" t="s">
        <v>385</v>
      </c>
      <c r="S59" s="79" t="s">
        <v>385</v>
      </c>
      <c r="T59" s="78">
        <f t="shared" si="17"/>
        <v>0</v>
      </c>
      <c r="U59" s="79" t="s">
        <v>385</v>
      </c>
      <c r="V59" s="79" t="s">
        <v>385</v>
      </c>
      <c r="W59" s="79" t="s">
        <v>385</v>
      </c>
      <c r="X59" s="79" t="s">
        <v>385</v>
      </c>
      <c r="Y59" s="120">
        <f t="shared" si="18"/>
        <v>68150</v>
      </c>
      <c r="Z59" s="124">
        <v>68150</v>
      </c>
      <c r="AA59" s="79" t="s">
        <v>385</v>
      </c>
      <c r="AB59" s="79" t="s">
        <v>385</v>
      </c>
      <c r="AC59" s="79" t="s">
        <v>385</v>
      </c>
      <c r="AD59" s="120">
        <f t="shared" si="19"/>
        <v>68150</v>
      </c>
      <c r="AE59" s="124">
        <v>68150</v>
      </c>
      <c r="AF59" s="79" t="s">
        <v>385</v>
      </c>
      <c r="AG59" s="79" t="s">
        <v>385</v>
      </c>
      <c r="AH59" s="79" t="s">
        <v>385</v>
      </c>
      <c r="AI59" s="120">
        <f t="shared" si="20"/>
        <v>68150</v>
      </c>
      <c r="AJ59" s="124">
        <v>68150</v>
      </c>
      <c r="AK59" s="79" t="s">
        <v>385</v>
      </c>
      <c r="AL59" s="79" t="s">
        <v>385</v>
      </c>
      <c r="AM59" s="79" t="s">
        <v>385</v>
      </c>
      <c r="AN59" s="128">
        <f t="shared" si="21"/>
        <v>204450</v>
      </c>
    </row>
    <row r="60" spans="1:40" s="33" customFormat="1" ht="120" customHeight="1">
      <c r="A60" s="37" t="s">
        <v>419</v>
      </c>
      <c r="B60" s="30" t="s">
        <v>421</v>
      </c>
      <c r="C60" s="28" t="s">
        <v>61</v>
      </c>
      <c r="D60" s="12" t="s">
        <v>313</v>
      </c>
      <c r="E60" s="78">
        <f t="shared" si="1"/>
        <v>0</v>
      </c>
      <c r="F60" s="28" t="s">
        <v>385</v>
      </c>
      <c r="G60" s="28" t="s">
        <v>385</v>
      </c>
      <c r="H60" s="28" t="s">
        <v>385</v>
      </c>
      <c r="I60" s="28" t="s">
        <v>385</v>
      </c>
      <c r="J60" s="78">
        <f t="shared" si="23"/>
        <v>0</v>
      </c>
      <c r="K60" s="79" t="s">
        <v>385</v>
      </c>
      <c r="L60" s="79" t="s">
        <v>385</v>
      </c>
      <c r="M60" s="79" t="s">
        <v>385</v>
      </c>
      <c r="N60" s="79" t="s">
        <v>385</v>
      </c>
      <c r="O60" s="78">
        <f t="shared" si="24"/>
        <v>0</v>
      </c>
      <c r="P60" s="79" t="s">
        <v>385</v>
      </c>
      <c r="Q60" s="79" t="s">
        <v>385</v>
      </c>
      <c r="R60" s="79" t="s">
        <v>385</v>
      </c>
      <c r="S60" s="79" t="s">
        <v>385</v>
      </c>
      <c r="T60" s="78">
        <f aca="true" t="shared" si="25" ref="T60:T65">SUMIF(U60:X60,"&gt;0")</f>
        <v>0</v>
      </c>
      <c r="U60" s="79" t="s">
        <v>385</v>
      </c>
      <c r="V60" s="79" t="s">
        <v>385</v>
      </c>
      <c r="W60" s="79" t="s">
        <v>385</v>
      </c>
      <c r="X60" s="79" t="s">
        <v>385</v>
      </c>
      <c r="Y60" s="120">
        <f aca="true" t="shared" si="26" ref="Y60:Y65">SUMIF(Z60:AC60,"&gt;0")</f>
        <v>16954</v>
      </c>
      <c r="Z60" s="124">
        <v>16954</v>
      </c>
      <c r="AA60" s="79" t="s">
        <v>385</v>
      </c>
      <c r="AB60" s="79" t="s">
        <v>385</v>
      </c>
      <c r="AC60" s="79" t="s">
        <v>385</v>
      </c>
      <c r="AD60" s="120">
        <f aca="true" t="shared" si="27" ref="AD60:AD65">SUMIF(AE60:AH60,"&gt;0")</f>
        <v>16954</v>
      </c>
      <c r="AE60" s="124">
        <v>16954</v>
      </c>
      <c r="AF60" s="79" t="s">
        <v>385</v>
      </c>
      <c r="AG60" s="79" t="s">
        <v>385</v>
      </c>
      <c r="AH60" s="79" t="s">
        <v>385</v>
      </c>
      <c r="AI60" s="120">
        <f aca="true" t="shared" si="28" ref="AI60:AI65">SUMIF(AJ60:AM60,"&gt;0")</f>
        <v>16954</v>
      </c>
      <c r="AJ60" s="124">
        <v>16954</v>
      </c>
      <c r="AK60" s="79" t="s">
        <v>385</v>
      </c>
      <c r="AL60" s="79" t="s">
        <v>385</v>
      </c>
      <c r="AM60" s="79" t="s">
        <v>385</v>
      </c>
      <c r="AN60" s="128">
        <f aca="true" t="shared" si="29" ref="AN60:AN65">E60+J60+O60+T60+Y60+AD60+AI60</f>
        <v>50862</v>
      </c>
    </row>
    <row r="61" spans="1:40" s="33" customFormat="1" ht="120" customHeight="1">
      <c r="A61" s="37" t="s">
        <v>467</v>
      </c>
      <c r="B61" s="119" t="s">
        <v>476</v>
      </c>
      <c r="C61" s="28" t="s">
        <v>61</v>
      </c>
      <c r="D61" s="12" t="s">
        <v>313</v>
      </c>
      <c r="E61" s="120">
        <f t="shared" si="1"/>
        <v>3863.3</v>
      </c>
      <c r="F61" s="124">
        <f>4940-299-777.653</f>
        <v>3863.3</v>
      </c>
      <c r="G61" s="12" t="s">
        <v>385</v>
      </c>
      <c r="H61" s="28" t="s">
        <v>385</v>
      </c>
      <c r="I61" s="28" t="s">
        <v>385</v>
      </c>
      <c r="J61" s="120">
        <f t="shared" si="23"/>
        <v>30313</v>
      </c>
      <c r="K61" s="124">
        <f>27513+2800</f>
        <v>30313</v>
      </c>
      <c r="L61" s="79" t="s">
        <v>385</v>
      </c>
      <c r="M61" s="79" t="s">
        <v>385</v>
      </c>
      <c r="N61" s="79" t="s">
        <v>385</v>
      </c>
      <c r="O61" s="120">
        <f t="shared" si="24"/>
        <v>39978</v>
      </c>
      <c r="P61" s="124">
        <f>24663+15315</f>
        <v>39978</v>
      </c>
      <c r="Q61" s="79" t="s">
        <v>385</v>
      </c>
      <c r="R61" s="79" t="s">
        <v>385</v>
      </c>
      <c r="S61" s="79" t="s">
        <v>385</v>
      </c>
      <c r="T61" s="120">
        <f t="shared" si="25"/>
        <v>21318</v>
      </c>
      <c r="U61" s="124">
        <v>21318</v>
      </c>
      <c r="V61" s="79" t="s">
        <v>385</v>
      </c>
      <c r="W61" s="79" t="s">
        <v>385</v>
      </c>
      <c r="X61" s="79" t="s">
        <v>385</v>
      </c>
      <c r="Y61" s="78">
        <f t="shared" si="26"/>
        <v>0</v>
      </c>
      <c r="Z61" s="79" t="s">
        <v>385</v>
      </c>
      <c r="AA61" s="79" t="s">
        <v>385</v>
      </c>
      <c r="AB61" s="79" t="s">
        <v>385</v>
      </c>
      <c r="AC61" s="79" t="s">
        <v>385</v>
      </c>
      <c r="AD61" s="78">
        <f t="shared" si="27"/>
        <v>0</v>
      </c>
      <c r="AE61" s="79" t="s">
        <v>385</v>
      </c>
      <c r="AF61" s="79" t="s">
        <v>385</v>
      </c>
      <c r="AG61" s="79" t="s">
        <v>385</v>
      </c>
      <c r="AH61" s="79" t="s">
        <v>385</v>
      </c>
      <c r="AI61" s="78">
        <f t="shared" si="28"/>
        <v>0</v>
      </c>
      <c r="AJ61" s="79" t="s">
        <v>385</v>
      </c>
      <c r="AK61" s="79" t="s">
        <v>385</v>
      </c>
      <c r="AL61" s="79" t="s">
        <v>385</v>
      </c>
      <c r="AM61" s="79" t="s">
        <v>385</v>
      </c>
      <c r="AN61" s="128">
        <f t="shared" si="29"/>
        <v>95472.3</v>
      </c>
    </row>
    <row r="62" spans="1:40" s="33" customFormat="1" ht="120" customHeight="1">
      <c r="A62" s="37" t="s">
        <v>471</v>
      </c>
      <c r="B62" s="98" t="s">
        <v>494</v>
      </c>
      <c r="C62" s="28" t="s">
        <v>61</v>
      </c>
      <c r="D62" s="12" t="s">
        <v>313</v>
      </c>
      <c r="E62" s="120">
        <f t="shared" si="1"/>
        <v>29681.6</v>
      </c>
      <c r="F62" s="124">
        <f>2292.82588+1477.18941+790.998</f>
        <v>4561</v>
      </c>
      <c r="G62" s="124">
        <f>12992.68+8370.74+3757.1732</f>
        <v>25120.6</v>
      </c>
      <c r="H62" s="28" t="s">
        <v>385</v>
      </c>
      <c r="I62" s="28" t="s">
        <v>385</v>
      </c>
      <c r="J62" s="120">
        <f t="shared" si="23"/>
        <v>15886</v>
      </c>
      <c r="K62" s="124">
        <f>819+234+4000+10833.0352</f>
        <v>15886</v>
      </c>
      <c r="L62" s="79" t="s">
        <v>385</v>
      </c>
      <c r="M62" s="79" t="s">
        <v>385</v>
      </c>
      <c r="N62" s="79" t="s">
        <v>385</v>
      </c>
      <c r="O62" s="78">
        <f t="shared" si="24"/>
        <v>0</v>
      </c>
      <c r="P62" s="79" t="s">
        <v>385</v>
      </c>
      <c r="Q62" s="79" t="s">
        <v>385</v>
      </c>
      <c r="R62" s="79" t="s">
        <v>385</v>
      </c>
      <c r="S62" s="79" t="s">
        <v>385</v>
      </c>
      <c r="T62" s="78">
        <f t="shared" si="25"/>
        <v>0</v>
      </c>
      <c r="U62" s="79" t="s">
        <v>385</v>
      </c>
      <c r="V62" s="79" t="s">
        <v>385</v>
      </c>
      <c r="W62" s="79" t="s">
        <v>385</v>
      </c>
      <c r="X62" s="79" t="s">
        <v>385</v>
      </c>
      <c r="Y62" s="78">
        <f t="shared" si="26"/>
        <v>0</v>
      </c>
      <c r="Z62" s="79" t="s">
        <v>385</v>
      </c>
      <c r="AA62" s="79" t="s">
        <v>385</v>
      </c>
      <c r="AB62" s="79" t="s">
        <v>385</v>
      </c>
      <c r="AC62" s="79" t="s">
        <v>385</v>
      </c>
      <c r="AD62" s="78">
        <f t="shared" si="27"/>
        <v>0</v>
      </c>
      <c r="AE62" s="79" t="s">
        <v>385</v>
      </c>
      <c r="AF62" s="79" t="s">
        <v>385</v>
      </c>
      <c r="AG62" s="79" t="s">
        <v>385</v>
      </c>
      <c r="AH62" s="79" t="s">
        <v>385</v>
      </c>
      <c r="AI62" s="78">
        <f t="shared" si="28"/>
        <v>0</v>
      </c>
      <c r="AJ62" s="79" t="s">
        <v>385</v>
      </c>
      <c r="AK62" s="79" t="s">
        <v>385</v>
      </c>
      <c r="AL62" s="79" t="s">
        <v>385</v>
      </c>
      <c r="AM62" s="79" t="s">
        <v>385</v>
      </c>
      <c r="AN62" s="128">
        <f t="shared" si="29"/>
        <v>45567.6</v>
      </c>
    </row>
    <row r="63" spans="1:40" s="33" customFormat="1" ht="120" customHeight="1">
      <c r="A63" s="37" t="s">
        <v>475</v>
      </c>
      <c r="B63" s="98" t="s">
        <v>472</v>
      </c>
      <c r="C63" s="28" t="s">
        <v>61</v>
      </c>
      <c r="D63" s="12" t="s">
        <v>313</v>
      </c>
      <c r="E63" s="120">
        <f t="shared" si="1"/>
        <v>2414</v>
      </c>
      <c r="F63" s="124">
        <f>2591-176.97228</f>
        <v>2414</v>
      </c>
      <c r="G63" s="28" t="s">
        <v>385</v>
      </c>
      <c r="H63" s="28" t="s">
        <v>385</v>
      </c>
      <c r="I63" s="28" t="s">
        <v>385</v>
      </c>
      <c r="J63" s="120">
        <f t="shared" si="23"/>
        <v>3244.9</v>
      </c>
      <c r="K63" s="124">
        <f>1417.63</f>
        <v>1417.6</v>
      </c>
      <c r="L63" s="79" t="s">
        <v>385</v>
      </c>
      <c r="M63" s="79" t="s">
        <v>385</v>
      </c>
      <c r="N63" s="124">
        <f>1827.33</f>
        <v>1827.3</v>
      </c>
      <c r="O63" s="78">
        <f>SUMIF(P63:S63,"&gt;0")</f>
        <v>0</v>
      </c>
      <c r="P63" s="79" t="s">
        <v>385</v>
      </c>
      <c r="Q63" s="79" t="s">
        <v>385</v>
      </c>
      <c r="R63" s="79" t="s">
        <v>385</v>
      </c>
      <c r="S63" s="79" t="s">
        <v>385</v>
      </c>
      <c r="T63" s="78">
        <f t="shared" si="25"/>
        <v>0</v>
      </c>
      <c r="U63" s="79" t="s">
        <v>385</v>
      </c>
      <c r="V63" s="79" t="s">
        <v>385</v>
      </c>
      <c r="W63" s="79" t="s">
        <v>385</v>
      </c>
      <c r="X63" s="79" t="s">
        <v>385</v>
      </c>
      <c r="Y63" s="78">
        <f t="shared" si="26"/>
        <v>0</v>
      </c>
      <c r="Z63" s="79" t="s">
        <v>385</v>
      </c>
      <c r="AA63" s="79" t="s">
        <v>385</v>
      </c>
      <c r="AB63" s="79" t="s">
        <v>385</v>
      </c>
      <c r="AC63" s="79" t="s">
        <v>385</v>
      </c>
      <c r="AD63" s="78">
        <f t="shared" si="27"/>
        <v>0</v>
      </c>
      <c r="AE63" s="79" t="s">
        <v>385</v>
      </c>
      <c r="AF63" s="79" t="s">
        <v>385</v>
      </c>
      <c r="AG63" s="79" t="s">
        <v>385</v>
      </c>
      <c r="AH63" s="79" t="s">
        <v>385</v>
      </c>
      <c r="AI63" s="78">
        <f t="shared" si="28"/>
        <v>0</v>
      </c>
      <c r="AJ63" s="79" t="s">
        <v>385</v>
      </c>
      <c r="AK63" s="79" t="s">
        <v>385</v>
      </c>
      <c r="AL63" s="79" t="s">
        <v>385</v>
      </c>
      <c r="AM63" s="79" t="s">
        <v>385</v>
      </c>
      <c r="AN63" s="128">
        <f t="shared" si="29"/>
        <v>5658.9</v>
      </c>
    </row>
    <row r="64" spans="1:40" s="33" customFormat="1" ht="120" customHeight="1">
      <c r="A64" s="37" t="s">
        <v>484</v>
      </c>
      <c r="B64" s="98" t="s">
        <v>519</v>
      </c>
      <c r="C64" s="28" t="s">
        <v>61</v>
      </c>
      <c r="D64" s="104">
        <v>2021</v>
      </c>
      <c r="E64" s="120">
        <f>SUMIF(F64:I64,"&gt;0")</f>
        <v>619.9</v>
      </c>
      <c r="F64" s="124">
        <f>619.94697</f>
        <v>619.9</v>
      </c>
      <c r="G64" s="28" t="s">
        <v>385</v>
      </c>
      <c r="H64" s="28" t="s">
        <v>385</v>
      </c>
      <c r="I64" s="28" t="s">
        <v>385</v>
      </c>
      <c r="J64" s="78">
        <f t="shared" si="23"/>
        <v>0</v>
      </c>
      <c r="K64" s="79" t="s">
        <v>385</v>
      </c>
      <c r="L64" s="79" t="s">
        <v>385</v>
      </c>
      <c r="M64" s="79" t="s">
        <v>385</v>
      </c>
      <c r="N64" s="79" t="s">
        <v>385</v>
      </c>
      <c r="O64" s="78">
        <f>SUMIF(P64:S64,"&gt;0")</f>
        <v>0</v>
      </c>
      <c r="P64" s="79" t="s">
        <v>385</v>
      </c>
      <c r="Q64" s="79" t="s">
        <v>385</v>
      </c>
      <c r="R64" s="79" t="s">
        <v>385</v>
      </c>
      <c r="S64" s="79" t="s">
        <v>385</v>
      </c>
      <c r="T64" s="78">
        <f t="shared" si="25"/>
        <v>0</v>
      </c>
      <c r="U64" s="79" t="s">
        <v>385</v>
      </c>
      <c r="V64" s="79" t="s">
        <v>385</v>
      </c>
      <c r="W64" s="79" t="s">
        <v>385</v>
      </c>
      <c r="X64" s="79" t="s">
        <v>385</v>
      </c>
      <c r="Y64" s="78">
        <f t="shared" si="26"/>
        <v>0</v>
      </c>
      <c r="Z64" s="79" t="s">
        <v>385</v>
      </c>
      <c r="AA64" s="79" t="s">
        <v>385</v>
      </c>
      <c r="AB64" s="79" t="s">
        <v>385</v>
      </c>
      <c r="AC64" s="79" t="s">
        <v>385</v>
      </c>
      <c r="AD64" s="78">
        <f t="shared" si="27"/>
        <v>0</v>
      </c>
      <c r="AE64" s="79" t="s">
        <v>385</v>
      </c>
      <c r="AF64" s="79" t="s">
        <v>385</v>
      </c>
      <c r="AG64" s="79" t="s">
        <v>385</v>
      </c>
      <c r="AH64" s="79" t="s">
        <v>385</v>
      </c>
      <c r="AI64" s="78">
        <f t="shared" si="28"/>
        <v>0</v>
      </c>
      <c r="AJ64" s="79" t="s">
        <v>385</v>
      </c>
      <c r="AK64" s="79" t="s">
        <v>385</v>
      </c>
      <c r="AL64" s="79" t="s">
        <v>385</v>
      </c>
      <c r="AM64" s="79" t="s">
        <v>385</v>
      </c>
      <c r="AN64" s="128">
        <f t="shared" si="29"/>
        <v>619.9</v>
      </c>
    </row>
    <row r="65" spans="1:40" s="33" customFormat="1" ht="120" customHeight="1">
      <c r="A65" s="37" t="s">
        <v>520</v>
      </c>
      <c r="B65" s="98" t="s">
        <v>521</v>
      </c>
      <c r="C65" s="28" t="s">
        <v>61</v>
      </c>
      <c r="D65" s="104">
        <v>2022</v>
      </c>
      <c r="E65" s="78">
        <f>SUMIF(F65:I65,"&gt;0")</f>
        <v>0</v>
      </c>
      <c r="F65" s="28" t="s">
        <v>385</v>
      </c>
      <c r="G65" s="28" t="s">
        <v>385</v>
      </c>
      <c r="H65" s="28" t="s">
        <v>385</v>
      </c>
      <c r="I65" s="28" t="s">
        <v>385</v>
      </c>
      <c r="J65" s="120">
        <f t="shared" si="23"/>
        <v>318567</v>
      </c>
      <c r="K65" s="124">
        <f>7278.81067+1350.20807</f>
        <v>8629</v>
      </c>
      <c r="L65" s="124">
        <f>41246.5938+96728.90625</f>
        <v>137975.5</v>
      </c>
      <c r="M65" s="124">
        <f>171962.5</f>
        <v>171962.5</v>
      </c>
      <c r="N65" s="79" t="s">
        <v>385</v>
      </c>
      <c r="O65" s="120">
        <f>SUMIF(P65:S65,"&gt;0")</f>
        <v>87001.7</v>
      </c>
      <c r="P65" s="124">
        <f>13050.25059</f>
        <v>13050.3</v>
      </c>
      <c r="Q65" s="124">
        <f>73951.42</f>
        <v>73951.4</v>
      </c>
      <c r="R65" s="79" t="s">
        <v>385</v>
      </c>
      <c r="S65" s="79" t="s">
        <v>385</v>
      </c>
      <c r="T65" s="78">
        <f t="shared" si="25"/>
        <v>0</v>
      </c>
      <c r="U65" s="79" t="s">
        <v>385</v>
      </c>
      <c r="V65" s="79" t="s">
        <v>385</v>
      </c>
      <c r="W65" s="79" t="s">
        <v>385</v>
      </c>
      <c r="X65" s="79" t="s">
        <v>385</v>
      </c>
      <c r="Y65" s="78">
        <f t="shared" si="26"/>
        <v>0</v>
      </c>
      <c r="Z65" s="79" t="s">
        <v>385</v>
      </c>
      <c r="AA65" s="79" t="s">
        <v>385</v>
      </c>
      <c r="AB65" s="79" t="s">
        <v>385</v>
      </c>
      <c r="AC65" s="79" t="s">
        <v>385</v>
      </c>
      <c r="AD65" s="78">
        <f t="shared" si="27"/>
        <v>0</v>
      </c>
      <c r="AE65" s="79" t="s">
        <v>385</v>
      </c>
      <c r="AF65" s="79" t="s">
        <v>385</v>
      </c>
      <c r="AG65" s="79" t="s">
        <v>385</v>
      </c>
      <c r="AH65" s="79" t="s">
        <v>385</v>
      </c>
      <c r="AI65" s="78">
        <f t="shared" si="28"/>
        <v>0</v>
      </c>
      <c r="AJ65" s="79" t="s">
        <v>385</v>
      </c>
      <c r="AK65" s="79" t="s">
        <v>385</v>
      </c>
      <c r="AL65" s="79" t="s">
        <v>385</v>
      </c>
      <c r="AM65" s="79" t="s">
        <v>385</v>
      </c>
      <c r="AN65" s="128">
        <f t="shared" si="29"/>
        <v>405568.7</v>
      </c>
    </row>
    <row r="66" spans="1:40" s="33" customFormat="1" ht="120" customHeight="1">
      <c r="A66" s="37" t="s">
        <v>522</v>
      </c>
      <c r="B66" s="98" t="s">
        <v>523</v>
      </c>
      <c r="C66" s="28" t="s">
        <v>61</v>
      </c>
      <c r="D66" s="104">
        <v>2022</v>
      </c>
      <c r="E66" s="78">
        <f t="shared" si="1"/>
        <v>0</v>
      </c>
      <c r="F66" s="28" t="s">
        <v>385</v>
      </c>
      <c r="G66" s="28" t="s">
        <v>385</v>
      </c>
      <c r="H66" s="28" t="s">
        <v>385</v>
      </c>
      <c r="I66" s="28" t="s">
        <v>385</v>
      </c>
      <c r="J66" s="120">
        <f t="shared" si="23"/>
        <v>8862.2</v>
      </c>
      <c r="K66" s="124">
        <f>3102</f>
        <v>3102</v>
      </c>
      <c r="L66" s="124">
        <f>5760.18</f>
        <v>5760.2</v>
      </c>
      <c r="M66" s="79" t="s">
        <v>385</v>
      </c>
      <c r="N66" s="79" t="s">
        <v>385</v>
      </c>
      <c r="O66" s="120">
        <f t="shared" si="24"/>
        <v>12963</v>
      </c>
      <c r="P66" s="124">
        <f>4537</f>
        <v>4537</v>
      </c>
      <c r="Q66" s="124">
        <f>8426</f>
        <v>8426</v>
      </c>
      <c r="R66" s="79" t="s">
        <v>385</v>
      </c>
      <c r="S66" s="79" t="s">
        <v>385</v>
      </c>
      <c r="T66" s="78">
        <f t="shared" si="17"/>
        <v>0</v>
      </c>
      <c r="U66" s="79" t="s">
        <v>385</v>
      </c>
      <c r="V66" s="79" t="s">
        <v>385</v>
      </c>
      <c r="W66" s="79" t="s">
        <v>385</v>
      </c>
      <c r="X66" s="79" t="s">
        <v>385</v>
      </c>
      <c r="Y66" s="78">
        <f t="shared" si="18"/>
        <v>0</v>
      </c>
      <c r="Z66" s="79" t="s">
        <v>385</v>
      </c>
      <c r="AA66" s="79" t="s">
        <v>385</v>
      </c>
      <c r="AB66" s="79" t="s">
        <v>385</v>
      </c>
      <c r="AC66" s="79" t="s">
        <v>385</v>
      </c>
      <c r="AD66" s="78">
        <f t="shared" si="19"/>
        <v>0</v>
      </c>
      <c r="AE66" s="79" t="s">
        <v>385</v>
      </c>
      <c r="AF66" s="79" t="s">
        <v>385</v>
      </c>
      <c r="AG66" s="79" t="s">
        <v>385</v>
      </c>
      <c r="AH66" s="79" t="s">
        <v>385</v>
      </c>
      <c r="AI66" s="78">
        <f t="shared" si="20"/>
        <v>0</v>
      </c>
      <c r="AJ66" s="79" t="s">
        <v>385</v>
      </c>
      <c r="AK66" s="79" t="s">
        <v>385</v>
      </c>
      <c r="AL66" s="79" t="s">
        <v>385</v>
      </c>
      <c r="AM66" s="79" t="s">
        <v>385</v>
      </c>
      <c r="AN66" s="128">
        <f t="shared" si="21"/>
        <v>21825.2</v>
      </c>
    </row>
    <row r="67" spans="1:40" s="33" customFormat="1" ht="110.25">
      <c r="A67" s="37" t="s">
        <v>22</v>
      </c>
      <c r="B67" s="20" t="s">
        <v>81</v>
      </c>
      <c r="C67" s="28" t="s">
        <v>61</v>
      </c>
      <c r="D67" s="12" t="s">
        <v>422</v>
      </c>
      <c r="E67" s="78">
        <f>SUMIF(F67:I67,"&gt;0")</f>
        <v>0</v>
      </c>
      <c r="F67" s="28" t="s">
        <v>385</v>
      </c>
      <c r="G67" s="28" t="s">
        <v>385</v>
      </c>
      <c r="H67" s="28" t="s">
        <v>385</v>
      </c>
      <c r="I67" s="28" t="s">
        <v>385</v>
      </c>
      <c r="J67" s="78">
        <f t="shared" si="22"/>
        <v>0</v>
      </c>
      <c r="K67" s="79" t="s">
        <v>385</v>
      </c>
      <c r="L67" s="79" t="s">
        <v>385</v>
      </c>
      <c r="M67" s="79" t="s">
        <v>385</v>
      </c>
      <c r="N67" s="79" t="s">
        <v>385</v>
      </c>
      <c r="O67" s="78">
        <f t="shared" si="24"/>
        <v>0</v>
      </c>
      <c r="P67" s="79" t="s">
        <v>385</v>
      </c>
      <c r="Q67" s="79" t="s">
        <v>385</v>
      </c>
      <c r="R67" s="79" t="s">
        <v>385</v>
      </c>
      <c r="S67" s="79" t="s">
        <v>385</v>
      </c>
      <c r="T67" s="78">
        <f t="shared" si="17"/>
        <v>0</v>
      </c>
      <c r="U67" s="79" t="s">
        <v>385</v>
      </c>
      <c r="V67" s="79" t="s">
        <v>385</v>
      </c>
      <c r="W67" s="79" t="s">
        <v>385</v>
      </c>
      <c r="X67" s="79" t="s">
        <v>385</v>
      </c>
      <c r="Y67" s="120">
        <f t="shared" si="18"/>
        <v>22655.6</v>
      </c>
      <c r="Z67" s="124">
        <v>22655.6</v>
      </c>
      <c r="AA67" s="79" t="s">
        <v>385</v>
      </c>
      <c r="AB67" s="79" t="s">
        <v>385</v>
      </c>
      <c r="AC67" s="79" t="s">
        <v>385</v>
      </c>
      <c r="AD67" s="78">
        <f t="shared" si="19"/>
        <v>0</v>
      </c>
      <c r="AE67" s="79" t="s">
        <v>385</v>
      </c>
      <c r="AF67" s="79" t="s">
        <v>385</v>
      </c>
      <c r="AG67" s="79" t="s">
        <v>385</v>
      </c>
      <c r="AH67" s="79" t="s">
        <v>385</v>
      </c>
      <c r="AI67" s="78">
        <f t="shared" si="20"/>
        <v>0</v>
      </c>
      <c r="AJ67" s="79" t="s">
        <v>385</v>
      </c>
      <c r="AK67" s="79" t="s">
        <v>385</v>
      </c>
      <c r="AL67" s="79" t="s">
        <v>385</v>
      </c>
      <c r="AM67" s="79" t="s">
        <v>385</v>
      </c>
      <c r="AN67" s="128">
        <f t="shared" si="21"/>
        <v>22655.6</v>
      </c>
    </row>
    <row r="68" spans="1:41" s="33" customFormat="1" ht="110.25">
      <c r="A68" s="37" t="s">
        <v>23</v>
      </c>
      <c r="B68" s="20" t="s">
        <v>236</v>
      </c>
      <c r="C68" s="28" t="s">
        <v>61</v>
      </c>
      <c r="D68" s="12" t="s">
        <v>296</v>
      </c>
      <c r="E68" s="120">
        <f t="shared" si="1"/>
        <v>31075</v>
      </c>
      <c r="F68" s="28" t="s">
        <v>385</v>
      </c>
      <c r="G68" s="28" t="s">
        <v>385</v>
      </c>
      <c r="H68" s="28" t="s">
        <v>385</v>
      </c>
      <c r="I68" s="124">
        <f>31083-8</f>
        <v>31075</v>
      </c>
      <c r="J68" s="120">
        <f t="shared" si="22"/>
        <v>19495</v>
      </c>
      <c r="K68" s="124">
        <v>3236</v>
      </c>
      <c r="L68" s="79" t="s">
        <v>385</v>
      </c>
      <c r="M68" s="79" t="s">
        <v>385</v>
      </c>
      <c r="N68" s="124">
        <f>16259</f>
        <v>16259</v>
      </c>
      <c r="O68" s="120">
        <f t="shared" si="16"/>
        <v>19495</v>
      </c>
      <c r="P68" s="124">
        <v>3236</v>
      </c>
      <c r="Q68" s="79" t="s">
        <v>385</v>
      </c>
      <c r="R68" s="79" t="s">
        <v>385</v>
      </c>
      <c r="S68" s="124">
        <f>16259</f>
        <v>16259</v>
      </c>
      <c r="T68" s="120">
        <f t="shared" si="17"/>
        <v>19495</v>
      </c>
      <c r="U68" s="124">
        <v>3236</v>
      </c>
      <c r="V68" s="79" t="s">
        <v>385</v>
      </c>
      <c r="W68" s="79" t="s">
        <v>385</v>
      </c>
      <c r="X68" s="124">
        <f>16259</f>
        <v>16259</v>
      </c>
      <c r="Y68" s="120">
        <f t="shared" si="18"/>
        <v>31008</v>
      </c>
      <c r="Z68" s="79" t="s">
        <v>385</v>
      </c>
      <c r="AA68" s="79" t="s">
        <v>385</v>
      </c>
      <c r="AB68" s="79" t="s">
        <v>385</v>
      </c>
      <c r="AC68" s="124">
        <v>31008</v>
      </c>
      <c r="AD68" s="120">
        <f t="shared" si="19"/>
        <v>32248</v>
      </c>
      <c r="AE68" s="79" t="s">
        <v>385</v>
      </c>
      <c r="AF68" s="79" t="s">
        <v>385</v>
      </c>
      <c r="AG68" s="79" t="s">
        <v>385</v>
      </c>
      <c r="AH68" s="124">
        <v>32248</v>
      </c>
      <c r="AI68" s="120">
        <f t="shared" si="20"/>
        <v>33538</v>
      </c>
      <c r="AJ68" s="79" t="s">
        <v>385</v>
      </c>
      <c r="AK68" s="79" t="s">
        <v>385</v>
      </c>
      <c r="AL68" s="79" t="s">
        <v>385</v>
      </c>
      <c r="AM68" s="124">
        <v>33538</v>
      </c>
      <c r="AN68" s="128">
        <f t="shared" si="21"/>
        <v>186354</v>
      </c>
      <c r="AO68" s="60"/>
    </row>
    <row r="69" spans="1:41" s="33" customFormat="1" ht="110.25">
      <c r="A69" s="37" t="s">
        <v>431</v>
      </c>
      <c r="B69" s="20" t="s">
        <v>432</v>
      </c>
      <c r="C69" s="28" t="s">
        <v>61</v>
      </c>
      <c r="D69" s="12" t="s">
        <v>296</v>
      </c>
      <c r="E69" s="130">
        <f>SUMIF(F69:I69,"&gt;0")</f>
        <v>0</v>
      </c>
      <c r="F69" s="94">
        <f>140+29-29-140</f>
        <v>0</v>
      </c>
      <c r="G69" s="94">
        <f>533+2649-533-2649</f>
        <v>0</v>
      </c>
      <c r="H69" s="28" t="s">
        <v>385</v>
      </c>
      <c r="I69" s="28" t="s">
        <v>385</v>
      </c>
      <c r="J69" s="78">
        <f>SUMIF(K69:N69,"&gt;0")</f>
        <v>0</v>
      </c>
      <c r="K69" s="79" t="s">
        <v>385</v>
      </c>
      <c r="L69" s="79" t="s">
        <v>385</v>
      </c>
      <c r="M69" s="79" t="s">
        <v>385</v>
      </c>
      <c r="N69" s="79" t="s">
        <v>385</v>
      </c>
      <c r="O69" s="78">
        <f t="shared" si="16"/>
        <v>0</v>
      </c>
      <c r="P69" s="79" t="s">
        <v>385</v>
      </c>
      <c r="Q69" s="79" t="s">
        <v>385</v>
      </c>
      <c r="R69" s="79" t="s">
        <v>385</v>
      </c>
      <c r="S69" s="79" t="s">
        <v>385</v>
      </c>
      <c r="T69" s="78">
        <f>SUMIF(U69:X69,"&gt;0")</f>
        <v>0</v>
      </c>
      <c r="U69" s="79" t="s">
        <v>385</v>
      </c>
      <c r="V69" s="79" t="s">
        <v>385</v>
      </c>
      <c r="W69" s="79" t="s">
        <v>385</v>
      </c>
      <c r="X69" s="79" t="s">
        <v>385</v>
      </c>
      <c r="Y69" s="78">
        <f>SUMIF(Z69:AC69,"&gt;0")</f>
        <v>0</v>
      </c>
      <c r="Z69" s="79" t="s">
        <v>385</v>
      </c>
      <c r="AA69" s="79" t="s">
        <v>385</v>
      </c>
      <c r="AB69" s="79" t="s">
        <v>385</v>
      </c>
      <c r="AC69" s="79" t="s">
        <v>385</v>
      </c>
      <c r="AD69" s="78">
        <f>SUMIF(AE69:AH69,"&gt;0")</f>
        <v>0</v>
      </c>
      <c r="AE69" s="79" t="s">
        <v>385</v>
      </c>
      <c r="AF69" s="79" t="s">
        <v>385</v>
      </c>
      <c r="AG69" s="79" t="s">
        <v>385</v>
      </c>
      <c r="AH69" s="79" t="s">
        <v>385</v>
      </c>
      <c r="AI69" s="78">
        <f>SUMIF(AJ69:AM69,"&gt;0")</f>
        <v>0</v>
      </c>
      <c r="AJ69" s="79" t="s">
        <v>385</v>
      </c>
      <c r="AK69" s="79" t="s">
        <v>385</v>
      </c>
      <c r="AL69" s="79" t="s">
        <v>385</v>
      </c>
      <c r="AM69" s="79" t="s">
        <v>385</v>
      </c>
      <c r="AN69" s="78">
        <f>E69+J69+O69+T69+Y69+AD69+AI69</f>
        <v>0</v>
      </c>
      <c r="AO69" s="60"/>
    </row>
    <row r="70" spans="1:40" s="18" customFormat="1" ht="110.25">
      <c r="A70" s="43" t="s">
        <v>82</v>
      </c>
      <c r="B70" s="20" t="s">
        <v>2</v>
      </c>
      <c r="C70" s="28" t="s">
        <v>61</v>
      </c>
      <c r="D70" s="12" t="s">
        <v>296</v>
      </c>
      <c r="E70" s="120">
        <f t="shared" si="1"/>
        <v>368</v>
      </c>
      <c r="F70" s="124">
        <f>658-658+92</f>
        <v>92</v>
      </c>
      <c r="G70" s="124">
        <f>690+276-690</f>
        <v>276</v>
      </c>
      <c r="H70" s="28" t="s">
        <v>385</v>
      </c>
      <c r="I70" s="28" t="s">
        <v>385</v>
      </c>
      <c r="J70" s="120">
        <f t="shared" si="22"/>
        <v>2077.3</v>
      </c>
      <c r="K70" s="124">
        <f>1309-413.20807+413.20807</f>
        <v>1309</v>
      </c>
      <c r="L70" s="124">
        <f>768.293</f>
        <v>768.3</v>
      </c>
      <c r="M70" s="79" t="s">
        <v>385</v>
      </c>
      <c r="N70" s="79" t="s">
        <v>385</v>
      </c>
      <c r="O70" s="120">
        <f t="shared" si="16"/>
        <v>1024.4</v>
      </c>
      <c r="P70" s="124">
        <f>256.098</f>
        <v>256.1</v>
      </c>
      <c r="Q70" s="124">
        <f>768.293</f>
        <v>768.3</v>
      </c>
      <c r="R70" s="79" t="s">
        <v>385</v>
      </c>
      <c r="S70" s="79" t="s">
        <v>385</v>
      </c>
      <c r="T70" s="120">
        <f t="shared" si="17"/>
        <v>1024.4</v>
      </c>
      <c r="U70" s="124">
        <f>256.098</f>
        <v>256.1</v>
      </c>
      <c r="V70" s="124">
        <f>768.293</f>
        <v>768.3</v>
      </c>
      <c r="W70" s="79" t="s">
        <v>385</v>
      </c>
      <c r="X70" s="79" t="s">
        <v>385</v>
      </c>
      <c r="Y70" s="78">
        <f t="shared" si="18"/>
        <v>0</v>
      </c>
      <c r="Z70" s="79" t="s">
        <v>385</v>
      </c>
      <c r="AA70" s="79" t="s">
        <v>385</v>
      </c>
      <c r="AB70" s="79" t="s">
        <v>385</v>
      </c>
      <c r="AC70" s="79" t="s">
        <v>385</v>
      </c>
      <c r="AD70" s="78">
        <f t="shared" si="19"/>
        <v>0</v>
      </c>
      <c r="AE70" s="79" t="s">
        <v>385</v>
      </c>
      <c r="AF70" s="79" t="s">
        <v>385</v>
      </c>
      <c r="AG70" s="79" t="s">
        <v>385</v>
      </c>
      <c r="AH70" s="79" t="s">
        <v>385</v>
      </c>
      <c r="AI70" s="78">
        <f t="shared" si="20"/>
        <v>0</v>
      </c>
      <c r="AJ70" s="79" t="s">
        <v>385</v>
      </c>
      <c r="AK70" s="79" t="s">
        <v>385</v>
      </c>
      <c r="AL70" s="79" t="s">
        <v>385</v>
      </c>
      <c r="AM70" s="79" t="s">
        <v>385</v>
      </c>
      <c r="AN70" s="128">
        <f t="shared" si="21"/>
        <v>4494.1</v>
      </c>
    </row>
    <row r="71" spans="1:40" s="18" customFormat="1" ht="110.25">
      <c r="A71" s="37" t="s">
        <v>24</v>
      </c>
      <c r="B71" s="20" t="s">
        <v>83</v>
      </c>
      <c r="C71" s="28" t="s">
        <v>61</v>
      </c>
      <c r="D71" s="12" t="s">
        <v>296</v>
      </c>
      <c r="E71" s="120">
        <f t="shared" si="1"/>
        <v>309</v>
      </c>
      <c r="F71" s="124">
        <v>309</v>
      </c>
      <c r="G71" s="28" t="s">
        <v>385</v>
      </c>
      <c r="H71" s="28" t="s">
        <v>385</v>
      </c>
      <c r="I71" s="28" t="s">
        <v>385</v>
      </c>
      <c r="J71" s="120">
        <f t="shared" si="22"/>
        <v>773</v>
      </c>
      <c r="K71" s="124">
        <v>773</v>
      </c>
      <c r="L71" s="79" t="s">
        <v>385</v>
      </c>
      <c r="M71" s="79" t="s">
        <v>385</v>
      </c>
      <c r="N71" s="79" t="s">
        <v>385</v>
      </c>
      <c r="O71" s="120">
        <f t="shared" si="16"/>
        <v>3078.5</v>
      </c>
      <c r="P71" s="124">
        <f>3078.5376</f>
        <v>3078.5</v>
      </c>
      <c r="Q71" s="79" t="s">
        <v>385</v>
      </c>
      <c r="R71" s="79" t="s">
        <v>385</v>
      </c>
      <c r="S71" s="79" t="s">
        <v>385</v>
      </c>
      <c r="T71" s="78">
        <f t="shared" si="17"/>
        <v>0</v>
      </c>
      <c r="U71" s="79" t="s">
        <v>385</v>
      </c>
      <c r="V71" s="79" t="s">
        <v>385</v>
      </c>
      <c r="W71" s="79" t="s">
        <v>385</v>
      </c>
      <c r="X71" s="79" t="s">
        <v>385</v>
      </c>
      <c r="Y71" s="78">
        <f t="shared" si="18"/>
        <v>0</v>
      </c>
      <c r="Z71" s="79" t="s">
        <v>385</v>
      </c>
      <c r="AA71" s="79" t="s">
        <v>385</v>
      </c>
      <c r="AB71" s="79" t="s">
        <v>385</v>
      </c>
      <c r="AC71" s="79" t="s">
        <v>385</v>
      </c>
      <c r="AD71" s="78">
        <f t="shared" si="19"/>
        <v>0</v>
      </c>
      <c r="AE71" s="79" t="s">
        <v>385</v>
      </c>
      <c r="AF71" s="79" t="s">
        <v>385</v>
      </c>
      <c r="AG71" s="79" t="s">
        <v>385</v>
      </c>
      <c r="AH71" s="79" t="s">
        <v>385</v>
      </c>
      <c r="AI71" s="78">
        <f t="shared" si="20"/>
        <v>0</v>
      </c>
      <c r="AJ71" s="79" t="s">
        <v>385</v>
      </c>
      <c r="AK71" s="79" t="s">
        <v>385</v>
      </c>
      <c r="AL71" s="79" t="s">
        <v>385</v>
      </c>
      <c r="AM71" s="79" t="s">
        <v>385</v>
      </c>
      <c r="AN71" s="120">
        <f t="shared" si="21"/>
        <v>4160.5</v>
      </c>
    </row>
    <row r="72" spans="1:40" s="18" customFormat="1" ht="110.25">
      <c r="A72" s="37" t="s">
        <v>25</v>
      </c>
      <c r="B72" s="20" t="s">
        <v>84</v>
      </c>
      <c r="C72" s="28" t="s">
        <v>61</v>
      </c>
      <c r="D72" s="12" t="s">
        <v>296</v>
      </c>
      <c r="E72" s="78">
        <f t="shared" si="1"/>
        <v>0</v>
      </c>
      <c r="F72" s="28" t="s">
        <v>385</v>
      </c>
      <c r="G72" s="28" t="s">
        <v>385</v>
      </c>
      <c r="H72" s="28" t="s">
        <v>385</v>
      </c>
      <c r="I72" s="28" t="s">
        <v>385</v>
      </c>
      <c r="J72" s="120">
        <f t="shared" si="22"/>
        <v>5061</v>
      </c>
      <c r="K72" s="124">
        <v>5061</v>
      </c>
      <c r="L72" s="79" t="s">
        <v>385</v>
      </c>
      <c r="M72" s="79" t="s">
        <v>385</v>
      </c>
      <c r="N72" s="79" t="s">
        <v>385</v>
      </c>
      <c r="O72" s="78">
        <f t="shared" si="16"/>
        <v>0</v>
      </c>
      <c r="P72" s="79" t="s">
        <v>385</v>
      </c>
      <c r="Q72" s="79" t="s">
        <v>385</v>
      </c>
      <c r="R72" s="79" t="s">
        <v>385</v>
      </c>
      <c r="S72" s="79" t="s">
        <v>385</v>
      </c>
      <c r="T72" s="78">
        <f t="shared" si="17"/>
        <v>0</v>
      </c>
      <c r="U72" s="79" t="s">
        <v>385</v>
      </c>
      <c r="V72" s="79" t="s">
        <v>385</v>
      </c>
      <c r="W72" s="79" t="s">
        <v>385</v>
      </c>
      <c r="X72" s="79" t="s">
        <v>385</v>
      </c>
      <c r="Y72" s="120">
        <f t="shared" si="18"/>
        <v>627.9</v>
      </c>
      <c r="Z72" s="124">
        <v>627.9</v>
      </c>
      <c r="AA72" s="79" t="s">
        <v>385</v>
      </c>
      <c r="AB72" s="79" t="s">
        <v>385</v>
      </c>
      <c r="AC72" s="79" t="s">
        <v>385</v>
      </c>
      <c r="AD72" s="120">
        <f t="shared" si="19"/>
        <v>502.9</v>
      </c>
      <c r="AE72" s="124">
        <v>502.9</v>
      </c>
      <c r="AF72" s="79" t="s">
        <v>385</v>
      </c>
      <c r="AG72" s="79" t="s">
        <v>385</v>
      </c>
      <c r="AH72" s="79" t="s">
        <v>385</v>
      </c>
      <c r="AI72" s="120">
        <f t="shared" si="20"/>
        <v>312.2</v>
      </c>
      <c r="AJ72" s="124">
        <v>312.2</v>
      </c>
      <c r="AK72" s="79" t="s">
        <v>385</v>
      </c>
      <c r="AL72" s="79" t="s">
        <v>385</v>
      </c>
      <c r="AM72" s="79" t="s">
        <v>385</v>
      </c>
      <c r="AN72" s="128">
        <f t="shared" si="21"/>
        <v>6504</v>
      </c>
    </row>
    <row r="73" spans="1:40" s="18" customFormat="1" ht="126">
      <c r="A73" s="37" t="s">
        <v>423</v>
      </c>
      <c r="B73" s="20" t="s">
        <v>205</v>
      </c>
      <c r="C73" s="28" t="s">
        <v>39</v>
      </c>
      <c r="D73" s="12" t="s">
        <v>296</v>
      </c>
      <c r="E73" s="78">
        <f t="shared" si="1"/>
        <v>0</v>
      </c>
      <c r="F73" s="28" t="s">
        <v>385</v>
      </c>
      <c r="G73" s="28" t="s">
        <v>385</v>
      </c>
      <c r="H73" s="28" t="s">
        <v>385</v>
      </c>
      <c r="I73" s="28" t="s">
        <v>385</v>
      </c>
      <c r="J73" s="78">
        <f t="shared" si="22"/>
        <v>0</v>
      </c>
      <c r="K73" s="79" t="s">
        <v>385</v>
      </c>
      <c r="L73" s="79" t="s">
        <v>385</v>
      </c>
      <c r="M73" s="79" t="s">
        <v>385</v>
      </c>
      <c r="N73" s="79" t="s">
        <v>385</v>
      </c>
      <c r="O73" s="78">
        <f t="shared" si="16"/>
        <v>0</v>
      </c>
      <c r="P73" s="79" t="s">
        <v>385</v>
      </c>
      <c r="Q73" s="79" t="s">
        <v>385</v>
      </c>
      <c r="R73" s="79" t="s">
        <v>385</v>
      </c>
      <c r="S73" s="79" t="s">
        <v>385</v>
      </c>
      <c r="T73" s="78">
        <f t="shared" si="17"/>
        <v>0</v>
      </c>
      <c r="U73" s="79" t="s">
        <v>385</v>
      </c>
      <c r="V73" s="79" t="s">
        <v>385</v>
      </c>
      <c r="W73" s="79" t="s">
        <v>385</v>
      </c>
      <c r="X73" s="79" t="s">
        <v>385</v>
      </c>
      <c r="Y73" s="78">
        <f t="shared" si="18"/>
        <v>0</v>
      </c>
      <c r="Z73" s="79" t="s">
        <v>385</v>
      </c>
      <c r="AA73" s="79" t="s">
        <v>385</v>
      </c>
      <c r="AB73" s="79" t="s">
        <v>385</v>
      </c>
      <c r="AC73" s="79" t="s">
        <v>385</v>
      </c>
      <c r="AD73" s="78">
        <f t="shared" si="19"/>
        <v>0</v>
      </c>
      <c r="AE73" s="79" t="s">
        <v>385</v>
      </c>
      <c r="AF73" s="79" t="s">
        <v>385</v>
      </c>
      <c r="AG73" s="79" t="s">
        <v>385</v>
      </c>
      <c r="AH73" s="79" t="s">
        <v>385</v>
      </c>
      <c r="AI73" s="78">
        <f t="shared" si="20"/>
        <v>0</v>
      </c>
      <c r="AJ73" s="79" t="s">
        <v>385</v>
      </c>
      <c r="AK73" s="79" t="s">
        <v>385</v>
      </c>
      <c r="AL73" s="79" t="s">
        <v>385</v>
      </c>
      <c r="AM73" s="79" t="s">
        <v>385</v>
      </c>
      <c r="AN73" s="78">
        <f t="shared" si="21"/>
        <v>0</v>
      </c>
    </row>
    <row r="74" spans="1:40" s="18" customFormat="1" ht="126">
      <c r="A74" s="43" t="s">
        <v>424</v>
      </c>
      <c r="B74" s="20" t="s">
        <v>86</v>
      </c>
      <c r="C74" s="28" t="s">
        <v>61</v>
      </c>
      <c r="D74" s="12" t="s">
        <v>296</v>
      </c>
      <c r="E74" s="120">
        <f t="shared" si="1"/>
        <v>518499</v>
      </c>
      <c r="F74" s="28" t="s">
        <v>385</v>
      </c>
      <c r="G74" s="28" t="s">
        <v>385</v>
      </c>
      <c r="H74" s="28" t="s">
        <v>385</v>
      </c>
      <c r="I74" s="124">
        <f>518499</f>
        <v>518499</v>
      </c>
      <c r="J74" s="120">
        <f t="shared" si="22"/>
        <v>655727.7</v>
      </c>
      <c r="K74" s="79" t="s">
        <v>385</v>
      </c>
      <c r="L74" s="79" t="s">
        <v>385</v>
      </c>
      <c r="M74" s="79" t="s">
        <v>385</v>
      </c>
      <c r="N74" s="124">
        <f>657555-1827.33</f>
        <v>655727.7</v>
      </c>
      <c r="O74" s="120">
        <f t="shared" si="16"/>
        <v>657555</v>
      </c>
      <c r="P74" s="79" t="s">
        <v>385</v>
      </c>
      <c r="Q74" s="79" t="s">
        <v>385</v>
      </c>
      <c r="R74" s="79" t="s">
        <v>385</v>
      </c>
      <c r="S74" s="124">
        <f>657555</f>
        <v>657555</v>
      </c>
      <c r="T74" s="120">
        <f t="shared" si="17"/>
        <v>657555</v>
      </c>
      <c r="U74" s="79" t="s">
        <v>385</v>
      </c>
      <c r="V74" s="79" t="s">
        <v>385</v>
      </c>
      <c r="W74" s="79" t="s">
        <v>385</v>
      </c>
      <c r="X74" s="124">
        <f>657555</f>
        <v>657555</v>
      </c>
      <c r="Y74" s="120">
        <f t="shared" si="18"/>
        <v>253302</v>
      </c>
      <c r="Z74" s="79" t="s">
        <v>385</v>
      </c>
      <c r="AA74" s="79" t="s">
        <v>385</v>
      </c>
      <c r="AB74" s="79" t="s">
        <v>385</v>
      </c>
      <c r="AC74" s="124">
        <v>253302</v>
      </c>
      <c r="AD74" s="120">
        <f t="shared" si="19"/>
        <v>263434</v>
      </c>
      <c r="AE74" s="79" t="s">
        <v>385</v>
      </c>
      <c r="AF74" s="79" t="s">
        <v>385</v>
      </c>
      <c r="AG74" s="79" t="s">
        <v>385</v>
      </c>
      <c r="AH74" s="124">
        <v>263434</v>
      </c>
      <c r="AI74" s="120">
        <f t="shared" si="20"/>
        <v>273970</v>
      </c>
      <c r="AJ74" s="79" t="s">
        <v>385</v>
      </c>
      <c r="AK74" s="79" t="s">
        <v>385</v>
      </c>
      <c r="AL74" s="79" t="s">
        <v>385</v>
      </c>
      <c r="AM74" s="124">
        <v>273970</v>
      </c>
      <c r="AN74" s="128">
        <f t="shared" si="21"/>
        <v>3280042.7</v>
      </c>
    </row>
    <row r="75" spans="1:40" s="18" customFormat="1" ht="110.25">
      <c r="A75" s="43" t="s">
        <v>425</v>
      </c>
      <c r="B75" s="20" t="s">
        <v>262</v>
      </c>
      <c r="C75" s="28" t="s">
        <v>61</v>
      </c>
      <c r="D75" s="12" t="s">
        <v>296</v>
      </c>
      <c r="E75" s="130">
        <f t="shared" si="1"/>
        <v>0</v>
      </c>
      <c r="F75" s="94">
        <f>211-211</f>
        <v>0</v>
      </c>
      <c r="G75" s="94">
        <f>4000-4000</f>
        <v>0</v>
      </c>
      <c r="H75" s="28" t="s">
        <v>385</v>
      </c>
      <c r="I75" s="28" t="s">
        <v>385</v>
      </c>
      <c r="J75" s="78">
        <f t="shared" si="22"/>
        <v>0</v>
      </c>
      <c r="K75" s="79" t="s">
        <v>385</v>
      </c>
      <c r="L75" s="79" t="s">
        <v>385</v>
      </c>
      <c r="M75" s="79" t="s">
        <v>385</v>
      </c>
      <c r="N75" s="79" t="s">
        <v>385</v>
      </c>
      <c r="O75" s="78">
        <f t="shared" si="16"/>
        <v>0</v>
      </c>
      <c r="P75" s="79" t="s">
        <v>385</v>
      </c>
      <c r="Q75" s="79" t="s">
        <v>385</v>
      </c>
      <c r="R75" s="79" t="s">
        <v>385</v>
      </c>
      <c r="S75" s="79" t="s">
        <v>385</v>
      </c>
      <c r="T75" s="78">
        <f t="shared" si="17"/>
        <v>0</v>
      </c>
      <c r="U75" s="79" t="s">
        <v>385</v>
      </c>
      <c r="V75" s="79" t="s">
        <v>385</v>
      </c>
      <c r="W75" s="79" t="s">
        <v>385</v>
      </c>
      <c r="X75" s="79" t="s">
        <v>385</v>
      </c>
      <c r="Y75" s="78">
        <f t="shared" si="18"/>
        <v>0</v>
      </c>
      <c r="Z75" s="79" t="s">
        <v>385</v>
      </c>
      <c r="AA75" s="79" t="s">
        <v>385</v>
      </c>
      <c r="AB75" s="79" t="s">
        <v>385</v>
      </c>
      <c r="AC75" s="79" t="s">
        <v>385</v>
      </c>
      <c r="AD75" s="78">
        <f t="shared" si="19"/>
        <v>0</v>
      </c>
      <c r="AE75" s="79" t="s">
        <v>385</v>
      </c>
      <c r="AF75" s="79" t="s">
        <v>385</v>
      </c>
      <c r="AG75" s="79" t="s">
        <v>385</v>
      </c>
      <c r="AH75" s="79" t="s">
        <v>385</v>
      </c>
      <c r="AI75" s="78">
        <f t="shared" si="20"/>
        <v>0</v>
      </c>
      <c r="AJ75" s="79" t="s">
        <v>385</v>
      </c>
      <c r="AK75" s="79" t="s">
        <v>385</v>
      </c>
      <c r="AL75" s="79" t="s">
        <v>385</v>
      </c>
      <c r="AM75" s="79" t="s">
        <v>385</v>
      </c>
      <c r="AN75" s="78">
        <f t="shared" si="21"/>
        <v>0</v>
      </c>
    </row>
    <row r="76" spans="1:40" s="18" customFormat="1" ht="116.25" customHeight="1">
      <c r="A76" s="43" t="s">
        <v>255</v>
      </c>
      <c r="B76" s="20" t="s">
        <v>263</v>
      </c>
      <c r="C76" s="28" t="s">
        <v>61</v>
      </c>
      <c r="D76" s="12" t="s">
        <v>426</v>
      </c>
      <c r="E76" s="78">
        <f t="shared" si="1"/>
        <v>0</v>
      </c>
      <c r="F76" s="28" t="s">
        <v>385</v>
      </c>
      <c r="G76" s="28" t="s">
        <v>385</v>
      </c>
      <c r="H76" s="28" t="s">
        <v>385</v>
      </c>
      <c r="I76" s="28" t="s">
        <v>385</v>
      </c>
      <c r="J76" s="78">
        <f>SUMIF(K76:N76,"&gt;0")</f>
        <v>0</v>
      </c>
      <c r="K76" s="79" t="s">
        <v>385</v>
      </c>
      <c r="L76" s="79" t="s">
        <v>385</v>
      </c>
      <c r="M76" s="79" t="s">
        <v>385</v>
      </c>
      <c r="N76" s="79" t="s">
        <v>385</v>
      </c>
      <c r="O76" s="78">
        <f t="shared" si="16"/>
        <v>0</v>
      </c>
      <c r="P76" s="79" t="s">
        <v>385</v>
      </c>
      <c r="Q76" s="79" t="s">
        <v>385</v>
      </c>
      <c r="R76" s="79" t="s">
        <v>385</v>
      </c>
      <c r="S76" s="79" t="s">
        <v>385</v>
      </c>
      <c r="T76" s="78">
        <f t="shared" si="17"/>
        <v>0</v>
      </c>
      <c r="U76" s="79" t="s">
        <v>385</v>
      </c>
      <c r="V76" s="79" t="s">
        <v>385</v>
      </c>
      <c r="W76" s="79" t="s">
        <v>385</v>
      </c>
      <c r="X76" s="79" t="s">
        <v>385</v>
      </c>
      <c r="Y76" s="78">
        <f t="shared" si="18"/>
        <v>0</v>
      </c>
      <c r="Z76" s="79" t="s">
        <v>385</v>
      </c>
      <c r="AA76" s="79" t="s">
        <v>385</v>
      </c>
      <c r="AB76" s="79" t="s">
        <v>385</v>
      </c>
      <c r="AC76" s="79" t="s">
        <v>385</v>
      </c>
      <c r="AD76" s="78">
        <f t="shared" si="19"/>
        <v>0</v>
      </c>
      <c r="AE76" s="79" t="s">
        <v>385</v>
      </c>
      <c r="AF76" s="79" t="s">
        <v>385</v>
      </c>
      <c r="AG76" s="79" t="s">
        <v>385</v>
      </c>
      <c r="AH76" s="79" t="s">
        <v>385</v>
      </c>
      <c r="AI76" s="78">
        <f t="shared" si="20"/>
        <v>0</v>
      </c>
      <c r="AJ76" s="79" t="s">
        <v>385</v>
      </c>
      <c r="AK76" s="79" t="s">
        <v>385</v>
      </c>
      <c r="AL76" s="79" t="s">
        <v>385</v>
      </c>
      <c r="AM76" s="79" t="s">
        <v>385</v>
      </c>
      <c r="AN76" s="78">
        <f t="shared" si="21"/>
        <v>0</v>
      </c>
    </row>
    <row r="77" spans="1:40" s="18" customFormat="1" ht="124.5" customHeight="1">
      <c r="A77" s="43" t="s">
        <v>260</v>
      </c>
      <c r="B77" s="58" t="s">
        <v>427</v>
      </c>
      <c r="C77" s="28" t="s">
        <v>61</v>
      </c>
      <c r="D77" s="12" t="s">
        <v>296</v>
      </c>
      <c r="E77" s="78">
        <f t="shared" si="1"/>
        <v>0</v>
      </c>
      <c r="F77" s="28" t="s">
        <v>385</v>
      </c>
      <c r="G77" s="28" t="s">
        <v>385</v>
      </c>
      <c r="H77" s="28" t="s">
        <v>385</v>
      </c>
      <c r="I77" s="28" t="s">
        <v>385</v>
      </c>
      <c r="J77" s="78">
        <f t="shared" si="22"/>
        <v>0</v>
      </c>
      <c r="K77" s="79" t="s">
        <v>385</v>
      </c>
      <c r="L77" s="79" t="s">
        <v>385</v>
      </c>
      <c r="M77" s="79" t="s">
        <v>385</v>
      </c>
      <c r="N77" s="79" t="s">
        <v>385</v>
      </c>
      <c r="O77" s="78">
        <f t="shared" si="16"/>
        <v>0</v>
      </c>
      <c r="P77" s="79" t="s">
        <v>385</v>
      </c>
      <c r="Q77" s="79" t="s">
        <v>385</v>
      </c>
      <c r="R77" s="79" t="s">
        <v>385</v>
      </c>
      <c r="S77" s="79" t="s">
        <v>385</v>
      </c>
      <c r="T77" s="78">
        <f t="shared" si="17"/>
        <v>0</v>
      </c>
      <c r="U77" s="79" t="s">
        <v>385</v>
      </c>
      <c r="V77" s="79" t="s">
        <v>385</v>
      </c>
      <c r="W77" s="79" t="s">
        <v>385</v>
      </c>
      <c r="X77" s="79" t="s">
        <v>385</v>
      </c>
      <c r="Y77" s="78">
        <f t="shared" si="18"/>
        <v>0</v>
      </c>
      <c r="Z77" s="79" t="s">
        <v>385</v>
      </c>
      <c r="AA77" s="79" t="s">
        <v>385</v>
      </c>
      <c r="AB77" s="79" t="s">
        <v>385</v>
      </c>
      <c r="AC77" s="79" t="s">
        <v>385</v>
      </c>
      <c r="AD77" s="78">
        <f t="shared" si="19"/>
        <v>0</v>
      </c>
      <c r="AE77" s="79" t="s">
        <v>385</v>
      </c>
      <c r="AF77" s="79" t="s">
        <v>385</v>
      </c>
      <c r="AG77" s="79" t="s">
        <v>385</v>
      </c>
      <c r="AH77" s="79" t="s">
        <v>385</v>
      </c>
      <c r="AI77" s="78">
        <f t="shared" si="20"/>
        <v>0</v>
      </c>
      <c r="AJ77" s="79" t="s">
        <v>385</v>
      </c>
      <c r="AK77" s="79" t="s">
        <v>385</v>
      </c>
      <c r="AL77" s="79" t="s">
        <v>385</v>
      </c>
      <c r="AM77" s="79" t="s">
        <v>385</v>
      </c>
      <c r="AN77" s="78">
        <f t="shared" si="21"/>
        <v>0</v>
      </c>
    </row>
    <row r="78" spans="1:40" s="18" customFormat="1" ht="185.25" customHeight="1">
      <c r="A78" s="43" t="s">
        <v>261</v>
      </c>
      <c r="B78" s="80" t="s">
        <v>277</v>
      </c>
      <c r="C78" s="28" t="s">
        <v>39</v>
      </c>
      <c r="D78" s="12" t="s">
        <v>313</v>
      </c>
      <c r="E78" s="78">
        <f t="shared" si="1"/>
        <v>0</v>
      </c>
      <c r="F78" s="28" t="s">
        <v>385</v>
      </c>
      <c r="G78" s="28" t="s">
        <v>385</v>
      </c>
      <c r="H78" s="28" t="s">
        <v>385</v>
      </c>
      <c r="I78" s="28" t="s">
        <v>385</v>
      </c>
      <c r="J78" s="78">
        <f t="shared" si="22"/>
        <v>0</v>
      </c>
      <c r="K78" s="79" t="s">
        <v>385</v>
      </c>
      <c r="L78" s="79" t="s">
        <v>385</v>
      </c>
      <c r="M78" s="79" t="s">
        <v>385</v>
      </c>
      <c r="N78" s="79" t="s">
        <v>385</v>
      </c>
      <c r="O78" s="78">
        <f aca="true" t="shared" si="30" ref="O78:O84">SUMIF(P78:S78,"&gt;0")</f>
        <v>0</v>
      </c>
      <c r="P78" s="79" t="s">
        <v>385</v>
      </c>
      <c r="Q78" s="79" t="s">
        <v>385</v>
      </c>
      <c r="R78" s="79" t="s">
        <v>385</v>
      </c>
      <c r="S78" s="79" t="s">
        <v>385</v>
      </c>
      <c r="T78" s="78">
        <f t="shared" si="17"/>
        <v>0</v>
      </c>
      <c r="U78" s="79" t="s">
        <v>385</v>
      </c>
      <c r="V78" s="79" t="s">
        <v>385</v>
      </c>
      <c r="W78" s="79" t="s">
        <v>385</v>
      </c>
      <c r="X78" s="79" t="s">
        <v>385</v>
      </c>
      <c r="Y78" s="120">
        <f t="shared" si="18"/>
        <v>21350</v>
      </c>
      <c r="Z78" s="124">
        <v>717.4</v>
      </c>
      <c r="AA78" s="124">
        <v>20632.6</v>
      </c>
      <c r="AB78" s="79" t="s">
        <v>385</v>
      </c>
      <c r="AC78" s="79" t="s">
        <v>385</v>
      </c>
      <c r="AD78" s="120">
        <f t="shared" si="19"/>
        <v>21700</v>
      </c>
      <c r="AE78" s="124">
        <v>729.1</v>
      </c>
      <c r="AF78" s="124">
        <v>20970.9</v>
      </c>
      <c r="AG78" s="79" t="s">
        <v>385</v>
      </c>
      <c r="AH78" s="79" t="s">
        <v>385</v>
      </c>
      <c r="AI78" s="120">
        <f t="shared" si="20"/>
        <v>20750</v>
      </c>
      <c r="AJ78" s="124">
        <v>697.2</v>
      </c>
      <c r="AK78" s="124">
        <v>20052.8</v>
      </c>
      <c r="AL78" s="79" t="s">
        <v>385</v>
      </c>
      <c r="AM78" s="79" t="s">
        <v>385</v>
      </c>
      <c r="AN78" s="128">
        <f t="shared" si="21"/>
        <v>63800</v>
      </c>
    </row>
    <row r="79" spans="1:40" s="18" customFormat="1" ht="110.25">
      <c r="A79" s="43" t="s">
        <v>267</v>
      </c>
      <c r="B79" s="80" t="s">
        <v>441</v>
      </c>
      <c r="C79" s="28" t="s">
        <v>61</v>
      </c>
      <c r="D79" s="12" t="s">
        <v>296</v>
      </c>
      <c r="E79" s="78">
        <f t="shared" si="1"/>
        <v>0</v>
      </c>
      <c r="F79" s="28" t="s">
        <v>385</v>
      </c>
      <c r="G79" s="28" t="s">
        <v>385</v>
      </c>
      <c r="H79" s="28" t="s">
        <v>385</v>
      </c>
      <c r="I79" s="28" t="s">
        <v>385</v>
      </c>
      <c r="J79" s="78">
        <f aca="true" t="shared" si="31" ref="J79:J84">SUMIF(K79:N79,"&gt;0")</f>
        <v>0</v>
      </c>
      <c r="K79" s="79" t="s">
        <v>385</v>
      </c>
      <c r="L79" s="79" t="s">
        <v>385</v>
      </c>
      <c r="M79" s="79" t="s">
        <v>385</v>
      </c>
      <c r="N79" s="79" t="s">
        <v>385</v>
      </c>
      <c r="O79" s="78">
        <f t="shared" si="30"/>
        <v>0</v>
      </c>
      <c r="P79" s="79" t="s">
        <v>385</v>
      </c>
      <c r="Q79" s="79" t="s">
        <v>385</v>
      </c>
      <c r="R79" s="79" t="s">
        <v>385</v>
      </c>
      <c r="S79" s="79" t="s">
        <v>385</v>
      </c>
      <c r="T79" s="78">
        <f>SUMIF(U79:X79,"&gt;0")</f>
        <v>0</v>
      </c>
      <c r="U79" s="79" t="s">
        <v>385</v>
      </c>
      <c r="V79" s="79" t="s">
        <v>385</v>
      </c>
      <c r="W79" s="79" t="s">
        <v>385</v>
      </c>
      <c r="X79" s="79" t="s">
        <v>385</v>
      </c>
      <c r="Y79" s="78">
        <f>SUMIF(Z79:AC79,"&gt;0")</f>
        <v>0</v>
      </c>
      <c r="Z79" s="79" t="s">
        <v>385</v>
      </c>
      <c r="AA79" s="79" t="s">
        <v>385</v>
      </c>
      <c r="AB79" s="79" t="s">
        <v>385</v>
      </c>
      <c r="AC79" s="79" t="s">
        <v>385</v>
      </c>
      <c r="AD79" s="78">
        <f>SUMIF(AE79:AH79,"&gt;0")</f>
        <v>0</v>
      </c>
      <c r="AE79" s="79" t="s">
        <v>385</v>
      </c>
      <c r="AF79" s="79" t="s">
        <v>385</v>
      </c>
      <c r="AG79" s="79" t="s">
        <v>385</v>
      </c>
      <c r="AH79" s="79" t="s">
        <v>385</v>
      </c>
      <c r="AI79" s="78">
        <f>SUMIF(AJ79:AM79,"&gt;0")</f>
        <v>0</v>
      </c>
      <c r="AJ79" s="79" t="s">
        <v>385</v>
      </c>
      <c r="AK79" s="79" t="s">
        <v>385</v>
      </c>
      <c r="AL79" s="79" t="s">
        <v>385</v>
      </c>
      <c r="AM79" s="79" t="s">
        <v>385</v>
      </c>
      <c r="AN79" s="78">
        <f t="shared" si="21"/>
        <v>0</v>
      </c>
    </row>
    <row r="80" spans="1:40" s="18" customFormat="1" ht="126">
      <c r="A80" s="43" t="s">
        <v>450</v>
      </c>
      <c r="B80" s="80" t="s">
        <v>451</v>
      </c>
      <c r="C80" s="28" t="s">
        <v>61</v>
      </c>
      <c r="D80" s="12" t="s">
        <v>296</v>
      </c>
      <c r="E80" s="78">
        <f t="shared" si="1"/>
        <v>0</v>
      </c>
      <c r="F80" s="28" t="s">
        <v>385</v>
      </c>
      <c r="G80" s="28" t="s">
        <v>385</v>
      </c>
      <c r="H80" s="28" t="s">
        <v>385</v>
      </c>
      <c r="I80" s="28" t="s">
        <v>385</v>
      </c>
      <c r="J80" s="120">
        <f t="shared" si="31"/>
        <v>4071.3</v>
      </c>
      <c r="K80" s="124">
        <f>3334+937-937</f>
        <v>3334</v>
      </c>
      <c r="L80" s="124">
        <f>1250-1250+737.286</f>
        <v>737.3</v>
      </c>
      <c r="M80" s="79" t="s">
        <v>385</v>
      </c>
      <c r="N80" s="79" t="s">
        <v>385</v>
      </c>
      <c r="O80" s="120">
        <f t="shared" si="30"/>
        <v>1134.3</v>
      </c>
      <c r="P80" s="124">
        <f>269+128</f>
        <v>397</v>
      </c>
      <c r="Q80" s="124">
        <f>737.286</f>
        <v>737.3</v>
      </c>
      <c r="R80" s="79" t="s">
        <v>385</v>
      </c>
      <c r="S80" s="79" t="s">
        <v>385</v>
      </c>
      <c r="T80" s="120">
        <f>SUMIF(U80:X80,"&gt;0")</f>
        <v>1134.3</v>
      </c>
      <c r="U80" s="124">
        <f>397</f>
        <v>397</v>
      </c>
      <c r="V80" s="124">
        <f>737.286</f>
        <v>737.3</v>
      </c>
      <c r="W80" s="79" t="s">
        <v>385</v>
      </c>
      <c r="X80" s="79" t="s">
        <v>385</v>
      </c>
      <c r="Y80" s="78">
        <f>SUMIF(Z80:AC80,"&gt;0")</f>
        <v>0</v>
      </c>
      <c r="Z80" s="79" t="s">
        <v>385</v>
      </c>
      <c r="AA80" s="79" t="s">
        <v>385</v>
      </c>
      <c r="AB80" s="79" t="s">
        <v>385</v>
      </c>
      <c r="AC80" s="79" t="s">
        <v>385</v>
      </c>
      <c r="AD80" s="78">
        <f>SUMIF(AE80:AH80,"&gt;0")</f>
        <v>0</v>
      </c>
      <c r="AE80" s="79" t="s">
        <v>385</v>
      </c>
      <c r="AF80" s="79" t="s">
        <v>385</v>
      </c>
      <c r="AG80" s="79" t="s">
        <v>385</v>
      </c>
      <c r="AH80" s="79" t="s">
        <v>385</v>
      </c>
      <c r="AI80" s="78">
        <f>SUMIF(AJ80:AM80,"&gt;0")</f>
        <v>0</v>
      </c>
      <c r="AJ80" s="79" t="s">
        <v>385</v>
      </c>
      <c r="AK80" s="79" t="s">
        <v>385</v>
      </c>
      <c r="AL80" s="79" t="s">
        <v>385</v>
      </c>
      <c r="AM80" s="79" t="s">
        <v>385</v>
      </c>
      <c r="AN80" s="128">
        <f>E80+J80+O80+T80+Y80+AD80+AI80</f>
        <v>6339.9</v>
      </c>
    </row>
    <row r="81" spans="1:40" s="18" customFormat="1" ht="110.25">
      <c r="A81" s="43" t="s">
        <v>465</v>
      </c>
      <c r="B81" s="80" t="s">
        <v>466</v>
      </c>
      <c r="C81" s="28" t="s">
        <v>61</v>
      </c>
      <c r="D81" s="12" t="s">
        <v>296</v>
      </c>
      <c r="E81" s="120">
        <f t="shared" si="1"/>
        <v>1098.3</v>
      </c>
      <c r="F81" s="124">
        <f>54.91745</f>
        <v>54.9</v>
      </c>
      <c r="G81" s="124">
        <f>1043.4316</f>
        <v>1043.4</v>
      </c>
      <c r="H81" s="28" t="s">
        <v>385</v>
      </c>
      <c r="I81" s="28" t="s">
        <v>385</v>
      </c>
      <c r="J81" s="120">
        <f t="shared" si="31"/>
        <v>35</v>
      </c>
      <c r="K81" s="124">
        <v>35</v>
      </c>
      <c r="L81" s="79" t="s">
        <v>385</v>
      </c>
      <c r="M81" s="79" t="s">
        <v>385</v>
      </c>
      <c r="N81" s="79" t="s">
        <v>385</v>
      </c>
      <c r="O81" s="120">
        <f t="shared" si="30"/>
        <v>96</v>
      </c>
      <c r="P81" s="124">
        <v>96</v>
      </c>
      <c r="Q81" s="79" t="s">
        <v>385</v>
      </c>
      <c r="R81" s="79" t="s">
        <v>385</v>
      </c>
      <c r="S81" s="79" t="s">
        <v>385</v>
      </c>
      <c r="T81" s="78">
        <f>SUMIF(U81:X81,"&gt;0")</f>
        <v>0</v>
      </c>
      <c r="U81" s="79" t="s">
        <v>385</v>
      </c>
      <c r="V81" s="79" t="s">
        <v>385</v>
      </c>
      <c r="W81" s="79" t="s">
        <v>385</v>
      </c>
      <c r="X81" s="79" t="s">
        <v>385</v>
      </c>
      <c r="Y81" s="78">
        <f>SUMIF(Z81:AC81,"&gt;0")</f>
        <v>0</v>
      </c>
      <c r="Z81" s="79" t="s">
        <v>385</v>
      </c>
      <c r="AA81" s="79" t="s">
        <v>385</v>
      </c>
      <c r="AB81" s="79" t="s">
        <v>385</v>
      </c>
      <c r="AC81" s="79" t="s">
        <v>385</v>
      </c>
      <c r="AD81" s="78">
        <f>SUMIF(AE81:AH81,"&gt;0")</f>
        <v>0</v>
      </c>
      <c r="AE81" s="79" t="s">
        <v>385</v>
      </c>
      <c r="AF81" s="79" t="s">
        <v>385</v>
      </c>
      <c r="AG81" s="79" t="s">
        <v>385</v>
      </c>
      <c r="AH81" s="79" t="s">
        <v>385</v>
      </c>
      <c r="AI81" s="78">
        <f>SUMIF(AJ81:AM81,"&gt;0")</f>
        <v>0</v>
      </c>
      <c r="AJ81" s="79" t="s">
        <v>385</v>
      </c>
      <c r="AK81" s="79" t="s">
        <v>385</v>
      </c>
      <c r="AL81" s="79" t="s">
        <v>385</v>
      </c>
      <c r="AM81" s="79" t="s">
        <v>385</v>
      </c>
      <c r="AN81" s="128">
        <f>E81+J81+O81+T81+Y81+AD81+AI81</f>
        <v>1229.3</v>
      </c>
    </row>
    <row r="82" spans="1:40" s="18" customFormat="1" ht="110.25">
      <c r="A82" s="43" t="s">
        <v>485</v>
      </c>
      <c r="B82" s="80" t="s">
        <v>492</v>
      </c>
      <c r="C82" s="28" t="s">
        <v>61</v>
      </c>
      <c r="D82" s="104">
        <v>2021</v>
      </c>
      <c r="E82" s="120">
        <f t="shared" si="1"/>
        <v>1556.9</v>
      </c>
      <c r="F82" s="124">
        <f>508.2-508.2+542.14933</f>
        <v>542.1</v>
      </c>
      <c r="G82" s="124">
        <f>1006.84876</f>
        <v>1006.8</v>
      </c>
      <c r="H82" s="28" t="s">
        <v>385</v>
      </c>
      <c r="I82" s="124">
        <f>8</f>
        <v>8</v>
      </c>
      <c r="J82" s="78">
        <f t="shared" si="31"/>
        <v>0</v>
      </c>
      <c r="K82" s="118">
        <f>3102-3102</f>
        <v>0</v>
      </c>
      <c r="L82" s="79" t="s">
        <v>385</v>
      </c>
      <c r="M82" s="79" t="s">
        <v>385</v>
      </c>
      <c r="N82" s="79" t="s">
        <v>385</v>
      </c>
      <c r="O82" s="78">
        <f t="shared" si="30"/>
        <v>0</v>
      </c>
      <c r="P82" s="79" t="s">
        <v>385</v>
      </c>
      <c r="Q82" s="79" t="s">
        <v>385</v>
      </c>
      <c r="R82" s="79" t="s">
        <v>385</v>
      </c>
      <c r="S82" s="79" t="s">
        <v>385</v>
      </c>
      <c r="T82" s="78">
        <f>SUMIF(U82:X82,"&gt;0")</f>
        <v>0</v>
      </c>
      <c r="U82" s="79" t="s">
        <v>385</v>
      </c>
      <c r="V82" s="79" t="s">
        <v>385</v>
      </c>
      <c r="W82" s="79" t="s">
        <v>385</v>
      </c>
      <c r="X82" s="79" t="s">
        <v>385</v>
      </c>
      <c r="Y82" s="78">
        <f>SUMIF(Z82:AC82,"&gt;0")</f>
        <v>0</v>
      </c>
      <c r="Z82" s="79" t="s">
        <v>385</v>
      </c>
      <c r="AA82" s="79" t="s">
        <v>385</v>
      </c>
      <c r="AB82" s="79" t="s">
        <v>385</v>
      </c>
      <c r="AC82" s="79" t="s">
        <v>385</v>
      </c>
      <c r="AD82" s="78">
        <f>SUMIF(AE82:AH82,"&gt;0")</f>
        <v>0</v>
      </c>
      <c r="AE82" s="79" t="s">
        <v>385</v>
      </c>
      <c r="AF82" s="79" t="s">
        <v>385</v>
      </c>
      <c r="AG82" s="79" t="s">
        <v>385</v>
      </c>
      <c r="AH82" s="79" t="s">
        <v>385</v>
      </c>
      <c r="AI82" s="78">
        <f>SUMIF(AJ82:AM82,"&gt;0")</f>
        <v>0</v>
      </c>
      <c r="AJ82" s="79" t="s">
        <v>385</v>
      </c>
      <c r="AK82" s="79" t="s">
        <v>385</v>
      </c>
      <c r="AL82" s="79" t="s">
        <v>385</v>
      </c>
      <c r="AM82" s="79" t="s">
        <v>385</v>
      </c>
      <c r="AN82" s="128">
        <f>E82+J82+O82+T82+Y82+AD82+AI82</f>
        <v>1556.9</v>
      </c>
    </row>
    <row r="83" spans="1:40" s="18" customFormat="1" ht="110.25">
      <c r="A83" s="43" t="s">
        <v>486</v>
      </c>
      <c r="B83" s="80" t="s">
        <v>487</v>
      </c>
      <c r="C83" s="28" t="s">
        <v>61</v>
      </c>
      <c r="D83" s="104">
        <v>2021</v>
      </c>
      <c r="E83" s="120">
        <f t="shared" si="1"/>
        <v>12817.6</v>
      </c>
      <c r="F83" s="124">
        <f>550.02213+151.7647+1145.02766+75.83259</f>
        <v>1922.6</v>
      </c>
      <c r="G83" s="124">
        <f>3116.792+860+6488.49+429.718</f>
        <v>10895</v>
      </c>
      <c r="H83" s="28" t="s">
        <v>385</v>
      </c>
      <c r="I83" s="28" t="s">
        <v>385</v>
      </c>
      <c r="J83" s="120">
        <f t="shared" si="31"/>
        <v>2822.2</v>
      </c>
      <c r="K83" s="124">
        <f>532.05882+115.305-128.03214+12.72714</f>
        <v>532.1</v>
      </c>
      <c r="L83" s="124">
        <f>653.395+1564.57247+72.12053</f>
        <v>2290.1</v>
      </c>
      <c r="M83" s="79" t="s">
        <v>385</v>
      </c>
      <c r="N83" s="79" t="s">
        <v>385</v>
      </c>
      <c r="O83" s="78">
        <f>SUMIF(P83:S83,"&gt;0")</f>
        <v>0</v>
      </c>
      <c r="P83" s="79" t="s">
        <v>385</v>
      </c>
      <c r="Q83" s="79" t="s">
        <v>385</v>
      </c>
      <c r="R83" s="79" t="s">
        <v>385</v>
      </c>
      <c r="S83" s="79" t="s">
        <v>385</v>
      </c>
      <c r="T83" s="78">
        <f>SUMIF(U83:X83,"&gt;0")</f>
        <v>0</v>
      </c>
      <c r="U83" s="79" t="s">
        <v>385</v>
      </c>
      <c r="V83" s="79" t="s">
        <v>385</v>
      </c>
      <c r="W83" s="79" t="s">
        <v>385</v>
      </c>
      <c r="X83" s="79" t="s">
        <v>385</v>
      </c>
      <c r="Y83" s="78">
        <f>SUMIF(Z83:AC83,"&gt;0")</f>
        <v>0</v>
      </c>
      <c r="Z83" s="79" t="s">
        <v>385</v>
      </c>
      <c r="AA83" s="79" t="s">
        <v>385</v>
      </c>
      <c r="AB83" s="79" t="s">
        <v>385</v>
      </c>
      <c r="AC83" s="79" t="s">
        <v>385</v>
      </c>
      <c r="AD83" s="78">
        <f>SUMIF(AE83:AH83,"&gt;0")</f>
        <v>0</v>
      </c>
      <c r="AE83" s="79" t="s">
        <v>385</v>
      </c>
      <c r="AF83" s="79" t="s">
        <v>385</v>
      </c>
      <c r="AG83" s="79" t="s">
        <v>385</v>
      </c>
      <c r="AH83" s="79" t="s">
        <v>385</v>
      </c>
      <c r="AI83" s="78">
        <f>SUMIF(AJ83:AM83,"&gt;0")</f>
        <v>0</v>
      </c>
      <c r="AJ83" s="79" t="s">
        <v>385</v>
      </c>
      <c r="AK83" s="79" t="s">
        <v>385</v>
      </c>
      <c r="AL83" s="79" t="s">
        <v>385</v>
      </c>
      <c r="AM83" s="79" t="s">
        <v>385</v>
      </c>
      <c r="AN83" s="128">
        <f>E83+J83+O83+T83+Y83+AD83+AI83</f>
        <v>15639.8</v>
      </c>
    </row>
    <row r="84" spans="1:40" s="18" customFormat="1" ht="110.25">
      <c r="A84" s="43" t="s">
        <v>495</v>
      </c>
      <c r="B84" s="80" t="s">
        <v>496</v>
      </c>
      <c r="C84" s="28" t="s">
        <v>61</v>
      </c>
      <c r="D84" s="104">
        <v>2021</v>
      </c>
      <c r="E84" s="120">
        <f t="shared" si="1"/>
        <v>1194</v>
      </c>
      <c r="F84" s="124">
        <f>599+595</f>
        <v>1194</v>
      </c>
      <c r="G84" s="28" t="s">
        <v>385</v>
      </c>
      <c r="H84" s="28" t="s">
        <v>385</v>
      </c>
      <c r="I84" s="28" t="s">
        <v>385</v>
      </c>
      <c r="J84" s="78">
        <f t="shared" si="31"/>
        <v>0</v>
      </c>
      <c r="K84" s="79" t="s">
        <v>385</v>
      </c>
      <c r="L84" s="79" t="s">
        <v>385</v>
      </c>
      <c r="M84" s="79" t="s">
        <v>385</v>
      </c>
      <c r="N84" s="79" t="s">
        <v>385</v>
      </c>
      <c r="O84" s="78">
        <f t="shared" si="30"/>
        <v>0</v>
      </c>
      <c r="P84" s="79" t="s">
        <v>385</v>
      </c>
      <c r="Q84" s="79" t="s">
        <v>385</v>
      </c>
      <c r="R84" s="79" t="s">
        <v>385</v>
      </c>
      <c r="S84" s="79" t="s">
        <v>385</v>
      </c>
      <c r="T84" s="78">
        <f t="shared" si="17"/>
        <v>0</v>
      </c>
      <c r="U84" s="79" t="s">
        <v>385</v>
      </c>
      <c r="V84" s="79" t="s">
        <v>385</v>
      </c>
      <c r="W84" s="79" t="s">
        <v>385</v>
      </c>
      <c r="X84" s="79" t="s">
        <v>385</v>
      </c>
      <c r="Y84" s="78">
        <f t="shared" si="18"/>
        <v>0</v>
      </c>
      <c r="Z84" s="79" t="s">
        <v>385</v>
      </c>
      <c r="AA84" s="79" t="s">
        <v>385</v>
      </c>
      <c r="AB84" s="79" t="s">
        <v>385</v>
      </c>
      <c r="AC84" s="79" t="s">
        <v>385</v>
      </c>
      <c r="AD84" s="78">
        <f t="shared" si="19"/>
        <v>0</v>
      </c>
      <c r="AE84" s="79" t="s">
        <v>385</v>
      </c>
      <c r="AF84" s="79" t="s">
        <v>385</v>
      </c>
      <c r="AG84" s="79" t="s">
        <v>385</v>
      </c>
      <c r="AH84" s="79" t="s">
        <v>385</v>
      </c>
      <c r="AI84" s="78">
        <f t="shared" si="20"/>
        <v>0</v>
      </c>
      <c r="AJ84" s="79" t="s">
        <v>385</v>
      </c>
      <c r="AK84" s="79" t="s">
        <v>385</v>
      </c>
      <c r="AL84" s="79" t="s">
        <v>385</v>
      </c>
      <c r="AM84" s="79" t="s">
        <v>385</v>
      </c>
      <c r="AN84" s="128">
        <f t="shared" si="21"/>
        <v>1194</v>
      </c>
    </row>
    <row r="85" spans="1:44" s="25" customFormat="1" ht="20.25">
      <c r="A85" s="49"/>
      <c r="B85" s="140" t="s">
        <v>298</v>
      </c>
      <c r="C85" s="15"/>
      <c r="D85" s="15"/>
      <c r="E85" s="128">
        <f>SUM(F85:I85)</f>
        <v>1432313.5</v>
      </c>
      <c r="F85" s="128">
        <f>SUM(F25,F46,F48,F67:F84)</f>
        <v>84792.5</v>
      </c>
      <c r="G85" s="128">
        <f>SUM(G25,G46,G48,G67:G84)</f>
        <v>417415.2</v>
      </c>
      <c r="H85" s="128">
        <f>SUM(H25,H46,H48,H67:H84)</f>
        <v>380523.8</v>
      </c>
      <c r="I85" s="128">
        <f>SUM(I25,I46,I48,I67:I84)</f>
        <v>549582</v>
      </c>
      <c r="J85" s="128">
        <f>SUM(K85:N85)</f>
        <v>2414443.4</v>
      </c>
      <c r="K85" s="128">
        <f>SUM(K25,K46,K48,K67:K84)</f>
        <v>193633.4</v>
      </c>
      <c r="L85" s="128">
        <f>SUM(L25,L46,L48,L67:L84)</f>
        <v>1044446.4</v>
      </c>
      <c r="M85" s="128">
        <f>SUM(M25,M46,M48,M67:M84)</f>
        <v>502549.6</v>
      </c>
      <c r="N85" s="128">
        <f>SUM(N25,N46,N48,N67:N84)</f>
        <v>673814</v>
      </c>
      <c r="O85" s="128">
        <f>SUM(P85:S85)</f>
        <v>1165831.3</v>
      </c>
      <c r="P85" s="128">
        <f>SUM(P25,P46,P48,P67:P84)</f>
        <v>118569.5</v>
      </c>
      <c r="Q85" s="128">
        <f>SUM(Q25,Q46,Q48,Q67:Q84)</f>
        <v>373447.8</v>
      </c>
      <c r="R85" s="81">
        <f>SUM(R25,R46,R48,R67:R84)</f>
        <v>0</v>
      </c>
      <c r="S85" s="128">
        <f>SUM(S25,S46,S48,S67:S84)</f>
        <v>673814</v>
      </c>
      <c r="T85" s="128">
        <f>SUM(U85:X85)</f>
        <v>739106.7</v>
      </c>
      <c r="U85" s="128">
        <f>SUM(U25,U46,U48,U67:U84)</f>
        <v>63787.1</v>
      </c>
      <c r="V85" s="81">
        <f>SUM(V25,V46,V48,V67:V84)</f>
        <v>1505.6</v>
      </c>
      <c r="W85" s="81">
        <f>SUM(W25,W46,W48,W67:W84)</f>
        <v>0</v>
      </c>
      <c r="X85" s="128">
        <f>SUM(X25,X46,X48,X67:X84)</f>
        <v>673814</v>
      </c>
      <c r="Y85" s="125">
        <f>SUM(Z85:AC85)</f>
        <v>556880.5</v>
      </c>
      <c r="Z85" s="128">
        <f>SUM(Z25,Z46,Z48,Z67:Z84)</f>
        <v>155986.5</v>
      </c>
      <c r="AA85" s="128">
        <f>SUM(AA25,AA46,AA48,AA67:AA84)</f>
        <v>116584</v>
      </c>
      <c r="AB85" s="81">
        <f>SUM(AB25,AB46,AB48,AB67:AB84)</f>
        <v>0</v>
      </c>
      <c r="AC85" s="128">
        <f>SUM(AC25,AC46,AC48,AC67:AC84)</f>
        <v>284310</v>
      </c>
      <c r="AD85" s="125">
        <f>SUM(AE85:AH85)</f>
        <v>495849.3</v>
      </c>
      <c r="AE85" s="128">
        <f>SUM(AE25,AE46,AE48,AE67:AE84)</f>
        <v>125722</v>
      </c>
      <c r="AF85" s="128">
        <f>SUM(AF25,AF46,AF48,AF67:AF84)</f>
        <v>74445.3</v>
      </c>
      <c r="AG85" s="81">
        <f>SUM(AG25,AG46,AG48,AG67:AG84)</f>
        <v>0</v>
      </c>
      <c r="AH85" s="128">
        <f>SUM(AH25,AH46,AH48,AH67:AH84)</f>
        <v>295682</v>
      </c>
      <c r="AI85" s="125">
        <f>SUM(AJ85:AM85)</f>
        <v>558985.2</v>
      </c>
      <c r="AJ85" s="128">
        <f>SUM(AJ25,AJ46,AJ48,AJ67:AJ84)</f>
        <v>133366.7</v>
      </c>
      <c r="AK85" s="128">
        <f>SUM(AK25,AK46,AK48,AK67:AK84)</f>
        <v>118110.5</v>
      </c>
      <c r="AL85" s="81">
        <f>SUM(AL25,AL46,AL48,AL67:AL84)</f>
        <v>0</v>
      </c>
      <c r="AM85" s="128">
        <f>SUM(AM25,AM46,AM48,AM67:AM84)</f>
        <v>307508</v>
      </c>
      <c r="AN85" s="128">
        <f>E85+J85+O85+T85+Y85+AD85+AI85</f>
        <v>7363409.9</v>
      </c>
      <c r="AO85" s="34"/>
      <c r="AP85" s="34"/>
      <c r="AQ85" s="34"/>
      <c r="AR85" s="34"/>
    </row>
    <row r="86" spans="1:40" s="18" customFormat="1" ht="18.75">
      <c r="A86" s="49"/>
      <c r="B86" s="131" t="s">
        <v>481</v>
      </c>
      <c r="C86" s="15"/>
      <c r="D86" s="104">
        <v>2021</v>
      </c>
      <c r="E86" s="120">
        <f>SUMIF(F86:I86,"&gt;0")</f>
        <v>10677.2</v>
      </c>
      <c r="F86" s="128">
        <f>F26+F47</f>
        <v>10677.2</v>
      </c>
      <c r="G86" s="28" t="s">
        <v>385</v>
      </c>
      <c r="H86" s="28" t="s">
        <v>385</v>
      </c>
      <c r="I86" s="28" t="s">
        <v>385</v>
      </c>
      <c r="J86" s="78">
        <f>SUMIF(K86:N86,"&gt;0")</f>
        <v>0</v>
      </c>
      <c r="K86" s="28" t="s">
        <v>385</v>
      </c>
      <c r="L86" s="28" t="s">
        <v>385</v>
      </c>
      <c r="M86" s="28" t="s">
        <v>385</v>
      </c>
      <c r="N86" s="28" t="s">
        <v>385</v>
      </c>
      <c r="O86" s="78">
        <f>SUMIF(P86:S86,"&gt;0")</f>
        <v>0</v>
      </c>
      <c r="P86" s="28" t="s">
        <v>385</v>
      </c>
      <c r="Q86" s="28" t="s">
        <v>385</v>
      </c>
      <c r="R86" s="28" t="s">
        <v>385</v>
      </c>
      <c r="S86" s="28" t="s">
        <v>385</v>
      </c>
      <c r="T86" s="78">
        <f>SUMIF(U86:X86,"&gt;0")</f>
        <v>0</v>
      </c>
      <c r="U86" s="28" t="s">
        <v>385</v>
      </c>
      <c r="V86" s="28" t="s">
        <v>385</v>
      </c>
      <c r="W86" s="28" t="s">
        <v>385</v>
      </c>
      <c r="X86" s="28" t="s">
        <v>385</v>
      </c>
      <c r="Y86" s="78">
        <f>SUMIF(Z86:AC86,"&gt;0")</f>
        <v>0</v>
      </c>
      <c r="Z86" s="28" t="s">
        <v>385</v>
      </c>
      <c r="AA86" s="28" t="s">
        <v>385</v>
      </c>
      <c r="AB86" s="28" t="s">
        <v>385</v>
      </c>
      <c r="AC86" s="28" t="s">
        <v>385</v>
      </c>
      <c r="AD86" s="78">
        <f>SUMIF(AE86:AH86,"&gt;0")</f>
        <v>0</v>
      </c>
      <c r="AE86" s="28" t="s">
        <v>385</v>
      </c>
      <c r="AF86" s="28" t="s">
        <v>385</v>
      </c>
      <c r="AG86" s="28" t="s">
        <v>385</v>
      </c>
      <c r="AH86" s="28" t="s">
        <v>385</v>
      </c>
      <c r="AI86" s="78">
        <f>SUMIF(AJ86:AM86,"&gt;0")</f>
        <v>0</v>
      </c>
      <c r="AJ86" s="28" t="s">
        <v>385</v>
      </c>
      <c r="AK86" s="28" t="s">
        <v>385</v>
      </c>
      <c r="AL86" s="28" t="s">
        <v>385</v>
      </c>
      <c r="AM86" s="28" t="s">
        <v>385</v>
      </c>
      <c r="AN86" s="120">
        <f>E86+J86+O86+T86+Y86+AD86+AI86</f>
        <v>10677.2</v>
      </c>
    </row>
    <row r="87" spans="1:40" s="18" customFormat="1" ht="18.75">
      <c r="A87" s="49"/>
      <c r="B87" s="131" t="s">
        <v>518</v>
      </c>
      <c r="C87" s="15"/>
      <c r="D87" s="104">
        <v>2021</v>
      </c>
      <c r="E87" s="120">
        <f>SUMIF(F87:I87,"&gt;0")</f>
        <v>605.2</v>
      </c>
      <c r="F87" s="128">
        <f>F49</f>
        <v>605.2</v>
      </c>
      <c r="G87" s="28" t="s">
        <v>385</v>
      </c>
      <c r="H87" s="28" t="s">
        <v>385</v>
      </c>
      <c r="I87" s="28" t="s">
        <v>385</v>
      </c>
      <c r="J87" s="78">
        <f>SUMIF(K87:N87,"&gt;0")</f>
        <v>0</v>
      </c>
      <c r="K87" s="28" t="s">
        <v>385</v>
      </c>
      <c r="L87" s="28" t="s">
        <v>385</v>
      </c>
      <c r="M87" s="28" t="s">
        <v>385</v>
      </c>
      <c r="N87" s="28" t="s">
        <v>385</v>
      </c>
      <c r="O87" s="78">
        <f>SUMIF(P87:S87,"&gt;0")</f>
        <v>0</v>
      </c>
      <c r="P87" s="28" t="s">
        <v>385</v>
      </c>
      <c r="Q87" s="28" t="s">
        <v>385</v>
      </c>
      <c r="R87" s="28" t="s">
        <v>385</v>
      </c>
      <c r="S87" s="28" t="s">
        <v>385</v>
      </c>
      <c r="T87" s="78">
        <f>SUMIF(U87:X87,"&gt;0")</f>
        <v>0</v>
      </c>
      <c r="U87" s="28" t="s">
        <v>385</v>
      </c>
      <c r="V87" s="28" t="s">
        <v>385</v>
      </c>
      <c r="W87" s="28" t="s">
        <v>385</v>
      </c>
      <c r="X87" s="28" t="s">
        <v>385</v>
      </c>
      <c r="Y87" s="78">
        <f>SUMIF(Z87:AC87,"&gt;0")</f>
        <v>0</v>
      </c>
      <c r="Z87" s="28" t="s">
        <v>385</v>
      </c>
      <c r="AA87" s="28" t="s">
        <v>385</v>
      </c>
      <c r="AB87" s="28" t="s">
        <v>385</v>
      </c>
      <c r="AC87" s="28" t="s">
        <v>385</v>
      </c>
      <c r="AD87" s="78">
        <f>SUMIF(AE87:AH87,"&gt;0")</f>
        <v>0</v>
      </c>
      <c r="AE87" s="28" t="s">
        <v>385</v>
      </c>
      <c r="AF87" s="28" t="s">
        <v>385</v>
      </c>
      <c r="AG87" s="28" t="s">
        <v>385</v>
      </c>
      <c r="AH87" s="28" t="s">
        <v>385</v>
      </c>
      <c r="AI87" s="78">
        <f>SUMIF(AJ87:AM87,"&gt;0")</f>
        <v>0</v>
      </c>
      <c r="AJ87" s="28" t="s">
        <v>385</v>
      </c>
      <c r="AK87" s="28" t="s">
        <v>385</v>
      </c>
      <c r="AL87" s="28" t="s">
        <v>385</v>
      </c>
      <c r="AM87" s="28" t="s">
        <v>385</v>
      </c>
      <c r="AN87" s="120">
        <f>E87+J87+O87+T87+Y87+AD87+AI87</f>
        <v>605.2</v>
      </c>
    </row>
    <row r="88" spans="1:40" s="18" customFormat="1" ht="18.75">
      <c r="A88" s="49"/>
      <c r="B88" s="131" t="s">
        <v>527</v>
      </c>
      <c r="C88" s="15"/>
      <c r="D88" s="104">
        <v>2022</v>
      </c>
      <c r="E88" s="78">
        <f>SUMIF(F88:I88,"&gt;0")</f>
        <v>0</v>
      </c>
      <c r="F88" s="128" t="str">
        <f>F50</f>
        <v>–</v>
      </c>
      <c r="G88" s="28" t="s">
        <v>385</v>
      </c>
      <c r="H88" s="28" t="s">
        <v>385</v>
      </c>
      <c r="I88" s="28" t="s">
        <v>385</v>
      </c>
      <c r="J88" s="78">
        <f>SUMIF(K88:N88,"&gt;0")</f>
        <v>1380.4</v>
      </c>
      <c r="K88" s="128">
        <f>K27</f>
        <v>1380.4</v>
      </c>
      <c r="L88" s="14" t="s">
        <v>385</v>
      </c>
      <c r="M88" s="28" t="s">
        <v>385</v>
      </c>
      <c r="N88" s="28" t="s">
        <v>385</v>
      </c>
      <c r="O88" s="78">
        <f>SUMIF(P88:S88,"&gt;0")</f>
        <v>0</v>
      </c>
      <c r="P88" s="28" t="s">
        <v>385</v>
      </c>
      <c r="Q88" s="28" t="s">
        <v>385</v>
      </c>
      <c r="R88" s="28" t="s">
        <v>385</v>
      </c>
      <c r="S88" s="28" t="s">
        <v>385</v>
      </c>
      <c r="T88" s="78">
        <f>SUMIF(U88:X88,"&gt;0")</f>
        <v>0</v>
      </c>
      <c r="U88" s="28" t="s">
        <v>385</v>
      </c>
      <c r="V88" s="28" t="s">
        <v>385</v>
      </c>
      <c r="W88" s="28" t="s">
        <v>385</v>
      </c>
      <c r="X88" s="28" t="s">
        <v>385</v>
      </c>
      <c r="Y88" s="78">
        <f>SUMIF(Z88:AC88,"&gt;0")</f>
        <v>0</v>
      </c>
      <c r="Z88" s="28" t="s">
        <v>385</v>
      </c>
      <c r="AA88" s="28" t="s">
        <v>385</v>
      </c>
      <c r="AB88" s="28" t="s">
        <v>385</v>
      </c>
      <c r="AC88" s="28" t="s">
        <v>385</v>
      </c>
      <c r="AD88" s="78">
        <f>SUMIF(AE88:AH88,"&gt;0")</f>
        <v>0</v>
      </c>
      <c r="AE88" s="28" t="s">
        <v>385</v>
      </c>
      <c r="AF88" s="28" t="s">
        <v>385</v>
      </c>
      <c r="AG88" s="28" t="s">
        <v>385</v>
      </c>
      <c r="AH88" s="28" t="s">
        <v>385</v>
      </c>
      <c r="AI88" s="78">
        <f>SUMIF(AJ88:AM88,"&gt;0")</f>
        <v>0</v>
      </c>
      <c r="AJ88" s="28" t="s">
        <v>385</v>
      </c>
      <c r="AK88" s="28" t="s">
        <v>385</v>
      </c>
      <c r="AL88" s="28" t="s">
        <v>385</v>
      </c>
      <c r="AM88" s="28" t="s">
        <v>385</v>
      </c>
      <c r="AN88" s="120">
        <f>E88+J88+O88+T88+Y88+AD88+AI88</f>
        <v>1380.4</v>
      </c>
    </row>
    <row r="89" spans="1:44" ht="53.25" customHeight="1">
      <c r="A89" s="39" t="s">
        <v>26</v>
      </c>
      <c r="B89" s="148" t="s">
        <v>384</v>
      </c>
      <c r="C89" s="148"/>
      <c r="D89" s="148"/>
      <c r="E89" s="90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2"/>
      <c r="AJ89" s="91"/>
      <c r="AK89" s="91"/>
      <c r="AL89" s="91"/>
      <c r="AM89" s="91"/>
      <c r="AN89" s="93"/>
      <c r="AO89" s="35"/>
      <c r="AP89" s="35"/>
      <c r="AQ89" s="35"/>
      <c r="AR89" s="3"/>
    </row>
    <row r="90" spans="1:42" ht="54" customHeight="1">
      <c r="A90" s="43" t="s">
        <v>27</v>
      </c>
      <c r="B90" s="44" t="s">
        <v>383</v>
      </c>
      <c r="C90" s="12"/>
      <c r="D90" s="12"/>
      <c r="E90" s="45"/>
      <c r="F90" s="75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45"/>
      <c r="AJ90" s="75"/>
      <c r="AK90" s="94"/>
      <c r="AL90" s="94"/>
      <c r="AM90" s="94"/>
      <c r="AN90" s="23"/>
      <c r="AO90" s="95"/>
      <c r="AP90" s="96"/>
    </row>
    <row r="91" spans="1:41" ht="67.5" customHeight="1">
      <c r="A91" s="43" t="s">
        <v>107</v>
      </c>
      <c r="B91" s="42" t="s">
        <v>196</v>
      </c>
      <c r="C91" s="97" t="s">
        <v>102</v>
      </c>
      <c r="D91" s="12" t="s">
        <v>296</v>
      </c>
      <c r="E91" s="120">
        <f>SUMIF(F91:I91,"&gt;0")</f>
        <v>449.2</v>
      </c>
      <c r="F91" s="126">
        <f>450-0.82634</f>
        <v>449.2</v>
      </c>
      <c r="G91" s="28" t="s">
        <v>385</v>
      </c>
      <c r="H91" s="28" t="s">
        <v>385</v>
      </c>
      <c r="I91" s="28" t="s">
        <v>385</v>
      </c>
      <c r="J91" s="120">
        <f aca="true" t="shared" si="32" ref="J91:J126">SUMIF(K91:N91,"&gt;0")</f>
        <v>477</v>
      </c>
      <c r="K91" s="124">
        <v>477</v>
      </c>
      <c r="L91" s="79" t="s">
        <v>385</v>
      </c>
      <c r="M91" s="79" t="s">
        <v>385</v>
      </c>
      <c r="N91" s="79" t="s">
        <v>385</v>
      </c>
      <c r="O91" s="78">
        <f aca="true" t="shared" si="33" ref="O91:O126">SUMIF(P91:S91,"&gt;0")</f>
        <v>0</v>
      </c>
      <c r="P91" s="79" t="s">
        <v>385</v>
      </c>
      <c r="Q91" s="79" t="s">
        <v>385</v>
      </c>
      <c r="R91" s="79" t="s">
        <v>385</v>
      </c>
      <c r="S91" s="79" t="s">
        <v>385</v>
      </c>
      <c r="T91" s="78">
        <f>SUMIF(U91:X91,"&gt;0")</f>
        <v>0</v>
      </c>
      <c r="U91" s="79" t="s">
        <v>385</v>
      </c>
      <c r="V91" s="79" t="s">
        <v>385</v>
      </c>
      <c r="W91" s="79" t="s">
        <v>385</v>
      </c>
      <c r="X91" s="79" t="s">
        <v>385</v>
      </c>
      <c r="Y91" s="120">
        <f>SUMIF(Z91:AC91,"&gt;0")</f>
        <v>477</v>
      </c>
      <c r="Z91" s="126">
        <v>477</v>
      </c>
      <c r="AA91" s="79" t="s">
        <v>385</v>
      </c>
      <c r="AB91" s="79" t="s">
        <v>385</v>
      </c>
      <c r="AC91" s="79" t="s">
        <v>385</v>
      </c>
      <c r="AD91" s="120">
        <f>SUMIF(AE91:AH91,"&gt;0")</f>
        <v>477</v>
      </c>
      <c r="AE91" s="126">
        <v>477</v>
      </c>
      <c r="AF91" s="79" t="s">
        <v>385</v>
      </c>
      <c r="AG91" s="79" t="s">
        <v>385</v>
      </c>
      <c r="AH91" s="79" t="s">
        <v>385</v>
      </c>
      <c r="AI91" s="120">
        <f>SUMIF(AJ91:AM91,"&gt;0")</f>
        <v>477</v>
      </c>
      <c r="AJ91" s="126">
        <v>477</v>
      </c>
      <c r="AK91" s="79" t="s">
        <v>385</v>
      </c>
      <c r="AL91" s="79" t="s">
        <v>385</v>
      </c>
      <c r="AM91" s="79" t="s">
        <v>385</v>
      </c>
      <c r="AN91" s="128">
        <f>E91+J91+O91+T91+Y91+AD91+AI91</f>
        <v>2357.2</v>
      </c>
      <c r="AO91" s="95"/>
    </row>
    <row r="92" spans="1:41" ht="47.25">
      <c r="A92" s="43" t="s">
        <v>349</v>
      </c>
      <c r="B92" s="42" t="s">
        <v>90</v>
      </c>
      <c r="C92" s="97" t="s">
        <v>102</v>
      </c>
      <c r="D92" s="12" t="s">
        <v>296</v>
      </c>
      <c r="E92" s="120">
        <f aca="true" t="shared" si="34" ref="E92:E126">SUMIF(F92:I92,"&gt;0")</f>
        <v>75</v>
      </c>
      <c r="F92" s="126">
        <f>50+25</f>
        <v>75</v>
      </c>
      <c r="G92" s="28" t="s">
        <v>385</v>
      </c>
      <c r="H92" s="28" t="s">
        <v>385</v>
      </c>
      <c r="I92" s="28" t="s">
        <v>385</v>
      </c>
      <c r="J92" s="120">
        <f t="shared" si="32"/>
        <v>160</v>
      </c>
      <c r="K92" s="124">
        <v>160</v>
      </c>
      <c r="L92" s="79" t="s">
        <v>385</v>
      </c>
      <c r="M92" s="79" t="s">
        <v>385</v>
      </c>
      <c r="N92" s="79" t="s">
        <v>385</v>
      </c>
      <c r="O92" s="78">
        <f t="shared" si="33"/>
        <v>0</v>
      </c>
      <c r="P92" s="79" t="s">
        <v>385</v>
      </c>
      <c r="Q92" s="79" t="s">
        <v>385</v>
      </c>
      <c r="R92" s="79" t="s">
        <v>385</v>
      </c>
      <c r="S92" s="79" t="s">
        <v>385</v>
      </c>
      <c r="T92" s="78">
        <f aca="true" t="shared" si="35" ref="T92:T126">SUMIF(U92:X92,"&gt;0")</f>
        <v>0</v>
      </c>
      <c r="U92" s="79" t="s">
        <v>385</v>
      </c>
      <c r="V92" s="79" t="s">
        <v>385</v>
      </c>
      <c r="W92" s="79" t="s">
        <v>385</v>
      </c>
      <c r="X92" s="79" t="s">
        <v>385</v>
      </c>
      <c r="Y92" s="120">
        <f aca="true" t="shared" si="36" ref="Y92:Y126">SUMIF(Z92:AC92,"&gt;0")</f>
        <v>200</v>
      </c>
      <c r="Z92" s="126">
        <v>200</v>
      </c>
      <c r="AA92" s="79" t="s">
        <v>385</v>
      </c>
      <c r="AB92" s="79" t="s">
        <v>385</v>
      </c>
      <c r="AC92" s="79" t="s">
        <v>385</v>
      </c>
      <c r="AD92" s="120">
        <f aca="true" t="shared" si="37" ref="AD92:AD126">SUMIF(AE92:AH92,"&gt;0")</f>
        <v>200</v>
      </c>
      <c r="AE92" s="126">
        <v>200</v>
      </c>
      <c r="AF92" s="79" t="s">
        <v>385</v>
      </c>
      <c r="AG92" s="79" t="s">
        <v>385</v>
      </c>
      <c r="AH92" s="79" t="s">
        <v>385</v>
      </c>
      <c r="AI92" s="120">
        <f aca="true" t="shared" si="38" ref="AI92:AI126">SUMIF(AJ92:AM92,"&gt;0")</f>
        <v>200</v>
      </c>
      <c r="AJ92" s="126">
        <v>200</v>
      </c>
      <c r="AK92" s="79" t="s">
        <v>385</v>
      </c>
      <c r="AL92" s="79" t="s">
        <v>385</v>
      </c>
      <c r="AM92" s="79" t="s">
        <v>385</v>
      </c>
      <c r="AN92" s="128">
        <f aca="true" t="shared" si="39" ref="AN92:AN163">E92+J92+O92+T92+Y92+AD92+AI92</f>
        <v>835</v>
      </c>
      <c r="AO92" s="95"/>
    </row>
    <row r="93" spans="1:41" ht="47.25">
      <c r="A93" s="43" t="s">
        <v>108</v>
      </c>
      <c r="B93" s="42" t="s">
        <v>91</v>
      </c>
      <c r="C93" s="97" t="s">
        <v>103</v>
      </c>
      <c r="D93" s="12" t="s">
        <v>313</v>
      </c>
      <c r="E93" s="120">
        <f t="shared" si="34"/>
        <v>10</v>
      </c>
      <c r="F93" s="126">
        <v>10</v>
      </c>
      <c r="G93" s="28" t="s">
        <v>385</v>
      </c>
      <c r="H93" s="28" t="s">
        <v>385</v>
      </c>
      <c r="I93" s="28" t="s">
        <v>385</v>
      </c>
      <c r="J93" s="120">
        <f t="shared" si="32"/>
        <v>10</v>
      </c>
      <c r="K93" s="124">
        <v>10</v>
      </c>
      <c r="L93" s="79" t="s">
        <v>385</v>
      </c>
      <c r="M93" s="79" t="s">
        <v>385</v>
      </c>
      <c r="N93" s="79" t="s">
        <v>385</v>
      </c>
      <c r="O93" s="78">
        <f t="shared" si="33"/>
        <v>0</v>
      </c>
      <c r="P93" s="79" t="s">
        <v>385</v>
      </c>
      <c r="Q93" s="79" t="s">
        <v>385</v>
      </c>
      <c r="R93" s="79" t="s">
        <v>385</v>
      </c>
      <c r="S93" s="79" t="s">
        <v>385</v>
      </c>
      <c r="T93" s="78">
        <f t="shared" si="35"/>
        <v>0</v>
      </c>
      <c r="U93" s="79" t="s">
        <v>385</v>
      </c>
      <c r="V93" s="79" t="s">
        <v>385</v>
      </c>
      <c r="W93" s="79" t="s">
        <v>385</v>
      </c>
      <c r="X93" s="79" t="s">
        <v>385</v>
      </c>
      <c r="Y93" s="120">
        <f t="shared" si="36"/>
        <v>10</v>
      </c>
      <c r="Z93" s="126">
        <v>10</v>
      </c>
      <c r="AA93" s="79" t="s">
        <v>385</v>
      </c>
      <c r="AB93" s="79" t="s">
        <v>385</v>
      </c>
      <c r="AC93" s="79" t="s">
        <v>385</v>
      </c>
      <c r="AD93" s="120">
        <f t="shared" si="37"/>
        <v>10</v>
      </c>
      <c r="AE93" s="126">
        <v>10</v>
      </c>
      <c r="AF93" s="79" t="s">
        <v>385</v>
      </c>
      <c r="AG93" s="79" t="s">
        <v>385</v>
      </c>
      <c r="AH93" s="79" t="s">
        <v>385</v>
      </c>
      <c r="AI93" s="120">
        <f t="shared" si="38"/>
        <v>10</v>
      </c>
      <c r="AJ93" s="126">
        <v>10</v>
      </c>
      <c r="AK93" s="79" t="s">
        <v>385</v>
      </c>
      <c r="AL93" s="79" t="s">
        <v>385</v>
      </c>
      <c r="AM93" s="79" t="s">
        <v>385</v>
      </c>
      <c r="AN93" s="128">
        <f t="shared" si="39"/>
        <v>50</v>
      </c>
      <c r="AO93" s="95"/>
    </row>
    <row r="94" spans="1:41" ht="65.25" customHeight="1">
      <c r="A94" s="43" t="s">
        <v>350</v>
      </c>
      <c r="B94" s="42" t="s">
        <v>348</v>
      </c>
      <c r="C94" s="97" t="s">
        <v>103</v>
      </c>
      <c r="D94" s="12" t="s">
        <v>296</v>
      </c>
      <c r="E94" s="120">
        <f t="shared" si="34"/>
        <v>100</v>
      </c>
      <c r="F94" s="126">
        <v>100</v>
      </c>
      <c r="G94" s="28" t="s">
        <v>385</v>
      </c>
      <c r="H94" s="28" t="s">
        <v>385</v>
      </c>
      <c r="I94" s="28" t="s">
        <v>385</v>
      </c>
      <c r="J94" s="120">
        <f t="shared" si="32"/>
        <v>130</v>
      </c>
      <c r="K94" s="124">
        <v>130</v>
      </c>
      <c r="L94" s="79" t="s">
        <v>385</v>
      </c>
      <c r="M94" s="79" t="s">
        <v>385</v>
      </c>
      <c r="N94" s="79" t="s">
        <v>385</v>
      </c>
      <c r="O94" s="78">
        <f t="shared" si="33"/>
        <v>0</v>
      </c>
      <c r="P94" s="79" t="s">
        <v>385</v>
      </c>
      <c r="Q94" s="79" t="s">
        <v>385</v>
      </c>
      <c r="R94" s="79" t="s">
        <v>385</v>
      </c>
      <c r="S94" s="79" t="s">
        <v>385</v>
      </c>
      <c r="T94" s="78">
        <f t="shared" si="35"/>
        <v>0</v>
      </c>
      <c r="U94" s="79" t="s">
        <v>385</v>
      </c>
      <c r="V94" s="79" t="s">
        <v>385</v>
      </c>
      <c r="W94" s="79" t="s">
        <v>385</v>
      </c>
      <c r="X94" s="79" t="s">
        <v>385</v>
      </c>
      <c r="Y94" s="120">
        <f t="shared" si="36"/>
        <v>200</v>
      </c>
      <c r="Z94" s="126">
        <v>200</v>
      </c>
      <c r="AA94" s="79" t="s">
        <v>385</v>
      </c>
      <c r="AB94" s="79" t="s">
        <v>385</v>
      </c>
      <c r="AC94" s="79" t="s">
        <v>385</v>
      </c>
      <c r="AD94" s="120">
        <f t="shared" si="37"/>
        <v>200</v>
      </c>
      <c r="AE94" s="126">
        <v>200</v>
      </c>
      <c r="AF94" s="79" t="s">
        <v>385</v>
      </c>
      <c r="AG94" s="79" t="s">
        <v>385</v>
      </c>
      <c r="AH94" s="79" t="s">
        <v>385</v>
      </c>
      <c r="AI94" s="120">
        <f t="shared" si="38"/>
        <v>200</v>
      </c>
      <c r="AJ94" s="126">
        <v>200</v>
      </c>
      <c r="AK94" s="79" t="s">
        <v>385</v>
      </c>
      <c r="AL94" s="79" t="s">
        <v>385</v>
      </c>
      <c r="AM94" s="79" t="s">
        <v>385</v>
      </c>
      <c r="AN94" s="128">
        <f t="shared" si="39"/>
        <v>830</v>
      </c>
      <c r="AO94" s="95"/>
    </row>
    <row r="95" spans="1:41" ht="47.25">
      <c r="A95" s="43" t="s">
        <v>351</v>
      </c>
      <c r="B95" s="42" t="s">
        <v>343</v>
      </c>
      <c r="C95" s="97" t="s">
        <v>103</v>
      </c>
      <c r="D95" s="12" t="s">
        <v>296</v>
      </c>
      <c r="E95" s="78">
        <f>SUMIF(F95:I95,"&gt;0")</f>
        <v>0</v>
      </c>
      <c r="F95" s="124" t="s">
        <v>385</v>
      </c>
      <c r="G95" s="28" t="s">
        <v>385</v>
      </c>
      <c r="H95" s="28" t="s">
        <v>385</v>
      </c>
      <c r="I95" s="28" t="s">
        <v>385</v>
      </c>
      <c r="J95" s="78">
        <f t="shared" si="32"/>
        <v>0</v>
      </c>
      <c r="K95" s="12" t="s">
        <v>385</v>
      </c>
      <c r="L95" s="79" t="s">
        <v>385</v>
      </c>
      <c r="M95" s="79" t="s">
        <v>385</v>
      </c>
      <c r="N95" s="79" t="s">
        <v>385</v>
      </c>
      <c r="O95" s="78">
        <f t="shared" si="33"/>
        <v>0</v>
      </c>
      <c r="P95" s="79" t="s">
        <v>385</v>
      </c>
      <c r="Q95" s="79" t="s">
        <v>385</v>
      </c>
      <c r="R95" s="79" t="s">
        <v>385</v>
      </c>
      <c r="S95" s="79" t="s">
        <v>385</v>
      </c>
      <c r="T95" s="78">
        <f t="shared" si="35"/>
        <v>0</v>
      </c>
      <c r="U95" s="79" t="s">
        <v>385</v>
      </c>
      <c r="V95" s="79" t="s">
        <v>385</v>
      </c>
      <c r="W95" s="79" t="s">
        <v>385</v>
      </c>
      <c r="X95" s="79" t="s">
        <v>385</v>
      </c>
      <c r="Y95" s="120">
        <f t="shared" si="36"/>
        <v>10</v>
      </c>
      <c r="Z95" s="126">
        <v>10</v>
      </c>
      <c r="AA95" s="79" t="s">
        <v>385</v>
      </c>
      <c r="AB95" s="79" t="s">
        <v>385</v>
      </c>
      <c r="AC95" s="79" t="s">
        <v>385</v>
      </c>
      <c r="AD95" s="120">
        <f t="shared" si="37"/>
        <v>10</v>
      </c>
      <c r="AE95" s="126">
        <v>10</v>
      </c>
      <c r="AF95" s="79" t="s">
        <v>385</v>
      </c>
      <c r="AG95" s="79" t="s">
        <v>385</v>
      </c>
      <c r="AH95" s="79" t="s">
        <v>385</v>
      </c>
      <c r="AI95" s="120">
        <f t="shared" si="38"/>
        <v>10</v>
      </c>
      <c r="AJ95" s="126">
        <v>10</v>
      </c>
      <c r="AK95" s="79" t="s">
        <v>385</v>
      </c>
      <c r="AL95" s="79" t="s">
        <v>385</v>
      </c>
      <c r="AM95" s="79" t="s">
        <v>385</v>
      </c>
      <c r="AN95" s="128">
        <f t="shared" si="39"/>
        <v>30</v>
      </c>
      <c r="AO95" s="95"/>
    </row>
    <row r="96" spans="1:41" ht="69.75" customHeight="1">
      <c r="A96" s="43" t="s">
        <v>352</v>
      </c>
      <c r="B96" s="42" t="s">
        <v>346</v>
      </c>
      <c r="C96" s="97" t="s">
        <v>103</v>
      </c>
      <c r="D96" s="12" t="s">
        <v>296</v>
      </c>
      <c r="E96" s="120">
        <f t="shared" si="34"/>
        <v>20</v>
      </c>
      <c r="F96" s="126">
        <v>20</v>
      </c>
      <c r="G96" s="28" t="s">
        <v>385</v>
      </c>
      <c r="H96" s="28" t="s">
        <v>385</v>
      </c>
      <c r="I96" s="28" t="s">
        <v>385</v>
      </c>
      <c r="J96" s="120">
        <f t="shared" si="32"/>
        <v>20</v>
      </c>
      <c r="K96" s="124">
        <v>20</v>
      </c>
      <c r="L96" s="79" t="s">
        <v>385</v>
      </c>
      <c r="M96" s="79" t="s">
        <v>385</v>
      </c>
      <c r="N96" s="79" t="s">
        <v>385</v>
      </c>
      <c r="O96" s="78">
        <f t="shared" si="33"/>
        <v>0</v>
      </c>
      <c r="P96" s="79" t="s">
        <v>385</v>
      </c>
      <c r="Q96" s="79" t="s">
        <v>385</v>
      </c>
      <c r="R96" s="79" t="s">
        <v>385</v>
      </c>
      <c r="S96" s="79" t="s">
        <v>385</v>
      </c>
      <c r="T96" s="78">
        <f t="shared" si="35"/>
        <v>0</v>
      </c>
      <c r="U96" s="79" t="s">
        <v>385</v>
      </c>
      <c r="V96" s="79" t="s">
        <v>385</v>
      </c>
      <c r="W96" s="79" t="s">
        <v>385</v>
      </c>
      <c r="X96" s="79" t="s">
        <v>385</v>
      </c>
      <c r="Y96" s="120">
        <f t="shared" si="36"/>
        <v>50</v>
      </c>
      <c r="Z96" s="126">
        <v>50</v>
      </c>
      <c r="AA96" s="79" t="s">
        <v>385</v>
      </c>
      <c r="AB96" s="79" t="s">
        <v>385</v>
      </c>
      <c r="AC96" s="79" t="s">
        <v>385</v>
      </c>
      <c r="AD96" s="120">
        <f t="shared" si="37"/>
        <v>50</v>
      </c>
      <c r="AE96" s="126">
        <v>50</v>
      </c>
      <c r="AF96" s="79" t="s">
        <v>385</v>
      </c>
      <c r="AG96" s="79" t="s">
        <v>385</v>
      </c>
      <c r="AH96" s="79" t="s">
        <v>385</v>
      </c>
      <c r="AI96" s="120">
        <f t="shared" si="38"/>
        <v>50</v>
      </c>
      <c r="AJ96" s="126">
        <v>50</v>
      </c>
      <c r="AK96" s="79" t="s">
        <v>385</v>
      </c>
      <c r="AL96" s="79" t="s">
        <v>385</v>
      </c>
      <c r="AM96" s="79" t="s">
        <v>385</v>
      </c>
      <c r="AN96" s="128">
        <f t="shared" si="39"/>
        <v>190</v>
      </c>
      <c r="AO96" s="95"/>
    </row>
    <row r="97" spans="1:41" ht="54" customHeight="1">
      <c r="A97" s="43" t="s">
        <v>353</v>
      </c>
      <c r="B97" s="98" t="s">
        <v>355</v>
      </c>
      <c r="C97" s="97" t="s">
        <v>103</v>
      </c>
      <c r="D97" s="12" t="s">
        <v>296</v>
      </c>
      <c r="E97" s="78">
        <f>SUMIF(F97:I97,"&gt;0")</f>
        <v>0</v>
      </c>
      <c r="F97" s="28" t="s">
        <v>385</v>
      </c>
      <c r="G97" s="28" t="s">
        <v>385</v>
      </c>
      <c r="H97" s="28" t="s">
        <v>385</v>
      </c>
      <c r="I97" s="28" t="s">
        <v>385</v>
      </c>
      <c r="J97" s="120">
        <f t="shared" si="32"/>
        <v>30</v>
      </c>
      <c r="K97" s="124">
        <v>30</v>
      </c>
      <c r="L97" s="79" t="s">
        <v>385</v>
      </c>
      <c r="M97" s="79" t="s">
        <v>385</v>
      </c>
      <c r="N97" s="79" t="s">
        <v>385</v>
      </c>
      <c r="O97" s="78">
        <f t="shared" si="33"/>
        <v>0</v>
      </c>
      <c r="P97" s="79" t="s">
        <v>385</v>
      </c>
      <c r="Q97" s="79" t="s">
        <v>385</v>
      </c>
      <c r="R97" s="79" t="s">
        <v>385</v>
      </c>
      <c r="S97" s="79" t="s">
        <v>385</v>
      </c>
      <c r="T97" s="78">
        <f t="shared" si="35"/>
        <v>0</v>
      </c>
      <c r="U97" s="79" t="s">
        <v>385</v>
      </c>
      <c r="V97" s="79" t="s">
        <v>385</v>
      </c>
      <c r="W97" s="79" t="s">
        <v>385</v>
      </c>
      <c r="X97" s="79" t="s">
        <v>385</v>
      </c>
      <c r="Y97" s="120">
        <f t="shared" si="36"/>
        <v>100</v>
      </c>
      <c r="Z97" s="126">
        <v>100</v>
      </c>
      <c r="AA97" s="79" t="s">
        <v>385</v>
      </c>
      <c r="AB97" s="79" t="s">
        <v>385</v>
      </c>
      <c r="AC97" s="79" t="s">
        <v>385</v>
      </c>
      <c r="AD97" s="120">
        <f t="shared" si="37"/>
        <v>100</v>
      </c>
      <c r="AE97" s="126">
        <v>100</v>
      </c>
      <c r="AF97" s="79" t="s">
        <v>385</v>
      </c>
      <c r="AG97" s="79" t="s">
        <v>385</v>
      </c>
      <c r="AH97" s="79" t="s">
        <v>385</v>
      </c>
      <c r="AI97" s="120">
        <f t="shared" si="38"/>
        <v>100</v>
      </c>
      <c r="AJ97" s="126">
        <v>100</v>
      </c>
      <c r="AK97" s="79" t="s">
        <v>385</v>
      </c>
      <c r="AL97" s="79" t="s">
        <v>385</v>
      </c>
      <c r="AM97" s="79" t="s">
        <v>385</v>
      </c>
      <c r="AN97" s="128">
        <f t="shared" si="39"/>
        <v>330</v>
      </c>
      <c r="AO97" s="95"/>
    </row>
    <row r="98" spans="1:41" ht="68.25" customHeight="1">
      <c r="A98" s="43" t="s">
        <v>354</v>
      </c>
      <c r="B98" s="99" t="s">
        <v>345</v>
      </c>
      <c r="C98" s="97" t="s">
        <v>103</v>
      </c>
      <c r="D98" s="12" t="s">
        <v>296</v>
      </c>
      <c r="E98" s="78">
        <f>SUMIF(F98:I98,"&gt;0")</f>
        <v>0</v>
      </c>
      <c r="F98" s="28" t="s">
        <v>385</v>
      </c>
      <c r="G98" s="28" t="s">
        <v>385</v>
      </c>
      <c r="H98" s="28" t="s">
        <v>385</v>
      </c>
      <c r="I98" s="28" t="s">
        <v>385</v>
      </c>
      <c r="J98" s="120">
        <f t="shared" si="32"/>
        <v>5</v>
      </c>
      <c r="K98" s="124">
        <v>5</v>
      </c>
      <c r="L98" s="79" t="s">
        <v>385</v>
      </c>
      <c r="M98" s="79" t="s">
        <v>385</v>
      </c>
      <c r="N98" s="79" t="s">
        <v>385</v>
      </c>
      <c r="O98" s="78">
        <f t="shared" si="33"/>
        <v>0</v>
      </c>
      <c r="P98" s="79" t="s">
        <v>385</v>
      </c>
      <c r="Q98" s="79" t="s">
        <v>385</v>
      </c>
      <c r="R98" s="79" t="s">
        <v>385</v>
      </c>
      <c r="S98" s="79" t="s">
        <v>385</v>
      </c>
      <c r="T98" s="78">
        <f t="shared" si="35"/>
        <v>0</v>
      </c>
      <c r="U98" s="79" t="s">
        <v>385</v>
      </c>
      <c r="V98" s="79" t="s">
        <v>385</v>
      </c>
      <c r="W98" s="79" t="s">
        <v>385</v>
      </c>
      <c r="X98" s="79" t="s">
        <v>385</v>
      </c>
      <c r="Y98" s="120">
        <f t="shared" si="36"/>
        <v>30</v>
      </c>
      <c r="Z98" s="126">
        <v>30</v>
      </c>
      <c r="AA98" s="79" t="s">
        <v>385</v>
      </c>
      <c r="AB98" s="79" t="s">
        <v>385</v>
      </c>
      <c r="AC98" s="79" t="s">
        <v>385</v>
      </c>
      <c r="AD98" s="120">
        <f t="shared" si="37"/>
        <v>30</v>
      </c>
      <c r="AE98" s="126">
        <v>30</v>
      </c>
      <c r="AF98" s="79" t="s">
        <v>385</v>
      </c>
      <c r="AG98" s="79" t="s">
        <v>385</v>
      </c>
      <c r="AH98" s="79" t="s">
        <v>385</v>
      </c>
      <c r="AI98" s="120">
        <f t="shared" si="38"/>
        <v>30</v>
      </c>
      <c r="AJ98" s="126">
        <v>30</v>
      </c>
      <c r="AK98" s="79" t="s">
        <v>385</v>
      </c>
      <c r="AL98" s="79" t="s">
        <v>385</v>
      </c>
      <c r="AM98" s="79" t="s">
        <v>385</v>
      </c>
      <c r="AN98" s="128">
        <f t="shared" si="39"/>
        <v>95</v>
      </c>
      <c r="AO98" s="95"/>
    </row>
    <row r="99" spans="1:41" ht="81" customHeight="1">
      <c r="A99" s="43" t="s">
        <v>109</v>
      </c>
      <c r="B99" s="20" t="s">
        <v>344</v>
      </c>
      <c r="C99" s="97" t="s">
        <v>512</v>
      </c>
      <c r="D99" s="12" t="s">
        <v>296</v>
      </c>
      <c r="E99" s="78">
        <f>SUMIF(F99:I99,"&gt;0")</f>
        <v>0</v>
      </c>
      <c r="F99" s="28" t="s">
        <v>385</v>
      </c>
      <c r="G99" s="28" t="s">
        <v>385</v>
      </c>
      <c r="H99" s="28" t="s">
        <v>385</v>
      </c>
      <c r="I99" s="28" t="s">
        <v>385</v>
      </c>
      <c r="J99" s="78">
        <f t="shared" si="32"/>
        <v>0</v>
      </c>
      <c r="K99" s="12" t="s">
        <v>385</v>
      </c>
      <c r="L99" s="79" t="s">
        <v>385</v>
      </c>
      <c r="M99" s="79" t="s">
        <v>385</v>
      </c>
      <c r="N99" s="79" t="s">
        <v>385</v>
      </c>
      <c r="O99" s="78">
        <f t="shared" si="33"/>
        <v>0</v>
      </c>
      <c r="P99" s="79" t="s">
        <v>385</v>
      </c>
      <c r="Q99" s="79" t="s">
        <v>385</v>
      </c>
      <c r="R99" s="79" t="s">
        <v>385</v>
      </c>
      <c r="S99" s="79" t="s">
        <v>385</v>
      </c>
      <c r="T99" s="78">
        <f t="shared" si="35"/>
        <v>0</v>
      </c>
      <c r="U99" s="79" t="s">
        <v>385</v>
      </c>
      <c r="V99" s="79" t="s">
        <v>385</v>
      </c>
      <c r="W99" s="79" t="s">
        <v>385</v>
      </c>
      <c r="X99" s="79" t="s">
        <v>385</v>
      </c>
      <c r="Y99" s="120">
        <f t="shared" si="36"/>
        <v>10</v>
      </c>
      <c r="Z99" s="126">
        <v>10</v>
      </c>
      <c r="AA99" s="79" t="s">
        <v>385</v>
      </c>
      <c r="AB99" s="79" t="s">
        <v>385</v>
      </c>
      <c r="AC99" s="79" t="s">
        <v>385</v>
      </c>
      <c r="AD99" s="120">
        <f t="shared" si="37"/>
        <v>10</v>
      </c>
      <c r="AE99" s="126">
        <v>10</v>
      </c>
      <c r="AF99" s="79" t="s">
        <v>385</v>
      </c>
      <c r="AG99" s="79" t="s">
        <v>385</v>
      </c>
      <c r="AH99" s="79" t="s">
        <v>385</v>
      </c>
      <c r="AI99" s="120">
        <f t="shared" si="38"/>
        <v>10</v>
      </c>
      <c r="AJ99" s="126">
        <v>10</v>
      </c>
      <c r="AK99" s="79" t="s">
        <v>385</v>
      </c>
      <c r="AL99" s="79" t="s">
        <v>385</v>
      </c>
      <c r="AM99" s="79" t="s">
        <v>385</v>
      </c>
      <c r="AN99" s="128">
        <f t="shared" si="39"/>
        <v>30</v>
      </c>
      <c r="AO99" s="95"/>
    </row>
    <row r="100" spans="1:41" ht="157.5">
      <c r="A100" s="100" t="s">
        <v>110</v>
      </c>
      <c r="B100" s="42" t="s">
        <v>89</v>
      </c>
      <c r="C100" s="101" t="s">
        <v>219</v>
      </c>
      <c r="D100" s="12" t="s">
        <v>296</v>
      </c>
      <c r="E100" s="120">
        <f t="shared" si="34"/>
        <v>8.6</v>
      </c>
      <c r="F100" s="124">
        <f>9-0.4</f>
        <v>8.6</v>
      </c>
      <c r="G100" s="28" t="s">
        <v>385</v>
      </c>
      <c r="H100" s="28" t="s">
        <v>385</v>
      </c>
      <c r="I100" s="28" t="s">
        <v>385</v>
      </c>
      <c r="J100" s="120">
        <f t="shared" si="32"/>
        <v>9</v>
      </c>
      <c r="K100" s="124">
        <v>9</v>
      </c>
      <c r="L100" s="79" t="s">
        <v>385</v>
      </c>
      <c r="M100" s="79" t="s">
        <v>385</v>
      </c>
      <c r="N100" s="79" t="s">
        <v>385</v>
      </c>
      <c r="O100" s="78">
        <f t="shared" si="33"/>
        <v>0</v>
      </c>
      <c r="P100" s="79" t="s">
        <v>385</v>
      </c>
      <c r="Q100" s="79" t="s">
        <v>385</v>
      </c>
      <c r="R100" s="79" t="s">
        <v>385</v>
      </c>
      <c r="S100" s="79" t="s">
        <v>385</v>
      </c>
      <c r="T100" s="78">
        <f t="shared" si="35"/>
        <v>0</v>
      </c>
      <c r="U100" s="79" t="s">
        <v>385</v>
      </c>
      <c r="V100" s="79" t="s">
        <v>385</v>
      </c>
      <c r="W100" s="79" t="s">
        <v>385</v>
      </c>
      <c r="X100" s="79" t="s">
        <v>385</v>
      </c>
      <c r="Y100" s="120">
        <f t="shared" si="36"/>
        <v>20</v>
      </c>
      <c r="Z100" s="124">
        <v>20</v>
      </c>
      <c r="AA100" s="79" t="s">
        <v>385</v>
      </c>
      <c r="AB100" s="79" t="s">
        <v>385</v>
      </c>
      <c r="AC100" s="79" t="s">
        <v>385</v>
      </c>
      <c r="AD100" s="120">
        <f t="shared" si="37"/>
        <v>20</v>
      </c>
      <c r="AE100" s="124">
        <v>20</v>
      </c>
      <c r="AF100" s="79" t="s">
        <v>385</v>
      </c>
      <c r="AG100" s="79" t="s">
        <v>385</v>
      </c>
      <c r="AH100" s="79" t="s">
        <v>385</v>
      </c>
      <c r="AI100" s="120">
        <f t="shared" si="38"/>
        <v>20</v>
      </c>
      <c r="AJ100" s="124">
        <v>20</v>
      </c>
      <c r="AK100" s="79" t="s">
        <v>385</v>
      </c>
      <c r="AL100" s="79" t="s">
        <v>385</v>
      </c>
      <c r="AM100" s="79" t="s">
        <v>385</v>
      </c>
      <c r="AN100" s="128">
        <f t="shared" si="39"/>
        <v>77.6</v>
      </c>
      <c r="AO100" s="95"/>
    </row>
    <row r="101" spans="1:41" ht="47.25">
      <c r="A101" s="100" t="s">
        <v>111</v>
      </c>
      <c r="B101" s="42" t="s">
        <v>516</v>
      </c>
      <c r="C101" s="97" t="s">
        <v>101</v>
      </c>
      <c r="D101" s="12" t="s">
        <v>296</v>
      </c>
      <c r="E101" s="78">
        <f>SUMIF(F101:I101,"&gt;0")</f>
        <v>0</v>
      </c>
      <c r="F101" s="28" t="s">
        <v>385</v>
      </c>
      <c r="G101" s="28" t="s">
        <v>385</v>
      </c>
      <c r="H101" s="28" t="s">
        <v>385</v>
      </c>
      <c r="I101" s="28" t="s">
        <v>385</v>
      </c>
      <c r="J101" s="78">
        <f t="shared" si="32"/>
        <v>0</v>
      </c>
      <c r="K101" s="12" t="s">
        <v>385</v>
      </c>
      <c r="L101" s="79" t="s">
        <v>385</v>
      </c>
      <c r="M101" s="79" t="s">
        <v>385</v>
      </c>
      <c r="N101" s="79" t="s">
        <v>385</v>
      </c>
      <c r="O101" s="78">
        <f t="shared" si="33"/>
        <v>0</v>
      </c>
      <c r="P101" s="79" t="s">
        <v>385</v>
      </c>
      <c r="Q101" s="79" t="s">
        <v>385</v>
      </c>
      <c r="R101" s="79" t="s">
        <v>385</v>
      </c>
      <c r="S101" s="79" t="s">
        <v>385</v>
      </c>
      <c r="T101" s="78">
        <f t="shared" si="35"/>
        <v>0</v>
      </c>
      <c r="U101" s="79" t="s">
        <v>385</v>
      </c>
      <c r="V101" s="79" t="s">
        <v>385</v>
      </c>
      <c r="W101" s="79" t="s">
        <v>385</v>
      </c>
      <c r="X101" s="79" t="s">
        <v>385</v>
      </c>
      <c r="Y101" s="120">
        <f t="shared" si="36"/>
        <v>6</v>
      </c>
      <c r="Z101" s="124">
        <v>6</v>
      </c>
      <c r="AA101" s="79" t="s">
        <v>385</v>
      </c>
      <c r="AB101" s="79" t="s">
        <v>385</v>
      </c>
      <c r="AC101" s="79" t="s">
        <v>385</v>
      </c>
      <c r="AD101" s="120">
        <f t="shared" si="37"/>
        <v>6</v>
      </c>
      <c r="AE101" s="124">
        <v>6</v>
      </c>
      <c r="AF101" s="79" t="s">
        <v>385</v>
      </c>
      <c r="AG101" s="79" t="s">
        <v>385</v>
      </c>
      <c r="AH101" s="79" t="s">
        <v>385</v>
      </c>
      <c r="AI101" s="120">
        <f t="shared" si="38"/>
        <v>6</v>
      </c>
      <c r="AJ101" s="124">
        <v>6</v>
      </c>
      <c r="AK101" s="79" t="s">
        <v>385</v>
      </c>
      <c r="AL101" s="79" t="s">
        <v>385</v>
      </c>
      <c r="AM101" s="79" t="s">
        <v>385</v>
      </c>
      <c r="AN101" s="128">
        <f t="shared" si="39"/>
        <v>18</v>
      </c>
      <c r="AO101" s="95"/>
    </row>
    <row r="102" spans="1:41" ht="173.25">
      <c r="A102" s="100" t="s">
        <v>112</v>
      </c>
      <c r="B102" s="42" t="s">
        <v>92</v>
      </c>
      <c r="C102" s="101" t="s">
        <v>445</v>
      </c>
      <c r="D102" s="12" t="s">
        <v>296</v>
      </c>
      <c r="E102" s="120">
        <f t="shared" si="34"/>
        <v>8</v>
      </c>
      <c r="F102" s="124">
        <v>8</v>
      </c>
      <c r="G102" s="28" t="s">
        <v>385</v>
      </c>
      <c r="H102" s="28" t="s">
        <v>385</v>
      </c>
      <c r="I102" s="28" t="s">
        <v>385</v>
      </c>
      <c r="J102" s="120">
        <f t="shared" si="32"/>
        <v>5</v>
      </c>
      <c r="K102" s="124">
        <v>5</v>
      </c>
      <c r="L102" s="79" t="s">
        <v>385</v>
      </c>
      <c r="M102" s="79" t="s">
        <v>385</v>
      </c>
      <c r="N102" s="79" t="s">
        <v>385</v>
      </c>
      <c r="O102" s="78">
        <f t="shared" si="33"/>
        <v>0</v>
      </c>
      <c r="P102" s="79" t="s">
        <v>385</v>
      </c>
      <c r="Q102" s="79" t="s">
        <v>385</v>
      </c>
      <c r="R102" s="79" t="s">
        <v>385</v>
      </c>
      <c r="S102" s="79" t="s">
        <v>385</v>
      </c>
      <c r="T102" s="78">
        <f t="shared" si="35"/>
        <v>0</v>
      </c>
      <c r="U102" s="79" t="s">
        <v>385</v>
      </c>
      <c r="V102" s="79" t="s">
        <v>385</v>
      </c>
      <c r="W102" s="79" t="s">
        <v>385</v>
      </c>
      <c r="X102" s="79" t="s">
        <v>385</v>
      </c>
      <c r="Y102" s="120">
        <f t="shared" si="36"/>
        <v>10</v>
      </c>
      <c r="Z102" s="124">
        <v>10</v>
      </c>
      <c r="AA102" s="79" t="s">
        <v>385</v>
      </c>
      <c r="AB102" s="79" t="s">
        <v>385</v>
      </c>
      <c r="AC102" s="79" t="s">
        <v>385</v>
      </c>
      <c r="AD102" s="120">
        <f t="shared" si="37"/>
        <v>10</v>
      </c>
      <c r="AE102" s="124">
        <v>10</v>
      </c>
      <c r="AF102" s="79" t="s">
        <v>385</v>
      </c>
      <c r="AG102" s="79" t="s">
        <v>385</v>
      </c>
      <c r="AH102" s="79" t="s">
        <v>385</v>
      </c>
      <c r="AI102" s="120">
        <f t="shared" si="38"/>
        <v>10</v>
      </c>
      <c r="AJ102" s="124">
        <v>10</v>
      </c>
      <c r="AK102" s="79" t="s">
        <v>385</v>
      </c>
      <c r="AL102" s="79" t="s">
        <v>385</v>
      </c>
      <c r="AM102" s="79" t="s">
        <v>385</v>
      </c>
      <c r="AN102" s="128">
        <f t="shared" si="39"/>
        <v>43</v>
      </c>
      <c r="AO102" s="95"/>
    </row>
    <row r="103" spans="1:41" ht="63">
      <c r="A103" s="100" t="s">
        <v>113</v>
      </c>
      <c r="B103" s="42" t="s">
        <v>276</v>
      </c>
      <c r="C103" s="97" t="s">
        <v>102</v>
      </c>
      <c r="D103" s="12" t="s">
        <v>296</v>
      </c>
      <c r="E103" s="130">
        <f t="shared" si="34"/>
        <v>0</v>
      </c>
      <c r="F103" s="94">
        <f>5-5</f>
        <v>0</v>
      </c>
      <c r="G103" s="28" t="s">
        <v>385</v>
      </c>
      <c r="H103" s="28" t="s">
        <v>385</v>
      </c>
      <c r="I103" s="28" t="s">
        <v>385</v>
      </c>
      <c r="J103" s="120">
        <f t="shared" si="32"/>
        <v>5</v>
      </c>
      <c r="K103" s="124">
        <v>5</v>
      </c>
      <c r="L103" s="79" t="s">
        <v>385</v>
      </c>
      <c r="M103" s="79" t="s">
        <v>385</v>
      </c>
      <c r="N103" s="79" t="s">
        <v>385</v>
      </c>
      <c r="O103" s="78">
        <f t="shared" si="33"/>
        <v>0</v>
      </c>
      <c r="P103" s="79" t="s">
        <v>385</v>
      </c>
      <c r="Q103" s="79" t="s">
        <v>385</v>
      </c>
      <c r="R103" s="79" t="s">
        <v>385</v>
      </c>
      <c r="S103" s="79" t="s">
        <v>385</v>
      </c>
      <c r="T103" s="78">
        <f t="shared" si="35"/>
        <v>0</v>
      </c>
      <c r="U103" s="79" t="s">
        <v>385</v>
      </c>
      <c r="V103" s="79" t="s">
        <v>385</v>
      </c>
      <c r="W103" s="79" t="s">
        <v>385</v>
      </c>
      <c r="X103" s="79" t="s">
        <v>385</v>
      </c>
      <c r="Y103" s="120">
        <f t="shared" si="36"/>
        <v>8</v>
      </c>
      <c r="Z103" s="124">
        <v>8</v>
      </c>
      <c r="AA103" s="79" t="s">
        <v>385</v>
      </c>
      <c r="AB103" s="79" t="s">
        <v>385</v>
      </c>
      <c r="AC103" s="79" t="s">
        <v>385</v>
      </c>
      <c r="AD103" s="120">
        <f t="shared" si="37"/>
        <v>8</v>
      </c>
      <c r="AE103" s="124">
        <v>8</v>
      </c>
      <c r="AF103" s="79" t="s">
        <v>385</v>
      </c>
      <c r="AG103" s="79" t="s">
        <v>385</v>
      </c>
      <c r="AH103" s="79" t="s">
        <v>385</v>
      </c>
      <c r="AI103" s="120">
        <f t="shared" si="38"/>
        <v>8</v>
      </c>
      <c r="AJ103" s="124">
        <v>8</v>
      </c>
      <c r="AK103" s="79" t="s">
        <v>385</v>
      </c>
      <c r="AL103" s="79" t="s">
        <v>385</v>
      </c>
      <c r="AM103" s="79" t="s">
        <v>385</v>
      </c>
      <c r="AN103" s="128">
        <f t="shared" si="39"/>
        <v>29</v>
      </c>
      <c r="AO103" s="95"/>
    </row>
    <row r="104" spans="1:41" ht="47.25">
      <c r="A104" s="100" t="s">
        <v>114</v>
      </c>
      <c r="B104" s="42" t="s">
        <v>300</v>
      </c>
      <c r="C104" s="97" t="s">
        <v>303</v>
      </c>
      <c r="D104" s="12" t="s">
        <v>296</v>
      </c>
      <c r="E104" s="78">
        <f>SUMIF(F104:I104,"&gt;0")</f>
        <v>0</v>
      </c>
      <c r="F104" s="28" t="s">
        <v>385</v>
      </c>
      <c r="G104" s="28" t="s">
        <v>385</v>
      </c>
      <c r="H104" s="28" t="s">
        <v>385</v>
      </c>
      <c r="I104" s="28" t="s">
        <v>385</v>
      </c>
      <c r="J104" s="78">
        <f t="shared" si="32"/>
        <v>0</v>
      </c>
      <c r="K104" s="12" t="s">
        <v>385</v>
      </c>
      <c r="L104" s="79" t="s">
        <v>385</v>
      </c>
      <c r="M104" s="79" t="s">
        <v>385</v>
      </c>
      <c r="N104" s="79" t="s">
        <v>385</v>
      </c>
      <c r="O104" s="78">
        <f t="shared" si="33"/>
        <v>0</v>
      </c>
      <c r="P104" s="79" t="s">
        <v>385</v>
      </c>
      <c r="Q104" s="79" t="s">
        <v>385</v>
      </c>
      <c r="R104" s="79" t="s">
        <v>385</v>
      </c>
      <c r="S104" s="79" t="s">
        <v>385</v>
      </c>
      <c r="T104" s="78">
        <f t="shared" si="35"/>
        <v>0</v>
      </c>
      <c r="U104" s="79" t="s">
        <v>385</v>
      </c>
      <c r="V104" s="79" t="s">
        <v>385</v>
      </c>
      <c r="W104" s="79" t="s">
        <v>385</v>
      </c>
      <c r="X104" s="79" t="s">
        <v>385</v>
      </c>
      <c r="Y104" s="120">
        <f t="shared" si="36"/>
        <v>8</v>
      </c>
      <c r="Z104" s="124">
        <v>8</v>
      </c>
      <c r="AA104" s="79" t="s">
        <v>385</v>
      </c>
      <c r="AB104" s="79" t="s">
        <v>385</v>
      </c>
      <c r="AC104" s="79" t="s">
        <v>385</v>
      </c>
      <c r="AD104" s="120">
        <f t="shared" si="37"/>
        <v>8</v>
      </c>
      <c r="AE104" s="124">
        <v>8</v>
      </c>
      <c r="AF104" s="79" t="s">
        <v>385</v>
      </c>
      <c r="AG104" s="79" t="s">
        <v>385</v>
      </c>
      <c r="AH104" s="79" t="s">
        <v>385</v>
      </c>
      <c r="AI104" s="120">
        <f t="shared" si="38"/>
        <v>8</v>
      </c>
      <c r="AJ104" s="124">
        <v>8</v>
      </c>
      <c r="AK104" s="79" t="s">
        <v>385</v>
      </c>
      <c r="AL104" s="79" t="s">
        <v>385</v>
      </c>
      <c r="AM104" s="79" t="s">
        <v>385</v>
      </c>
      <c r="AN104" s="128">
        <f t="shared" si="39"/>
        <v>24</v>
      </c>
      <c r="AO104" s="95"/>
    </row>
    <row r="105" spans="1:41" ht="47.25">
      <c r="A105" s="100" t="s">
        <v>115</v>
      </c>
      <c r="B105" s="98" t="s">
        <v>301</v>
      </c>
      <c r="C105" s="97" t="s">
        <v>304</v>
      </c>
      <c r="D105" s="12" t="s">
        <v>296</v>
      </c>
      <c r="E105" s="78">
        <f>SUMIF(F105:I105,"&gt;0")</f>
        <v>0</v>
      </c>
      <c r="F105" s="28" t="s">
        <v>385</v>
      </c>
      <c r="G105" s="28" t="s">
        <v>385</v>
      </c>
      <c r="H105" s="28" t="s">
        <v>385</v>
      </c>
      <c r="I105" s="28" t="s">
        <v>385</v>
      </c>
      <c r="J105" s="78">
        <f t="shared" si="32"/>
        <v>0</v>
      </c>
      <c r="K105" s="12" t="s">
        <v>385</v>
      </c>
      <c r="L105" s="79" t="s">
        <v>385</v>
      </c>
      <c r="M105" s="79" t="s">
        <v>385</v>
      </c>
      <c r="N105" s="79" t="s">
        <v>385</v>
      </c>
      <c r="O105" s="78">
        <f t="shared" si="33"/>
        <v>0</v>
      </c>
      <c r="P105" s="79" t="s">
        <v>385</v>
      </c>
      <c r="Q105" s="79" t="s">
        <v>385</v>
      </c>
      <c r="R105" s="79" t="s">
        <v>385</v>
      </c>
      <c r="S105" s="79" t="s">
        <v>385</v>
      </c>
      <c r="T105" s="78">
        <f t="shared" si="35"/>
        <v>0</v>
      </c>
      <c r="U105" s="79" t="s">
        <v>385</v>
      </c>
      <c r="V105" s="79" t="s">
        <v>385</v>
      </c>
      <c r="W105" s="79" t="s">
        <v>385</v>
      </c>
      <c r="X105" s="79" t="s">
        <v>385</v>
      </c>
      <c r="Y105" s="120">
        <f t="shared" si="36"/>
        <v>8</v>
      </c>
      <c r="Z105" s="124">
        <v>8</v>
      </c>
      <c r="AA105" s="79" t="s">
        <v>385</v>
      </c>
      <c r="AB105" s="79" t="s">
        <v>385</v>
      </c>
      <c r="AC105" s="79" t="s">
        <v>385</v>
      </c>
      <c r="AD105" s="120">
        <f t="shared" si="37"/>
        <v>8</v>
      </c>
      <c r="AE105" s="124">
        <v>8</v>
      </c>
      <c r="AF105" s="79" t="s">
        <v>385</v>
      </c>
      <c r="AG105" s="79" t="s">
        <v>385</v>
      </c>
      <c r="AH105" s="79" t="s">
        <v>385</v>
      </c>
      <c r="AI105" s="120">
        <f t="shared" si="38"/>
        <v>8</v>
      </c>
      <c r="AJ105" s="124">
        <v>8</v>
      </c>
      <c r="AK105" s="79" t="s">
        <v>385</v>
      </c>
      <c r="AL105" s="79" t="s">
        <v>385</v>
      </c>
      <c r="AM105" s="79" t="s">
        <v>385</v>
      </c>
      <c r="AN105" s="128">
        <f t="shared" si="39"/>
        <v>24</v>
      </c>
      <c r="AO105" s="95"/>
    </row>
    <row r="106" spans="1:41" ht="47.25">
      <c r="A106" s="100" t="s">
        <v>356</v>
      </c>
      <c r="B106" s="98" t="s">
        <v>347</v>
      </c>
      <c r="C106" s="97" t="s">
        <v>103</v>
      </c>
      <c r="D106" s="12" t="s">
        <v>296</v>
      </c>
      <c r="E106" s="78">
        <f>SUMIF(F106:I106,"&gt;0")</f>
        <v>0</v>
      </c>
      <c r="F106" s="28" t="s">
        <v>385</v>
      </c>
      <c r="G106" s="28" t="s">
        <v>385</v>
      </c>
      <c r="H106" s="28" t="s">
        <v>385</v>
      </c>
      <c r="I106" s="28" t="s">
        <v>385</v>
      </c>
      <c r="J106" s="78">
        <f t="shared" si="32"/>
        <v>0</v>
      </c>
      <c r="K106" s="12" t="s">
        <v>385</v>
      </c>
      <c r="L106" s="79" t="s">
        <v>385</v>
      </c>
      <c r="M106" s="79" t="s">
        <v>385</v>
      </c>
      <c r="N106" s="79" t="s">
        <v>385</v>
      </c>
      <c r="O106" s="78">
        <f t="shared" si="33"/>
        <v>0</v>
      </c>
      <c r="P106" s="79" t="s">
        <v>385</v>
      </c>
      <c r="Q106" s="79" t="s">
        <v>385</v>
      </c>
      <c r="R106" s="79" t="s">
        <v>385</v>
      </c>
      <c r="S106" s="79" t="s">
        <v>385</v>
      </c>
      <c r="T106" s="78">
        <f t="shared" si="35"/>
        <v>0</v>
      </c>
      <c r="U106" s="79" t="s">
        <v>385</v>
      </c>
      <c r="V106" s="79" t="s">
        <v>385</v>
      </c>
      <c r="W106" s="79" t="s">
        <v>385</v>
      </c>
      <c r="X106" s="79" t="s">
        <v>385</v>
      </c>
      <c r="Y106" s="120">
        <f t="shared" si="36"/>
        <v>8</v>
      </c>
      <c r="Z106" s="124">
        <v>8</v>
      </c>
      <c r="AA106" s="79" t="s">
        <v>385</v>
      </c>
      <c r="AB106" s="79" t="s">
        <v>385</v>
      </c>
      <c r="AC106" s="79" t="s">
        <v>385</v>
      </c>
      <c r="AD106" s="120">
        <f t="shared" si="37"/>
        <v>8</v>
      </c>
      <c r="AE106" s="124">
        <v>8</v>
      </c>
      <c r="AF106" s="79" t="s">
        <v>385</v>
      </c>
      <c r="AG106" s="79" t="s">
        <v>385</v>
      </c>
      <c r="AH106" s="79" t="s">
        <v>385</v>
      </c>
      <c r="AI106" s="120">
        <f t="shared" si="38"/>
        <v>8</v>
      </c>
      <c r="AJ106" s="124">
        <v>8</v>
      </c>
      <c r="AK106" s="79" t="s">
        <v>385</v>
      </c>
      <c r="AL106" s="79" t="s">
        <v>385</v>
      </c>
      <c r="AM106" s="79" t="s">
        <v>385</v>
      </c>
      <c r="AN106" s="128">
        <f t="shared" si="39"/>
        <v>24</v>
      </c>
      <c r="AO106" s="95"/>
    </row>
    <row r="107" spans="1:41" ht="47.25">
      <c r="A107" s="100" t="s">
        <v>116</v>
      </c>
      <c r="B107" s="102" t="s">
        <v>302</v>
      </c>
      <c r="C107" s="97" t="s">
        <v>287</v>
      </c>
      <c r="D107" s="12" t="s">
        <v>296</v>
      </c>
      <c r="E107" s="78">
        <f>SUMIF(F107:I107,"&gt;0")</f>
        <v>0</v>
      </c>
      <c r="F107" s="28" t="s">
        <v>385</v>
      </c>
      <c r="G107" s="28" t="s">
        <v>385</v>
      </c>
      <c r="H107" s="28" t="s">
        <v>385</v>
      </c>
      <c r="I107" s="28" t="s">
        <v>385</v>
      </c>
      <c r="J107" s="78">
        <f t="shared" si="32"/>
        <v>0</v>
      </c>
      <c r="K107" s="12" t="s">
        <v>385</v>
      </c>
      <c r="L107" s="79" t="s">
        <v>385</v>
      </c>
      <c r="M107" s="79" t="s">
        <v>385</v>
      </c>
      <c r="N107" s="79" t="s">
        <v>385</v>
      </c>
      <c r="O107" s="78">
        <f t="shared" si="33"/>
        <v>0</v>
      </c>
      <c r="P107" s="79" t="s">
        <v>385</v>
      </c>
      <c r="Q107" s="79" t="s">
        <v>385</v>
      </c>
      <c r="R107" s="79" t="s">
        <v>385</v>
      </c>
      <c r="S107" s="79" t="s">
        <v>385</v>
      </c>
      <c r="T107" s="78">
        <f t="shared" si="35"/>
        <v>0</v>
      </c>
      <c r="U107" s="79" t="s">
        <v>385</v>
      </c>
      <c r="V107" s="79" t="s">
        <v>385</v>
      </c>
      <c r="W107" s="79" t="s">
        <v>385</v>
      </c>
      <c r="X107" s="79" t="s">
        <v>385</v>
      </c>
      <c r="Y107" s="120">
        <f t="shared" si="36"/>
        <v>8</v>
      </c>
      <c r="Z107" s="124">
        <v>8</v>
      </c>
      <c r="AA107" s="79" t="s">
        <v>385</v>
      </c>
      <c r="AB107" s="79" t="s">
        <v>385</v>
      </c>
      <c r="AC107" s="79" t="s">
        <v>385</v>
      </c>
      <c r="AD107" s="120">
        <f t="shared" si="37"/>
        <v>8</v>
      </c>
      <c r="AE107" s="124">
        <v>8</v>
      </c>
      <c r="AF107" s="79" t="s">
        <v>385</v>
      </c>
      <c r="AG107" s="79" t="s">
        <v>385</v>
      </c>
      <c r="AH107" s="79" t="s">
        <v>385</v>
      </c>
      <c r="AI107" s="120">
        <f t="shared" si="38"/>
        <v>8</v>
      </c>
      <c r="AJ107" s="124">
        <v>8</v>
      </c>
      <c r="AK107" s="79" t="s">
        <v>385</v>
      </c>
      <c r="AL107" s="79" t="s">
        <v>385</v>
      </c>
      <c r="AM107" s="79" t="s">
        <v>385</v>
      </c>
      <c r="AN107" s="128">
        <f t="shared" si="39"/>
        <v>24</v>
      </c>
      <c r="AO107" s="95"/>
    </row>
    <row r="108" spans="1:41" ht="47.25">
      <c r="A108" s="100" t="s">
        <v>117</v>
      </c>
      <c r="B108" s="42" t="s">
        <v>93</v>
      </c>
      <c r="C108" s="97" t="s">
        <v>102</v>
      </c>
      <c r="D108" s="12" t="s">
        <v>296</v>
      </c>
      <c r="E108" s="78">
        <f>SUMIF(F108:I108,"&gt;0")</f>
        <v>0</v>
      </c>
      <c r="F108" s="28" t="s">
        <v>385</v>
      </c>
      <c r="G108" s="28" t="s">
        <v>385</v>
      </c>
      <c r="H108" s="28" t="s">
        <v>385</v>
      </c>
      <c r="I108" s="28" t="s">
        <v>385</v>
      </c>
      <c r="J108" s="120">
        <f t="shared" si="32"/>
        <v>5</v>
      </c>
      <c r="K108" s="124">
        <v>5</v>
      </c>
      <c r="L108" s="79" t="s">
        <v>385</v>
      </c>
      <c r="M108" s="79" t="s">
        <v>385</v>
      </c>
      <c r="N108" s="79" t="s">
        <v>385</v>
      </c>
      <c r="O108" s="78">
        <f t="shared" si="33"/>
        <v>0</v>
      </c>
      <c r="P108" s="79" t="s">
        <v>385</v>
      </c>
      <c r="Q108" s="79" t="s">
        <v>385</v>
      </c>
      <c r="R108" s="79" t="s">
        <v>385</v>
      </c>
      <c r="S108" s="79" t="s">
        <v>385</v>
      </c>
      <c r="T108" s="78">
        <f t="shared" si="35"/>
        <v>0</v>
      </c>
      <c r="U108" s="79" t="s">
        <v>385</v>
      </c>
      <c r="V108" s="79" t="s">
        <v>385</v>
      </c>
      <c r="W108" s="79" t="s">
        <v>385</v>
      </c>
      <c r="X108" s="79" t="s">
        <v>385</v>
      </c>
      <c r="Y108" s="120">
        <f t="shared" si="36"/>
        <v>8</v>
      </c>
      <c r="Z108" s="124">
        <v>8</v>
      </c>
      <c r="AA108" s="79" t="s">
        <v>385</v>
      </c>
      <c r="AB108" s="79" t="s">
        <v>385</v>
      </c>
      <c r="AC108" s="79" t="s">
        <v>385</v>
      </c>
      <c r="AD108" s="120">
        <f t="shared" si="37"/>
        <v>8</v>
      </c>
      <c r="AE108" s="124">
        <v>8</v>
      </c>
      <c r="AF108" s="79" t="s">
        <v>385</v>
      </c>
      <c r="AG108" s="79" t="s">
        <v>385</v>
      </c>
      <c r="AH108" s="79" t="s">
        <v>385</v>
      </c>
      <c r="AI108" s="120">
        <f t="shared" si="38"/>
        <v>8</v>
      </c>
      <c r="AJ108" s="124">
        <v>8</v>
      </c>
      <c r="AK108" s="79" t="s">
        <v>385</v>
      </c>
      <c r="AL108" s="79" t="s">
        <v>385</v>
      </c>
      <c r="AM108" s="79" t="s">
        <v>385</v>
      </c>
      <c r="AN108" s="128">
        <f t="shared" si="39"/>
        <v>29</v>
      </c>
      <c r="AO108" s="95"/>
    </row>
    <row r="109" spans="1:41" ht="126">
      <c r="A109" s="100" t="s">
        <v>118</v>
      </c>
      <c r="B109" s="42" t="s">
        <v>94</v>
      </c>
      <c r="C109" s="101" t="s">
        <v>452</v>
      </c>
      <c r="D109" s="12" t="s">
        <v>296</v>
      </c>
      <c r="E109" s="120">
        <f t="shared" si="34"/>
        <v>17</v>
      </c>
      <c r="F109" s="124">
        <v>17</v>
      </c>
      <c r="G109" s="28" t="s">
        <v>385</v>
      </c>
      <c r="H109" s="28" t="s">
        <v>385</v>
      </c>
      <c r="I109" s="28" t="s">
        <v>385</v>
      </c>
      <c r="J109" s="120">
        <f t="shared" si="32"/>
        <v>15</v>
      </c>
      <c r="K109" s="124">
        <v>15</v>
      </c>
      <c r="L109" s="79" t="s">
        <v>385</v>
      </c>
      <c r="M109" s="79" t="s">
        <v>385</v>
      </c>
      <c r="N109" s="79" t="s">
        <v>385</v>
      </c>
      <c r="O109" s="78">
        <f t="shared" si="33"/>
        <v>0</v>
      </c>
      <c r="P109" s="79" t="s">
        <v>385</v>
      </c>
      <c r="Q109" s="79" t="s">
        <v>385</v>
      </c>
      <c r="R109" s="79" t="s">
        <v>385</v>
      </c>
      <c r="S109" s="79" t="s">
        <v>385</v>
      </c>
      <c r="T109" s="78">
        <f t="shared" si="35"/>
        <v>0</v>
      </c>
      <c r="U109" s="79" t="s">
        <v>385</v>
      </c>
      <c r="V109" s="79" t="s">
        <v>385</v>
      </c>
      <c r="W109" s="79" t="s">
        <v>385</v>
      </c>
      <c r="X109" s="79" t="s">
        <v>385</v>
      </c>
      <c r="Y109" s="120">
        <f t="shared" si="36"/>
        <v>27</v>
      </c>
      <c r="Z109" s="124">
        <v>27</v>
      </c>
      <c r="AA109" s="79" t="s">
        <v>385</v>
      </c>
      <c r="AB109" s="79" t="s">
        <v>385</v>
      </c>
      <c r="AC109" s="79" t="s">
        <v>385</v>
      </c>
      <c r="AD109" s="120">
        <f t="shared" si="37"/>
        <v>27</v>
      </c>
      <c r="AE109" s="124">
        <v>27</v>
      </c>
      <c r="AF109" s="79" t="s">
        <v>385</v>
      </c>
      <c r="AG109" s="79" t="s">
        <v>385</v>
      </c>
      <c r="AH109" s="79" t="s">
        <v>385</v>
      </c>
      <c r="AI109" s="120">
        <f t="shared" si="38"/>
        <v>27</v>
      </c>
      <c r="AJ109" s="124">
        <v>27</v>
      </c>
      <c r="AK109" s="79" t="s">
        <v>385</v>
      </c>
      <c r="AL109" s="79" t="s">
        <v>385</v>
      </c>
      <c r="AM109" s="79" t="s">
        <v>385</v>
      </c>
      <c r="AN109" s="128">
        <f t="shared" si="39"/>
        <v>113</v>
      </c>
      <c r="AO109" s="95"/>
    </row>
    <row r="110" spans="1:41" ht="63">
      <c r="A110" s="100" t="s">
        <v>119</v>
      </c>
      <c r="B110" s="98" t="s">
        <v>517</v>
      </c>
      <c r="C110" s="97" t="s">
        <v>104</v>
      </c>
      <c r="D110" s="12" t="s">
        <v>296</v>
      </c>
      <c r="E110" s="120">
        <f t="shared" si="34"/>
        <v>5</v>
      </c>
      <c r="F110" s="124">
        <v>5</v>
      </c>
      <c r="G110" s="28" t="s">
        <v>385</v>
      </c>
      <c r="H110" s="28" t="s">
        <v>385</v>
      </c>
      <c r="I110" s="28" t="s">
        <v>385</v>
      </c>
      <c r="J110" s="120">
        <f t="shared" si="32"/>
        <v>5</v>
      </c>
      <c r="K110" s="124">
        <v>5</v>
      </c>
      <c r="L110" s="79" t="s">
        <v>385</v>
      </c>
      <c r="M110" s="79" t="s">
        <v>385</v>
      </c>
      <c r="N110" s="79" t="s">
        <v>385</v>
      </c>
      <c r="O110" s="78">
        <f t="shared" si="33"/>
        <v>0</v>
      </c>
      <c r="P110" s="79" t="s">
        <v>385</v>
      </c>
      <c r="Q110" s="79" t="s">
        <v>385</v>
      </c>
      <c r="R110" s="79" t="s">
        <v>385</v>
      </c>
      <c r="S110" s="79" t="s">
        <v>385</v>
      </c>
      <c r="T110" s="78">
        <f t="shared" si="35"/>
        <v>0</v>
      </c>
      <c r="U110" s="79" t="s">
        <v>385</v>
      </c>
      <c r="V110" s="79" t="s">
        <v>385</v>
      </c>
      <c r="W110" s="79" t="s">
        <v>385</v>
      </c>
      <c r="X110" s="79" t="s">
        <v>385</v>
      </c>
      <c r="Y110" s="120">
        <f t="shared" si="36"/>
        <v>6</v>
      </c>
      <c r="Z110" s="124">
        <v>6</v>
      </c>
      <c r="AA110" s="79" t="s">
        <v>385</v>
      </c>
      <c r="AB110" s="79" t="s">
        <v>385</v>
      </c>
      <c r="AC110" s="79" t="s">
        <v>385</v>
      </c>
      <c r="AD110" s="120">
        <f t="shared" si="37"/>
        <v>6</v>
      </c>
      <c r="AE110" s="124">
        <v>6</v>
      </c>
      <c r="AF110" s="79" t="s">
        <v>385</v>
      </c>
      <c r="AG110" s="79" t="s">
        <v>385</v>
      </c>
      <c r="AH110" s="79" t="s">
        <v>385</v>
      </c>
      <c r="AI110" s="120">
        <f t="shared" si="38"/>
        <v>6</v>
      </c>
      <c r="AJ110" s="124">
        <v>6</v>
      </c>
      <c r="AK110" s="79" t="s">
        <v>385</v>
      </c>
      <c r="AL110" s="79" t="s">
        <v>385</v>
      </c>
      <c r="AM110" s="79" t="s">
        <v>385</v>
      </c>
      <c r="AN110" s="128">
        <f t="shared" si="39"/>
        <v>28</v>
      </c>
      <c r="AO110" s="95"/>
    </row>
    <row r="111" spans="1:41" ht="47.25">
      <c r="A111" s="100" t="s">
        <v>120</v>
      </c>
      <c r="B111" s="42" t="s">
        <v>95</v>
      </c>
      <c r="C111" s="97" t="s">
        <v>105</v>
      </c>
      <c r="D111" s="12" t="s">
        <v>296</v>
      </c>
      <c r="E111" s="120">
        <f t="shared" si="34"/>
        <v>3</v>
      </c>
      <c r="F111" s="124">
        <v>3</v>
      </c>
      <c r="G111" s="28" t="s">
        <v>385</v>
      </c>
      <c r="H111" s="28" t="s">
        <v>385</v>
      </c>
      <c r="I111" s="28" t="s">
        <v>385</v>
      </c>
      <c r="J111" s="120">
        <f t="shared" si="32"/>
        <v>3</v>
      </c>
      <c r="K111" s="124">
        <v>3</v>
      </c>
      <c r="L111" s="79" t="s">
        <v>385</v>
      </c>
      <c r="M111" s="79" t="s">
        <v>385</v>
      </c>
      <c r="N111" s="79" t="s">
        <v>385</v>
      </c>
      <c r="O111" s="78">
        <f t="shared" si="33"/>
        <v>0</v>
      </c>
      <c r="P111" s="79" t="s">
        <v>385</v>
      </c>
      <c r="Q111" s="79" t="s">
        <v>385</v>
      </c>
      <c r="R111" s="79" t="s">
        <v>385</v>
      </c>
      <c r="S111" s="79" t="s">
        <v>385</v>
      </c>
      <c r="T111" s="78">
        <f t="shared" si="35"/>
        <v>0</v>
      </c>
      <c r="U111" s="79" t="s">
        <v>385</v>
      </c>
      <c r="V111" s="79" t="s">
        <v>385</v>
      </c>
      <c r="W111" s="79" t="s">
        <v>385</v>
      </c>
      <c r="X111" s="79" t="s">
        <v>385</v>
      </c>
      <c r="Y111" s="120">
        <f t="shared" si="36"/>
        <v>4</v>
      </c>
      <c r="Z111" s="124">
        <v>4</v>
      </c>
      <c r="AA111" s="79" t="s">
        <v>385</v>
      </c>
      <c r="AB111" s="79" t="s">
        <v>385</v>
      </c>
      <c r="AC111" s="79" t="s">
        <v>385</v>
      </c>
      <c r="AD111" s="120">
        <f t="shared" si="37"/>
        <v>4</v>
      </c>
      <c r="AE111" s="124">
        <v>4</v>
      </c>
      <c r="AF111" s="79" t="s">
        <v>385</v>
      </c>
      <c r="AG111" s="79" t="s">
        <v>385</v>
      </c>
      <c r="AH111" s="79" t="s">
        <v>385</v>
      </c>
      <c r="AI111" s="120">
        <f t="shared" si="38"/>
        <v>4</v>
      </c>
      <c r="AJ111" s="124">
        <v>4</v>
      </c>
      <c r="AK111" s="79" t="s">
        <v>385</v>
      </c>
      <c r="AL111" s="79" t="s">
        <v>385</v>
      </c>
      <c r="AM111" s="79" t="s">
        <v>385</v>
      </c>
      <c r="AN111" s="128">
        <f t="shared" si="39"/>
        <v>18</v>
      </c>
      <c r="AO111" s="95"/>
    </row>
    <row r="112" spans="1:41" ht="63">
      <c r="A112" s="100" t="s">
        <v>208</v>
      </c>
      <c r="B112" s="42" t="s">
        <v>96</v>
      </c>
      <c r="C112" s="101" t="s">
        <v>244</v>
      </c>
      <c r="D112" s="12" t="s">
        <v>296</v>
      </c>
      <c r="E112" s="78">
        <f>SUMIF(F112:I112,"&gt;0")</f>
        <v>0</v>
      </c>
      <c r="F112" s="28" t="s">
        <v>385</v>
      </c>
      <c r="G112" s="28" t="s">
        <v>385</v>
      </c>
      <c r="H112" s="28" t="s">
        <v>385</v>
      </c>
      <c r="I112" s="28" t="s">
        <v>385</v>
      </c>
      <c r="J112" s="78">
        <f t="shared" si="32"/>
        <v>0</v>
      </c>
      <c r="K112" s="12" t="s">
        <v>385</v>
      </c>
      <c r="L112" s="79" t="s">
        <v>385</v>
      </c>
      <c r="M112" s="79" t="s">
        <v>385</v>
      </c>
      <c r="N112" s="79" t="s">
        <v>385</v>
      </c>
      <c r="O112" s="78">
        <f t="shared" si="33"/>
        <v>0</v>
      </c>
      <c r="P112" s="79" t="s">
        <v>385</v>
      </c>
      <c r="Q112" s="79" t="s">
        <v>385</v>
      </c>
      <c r="R112" s="79" t="s">
        <v>385</v>
      </c>
      <c r="S112" s="79" t="s">
        <v>385</v>
      </c>
      <c r="T112" s="78">
        <f t="shared" si="35"/>
        <v>0</v>
      </c>
      <c r="U112" s="79" t="s">
        <v>385</v>
      </c>
      <c r="V112" s="79" t="s">
        <v>385</v>
      </c>
      <c r="W112" s="79" t="s">
        <v>385</v>
      </c>
      <c r="X112" s="79" t="s">
        <v>385</v>
      </c>
      <c r="Y112" s="120">
        <f t="shared" si="36"/>
        <v>25</v>
      </c>
      <c r="Z112" s="124">
        <v>25</v>
      </c>
      <c r="AA112" s="79" t="s">
        <v>385</v>
      </c>
      <c r="AB112" s="79" t="s">
        <v>385</v>
      </c>
      <c r="AC112" s="79" t="s">
        <v>385</v>
      </c>
      <c r="AD112" s="120">
        <f t="shared" si="37"/>
        <v>26</v>
      </c>
      <c r="AE112" s="124">
        <v>26</v>
      </c>
      <c r="AF112" s="79" t="s">
        <v>385</v>
      </c>
      <c r="AG112" s="79" t="s">
        <v>385</v>
      </c>
      <c r="AH112" s="79" t="s">
        <v>385</v>
      </c>
      <c r="AI112" s="120">
        <f t="shared" si="38"/>
        <v>27</v>
      </c>
      <c r="AJ112" s="124">
        <v>27</v>
      </c>
      <c r="AK112" s="79" t="s">
        <v>385</v>
      </c>
      <c r="AL112" s="79" t="s">
        <v>385</v>
      </c>
      <c r="AM112" s="79" t="s">
        <v>385</v>
      </c>
      <c r="AN112" s="128">
        <f t="shared" si="39"/>
        <v>78</v>
      </c>
      <c r="AO112" s="95"/>
    </row>
    <row r="113" spans="1:41" ht="47.25">
      <c r="A113" s="100" t="s">
        <v>213</v>
      </c>
      <c r="B113" s="98" t="s">
        <v>97</v>
      </c>
      <c r="C113" s="97" t="s">
        <v>103</v>
      </c>
      <c r="D113" s="12" t="s">
        <v>296</v>
      </c>
      <c r="E113" s="120">
        <f t="shared" si="34"/>
        <v>46</v>
      </c>
      <c r="F113" s="124">
        <v>46</v>
      </c>
      <c r="G113" s="28" t="s">
        <v>385</v>
      </c>
      <c r="H113" s="28" t="s">
        <v>385</v>
      </c>
      <c r="I113" s="28" t="s">
        <v>385</v>
      </c>
      <c r="J113" s="120">
        <f t="shared" si="32"/>
        <v>62</v>
      </c>
      <c r="K113" s="124">
        <v>62</v>
      </c>
      <c r="L113" s="79" t="s">
        <v>385</v>
      </c>
      <c r="M113" s="79" t="s">
        <v>385</v>
      </c>
      <c r="N113" s="79" t="s">
        <v>385</v>
      </c>
      <c r="O113" s="78">
        <f t="shared" si="33"/>
        <v>0</v>
      </c>
      <c r="P113" s="79" t="s">
        <v>385</v>
      </c>
      <c r="Q113" s="79" t="s">
        <v>385</v>
      </c>
      <c r="R113" s="79" t="s">
        <v>385</v>
      </c>
      <c r="S113" s="79" t="s">
        <v>385</v>
      </c>
      <c r="T113" s="78">
        <f t="shared" si="35"/>
        <v>0</v>
      </c>
      <c r="U113" s="79" t="s">
        <v>385</v>
      </c>
      <c r="V113" s="79" t="s">
        <v>385</v>
      </c>
      <c r="W113" s="79" t="s">
        <v>385</v>
      </c>
      <c r="X113" s="79" t="s">
        <v>385</v>
      </c>
      <c r="Y113" s="120">
        <f t="shared" si="36"/>
        <v>66</v>
      </c>
      <c r="Z113" s="124">
        <v>66</v>
      </c>
      <c r="AA113" s="79" t="s">
        <v>385</v>
      </c>
      <c r="AB113" s="79" t="s">
        <v>385</v>
      </c>
      <c r="AC113" s="79" t="s">
        <v>385</v>
      </c>
      <c r="AD113" s="120">
        <f t="shared" si="37"/>
        <v>66</v>
      </c>
      <c r="AE113" s="124">
        <v>66</v>
      </c>
      <c r="AF113" s="79" t="s">
        <v>385</v>
      </c>
      <c r="AG113" s="79" t="s">
        <v>385</v>
      </c>
      <c r="AH113" s="79" t="s">
        <v>385</v>
      </c>
      <c r="AI113" s="120">
        <f t="shared" si="38"/>
        <v>66</v>
      </c>
      <c r="AJ113" s="124">
        <v>66</v>
      </c>
      <c r="AK113" s="79" t="s">
        <v>385</v>
      </c>
      <c r="AL113" s="79" t="s">
        <v>385</v>
      </c>
      <c r="AM113" s="79" t="s">
        <v>385</v>
      </c>
      <c r="AN113" s="128">
        <f t="shared" si="39"/>
        <v>306</v>
      </c>
      <c r="AO113" s="95"/>
    </row>
    <row r="114" spans="1:41" ht="63">
      <c r="A114" s="100" t="s">
        <v>357</v>
      </c>
      <c r="B114" s="98" t="s">
        <v>98</v>
      </c>
      <c r="C114" s="97" t="s">
        <v>100</v>
      </c>
      <c r="D114" s="12" t="s">
        <v>296</v>
      </c>
      <c r="E114" s="120">
        <f t="shared" si="34"/>
        <v>10</v>
      </c>
      <c r="F114" s="124">
        <v>10</v>
      </c>
      <c r="G114" s="28" t="s">
        <v>385</v>
      </c>
      <c r="H114" s="28" t="s">
        <v>385</v>
      </c>
      <c r="I114" s="28" t="s">
        <v>385</v>
      </c>
      <c r="J114" s="120">
        <f t="shared" si="32"/>
        <v>10</v>
      </c>
      <c r="K114" s="124">
        <v>10</v>
      </c>
      <c r="L114" s="79" t="s">
        <v>385</v>
      </c>
      <c r="M114" s="79" t="s">
        <v>385</v>
      </c>
      <c r="N114" s="79" t="s">
        <v>385</v>
      </c>
      <c r="O114" s="78">
        <f t="shared" si="33"/>
        <v>0</v>
      </c>
      <c r="P114" s="79" t="s">
        <v>385</v>
      </c>
      <c r="Q114" s="79" t="s">
        <v>385</v>
      </c>
      <c r="R114" s="79" t="s">
        <v>385</v>
      </c>
      <c r="S114" s="79" t="s">
        <v>385</v>
      </c>
      <c r="T114" s="78">
        <f t="shared" si="35"/>
        <v>0</v>
      </c>
      <c r="U114" s="79" t="s">
        <v>385</v>
      </c>
      <c r="V114" s="79" t="s">
        <v>385</v>
      </c>
      <c r="W114" s="79" t="s">
        <v>385</v>
      </c>
      <c r="X114" s="79" t="s">
        <v>385</v>
      </c>
      <c r="Y114" s="120">
        <f t="shared" si="36"/>
        <v>15</v>
      </c>
      <c r="Z114" s="124">
        <v>15</v>
      </c>
      <c r="AA114" s="79" t="s">
        <v>385</v>
      </c>
      <c r="AB114" s="79" t="s">
        <v>385</v>
      </c>
      <c r="AC114" s="79" t="s">
        <v>385</v>
      </c>
      <c r="AD114" s="120">
        <f t="shared" si="37"/>
        <v>15</v>
      </c>
      <c r="AE114" s="124">
        <v>15</v>
      </c>
      <c r="AF114" s="79" t="s">
        <v>385</v>
      </c>
      <c r="AG114" s="79" t="s">
        <v>385</v>
      </c>
      <c r="AH114" s="79" t="s">
        <v>385</v>
      </c>
      <c r="AI114" s="120">
        <f t="shared" si="38"/>
        <v>15</v>
      </c>
      <c r="AJ114" s="124">
        <v>15</v>
      </c>
      <c r="AK114" s="79" t="s">
        <v>385</v>
      </c>
      <c r="AL114" s="79" t="s">
        <v>385</v>
      </c>
      <c r="AM114" s="79" t="s">
        <v>385</v>
      </c>
      <c r="AN114" s="128">
        <f t="shared" si="39"/>
        <v>65</v>
      </c>
      <c r="AO114" s="95"/>
    </row>
    <row r="115" spans="1:41" ht="47.25">
      <c r="A115" s="100" t="s">
        <v>220</v>
      </c>
      <c r="B115" s="98" t="s">
        <v>99</v>
      </c>
      <c r="C115" s="97" t="s">
        <v>373</v>
      </c>
      <c r="D115" s="12" t="s">
        <v>296</v>
      </c>
      <c r="E115" s="78">
        <f>SUMIF(F115:I115,"&gt;0")</f>
        <v>0</v>
      </c>
      <c r="F115" s="28" t="s">
        <v>385</v>
      </c>
      <c r="G115" s="28" t="s">
        <v>385</v>
      </c>
      <c r="H115" s="28" t="s">
        <v>385</v>
      </c>
      <c r="I115" s="28" t="s">
        <v>385</v>
      </c>
      <c r="J115" s="78">
        <f t="shared" si="32"/>
        <v>0</v>
      </c>
      <c r="K115" s="12" t="s">
        <v>385</v>
      </c>
      <c r="L115" s="79" t="s">
        <v>385</v>
      </c>
      <c r="M115" s="79" t="s">
        <v>385</v>
      </c>
      <c r="N115" s="79" t="s">
        <v>385</v>
      </c>
      <c r="O115" s="78">
        <f t="shared" si="33"/>
        <v>0</v>
      </c>
      <c r="P115" s="79" t="s">
        <v>385</v>
      </c>
      <c r="Q115" s="79" t="s">
        <v>385</v>
      </c>
      <c r="R115" s="79" t="s">
        <v>385</v>
      </c>
      <c r="S115" s="79" t="s">
        <v>385</v>
      </c>
      <c r="T115" s="78">
        <f t="shared" si="35"/>
        <v>0</v>
      </c>
      <c r="U115" s="79" t="s">
        <v>385</v>
      </c>
      <c r="V115" s="79" t="s">
        <v>385</v>
      </c>
      <c r="W115" s="79" t="s">
        <v>385</v>
      </c>
      <c r="X115" s="79" t="s">
        <v>385</v>
      </c>
      <c r="Y115" s="120">
        <f t="shared" si="36"/>
        <v>8</v>
      </c>
      <c r="Z115" s="124">
        <v>8</v>
      </c>
      <c r="AA115" s="79" t="s">
        <v>385</v>
      </c>
      <c r="AB115" s="79" t="s">
        <v>385</v>
      </c>
      <c r="AC115" s="79" t="s">
        <v>385</v>
      </c>
      <c r="AD115" s="120">
        <f t="shared" si="37"/>
        <v>8</v>
      </c>
      <c r="AE115" s="124">
        <v>8</v>
      </c>
      <c r="AF115" s="79" t="s">
        <v>385</v>
      </c>
      <c r="AG115" s="79" t="s">
        <v>385</v>
      </c>
      <c r="AH115" s="79" t="s">
        <v>385</v>
      </c>
      <c r="AI115" s="120">
        <f t="shared" si="38"/>
        <v>8</v>
      </c>
      <c r="AJ115" s="124">
        <v>8</v>
      </c>
      <c r="AK115" s="79" t="s">
        <v>385</v>
      </c>
      <c r="AL115" s="79" t="s">
        <v>385</v>
      </c>
      <c r="AM115" s="79" t="s">
        <v>385</v>
      </c>
      <c r="AN115" s="128">
        <f t="shared" si="39"/>
        <v>24</v>
      </c>
      <c r="AO115" s="95"/>
    </row>
    <row r="116" spans="1:41" ht="47.25">
      <c r="A116" s="100" t="s">
        <v>222</v>
      </c>
      <c r="B116" s="103" t="s">
        <v>314</v>
      </c>
      <c r="C116" s="97" t="s">
        <v>335</v>
      </c>
      <c r="D116" s="12" t="s">
        <v>313</v>
      </c>
      <c r="E116" s="120">
        <f t="shared" si="34"/>
        <v>3</v>
      </c>
      <c r="F116" s="126">
        <v>3</v>
      </c>
      <c r="G116" s="28" t="s">
        <v>385</v>
      </c>
      <c r="H116" s="28" t="s">
        <v>385</v>
      </c>
      <c r="I116" s="28" t="s">
        <v>385</v>
      </c>
      <c r="J116" s="120">
        <f t="shared" si="32"/>
        <v>3</v>
      </c>
      <c r="K116" s="124">
        <v>3</v>
      </c>
      <c r="L116" s="79" t="s">
        <v>385</v>
      </c>
      <c r="M116" s="79" t="s">
        <v>385</v>
      </c>
      <c r="N116" s="79" t="s">
        <v>385</v>
      </c>
      <c r="O116" s="78">
        <f t="shared" si="33"/>
        <v>0</v>
      </c>
      <c r="P116" s="79" t="s">
        <v>385</v>
      </c>
      <c r="Q116" s="79" t="s">
        <v>385</v>
      </c>
      <c r="R116" s="79" t="s">
        <v>385</v>
      </c>
      <c r="S116" s="79" t="s">
        <v>385</v>
      </c>
      <c r="T116" s="78">
        <f t="shared" si="35"/>
        <v>0</v>
      </c>
      <c r="U116" s="79" t="s">
        <v>385</v>
      </c>
      <c r="V116" s="79" t="s">
        <v>385</v>
      </c>
      <c r="W116" s="79" t="s">
        <v>385</v>
      </c>
      <c r="X116" s="79" t="s">
        <v>385</v>
      </c>
      <c r="Y116" s="120">
        <f t="shared" si="36"/>
        <v>15</v>
      </c>
      <c r="Z116" s="126">
        <v>15</v>
      </c>
      <c r="AA116" s="79" t="s">
        <v>385</v>
      </c>
      <c r="AB116" s="79" t="s">
        <v>385</v>
      </c>
      <c r="AC116" s="79" t="s">
        <v>385</v>
      </c>
      <c r="AD116" s="120">
        <f t="shared" si="37"/>
        <v>15</v>
      </c>
      <c r="AE116" s="126">
        <v>15</v>
      </c>
      <c r="AF116" s="79" t="s">
        <v>385</v>
      </c>
      <c r="AG116" s="79" t="s">
        <v>385</v>
      </c>
      <c r="AH116" s="79" t="s">
        <v>385</v>
      </c>
      <c r="AI116" s="120">
        <f t="shared" si="38"/>
        <v>15</v>
      </c>
      <c r="AJ116" s="126">
        <v>15</v>
      </c>
      <c r="AK116" s="79" t="s">
        <v>385</v>
      </c>
      <c r="AL116" s="79" t="s">
        <v>385</v>
      </c>
      <c r="AM116" s="79" t="s">
        <v>385</v>
      </c>
      <c r="AN116" s="128">
        <f t="shared" si="39"/>
        <v>51</v>
      </c>
      <c r="AO116" s="95"/>
    </row>
    <row r="117" spans="1:41" ht="49.5" customHeight="1">
      <c r="A117" s="100" t="s">
        <v>250</v>
      </c>
      <c r="B117" s="103" t="s">
        <v>334</v>
      </c>
      <c r="C117" s="97" t="s">
        <v>336</v>
      </c>
      <c r="D117" s="12" t="s">
        <v>313</v>
      </c>
      <c r="E117" s="120">
        <f t="shared" si="34"/>
        <v>3</v>
      </c>
      <c r="F117" s="126">
        <v>3</v>
      </c>
      <c r="G117" s="28" t="s">
        <v>385</v>
      </c>
      <c r="H117" s="28" t="s">
        <v>385</v>
      </c>
      <c r="I117" s="28" t="s">
        <v>385</v>
      </c>
      <c r="J117" s="120">
        <f t="shared" si="32"/>
        <v>3</v>
      </c>
      <c r="K117" s="124">
        <v>3</v>
      </c>
      <c r="L117" s="79" t="s">
        <v>385</v>
      </c>
      <c r="M117" s="79" t="s">
        <v>385</v>
      </c>
      <c r="N117" s="79" t="s">
        <v>385</v>
      </c>
      <c r="O117" s="78">
        <f t="shared" si="33"/>
        <v>0</v>
      </c>
      <c r="P117" s="79" t="s">
        <v>385</v>
      </c>
      <c r="Q117" s="79" t="s">
        <v>385</v>
      </c>
      <c r="R117" s="79" t="s">
        <v>385</v>
      </c>
      <c r="S117" s="79" t="s">
        <v>385</v>
      </c>
      <c r="T117" s="78">
        <f t="shared" si="35"/>
        <v>0</v>
      </c>
      <c r="U117" s="79" t="s">
        <v>385</v>
      </c>
      <c r="V117" s="79" t="s">
        <v>385</v>
      </c>
      <c r="W117" s="79" t="s">
        <v>385</v>
      </c>
      <c r="X117" s="79" t="s">
        <v>385</v>
      </c>
      <c r="Y117" s="120">
        <f t="shared" si="36"/>
        <v>15</v>
      </c>
      <c r="Z117" s="126">
        <v>15</v>
      </c>
      <c r="AA117" s="79" t="s">
        <v>385</v>
      </c>
      <c r="AB117" s="79" t="s">
        <v>385</v>
      </c>
      <c r="AC117" s="79" t="s">
        <v>385</v>
      </c>
      <c r="AD117" s="120">
        <f t="shared" si="37"/>
        <v>15</v>
      </c>
      <c r="AE117" s="126">
        <v>15</v>
      </c>
      <c r="AF117" s="79" t="s">
        <v>385</v>
      </c>
      <c r="AG117" s="79" t="s">
        <v>385</v>
      </c>
      <c r="AH117" s="79" t="s">
        <v>385</v>
      </c>
      <c r="AI117" s="120">
        <f t="shared" si="38"/>
        <v>15</v>
      </c>
      <c r="AJ117" s="126">
        <v>15</v>
      </c>
      <c r="AK117" s="79" t="s">
        <v>385</v>
      </c>
      <c r="AL117" s="79" t="s">
        <v>385</v>
      </c>
      <c r="AM117" s="79" t="s">
        <v>385</v>
      </c>
      <c r="AN117" s="128">
        <f t="shared" si="39"/>
        <v>51</v>
      </c>
      <c r="AO117" s="95"/>
    </row>
    <row r="118" spans="1:41" ht="47.25">
      <c r="A118" s="100" t="s">
        <v>358</v>
      </c>
      <c r="B118" s="103" t="s">
        <v>311</v>
      </c>
      <c r="C118" s="97" t="s">
        <v>312</v>
      </c>
      <c r="D118" s="104" t="s">
        <v>313</v>
      </c>
      <c r="E118" s="120">
        <f t="shared" si="34"/>
        <v>10</v>
      </c>
      <c r="F118" s="124">
        <v>10</v>
      </c>
      <c r="G118" s="28" t="s">
        <v>385</v>
      </c>
      <c r="H118" s="28" t="s">
        <v>385</v>
      </c>
      <c r="I118" s="28" t="s">
        <v>385</v>
      </c>
      <c r="J118" s="120">
        <f t="shared" si="32"/>
        <v>10</v>
      </c>
      <c r="K118" s="124">
        <v>10</v>
      </c>
      <c r="L118" s="79" t="s">
        <v>385</v>
      </c>
      <c r="M118" s="79" t="s">
        <v>385</v>
      </c>
      <c r="N118" s="79" t="s">
        <v>385</v>
      </c>
      <c r="O118" s="78">
        <f t="shared" si="33"/>
        <v>0</v>
      </c>
      <c r="P118" s="79" t="s">
        <v>385</v>
      </c>
      <c r="Q118" s="79" t="s">
        <v>385</v>
      </c>
      <c r="R118" s="79" t="s">
        <v>385</v>
      </c>
      <c r="S118" s="79" t="s">
        <v>385</v>
      </c>
      <c r="T118" s="78">
        <f t="shared" si="35"/>
        <v>0</v>
      </c>
      <c r="U118" s="79" t="s">
        <v>385</v>
      </c>
      <c r="V118" s="79" t="s">
        <v>385</v>
      </c>
      <c r="W118" s="79" t="s">
        <v>385</v>
      </c>
      <c r="X118" s="79" t="s">
        <v>385</v>
      </c>
      <c r="Y118" s="120">
        <f t="shared" si="36"/>
        <v>50</v>
      </c>
      <c r="Z118" s="124">
        <v>50</v>
      </c>
      <c r="AA118" s="79" t="s">
        <v>385</v>
      </c>
      <c r="AB118" s="79" t="s">
        <v>385</v>
      </c>
      <c r="AC118" s="79" t="s">
        <v>385</v>
      </c>
      <c r="AD118" s="120">
        <f t="shared" si="37"/>
        <v>50</v>
      </c>
      <c r="AE118" s="124">
        <v>50</v>
      </c>
      <c r="AF118" s="79" t="s">
        <v>385</v>
      </c>
      <c r="AG118" s="79" t="s">
        <v>385</v>
      </c>
      <c r="AH118" s="79" t="s">
        <v>385</v>
      </c>
      <c r="AI118" s="120">
        <f t="shared" si="38"/>
        <v>50</v>
      </c>
      <c r="AJ118" s="124">
        <v>50</v>
      </c>
      <c r="AK118" s="79" t="s">
        <v>385</v>
      </c>
      <c r="AL118" s="79" t="s">
        <v>385</v>
      </c>
      <c r="AM118" s="79" t="s">
        <v>385</v>
      </c>
      <c r="AN118" s="128">
        <f t="shared" si="39"/>
        <v>170</v>
      </c>
      <c r="AO118" s="95"/>
    </row>
    <row r="119" spans="1:41" ht="47.25">
      <c r="A119" s="100" t="s">
        <v>305</v>
      </c>
      <c r="B119" s="98" t="s">
        <v>333</v>
      </c>
      <c r="C119" s="97" t="s">
        <v>238</v>
      </c>
      <c r="D119" s="12" t="s">
        <v>296</v>
      </c>
      <c r="E119" s="120">
        <f t="shared" si="34"/>
        <v>5</v>
      </c>
      <c r="F119" s="126">
        <v>5</v>
      </c>
      <c r="G119" s="28" t="s">
        <v>385</v>
      </c>
      <c r="H119" s="28" t="s">
        <v>385</v>
      </c>
      <c r="I119" s="28" t="s">
        <v>385</v>
      </c>
      <c r="J119" s="120">
        <f t="shared" si="32"/>
        <v>5</v>
      </c>
      <c r="K119" s="124">
        <v>5</v>
      </c>
      <c r="L119" s="79" t="s">
        <v>385</v>
      </c>
      <c r="M119" s="79" t="s">
        <v>385</v>
      </c>
      <c r="N119" s="79" t="s">
        <v>385</v>
      </c>
      <c r="O119" s="78">
        <f t="shared" si="33"/>
        <v>0</v>
      </c>
      <c r="P119" s="79" t="s">
        <v>385</v>
      </c>
      <c r="Q119" s="79" t="s">
        <v>385</v>
      </c>
      <c r="R119" s="79" t="s">
        <v>385</v>
      </c>
      <c r="S119" s="79" t="s">
        <v>385</v>
      </c>
      <c r="T119" s="78">
        <f t="shared" si="35"/>
        <v>0</v>
      </c>
      <c r="U119" s="79" t="s">
        <v>385</v>
      </c>
      <c r="V119" s="79" t="s">
        <v>385</v>
      </c>
      <c r="W119" s="79" t="s">
        <v>385</v>
      </c>
      <c r="X119" s="79" t="s">
        <v>385</v>
      </c>
      <c r="Y119" s="120">
        <f t="shared" si="36"/>
        <v>28</v>
      </c>
      <c r="Z119" s="126">
        <v>28</v>
      </c>
      <c r="AA119" s="79" t="s">
        <v>385</v>
      </c>
      <c r="AB119" s="79" t="s">
        <v>385</v>
      </c>
      <c r="AC119" s="79" t="s">
        <v>385</v>
      </c>
      <c r="AD119" s="120">
        <f t="shared" si="37"/>
        <v>28</v>
      </c>
      <c r="AE119" s="126">
        <v>28</v>
      </c>
      <c r="AF119" s="79" t="s">
        <v>385</v>
      </c>
      <c r="AG119" s="79" t="s">
        <v>385</v>
      </c>
      <c r="AH119" s="79" t="s">
        <v>385</v>
      </c>
      <c r="AI119" s="120">
        <f t="shared" si="38"/>
        <v>28</v>
      </c>
      <c r="AJ119" s="126">
        <v>28</v>
      </c>
      <c r="AK119" s="79" t="s">
        <v>385</v>
      </c>
      <c r="AL119" s="79" t="s">
        <v>385</v>
      </c>
      <c r="AM119" s="79" t="s">
        <v>385</v>
      </c>
      <c r="AN119" s="128">
        <f t="shared" si="39"/>
        <v>94</v>
      </c>
      <c r="AO119" s="95"/>
    </row>
    <row r="120" spans="1:41" ht="47.25">
      <c r="A120" s="100" t="s">
        <v>306</v>
      </c>
      <c r="B120" s="98" t="s">
        <v>243</v>
      </c>
      <c r="C120" s="97" t="s">
        <v>106</v>
      </c>
      <c r="D120" s="12" t="s">
        <v>296</v>
      </c>
      <c r="E120" s="120">
        <f t="shared" si="34"/>
        <v>5</v>
      </c>
      <c r="F120" s="126">
        <v>5</v>
      </c>
      <c r="G120" s="28" t="s">
        <v>385</v>
      </c>
      <c r="H120" s="28" t="s">
        <v>385</v>
      </c>
      <c r="I120" s="28" t="s">
        <v>385</v>
      </c>
      <c r="J120" s="120">
        <f t="shared" si="32"/>
        <v>5</v>
      </c>
      <c r="K120" s="124">
        <v>5</v>
      </c>
      <c r="L120" s="79" t="s">
        <v>385</v>
      </c>
      <c r="M120" s="79" t="s">
        <v>385</v>
      </c>
      <c r="N120" s="79" t="s">
        <v>385</v>
      </c>
      <c r="O120" s="78">
        <f t="shared" si="33"/>
        <v>0</v>
      </c>
      <c r="P120" s="79" t="s">
        <v>385</v>
      </c>
      <c r="Q120" s="79" t="s">
        <v>385</v>
      </c>
      <c r="R120" s="79" t="s">
        <v>385</v>
      </c>
      <c r="S120" s="79" t="s">
        <v>385</v>
      </c>
      <c r="T120" s="78">
        <f t="shared" si="35"/>
        <v>0</v>
      </c>
      <c r="U120" s="79" t="s">
        <v>385</v>
      </c>
      <c r="V120" s="79" t="s">
        <v>385</v>
      </c>
      <c r="W120" s="79" t="s">
        <v>385</v>
      </c>
      <c r="X120" s="79" t="s">
        <v>385</v>
      </c>
      <c r="Y120" s="120">
        <f t="shared" si="36"/>
        <v>20</v>
      </c>
      <c r="Z120" s="126">
        <v>20</v>
      </c>
      <c r="AA120" s="79" t="s">
        <v>385</v>
      </c>
      <c r="AB120" s="79" t="s">
        <v>385</v>
      </c>
      <c r="AC120" s="79" t="s">
        <v>385</v>
      </c>
      <c r="AD120" s="120">
        <f t="shared" si="37"/>
        <v>20</v>
      </c>
      <c r="AE120" s="126">
        <v>20</v>
      </c>
      <c r="AF120" s="79" t="s">
        <v>385</v>
      </c>
      <c r="AG120" s="79" t="s">
        <v>385</v>
      </c>
      <c r="AH120" s="79" t="s">
        <v>385</v>
      </c>
      <c r="AI120" s="120">
        <f t="shared" si="38"/>
        <v>20</v>
      </c>
      <c r="AJ120" s="126">
        <v>20</v>
      </c>
      <c r="AK120" s="79" t="s">
        <v>385</v>
      </c>
      <c r="AL120" s="79" t="s">
        <v>385</v>
      </c>
      <c r="AM120" s="79" t="s">
        <v>385</v>
      </c>
      <c r="AN120" s="128">
        <f t="shared" si="39"/>
        <v>70</v>
      </c>
      <c r="AO120" s="95"/>
    </row>
    <row r="121" spans="1:41" ht="47.25">
      <c r="A121" s="100" t="s">
        <v>307</v>
      </c>
      <c r="B121" s="98" t="s">
        <v>209</v>
      </c>
      <c r="C121" s="97" t="s">
        <v>210</v>
      </c>
      <c r="D121" s="12" t="s">
        <v>296</v>
      </c>
      <c r="E121" s="120">
        <f t="shared" si="34"/>
        <v>3</v>
      </c>
      <c r="F121" s="126">
        <v>3</v>
      </c>
      <c r="G121" s="28" t="s">
        <v>385</v>
      </c>
      <c r="H121" s="28" t="s">
        <v>385</v>
      </c>
      <c r="I121" s="28" t="s">
        <v>385</v>
      </c>
      <c r="J121" s="120">
        <f t="shared" si="32"/>
        <v>3</v>
      </c>
      <c r="K121" s="124">
        <v>3</v>
      </c>
      <c r="L121" s="79" t="s">
        <v>385</v>
      </c>
      <c r="M121" s="79" t="s">
        <v>385</v>
      </c>
      <c r="N121" s="79" t="s">
        <v>385</v>
      </c>
      <c r="O121" s="78">
        <f t="shared" si="33"/>
        <v>0</v>
      </c>
      <c r="P121" s="79" t="s">
        <v>385</v>
      </c>
      <c r="Q121" s="79" t="s">
        <v>385</v>
      </c>
      <c r="R121" s="79" t="s">
        <v>385</v>
      </c>
      <c r="S121" s="79" t="s">
        <v>385</v>
      </c>
      <c r="T121" s="78">
        <f t="shared" si="35"/>
        <v>0</v>
      </c>
      <c r="U121" s="79" t="s">
        <v>385</v>
      </c>
      <c r="V121" s="79" t="s">
        <v>385</v>
      </c>
      <c r="W121" s="79" t="s">
        <v>385</v>
      </c>
      <c r="X121" s="79" t="s">
        <v>385</v>
      </c>
      <c r="Y121" s="120">
        <f t="shared" si="36"/>
        <v>16</v>
      </c>
      <c r="Z121" s="126">
        <v>16</v>
      </c>
      <c r="AA121" s="79" t="s">
        <v>385</v>
      </c>
      <c r="AB121" s="79" t="s">
        <v>385</v>
      </c>
      <c r="AC121" s="79" t="s">
        <v>385</v>
      </c>
      <c r="AD121" s="120">
        <f t="shared" si="37"/>
        <v>16</v>
      </c>
      <c r="AE121" s="126">
        <v>16</v>
      </c>
      <c r="AF121" s="79" t="s">
        <v>385</v>
      </c>
      <c r="AG121" s="79" t="s">
        <v>385</v>
      </c>
      <c r="AH121" s="79" t="s">
        <v>385</v>
      </c>
      <c r="AI121" s="120">
        <f t="shared" si="38"/>
        <v>16</v>
      </c>
      <c r="AJ121" s="126">
        <v>16</v>
      </c>
      <c r="AK121" s="79" t="s">
        <v>385</v>
      </c>
      <c r="AL121" s="79" t="s">
        <v>385</v>
      </c>
      <c r="AM121" s="79" t="s">
        <v>385</v>
      </c>
      <c r="AN121" s="128">
        <f t="shared" si="39"/>
        <v>54</v>
      </c>
      <c r="AO121" s="95"/>
    </row>
    <row r="122" spans="1:44" s="24" customFormat="1" ht="47.25">
      <c r="A122" s="100" t="s">
        <v>359</v>
      </c>
      <c r="B122" s="42" t="s">
        <v>218</v>
      </c>
      <c r="C122" s="97" t="s">
        <v>453</v>
      </c>
      <c r="D122" s="12" t="s">
        <v>296</v>
      </c>
      <c r="E122" s="120">
        <f t="shared" si="34"/>
        <v>7</v>
      </c>
      <c r="F122" s="126">
        <v>7</v>
      </c>
      <c r="G122" s="28" t="s">
        <v>385</v>
      </c>
      <c r="H122" s="28" t="s">
        <v>385</v>
      </c>
      <c r="I122" s="28" t="s">
        <v>385</v>
      </c>
      <c r="J122" s="120">
        <f t="shared" si="32"/>
        <v>7</v>
      </c>
      <c r="K122" s="124">
        <v>7</v>
      </c>
      <c r="L122" s="79" t="s">
        <v>385</v>
      </c>
      <c r="M122" s="79" t="s">
        <v>385</v>
      </c>
      <c r="N122" s="79" t="s">
        <v>385</v>
      </c>
      <c r="O122" s="78">
        <f t="shared" si="33"/>
        <v>0</v>
      </c>
      <c r="P122" s="79" t="s">
        <v>385</v>
      </c>
      <c r="Q122" s="79" t="s">
        <v>385</v>
      </c>
      <c r="R122" s="79" t="s">
        <v>385</v>
      </c>
      <c r="S122" s="79" t="s">
        <v>385</v>
      </c>
      <c r="T122" s="78">
        <f t="shared" si="35"/>
        <v>0</v>
      </c>
      <c r="U122" s="79" t="s">
        <v>385</v>
      </c>
      <c r="V122" s="79" t="s">
        <v>385</v>
      </c>
      <c r="W122" s="79" t="s">
        <v>385</v>
      </c>
      <c r="X122" s="79" t="s">
        <v>385</v>
      </c>
      <c r="Y122" s="120">
        <f t="shared" si="36"/>
        <v>18</v>
      </c>
      <c r="Z122" s="126">
        <v>18</v>
      </c>
      <c r="AA122" s="79" t="s">
        <v>385</v>
      </c>
      <c r="AB122" s="79" t="s">
        <v>385</v>
      </c>
      <c r="AC122" s="79" t="s">
        <v>385</v>
      </c>
      <c r="AD122" s="120">
        <f t="shared" si="37"/>
        <v>18</v>
      </c>
      <c r="AE122" s="126">
        <v>18</v>
      </c>
      <c r="AF122" s="79" t="s">
        <v>385</v>
      </c>
      <c r="AG122" s="79" t="s">
        <v>385</v>
      </c>
      <c r="AH122" s="79" t="s">
        <v>385</v>
      </c>
      <c r="AI122" s="120">
        <f t="shared" si="38"/>
        <v>18</v>
      </c>
      <c r="AJ122" s="126">
        <v>18</v>
      </c>
      <c r="AK122" s="79" t="s">
        <v>385</v>
      </c>
      <c r="AL122" s="79" t="s">
        <v>385</v>
      </c>
      <c r="AM122" s="79" t="s">
        <v>385</v>
      </c>
      <c r="AN122" s="128">
        <f t="shared" si="39"/>
        <v>68</v>
      </c>
      <c r="AO122" s="95"/>
      <c r="AQ122" s="1"/>
      <c r="AR122" s="1"/>
    </row>
    <row r="123" spans="1:41" ht="47.25">
      <c r="A123" s="100" t="s">
        <v>360</v>
      </c>
      <c r="B123" s="98" t="s">
        <v>215</v>
      </c>
      <c r="C123" s="97" t="s">
        <v>214</v>
      </c>
      <c r="D123" s="12" t="s">
        <v>296</v>
      </c>
      <c r="E123" s="120">
        <f t="shared" si="34"/>
        <v>3</v>
      </c>
      <c r="F123" s="126">
        <v>3</v>
      </c>
      <c r="G123" s="28" t="s">
        <v>385</v>
      </c>
      <c r="H123" s="28" t="s">
        <v>385</v>
      </c>
      <c r="I123" s="28" t="s">
        <v>385</v>
      </c>
      <c r="J123" s="120">
        <f t="shared" si="32"/>
        <v>3</v>
      </c>
      <c r="K123" s="124">
        <v>3</v>
      </c>
      <c r="L123" s="79" t="s">
        <v>385</v>
      </c>
      <c r="M123" s="79" t="s">
        <v>385</v>
      </c>
      <c r="N123" s="79" t="s">
        <v>385</v>
      </c>
      <c r="O123" s="78">
        <f t="shared" si="33"/>
        <v>0</v>
      </c>
      <c r="P123" s="79" t="s">
        <v>385</v>
      </c>
      <c r="Q123" s="79" t="s">
        <v>385</v>
      </c>
      <c r="R123" s="79" t="s">
        <v>385</v>
      </c>
      <c r="S123" s="79" t="s">
        <v>385</v>
      </c>
      <c r="T123" s="78">
        <f t="shared" si="35"/>
        <v>0</v>
      </c>
      <c r="U123" s="79" t="s">
        <v>385</v>
      </c>
      <c r="V123" s="79" t="s">
        <v>385</v>
      </c>
      <c r="W123" s="79" t="s">
        <v>385</v>
      </c>
      <c r="X123" s="79" t="s">
        <v>385</v>
      </c>
      <c r="Y123" s="120">
        <f t="shared" si="36"/>
        <v>16</v>
      </c>
      <c r="Z123" s="126">
        <v>16</v>
      </c>
      <c r="AA123" s="79" t="s">
        <v>385</v>
      </c>
      <c r="AB123" s="79" t="s">
        <v>385</v>
      </c>
      <c r="AC123" s="79" t="s">
        <v>385</v>
      </c>
      <c r="AD123" s="120">
        <f t="shared" si="37"/>
        <v>16</v>
      </c>
      <c r="AE123" s="126">
        <v>16</v>
      </c>
      <c r="AF123" s="79" t="s">
        <v>385</v>
      </c>
      <c r="AG123" s="79" t="s">
        <v>385</v>
      </c>
      <c r="AH123" s="79" t="s">
        <v>385</v>
      </c>
      <c r="AI123" s="120">
        <f t="shared" si="38"/>
        <v>16</v>
      </c>
      <c r="AJ123" s="126">
        <v>16</v>
      </c>
      <c r="AK123" s="79" t="s">
        <v>385</v>
      </c>
      <c r="AL123" s="79" t="s">
        <v>385</v>
      </c>
      <c r="AM123" s="79" t="s">
        <v>385</v>
      </c>
      <c r="AN123" s="128">
        <f t="shared" si="39"/>
        <v>54</v>
      </c>
      <c r="AO123" s="95"/>
    </row>
    <row r="124" spans="1:41" ht="64.5" customHeight="1">
      <c r="A124" s="100" t="s">
        <v>361</v>
      </c>
      <c r="B124" s="105" t="s">
        <v>322</v>
      </c>
      <c r="C124" s="97" t="s">
        <v>323</v>
      </c>
      <c r="D124" s="12" t="s">
        <v>313</v>
      </c>
      <c r="E124" s="120">
        <f t="shared" si="34"/>
        <v>3</v>
      </c>
      <c r="F124" s="126">
        <v>3</v>
      </c>
      <c r="G124" s="28" t="s">
        <v>385</v>
      </c>
      <c r="H124" s="28" t="s">
        <v>385</v>
      </c>
      <c r="I124" s="28" t="s">
        <v>385</v>
      </c>
      <c r="J124" s="120">
        <f t="shared" si="32"/>
        <v>3</v>
      </c>
      <c r="K124" s="124">
        <v>3</v>
      </c>
      <c r="L124" s="79" t="s">
        <v>385</v>
      </c>
      <c r="M124" s="79" t="s">
        <v>385</v>
      </c>
      <c r="N124" s="79" t="s">
        <v>385</v>
      </c>
      <c r="O124" s="78">
        <f t="shared" si="33"/>
        <v>0</v>
      </c>
      <c r="P124" s="79" t="s">
        <v>385</v>
      </c>
      <c r="Q124" s="79" t="s">
        <v>385</v>
      </c>
      <c r="R124" s="79" t="s">
        <v>385</v>
      </c>
      <c r="S124" s="79" t="s">
        <v>385</v>
      </c>
      <c r="T124" s="78">
        <f t="shared" si="35"/>
        <v>0</v>
      </c>
      <c r="U124" s="79" t="s">
        <v>385</v>
      </c>
      <c r="V124" s="79" t="s">
        <v>385</v>
      </c>
      <c r="W124" s="79" t="s">
        <v>385</v>
      </c>
      <c r="X124" s="79" t="s">
        <v>385</v>
      </c>
      <c r="Y124" s="120">
        <f t="shared" si="36"/>
        <v>16</v>
      </c>
      <c r="Z124" s="126">
        <v>16</v>
      </c>
      <c r="AA124" s="79" t="s">
        <v>385</v>
      </c>
      <c r="AB124" s="79" t="s">
        <v>385</v>
      </c>
      <c r="AC124" s="79" t="s">
        <v>385</v>
      </c>
      <c r="AD124" s="120">
        <f t="shared" si="37"/>
        <v>16</v>
      </c>
      <c r="AE124" s="126">
        <v>16</v>
      </c>
      <c r="AF124" s="79" t="s">
        <v>385</v>
      </c>
      <c r="AG124" s="79" t="s">
        <v>385</v>
      </c>
      <c r="AH124" s="79" t="s">
        <v>385</v>
      </c>
      <c r="AI124" s="120">
        <f t="shared" si="38"/>
        <v>16</v>
      </c>
      <c r="AJ124" s="126">
        <v>16</v>
      </c>
      <c r="AK124" s="79" t="s">
        <v>385</v>
      </c>
      <c r="AL124" s="79" t="s">
        <v>385</v>
      </c>
      <c r="AM124" s="79" t="s">
        <v>385</v>
      </c>
      <c r="AN124" s="128">
        <f t="shared" si="39"/>
        <v>54</v>
      </c>
      <c r="AO124" s="95"/>
    </row>
    <row r="125" spans="1:41" ht="80.25" customHeight="1">
      <c r="A125" s="100" t="s">
        <v>362</v>
      </c>
      <c r="B125" s="105" t="s">
        <v>324</v>
      </c>
      <c r="C125" s="97" t="s">
        <v>325</v>
      </c>
      <c r="D125" s="12" t="s">
        <v>313</v>
      </c>
      <c r="E125" s="120">
        <f t="shared" si="34"/>
        <v>3</v>
      </c>
      <c r="F125" s="126">
        <v>3</v>
      </c>
      <c r="G125" s="28" t="s">
        <v>385</v>
      </c>
      <c r="H125" s="28" t="s">
        <v>385</v>
      </c>
      <c r="I125" s="28" t="s">
        <v>385</v>
      </c>
      <c r="J125" s="120">
        <f t="shared" si="32"/>
        <v>3</v>
      </c>
      <c r="K125" s="124">
        <v>3</v>
      </c>
      <c r="L125" s="79" t="s">
        <v>385</v>
      </c>
      <c r="M125" s="79" t="s">
        <v>385</v>
      </c>
      <c r="N125" s="79" t="s">
        <v>385</v>
      </c>
      <c r="O125" s="78">
        <f t="shared" si="33"/>
        <v>0</v>
      </c>
      <c r="P125" s="79" t="s">
        <v>385</v>
      </c>
      <c r="Q125" s="79" t="s">
        <v>385</v>
      </c>
      <c r="R125" s="79" t="s">
        <v>385</v>
      </c>
      <c r="S125" s="79" t="s">
        <v>385</v>
      </c>
      <c r="T125" s="78">
        <f t="shared" si="35"/>
        <v>0</v>
      </c>
      <c r="U125" s="79" t="s">
        <v>385</v>
      </c>
      <c r="V125" s="79" t="s">
        <v>385</v>
      </c>
      <c r="W125" s="79" t="s">
        <v>385</v>
      </c>
      <c r="X125" s="79" t="s">
        <v>385</v>
      </c>
      <c r="Y125" s="120">
        <f t="shared" si="36"/>
        <v>16</v>
      </c>
      <c r="Z125" s="126">
        <v>16</v>
      </c>
      <c r="AA125" s="79" t="s">
        <v>385</v>
      </c>
      <c r="AB125" s="79" t="s">
        <v>385</v>
      </c>
      <c r="AC125" s="79" t="s">
        <v>385</v>
      </c>
      <c r="AD125" s="120">
        <f t="shared" si="37"/>
        <v>16</v>
      </c>
      <c r="AE125" s="126">
        <v>16</v>
      </c>
      <c r="AF125" s="79" t="s">
        <v>385</v>
      </c>
      <c r="AG125" s="79" t="s">
        <v>385</v>
      </c>
      <c r="AH125" s="79" t="s">
        <v>385</v>
      </c>
      <c r="AI125" s="120">
        <f t="shared" si="38"/>
        <v>16</v>
      </c>
      <c r="AJ125" s="126">
        <v>16</v>
      </c>
      <c r="AK125" s="79" t="s">
        <v>385</v>
      </c>
      <c r="AL125" s="79" t="s">
        <v>385</v>
      </c>
      <c r="AM125" s="79" t="s">
        <v>385</v>
      </c>
      <c r="AN125" s="128">
        <f t="shared" si="39"/>
        <v>54</v>
      </c>
      <c r="AO125" s="95"/>
    </row>
    <row r="126" spans="1:41" ht="51.75" customHeight="1">
      <c r="A126" s="100" t="s">
        <v>363</v>
      </c>
      <c r="B126" s="105" t="s">
        <v>375</v>
      </c>
      <c r="C126" s="97" t="s">
        <v>376</v>
      </c>
      <c r="D126" s="12" t="s">
        <v>313</v>
      </c>
      <c r="E126" s="120">
        <f t="shared" si="34"/>
        <v>5</v>
      </c>
      <c r="F126" s="126">
        <v>5</v>
      </c>
      <c r="G126" s="28" t="s">
        <v>385</v>
      </c>
      <c r="H126" s="28" t="s">
        <v>385</v>
      </c>
      <c r="I126" s="28" t="s">
        <v>385</v>
      </c>
      <c r="J126" s="120">
        <f t="shared" si="32"/>
        <v>5</v>
      </c>
      <c r="K126" s="124">
        <v>5</v>
      </c>
      <c r="L126" s="79" t="s">
        <v>385</v>
      </c>
      <c r="M126" s="79" t="s">
        <v>385</v>
      </c>
      <c r="N126" s="79" t="s">
        <v>385</v>
      </c>
      <c r="O126" s="78">
        <f t="shared" si="33"/>
        <v>0</v>
      </c>
      <c r="P126" s="79" t="s">
        <v>385</v>
      </c>
      <c r="Q126" s="79" t="s">
        <v>385</v>
      </c>
      <c r="R126" s="79" t="s">
        <v>385</v>
      </c>
      <c r="S126" s="79" t="s">
        <v>385</v>
      </c>
      <c r="T126" s="78">
        <f t="shared" si="35"/>
        <v>0</v>
      </c>
      <c r="U126" s="79" t="s">
        <v>385</v>
      </c>
      <c r="V126" s="79" t="s">
        <v>385</v>
      </c>
      <c r="W126" s="79" t="s">
        <v>385</v>
      </c>
      <c r="X126" s="79" t="s">
        <v>385</v>
      </c>
      <c r="Y126" s="120">
        <f t="shared" si="36"/>
        <v>10</v>
      </c>
      <c r="Z126" s="126">
        <v>10</v>
      </c>
      <c r="AA126" s="79" t="s">
        <v>385</v>
      </c>
      <c r="AB126" s="79" t="s">
        <v>385</v>
      </c>
      <c r="AC126" s="79" t="s">
        <v>385</v>
      </c>
      <c r="AD126" s="120">
        <f t="shared" si="37"/>
        <v>10</v>
      </c>
      <c r="AE126" s="126">
        <v>10</v>
      </c>
      <c r="AF126" s="79" t="s">
        <v>385</v>
      </c>
      <c r="AG126" s="79" t="s">
        <v>385</v>
      </c>
      <c r="AH126" s="79" t="s">
        <v>385</v>
      </c>
      <c r="AI126" s="120">
        <f t="shared" si="38"/>
        <v>10</v>
      </c>
      <c r="AJ126" s="126">
        <v>10</v>
      </c>
      <c r="AK126" s="79" t="s">
        <v>385</v>
      </c>
      <c r="AL126" s="79" t="s">
        <v>385</v>
      </c>
      <c r="AM126" s="79" t="s">
        <v>385</v>
      </c>
      <c r="AN126" s="128">
        <f t="shared" si="39"/>
        <v>40</v>
      </c>
      <c r="AO126" s="95"/>
    </row>
    <row r="127" spans="1:41" ht="110.25">
      <c r="A127" s="100" t="s">
        <v>374</v>
      </c>
      <c r="B127" s="98" t="s">
        <v>282</v>
      </c>
      <c r="C127" s="97" t="s">
        <v>221</v>
      </c>
      <c r="D127" s="12" t="s">
        <v>296</v>
      </c>
      <c r="E127" s="78">
        <f>SUMIF(F127:I127,"&gt;0")</f>
        <v>0</v>
      </c>
      <c r="F127" s="28" t="s">
        <v>385</v>
      </c>
      <c r="G127" s="28" t="s">
        <v>385</v>
      </c>
      <c r="H127" s="28" t="s">
        <v>385</v>
      </c>
      <c r="I127" s="28" t="s">
        <v>385</v>
      </c>
      <c r="J127" s="78">
        <f>SUMIF(K127:N127,"&gt;0")</f>
        <v>0</v>
      </c>
      <c r="K127" s="12" t="s">
        <v>385</v>
      </c>
      <c r="L127" s="79" t="s">
        <v>385</v>
      </c>
      <c r="M127" s="79" t="s">
        <v>385</v>
      </c>
      <c r="N127" s="79" t="s">
        <v>385</v>
      </c>
      <c r="O127" s="78">
        <f>SUMIF(P127:S127,"&gt;0")</f>
        <v>0</v>
      </c>
      <c r="P127" s="79" t="s">
        <v>385</v>
      </c>
      <c r="Q127" s="79" t="s">
        <v>385</v>
      </c>
      <c r="R127" s="79" t="s">
        <v>385</v>
      </c>
      <c r="S127" s="79" t="s">
        <v>385</v>
      </c>
      <c r="T127" s="78">
        <f>SUMIF(U127:X127,"&gt;0")</f>
        <v>0</v>
      </c>
      <c r="U127" s="79" t="s">
        <v>385</v>
      </c>
      <c r="V127" s="79" t="s">
        <v>385</v>
      </c>
      <c r="W127" s="79" t="s">
        <v>385</v>
      </c>
      <c r="X127" s="79" t="s">
        <v>385</v>
      </c>
      <c r="Y127" s="120">
        <f>SUMIF(Z127:AC127,"&gt;0")</f>
        <v>120</v>
      </c>
      <c r="Z127" s="124">
        <v>120</v>
      </c>
      <c r="AA127" s="79" t="s">
        <v>385</v>
      </c>
      <c r="AB127" s="79" t="s">
        <v>385</v>
      </c>
      <c r="AC127" s="79" t="s">
        <v>385</v>
      </c>
      <c r="AD127" s="120">
        <f>SUMIF(AE127:AH127,"&gt;0")</f>
        <v>120</v>
      </c>
      <c r="AE127" s="124">
        <v>120</v>
      </c>
      <c r="AF127" s="79" t="s">
        <v>385</v>
      </c>
      <c r="AG127" s="79" t="s">
        <v>385</v>
      </c>
      <c r="AH127" s="79" t="s">
        <v>385</v>
      </c>
      <c r="AI127" s="120">
        <f>SUMIF(AJ127:AM127,"&gt;0")</f>
        <v>120</v>
      </c>
      <c r="AJ127" s="124">
        <v>120</v>
      </c>
      <c r="AK127" s="79" t="s">
        <v>385</v>
      </c>
      <c r="AL127" s="79" t="s">
        <v>385</v>
      </c>
      <c r="AM127" s="79" t="s">
        <v>385</v>
      </c>
      <c r="AN127" s="128">
        <f>E127+J127+O127+T127+Y127+AD127+AI127</f>
        <v>360</v>
      </c>
      <c r="AO127" s="95"/>
    </row>
    <row r="128" spans="1:41" ht="78.75">
      <c r="A128" s="100" t="s">
        <v>490</v>
      </c>
      <c r="B128" s="98" t="s">
        <v>491</v>
      </c>
      <c r="C128" s="97" t="s">
        <v>511</v>
      </c>
      <c r="D128" s="12" t="s">
        <v>426</v>
      </c>
      <c r="E128" s="120">
        <f>SUMIF(F128:I128,"&gt;0")</f>
        <v>3</v>
      </c>
      <c r="F128" s="124">
        <v>3</v>
      </c>
      <c r="G128" s="28" t="s">
        <v>385</v>
      </c>
      <c r="H128" s="28" t="s">
        <v>385</v>
      </c>
      <c r="I128" s="28" t="s">
        <v>385</v>
      </c>
      <c r="J128" s="120">
        <f>SUMIF(K128:N128,"&gt;0")</f>
        <v>3</v>
      </c>
      <c r="K128" s="124">
        <v>3</v>
      </c>
      <c r="L128" s="79" t="s">
        <v>385</v>
      </c>
      <c r="M128" s="79" t="s">
        <v>385</v>
      </c>
      <c r="N128" s="79" t="s">
        <v>385</v>
      </c>
      <c r="O128" s="78">
        <f>SUMIF(P128:S128,"&gt;0")</f>
        <v>0</v>
      </c>
      <c r="P128" s="79" t="s">
        <v>385</v>
      </c>
      <c r="Q128" s="79" t="s">
        <v>385</v>
      </c>
      <c r="R128" s="79" t="s">
        <v>385</v>
      </c>
      <c r="S128" s="79" t="s">
        <v>385</v>
      </c>
      <c r="T128" s="78">
        <f>SUMIF(U128:X128,"&gt;0")</f>
        <v>0</v>
      </c>
      <c r="U128" s="79" t="s">
        <v>385</v>
      </c>
      <c r="V128" s="79" t="s">
        <v>385</v>
      </c>
      <c r="W128" s="79" t="s">
        <v>385</v>
      </c>
      <c r="X128" s="79" t="s">
        <v>385</v>
      </c>
      <c r="Y128" s="78">
        <f>SUMIF(Z128:AC128,"&gt;0")</f>
        <v>0</v>
      </c>
      <c r="Z128" s="79" t="s">
        <v>385</v>
      </c>
      <c r="AA128" s="79" t="s">
        <v>385</v>
      </c>
      <c r="AB128" s="79" t="s">
        <v>385</v>
      </c>
      <c r="AC128" s="79" t="s">
        <v>385</v>
      </c>
      <c r="AD128" s="78">
        <f>SUMIF(AE128:AH128,"&gt;0")</f>
        <v>0</v>
      </c>
      <c r="AE128" s="79" t="s">
        <v>385</v>
      </c>
      <c r="AF128" s="79" t="s">
        <v>385</v>
      </c>
      <c r="AG128" s="79" t="s">
        <v>385</v>
      </c>
      <c r="AH128" s="79" t="s">
        <v>385</v>
      </c>
      <c r="AI128" s="78">
        <f>SUMIF(AJ128:AM128,"&gt;0")</f>
        <v>0</v>
      </c>
      <c r="AJ128" s="79" t="s">
        <v>385</v>
      </c>
      <c r="AK128" s="79" t="s">
        <v>385</v>
      </c>
      <c r="AL128" s="79" t="s">
        <v>385</v>
      </c>
      <c r="AM128" s="79" t="s">
        <v>385</v>
      </c>
      <c r="AN128" s="128">
        <f>E128+J128+O128+T128+Y128+AD128+AI128</f>
        <v>6</v>
      </c>
      <c r="AO128" s="95"/>
    </row>
    <row r="129" spans="1:41" ht="47.25">
      <c r="A129" s="100" t="s">
        <v>499</v>
      </c>
      <c r="B129" s="98" t="s">
        <v>503</v>
      </c>
      <c r="C129" s="97" t="s">
        <v>504</v>
      </c>
      <c r="D129" s="132">
        <v>2022</v>
      </c>
      <c r="E129" s="78">
        <f>SUMIF(F129:I129,"&gt;0")</f>
        <v>0</v>
      </c>
      <c r="F129" s="79" t="s">
        <v>385</v>
      </c>
      <c r="G129" s="79" t="s">
        <v>385</v>
      </c>
      <c r="H129" s="79" t="s">
        <v>385</v>
      </c>
      <c r="I129" s="79" t="s">
        <v>385</v>
      </c>
      <c r="J129" s="78">
        <f>SUMIF(K129:N129,"&gt;0")</f>
        <v>0</v>
      </c>
      <c r="K129" s="79" t="s">
        <v>385</v>
      </c>
      <c r="L129" s="79" t="s">
        <v>385</v>
      </c>
      <c r="M129" s="79" t="s">
        <v>385</v>
      </c>
      <c r="N129" s="79" t="s">
        <v>385</v>
      </c>
      <c r="O129" s="78">
        <f>SUMIF(P129:S129,"&gt;0")</f>
        <v>0</v>
      </c>
      <c r="P129" s="79" t="s">
        <v>385</v>
      </c>
      <c r="Q129" s="79" t="s">
        <v>385</v>
      </c>
      <c r="R129" s="79" t="s">
        <v>385</v>
      </c>
      <c r="S129" s="79" t="s">
        <v>385</v>
      </c>
      <c r="T129" s="78">
        <f>SUMIF(U129:X129,"&gt;0")</f>
        <v>0</v>
      </c>
      <c r="U129" s="79" t="s">
        <v>385</v>
      </c>
      <c r="V129" s="79" t="s">
        <v>385</v>
      </c>
      <c r="W129" s="79" t="s">
        <v>385</v>
      </c>
      <c r="X129" s="79" t="s">
        <v>385</v>
      </c>
      <c r="Y129" s="78">
        <f>SUMIF(Z129:AC129,"&gt;0")</f>
        <v>0</v>
      </c>
      <c r="Z129" s="79" t="s">
        <v>385</v>
      </c>
      <c r="AA129" s="79" t="s">
        <v>385</v>
      </c>
      <c r="AB129" s="79" t="s">
        <v>385</v>
      </c>
      <c r="AC129" s="79" t="s">
        <v>385</v>
      </c>
      <c r="AD129" s="78">
        <f>SUMIF(AE129:AH129,"&gt;0")</f>
        <v>0</v>
      </c>
      <c r="AE129" s="79" t="s">
        <v>385</v>
      </c>
      <c r="AF129" s="79" t="s">
        <v>385</v>
      </c>
      <c r="AG129" s="79" t="s">
        <v>385</v>
      </c>
      <c r="AH129" s="79" t="s">
        <v>385</v>
      </c>
      <c r="AI129" s="78">
        <f>SUMIF(AJ129:AM129,"&gt;0")</f>
        <v>0</v>
      </c>
      <c r="AJ129" s="79" t="s">
        <v>385</v>
      </c>
      <c r="AK129" s="79" t="s">
        <v>385</v>
      </c>
      <c r="AL129" s="79" t="s">
        <v>385</v>
      </c>
      <c r="AM129" s="79" t="s">
        <v>385</v>
      </c>
      <c r="AN129" s="78">
        <f>E129+J129+O129+T129+Y129+AD129+AI129</f>
        <v>0</v>
      </c>
      <c r="AO129" s="95"/>
    </row>
    <row r="130" spans="1:41" ht="47.25">
      <c r="A130" s="100" t="s">
        <v>500</v>
      </c>
      <c r="B130" s="98" t="s">
        <v>505</v>
      </c>
      <c r="C130" s="97" t="s">
        <v>506</v>
      </c>
      <c r="D130" s="132" t="s">
        <v>502</v>
      </c>
      <c r="E130" s="78">
        <f>SUMIF(F130:I130,"&gt;0")</f>
        <v>0</v>
      </c>
      <c r="F130" s="79" t="s">
        <v>385</v>
      </c>
      <c r="G130" s="79" t="s">
        <v>385</v>
      </c>
      <c r="H130" s="79" t="s">
        <v>385</v>
      </c>
      <c r="I130" s="79" t="s">
        <v>385</v>
      </c>
      <c r="J130" s="120">
        <f>SUMIF(K130:N130,"&gt;0")</f>
        <v>3</v>
      </c>
      <c r="K130" s="124">
        <v>3</v>
      </c>
      <c r="L130" s="79" t="s">
        <v>385</v>
      </c>
      <c r="M130" s="79" t="s">
        <v>385</v>
      </c>
      <c r="N130" s="79" t="s">
        <v>385</v>
      </c>
      <c r="O130" s="78">
        <f>SUMIF(P130:S130,"&gt;0")</f>
        <v>0</v>
      </c>
      <c r="P130" s="79" t="s">
        <v>385</v>
      </c>
      <c r="Q130" s="79" t="s">
        <v>385</v>
      </c>
      <c r="R130" s="79" t="s">
        <v>385</v>
      </c>
      <c r="S130" s="79" t="s">
        <v>385</v>
      </c>
      <c r="T130" s="78">
        <f>SUMIF(U130:X130,"&gt;0")</f>
        <v>0</v>
      </c>
      <c r="U130" s="79" t="s">
        <v>385</v>
      </c>
      <c r="V130" s="79" t="s">
        <v>385</v>
      </c>
      <c r="W130" s="79" t="s">
        <v>385</v>
      </c>
      <c r="X130" s="79" t="s">
        <v>385</v>
      </c>
      <c r="Y130" s="78">
        <f>SUMIF(Z130:AC130,"&gt;0")</f>
        <v>0</v>
      </c>
      <c r="Z130" s="79" t="s">
        <v>385</v>
      </c>
      <c r="AA130" s="79" t="s">
        <v>385</v>
      </c>
      <c r="AB130" s="79" t="s">
        <v>385</v>
      </c>
      <c r="AC130" s="79" t="s">
        <v>385</v>
      </c>
      <c r="AD130" s="78">
        <f>SUMIF(AE130:AH130,"&gt;0")</f>
        <v>0</v>
      </c>
      <c r="AE130" s="79" t="s">
        <v>385</v>
      </c>
      <c r="AF130" s="79" t="s">
        <v>385</v>
      </c>
      <c r="AG130" s="79" t="s">
        <v>385</v>
      </c>
      <c r="AH130" s="79" t="s">
        <v>385</v>
      </c>
      <c r="AI130" s="78">
        <f>SUMIF(AJ130:AM130,"&gt;0")</f>
        <v>0</v>
      </c>
      <c r="AJ130" s="79" t="s">
        <v>385</v>
      </c>
      <c r="AK130" s="79" t="s">
        <v>385</v>
      </c>
      <c r="AL130" s="79" t="s">
        <v>385</v>
      </c>
      <c r="AM130" s="79" t="s">
        <v>385</v>
      </c>
      <c r="AN130" s="128">
        <f>E130+J130+O130+T130+Y130+AD130+AI130</f>
        <v>3</v>
      </c>
      <c r="AO130" s="95"/>
    </row>
    <row r="131" spans="1:41" ht="63">
      <c r="A131" s="100" t="s">
        <v>501</v>
      </c>
      <c r="B131" s="98" t="s">
        <v>507</v>
      </c>
      <c r="C131" s="97" t="s">
        <v>508</v>
      </c>
      <c r="D131" s="132" t="s">
        <v>502</v>
      </c>
      <c r="E131" s="78">
        <f>SUMIF(F131:I131,"&gt;0")</f>
        <v>0</v>
      </c>
      <c r="F131" s="79" t="s">
        <v>385</v>
      </c>
      <c r="G131" s="79" t="s">
        <v>385</v>
      </c>
      <c r="H131" s="79" t="s">
        <v>385</v>
      </c>
      <c r="I131" s="79" t="s">
        <v>385</v>
      </c>
      <c r="J131" s="120">
        <f>SUMIF(K131:N131,"&gt;0")</f>
        <v>30</v>
      </c>
      <c r="K131" s="124">
        <v>30</v>
      </c>
      <c r="L131" s="79" t="s">
        <v>385</v>
      </c>
      <c r="M131" s="79" t="s">
        <v>385</v>
      </c>
      <c r="N131" s="79" t="s">
        <v>385</v>
      </c>
      <c r="O131" s="78">
        <f>SUMIF(P131:S131,"&gt;0")</f>
        <v>0</v>
      </c>
      <c r="P131" s="79" t="s">
        <v>385</v>
      </c>
      <c r="Q131" s="79" t="s">
        <v>385</v>
      </c>
      <c r="R131" s="79" t="s">
        <v>385</v>
      </c>
      <c r="S131" s="79" t="s">
        <v>385</v>
      </c>
      <c r="T131" s="78">
        <f>SUMIF(U131:X131,"&gt;0")</f>
        <v>0</v>
      </c>
      <c r="U131" s="79" t="s">
        <v>385</v>
      </c>
      <c r="V131" s="79" t="s">
        <v>385</v>
      </c>
      <c r="W131" s="79" t="s">
        <v>385</v>
      </c>
      <c r="X131" s="79" t="s">
        <v>385</v>
      </c>
      <c r="Y131" s="78">
        <f>SUMIF(Z131:AC131,"&gt;0")</f>
        <v>0</v>
      </c>
      <c r="Z131" s="79" t="s">
        <v>385</v>
      </c>
      <c r="AA131" s="79" t="s">
        <v>385</v>
      </c>
      <c r="AB131" s="79" t="s">
        <v>385</v>
      </c>
      <c r="AC131" s="79" t="s">
        <v>385</v>
      </c>
      <c r="AD131" s="78">
        <f>SUMIF(AE131:AH131,"&gt;0")</f>
        <v>0</v>
      </c>
      <c r="AE131" s="79" t="s">
        <v>385</v>
      </c>
      <c r="AF131" s="79" t="s">
        <v>385</v>
      </c>
      <c r="AG131" s="79" t="s">
        <v>385</v>
      </c>
      <c r="AH131" s="79" t="s">
        <v>385</v>
      </c>
      <c r="AI131" s="78">
        <f>SUMIF(AJ131:AM131,"&gt;0")</f>
        <v>0</v>
      </c>
      <c r="AJ131" s="79" t="s">
        <v>385</v>
      </c>
      <c r="AK131" s="79" t="s">
        <v>385</v>
      </c>
      <c r="AL131" s="79" t="s">
        <v>385</v>
      </c>
      <c r="AM131" s="79" t="s">
        <v>385</v>
      </c>
      <c r="AN131" s="128">
        <f>E131+J131+O131+T131+Y131+AD131+AI131</f>
        <v>30</v>
      </c>
      <c r="AO131" s="95"/>
    </row>
    <row r="132" spans="1:41" ht="31.5">
      <c r="A132" s="43" t="s">
        <v>28</v>
      </c>
      <c r="B132" s="44" t="s">
        <v>202</v>
      </c>
      <c r="C132" s="12"/>
      <c r="D132" s="12"/>
      <c r="E132" s="45"/>
      <c r="F132" s="75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45"/>
      <c r="AJ132" s="75"/>
      <c r="AK132" s="94"/>
      <c r="AL132" s="94"/>
      <c r="AM132" s="94"/>
      <c r="AN132" s="23"/>
      <c r="AO132" s="95"/>
    </row>
    <row r="133" spans="1:41" ht="63">
      <c r="A133" s="100" t="s">
        <v>135</v>
      </c>
      <c r="B133" s="42" t="s">
        <v>121</v>
      </c>
      <c r="C133" s="97" t="s">
        <v>223</v>
      </c>
      <c r="D133" s="12" t="s">
        <v>296</v>
      </c>
      <c r="E133" s="120">
        <f aca="true" t="shared" si="40" ref="E133:E158">SUMIF(F133:I133,"&gt;0")</f>
        <v>3</v>
      </c>
      <c r="F133" s="124">
        <v>3</v>
      </c>
      <c r="G133" s="28" t="s">
        <v>385</v>
      </c>
      <c r="H133" s="28" t="s">
        <v>385</v>
      </c>
      <c r="I133" s="28" t="s">
        <v>385</v>
      </c>
      <c r="J133" s="120">
        <f aca="true" t="shared" si="41" ref="J133:J142">SUMIF(K133:N133,"&gt;0")</f>
        <v>3</v>
      </c>
      <c r="K133" s="124">
        <v>3</v>
      </c>
      <c r="L133" s="79" t="s">
        <v>385</v>
      </c>
      <c r="M133" s="79" t="s">
        <v>385</v>
      </c>
      <c r="N133" s="79" t="s">
        <v>385</v>
      </c>
      <c r="O133" s="78">
        <f aca="true" t="shared" si="42" ref="O133:O142">SUMIF(P133:S133,"&gt;0")</f>
        <v>0</v>
      </c>
      <c r="P133" s="79" t="s">
        <v>385</v>
      </c>
      <c r="Q133" s="79" t="s">
        <v>385</v>
      </c>
      <c r="R133" s="79" t="s">
        <v>385</v>
      </c>
      <c r="S133" s="79" t="s">
        <v>385</v>
      </c>
      <c r="T133" s="78">
        <f aca="true" t="shared" si="43" ref="T133:T160">SUMIF(U133:X133,"&gt;0")</f>
        <v>0</v>
      </c>
      <c r="U133" s="79" t="s">
        <v>385</v>
      </c>
      <c r="V133" s="79" t="s">
        <v>385</v>
      </c>
      <c r="W133" s="79" t="s">
        <v>385</v>
      </c>
      <c r="X133" s="79" t="s">
        <v>385</v>
      </c>
      <c r="Y133" s="120">
        <f aca="true" t="shared" si="44" ref="Y133:Y160">SUMIF(Z133:AC133,"&gt;0")</f>
        <v>3</v>
      </c>
      <c r="Z133" s="124">
        <v>3</v>
      </c>
      <c r="AA133" s="79" t="s">
        <v>385</v>
      </c>
      <c r="AB133" s="79" t="s">
        <v>385</v>
      </c>
      <c r="AC133" s="79" t="s">
        <v>385</v>
      </c>
      <c r="AD133" s="120">
        <f aca="true" t="shared" si="45" ref="AD133:AD160">SUMIF(AE133:AH133,"&gt;0")</f>
        <v>3</v>
      </c>
      <c r="AE133" s="124">
        <v>3</v>
      </c>
      <c r="AF133" s="79" t="s">
        <v>385</v>
      </c>
      <c r="AG133" s="79" t="s">
        <v>385</v>
      </c>
      <c r="AH133" s="79" t="s">
        <v>385</v>
      </c>
      <c r="AI133" s="120">
        <f>SUMIF(AJ133:AM133,"&gt;0")</f>
        <v>3</v>
      </c>
      <c r="AJ133" s="124">
        <v>3</v>
      </c>
      <c r="AK133" s="79" t="s">
        <v>385</v>
      </c>
      <c r="AL133" s="79" t="s">
        <v>385</v>
      </c>
      <c r="AM133" s="79" t="s">
        <v>385</v>
      </c>
      <c r="AN133" s="128">
        <f t="shared" si="39"/>
        <v>15</v>
      </c>
      <c r="AO133" s="95"/>
    </row>
    <row r="134" spans="1:41" ht="47.25">
      <c r="A134" s="100" t="s">
        <v>136</v>
      </c>
      <c r="B134" s="42" t="s">
        <v>122</v>
      </c>
      <c r="C134" s="97" t="s">
        <v>129</v>
      </c>
      <c r="D134" s="12" t="s">
        <v>296</v>
      </c>
      <c r="E134" s="120">
        <f t="shared" si="40"/>
        <v>5</v>
      </c>
      <c r="F134" s="124">
        <v>5</v>
      </c>
      <c r="G134" s="28" t="s">
        <v>385</v>
      </c>
      <c r="H134" s="28" t="s">
        <v>385</v>
      </c>
      <c r="I134" s="28" t="s">
        <v>385</v>
      </c>
      <c r="J134" s="78">
        <f t="shared" si="41"/>
        <v>0</v>
      </c>
      <c r="K134" s="78">
        <f>5-5</f>
        <v>0</v>
      </c>
      <c r="L134" s="79" t="s">
        <v>385</v>
      </c>
      <c r="M134" s="79" t="s">
        <v>385</v>
      </c>
      <c r="N134" s="79" t="s">
        <v>385</v>
      </c>
      <c r="O134" s="78">
        <f t="shared" si="42"/>
        <v>0</v>
      </c>
      <c r="P134" s="79" t="s">
        <v>385</v>
      </c>
      <c r="Q134" s="79" t="s">
        <v>385</v>
      </c>
      <c r="R134" s="79" t="s">
        <v>385</v>
      </c>
      <c r="S134" s="79" t="s">
        <v>385</v>
      </c>
      <c r="T134" s="78">
        <f t="shared" si="43"/>
        <v>0</v>
      </c>
      <c r="U134" s="79" t="s">
        <v>385</v>
      </c>
      <c r="V134" s="79" t="s">
        <v>385</v>
      </c>
      <c r="W134" s="79" t="s">
        <v>385</v>
      </c>
      <c r="X134" s="79" t="s">
        <v>385</v>
      </c>
      <c r="Y134" s="120">
        <f t="shared" si="44"/>
        <v>10</v>
      </c>
      <c r="Z134" s="124">
        <v>10</v>
      </c>
      <c r="AA134" s="79" t="s">
        <v>385</v>
      </c>
      <c r="AB134" s="79" t="s">
        <v>385</v>
      </c>
      <c r="AC134" s="79" t="s">
        <v>385</v>
      </c>
      <c r="AD134" s="120">
        <f t="shared" si="45"/>
        <v>10</v>
      </c>
      <c r="AE134" s="124">
        <v>10</v>
      </c>
      <c r="AF134" s="79" t="s">
        <v>385</v>
      </c>
      <c r="AG134" s="79" t="s">
        <v>385</v>
      </c>
      <c r="AH134" s="79" t="s">
        <v>385</v>
      </c>
      <c r="AI134" s="120">
        <f aca="true" t="shared" si="46" ref="AI134:AI160">SUMIF(AJ134:AM134,"&gt;0")</f>
        <v>10</v>
      </c>
      <c r="AJ134" s="124">
        <v>10</v>
      </c>
      <c r="AK134" s="79" t="s">
        <v>385</v>
      </c>
      <c r="AL134" s="79" t="s">
        <v>385</v>
      </c>
      <c r="AM134" s="79" t="s">
        <v>385</v>
      </c>
      <c r="AN134" s="128">
        <f t="shared" si="39"/>
        <v>35</v>
      </c>
      <c r="AO134" s="95"/>
    </row>
    <row r="135" spans="1:41" ht="63">
      <c r="A135" s="100" t="s">
        <v>137</v>
      </c>
      <c r="B135" s="42" t="s">
        <v>197</v>
      </c>
      <c r="C135" s="97" t="s">
        <v>134</v>
      </c>
      <c r="D135" s="12" t="s">
        <v>296</v>
      </c>
      <c r="E135" s="120">
        <f t="shared" si="40"/>
        <v>4.2</v>
      </c>
      <c r="F135" s="124">
        <f>5-0.816</f>
        <v>4.2</v>
      </c>
      <c r="G135" s="28" t="s">
        <v>385</v>
      </c>
      <c r="H135" s="28" t="s">
        <v>385</v>
      </c>
      <c r="I135" s="28" t="s">
        <v>385</v>
      </c>
      <c r="J135" s="120">
        <f t="shared" si="41"/>
        <v>5</v>
      </c>
      <c r="K135" s="124">
        <v>5</v>
      </c>
      <c r="L135" s="79" t="s">
        <v>385</v>
      </c>
      <c r="M135" s="79" t="s">
        <v>385</v>
      </c>
      <c r="N135" s="79" t="s">
        <v>385</v>
      </c>
      <c r="O135" s="78">
        <f t="shared" si="42"/>
        <v>0</v>
      </c>
      <c r="P135" s="79" t="s">
        <v>385</v>
      </c>
      <c r="Q135" s="79" t="s">
        <v>385</v>
      </c>
      <c r="R135" s="79" t="s">
        <v>385</v>
      </c>
      <c r="S135" s="79" t="s">
        <v>385</v>
      </c>
      <c r="T135" s="78">
        <f t="shared" si="43"/>
        <v>0</v>
      </c>
      <c r="U135" s="79" t="s">
        <v>385</v>
      </c>
      <c r="V135" s="79" t="s">
        <v>385</v>
      </c>
      <c r="W135" s="79" t="s">
        <v>385</v>
      </c>
      <c r="X135" s="79" t="s">
        <v>385</v>
      </c>
      <c r="Y135" s="120">
        <f t="shared" si="44"/>
        <v>5</v>
      </c>
      <c r="Z135" s="124">
        <v>5</v>
      </c>
      <c r="AA135" s="79" t="s">
        <v>385</v>
      </c>
      <c r="AB135" s="79" t="s">
        <v>385</v>
      </c>
      <c r="AC135" s="79" t="s">
        <v>385</v>
      </c>
      <c r="AD135" s="120">
        <f t="shared" si="45"/>
        <v>5</v>
      </c>
      <c r="AE135" s="124">
        <v>5</v>
      </c>
      <c r="AF135" s="79" t="s">
        <v>385</v>
      </c>
      <c r="AG135" s="79" t="s">
        <v>385</v>
      </c>
      <c r="AH135" s="79" t="s">
        <v>385</v>
      </c>
      <c r="AI135" s="120">
        <f t="shared" si="46"/>
        <v>5</v>
      </c>
      <c r="AJ135" s="124">
        <v>5</v>
      </c>
      <c r="AK135" s="79" t="s">
        <v>385</v>
      </c>
      <c r="AL135" s="79" t="s">
        <v>385</v>
      </c>
      <c r="AM135" s="79" t="s">
        <v>385</v>
      </c>
      <c r="AN135" s="128">
        <f t="shared" si="39"/>
        <v>24.2</v>
      </c>
      <c r="AO135" s="95"/>
    </row>
    <row r="136" spans="1:41" ht="63">
      <c r="A136" s="100" t="s">
        <v>138</v>
      </c>
      <c r="B136" s="42" t="s">
        <v>309</v>
      </c>
      <c r="C136" s="97" t="s">
        <v>100</v>
      </c>
      <c r="D136" s="12" t="s">
        <v>296</v>
      </c>
      <c r="E136" s="120">
        <f t="shared" si="40"/>
        <v>16</v>
      </c>
      <c r="F136" s="127">
        <v>16</v>
      </c>
      <c r="G136" s="28" t="s">
        <v>385</v>
      </c>
      <c r="H136" s="28" t="s">
        <v>385</v>
      </c>
      <c r="I136" s="28" t="s">
        <v>385</v>
      </c>
      <c r="J136" s="120">
        <f t="shared" si="41"/>
        <v>16</v>
      </c>
      <c r="K136" s="124">
        <v>16</v>
      </c>
      <c r="L136" s="79" t="s">
        <v>385</v>
      </c>
      <c r="M136" s="79" t="s">
        <v>385</v>
      </c>
      <c r="N136" s="79" t="s">
        <v>385</v>
      </c>
      <c r="O136" s="78">
        <f t="shared" si="42"/>
        <v>0</v>
      </c>
      <c r="P136" s="79" t="s">
        <v>385</v>
      </c>
      <c r="Q136" s="79" t="s">
        <v>385</v>
      </c>
      <c r="R136" s="79" t="s">
        <v>385</v>
      </c>
      <c r="S136" s="79" t="s">
        <v>385</v>
      </c>
      <c r="T136" s="78">
        <f t="shared" si="43"/>
        <v>0</v>
      </c>
      <c r="U136" s="79" t="s">
        <v>385</v>
      </c>
      <c r="V136" s="79" t="s">
        <v>385</v>
      </c>
      <c r="W136" s="79" t="s">
        <v>385</v>
      </c>
      <c r="X136" s="79" t="s">
        <v>385</v>
      </c>
      <c r="Y136" s="120">
        <f t="shared" si="44"/>
        <v>20</v>
      </c>
      <c r="Z136" s="127">
        <v>20</v>
      </c>
      <c r="AA136" s="79" t="s">
        <v>385</v>
      </c>
      <c r="AB136" s="79" t="s">
        <v>385</v>
      </c>
      <c r="AC136" s="79" t="s">
        <v>385</v>
      </c>
      <c r="AD136" s="120">
        <f t="shared" si="45"/>
        <v>20</v>
      </c>
      <c r="AE136" s="127">
        <v>20</v>
      </c>
      <c r="AF136" s="79" t="s">
        <v>385</v>
      </c>
      <c r="AG136" s="79" t="s">
        <v>385</v>
      </c>
      <c r="AH136" s="79" t="s">
        <v>385</v>
      </c>
      <c r="AI136" s="120">
        <f t="shared" si="46"/>
        <v>20</v>
      </c>
      <c r="AJ136" s="127">
        <v>20</v>
      </c>
      <c r="AK136" s="79" t="s">
        <v>385</v>
      </c>
      <c r="AL136" s="79" t="s">
        <v>385</v>
      </c>
      <c r="AM136" s="79" t="s">
        <v>385</v>
      </c>
      <c r="AN136" s="128">
        <f t="shared" si="39"/>
        <v>92</v>
      </c>
      <c r="AO136" s="95"/>
    </row>
    <row r="137" spans="1:41" ht="63">
      <c r="A137" s="100" t="s">
        <v>139</v>
      </c>
      <c r="B137" s="42" t="s">
        <v>123</v>
      </c>
      <c r="C137" s="97" t="s">
        <v>100</v>
      </c>
      <c r="D137" s="12" t="s">
        <v>296</v>
      </c>
      <c r="E137" s="120">
        <f t="shared" si="40"/>
        <v>3</v>
      </c>
      <c r="F137" s="124">
        <v>3</v>
      </c>
      <c r="G137" s="28" t="s">
        <v>385</v>
      </c>
      <c r="H137" s="28" t="s">
        <v>385</v>
      </c>
      <c r="I137" s="28" t="s">
        <v>385</v>
      </c>
      <c r="J137" s="120">
        <f t="shared" si="41"/>
        <v>3</v>
      </c>
      <c r="K137" s="124">
        <v>3</v>
      </c>
      <c r="L137" s="79" t="s">
        <v>385</v>
      </c>
      <c r="M137" s="79" t="s">
        <v>385</v>
      </c>
      <c r="N137" s="79" t="s">
        <v>385</v>
      </c>
      <c r="O137" s="78">
        <f t="shared" si="42"/>
        <v>0</v>
      </c>
      <c r="P137" s="79" t="s">
        <v>385</v>
      </c>
      <c r="Q137" s="79" t="s">
        <v>385</v>
      </c>
      <c r="R137" s="79" t="s">
        <v>385</v>
      </c>
      <c r="S137" s="79" t="s">
        <v>385</v>
      </c>
      <c r="T137" s="78">
        <f t="shared" si="43"/>
        <v>0</v>
      </c>
      <c r="U137" s="79" t="s">
        <v>385</v>
      </c>
      <c r="V137" s="79" t="s">
        <v>385</v>
      </c>
      <c r="W137" s="79" t="s">
        <v>385</v>
      </c>
      <c r="X137" s="79" t="s">
        <v>385</v>
      </c>
      <c r="Y137" s="120">
        <f t="shared" si="44"/>
        <v>8</v>
      </c>
      <c r="Z137" s="124">
        <v>8</v>
      </c>
      <c r="AA137" s="79" t="s">
        <v>385</v>
      </c>
      <c r="AB137" s="79" t="s">
        <v>385</v>
      </c>
      <c r="AC137" s="79" t="s">
        <v>385</v>
      </c>
      <c r="AD137" s="120">
        <f t="shared" si="45"/>
        <v>8</v>
      </c>
      <c r="AE137" s="124">
        <v>8</v>
      </c>
      <c r="AF137" s="79" t="s">
        <v>385</v>
      </c>
      <c r="AG137" s="79" t="s">
        <v>385</v>
      </c>
      <c r="AH137" s="79" t="s">
        <v>385</v>
      </c>
      <c r="AI137" s="120">
        <f t="shared" si="46"/>
        <v>8</v>
      </c>
      <c r="AJ137" s="124">
        <v>8</v>
      </c>
      <c r="AK137" s="79" t="s">
        <v>385</v>
      </c>
      <c r="AL137" s="79" t="s">
        <v>385</v>
      </c>
      <c r="AM137" s="79" t="s">
        <v>385</v>
      </c>
      <c r="AN137" s="128">
        <f t="shared" si="39"/>
        <v>30</v>
      </c>
      <c r="AO137" s="95"/>
    </row>
    <row r="138" spans="1:41" ht="63">
      <c r="A138" s="100" t="s">
        <v>140</v>
      </c>
      <c r="B138" s="42" t="s">
        <v>249</v>
      </c>
      <c r="C138" s="97" t="s">
        <v>100</v>
      </c>
      <c r="D138" s="12" t="s">
        <v>296</v>
      </c>
      <c r="E138" s="78">
        <f>SUMIF(F138:I138,"&gt;0")</f>
        <v>0</v>
      </c>
      <c r="F138" s="28" t="s">
        <v>385</v>
      </c>
      <c r="G138" s="28" t="s">
        <v>385</v>
      </c>
      <c r="H138" s="28" t="s">
        <v>385</v>
      </c>
      <c r="I138" s="28" t="s">
        <v>385</v>
      </c>
      <c r="J138" s="78">
        <f t="shared" si="41"/>
        <v>0</v>
      </c>
      <c r="K138" s="12" t="s">
        <v>385</v>
      </c>
      <c r="L138" s="79" t="s">
        <v>385</v>
      </c>
      <c r="M138" s="79" t="s">
        <v>385</v>
      </c>
      <c r="N138" s="79" t="s">
        <v>385</v>
      </c>
      <c r="O138" s="78">
        <f t="shared" si="42"/>
        <v>0</v>
      </c>
      <c r="P138" s="79" t="s">
        <v>385</v>
      </c>
      <c r="Q138" s="79" t="s">
        <v>385</v>
      </c>
      <c r="R138" s="79" t="s">
        <v>385</v>
      </c>
      <c r="S138" s="79" t="s">
        <v>385</v>
      </c>
      <c r="T138" s="78">
        <f t="shared" si="43"/>
        <v>0</v>
      </c>
      <c r="U138" s="79" t="s">
        <v>385</v>
      </c>
      <c r="V138" s="79" t="s">
        <v>385</v>
      </c>
      <c r="W138" s="79" t="s">
        <v>385</v>
      </c>
      <c r="X138" s="79" t="s">
        <v>385</v>
      </c>
      <c r="Y138" s="120">
        <f t="shared" si="44"/>
        <v>10</v>
      </c>
      <c r="Z138" s="124">
        <v>10</v>
      </c>
      <c r="AA138" s="79" t="s">
        <v>385</v>
      </c>
      <c r="AB138" s="79" t="s">
        <v>385</v>
      </c>
      <c r="AC138" s="79" t="s">
        <v>385</v>
      </c>
      <c r="AD138" s="120">
        <f t="shared" si="45"/>
        <v>10</v>
      </c>
      <c r="AE138" s="124">
        <v>10</v>
      </c>
      <c r="AF138" s="79" t="s">
        <v>385</v>
      </c>
      <c r="AG138" s="79" t="s">
        <v>385</v>
      </c>
      <c r="AH138" s="79" t="s">
        <v>385</v>
      </c>
      <c r="AI138" s="120">
        <f t="shared" si="46"/>
        <v>10</v>
      </c>
      <c r="AJ138" s="124">
        <v>10</v>
      </c>
      <c r="AK138" s="79" t="s">
        <v>385</v>
      </c>
      <c r="AL138" s="79" t="s">
        <v>385</v>
      </c>
      <c r="AM138" s="79" t="s">
        <v>385</v>
      </c>
      <c r="AN138" s="128">
        <f t="shared" si="39"/>
        <v>30</v>
      </c>
      <c r="AO138" s="95"/>
    </row>
    <row r="139" spans="1:41" ht="63">
      <c r="A139" s="100" t="s">
        <v>141</v>
      </c>
      <c r="B139" s="42" t="s">
        <v>124</v>
      </c>
      <c r="C139" s="97" t="s">
        <v>100</v>
      </c>
      <c r="D139" s="12" t="s">
        <v>296</v>
      </c>
      <c r="E139" s="120">
        <f t="shared" si="40"/>
        <v>3</v>
      </c>
      <c r="F139" s="124">
        <v>3</v>
      </c>
      <c r="G139" s="28" t="s">
        <v>385</v>
      </c>
      <c r="H139" s="28" t="s">
        <v>385</v>
      </c>
      <c r="I139" s="28" t="s">
        <v>385</v>
      </c>
      <c r="J139" s="120">
        <f t="shared" si="41"/>
        <v>3</v>
      </c>
      <c r="K139" s="124">
        <v>3</v>
      </c>
      <c r="L139" s="79" t="s">
        <v>385</v>
      </c>
      <c r="M139" s="79" t="s">
        <v>385</v>
      </c>
      <c r="N139" s="79" t="s">
        <v>385</v>
      </c>
      <c r="O139" s="78">
        <f t="shared" si="42"/>
        <v>0</v>
      </c>
      <c r="P139" s="79" t="s">
        <v>385</v>
      </c>
      <c r="Q139" s="79" t="s">
        <v>385</v>
      </c>
      <c r="R139" s="79" t="s">
        <v>385</v>
      </c>
      <c r="S139" s="79" t="s">
        <v>385</v>
      </c>
      <c r="T139" s="78">
        <f t="shared" si="43"/>
        <v>0</v>
      </c>
      <c r="U139" s="79" t="s">
        <v>385</v>
      </c>
      <c r="V139" s="79" t="s">
        <v>385</v>
      </c>
      <c r="W139" s="79" t="s">
        <v>385</v>
      </c>
      <c r="X139" s="79" t="s">
        <v>385</v>
      </c>
      <c r="Y139" s="120">
        <f t="shared" si="44"/>
        <v>10</v>
      </c>
      <c r="Z139" s="124">
        <v>10</v>
      </c>
      <c r="AA139" s="79" t="s">
        <v>385</v>
      </c>
      <c r="AB139" s="79" t="s">
        <v>385</v>
      </c>
      <c r="AC139" s="79" t="s">
        <v>385</v>
      </c>
      <c r="AD139" s="120">
        <f t="shared" si="45"/>
        <v>10</v>
      </c>
      <c r="AE139" s="124">
        <v>10</v>
      </c>
      <c r="AF139" s="79" t="s">
        <v>385</v>
      </c>
      <c r="AG139" s="79" t="s">
        <v>385</v>
      </c>
      <c r="AH139" s="79" t="s">
        <v>385</v>
      </c>
      <c r="AI139" s="120">
        <f t="shared" si="46"/>
        <v>10</v>
      </c>
      <c r="AJ139" s="124">
        <v>10</v>
      </c>
      <c r="AK139" s="79" t="s">
        <v>385</v>
      </c>
      <c r="AL139" s="79" t="s">
        <v>385</v>
      </c>
      <c r="AM139" s="79" t="s">
        <v>385</v>
      </c>
      <c r="AN139" s="128">
        <f t="shared" si="39"/>
        <v>36</v>
      </c>
      <c r="AO139" s="95"/>
    </row>
    <row r="140" spans="1:41" ht="63">
      <c r="A140" s="100" t="s">
        <v>142</v>
      </c>
      <c r="B140" s="42" t="s">
        <v>200</v>
      </c>
      <c r="C140" s="97" t="s">
        <v>100</v>
      </c>
      <c r="D140" s="12" t="s">
        <v>296</v>
      </c>
      <c r="E140" s="120">
        <f t="shared" si="40"/>
        <v>21</v>
      </c>
      <c r="F140" s="127">
        <v>21</v>
      </c>
      <c r="G140" s="28" t="s">
        <v>385</v>
      </c>
      <c r="H140" s="28" t="s">
        <v>385</v>
      </c>
      <c r="I140" s="28" t="s">
        <v>385</v>
      </c>
      <c r="J140" s="120">
        <f t="shared" si="41"/>
        <v>21</v>
      </c>
      <c r="K140" s="124">
        <v>21</v>
      </c>
      <c r="L140" s="79" t="s">
        <v>385</v>
      </c>
      <c r="M140" s="79" t="s">
        <v>385</v>
      </c>
      <c r="N140" s="79" t="s">
        <v>385</v>
      </c>
      <c r="O140" s="78">
        <f t="shared" si="42"/>
        <v>0</v>
      </c>
      <c r="P140" s="79" t="s">
        <v>385</v>
      </c>
      <c r="Q140" s="79" t="s">
        <v>385</v>
      </c>
      <c r="R140" s="79" t="s">
        <v>385</v>
      </c>
      <c r="S140" s="79" t="s">
        <v>385</v>
      </c>
      <c r="T140" s="78">
        <f t="shared" si="43"/>
        <v>0</v>
      </c>
      <c r="U140" s="79" t="s">
        <v>385</v>
      </c>
      <c r="V140" s="79" t="s">
        <v>385</v>
      </c>
      <c r="W140" s="79" t="s">
        <v>385</v>
      </c>
      <c r="X140" s="79" t="s">
        <v>385</v>
      </c>
      <c r="Y140" s="120">
        <f t="shared" si="44"/>
        <v>25</v>
      </c>
      <c r="Z140" s="127">
        <v>25</v>
      </c>
      <c r="AA140" s="79" t="s">
        <v>385</v>
      </c>
      <c r="AB140" s="79" t="s">
        <v>385</v>
      </c>
      <c r="AC140" s="79" t="s">
        <v>385</v>
      </c>
      <c r="AD140" s="120">
        <f t="shared" si="45"/>
        <v>25</v>
      </c>
      <c r="AE140" s="127">
        <v>25</v>
      </c>
      <c r="AF140" s="79" t="s">
        <v>385</v>
      </c>
      <c r="AG140" s="79" t="s">
        <v>385</v>
      </c>
      <c r="AH140" s="79" t="s">
        <v>385</v>
      </c>
      <c r="AI140" s="120">
        <f t="shared" si="46"/>
        <v>25</v>
      </c>
      <c r="AJ140" s="127">
        <v>25</v>
      </c>
      <c r="AK140" s="79" t="s">
        <v>385</v>
      </c>
      <c r="AL140" s="79" t="s">
        <v>385</v>
      </c>
      <c r="AM140" s="79" t="s">
        <v>385</v>
      </c>
      <c r="AN140" s="128">
        <f t="shared" si="39"/>
        <v>117</v>
      </c>
      <c r="AO140" s="95"/>
    </row>
    <row r="141" spans="1:41" ht="63">
      <c r="A141" s="100" t="s">
        <v>143</v>
      </c>
      <c r="B141" s="42" t="s">
        <v>310</v>
      </c>
      <c r="C141" s="97" t="s">
        <v>100</v>
      </c>
      <c r="D141" s="12" t="s">
        <v>296</v>
      </c>
      <c r="E141" s="120">
        <f t="shared" si="40"/>
        <v>3</v>
      </c>
      <c r="F141" s="124">
        <v>3</v>
      </c>
      <c r="G141" s="28" t="s">
        <v>385</v>
      </c>
      <c r="H141" s="28" t="s">
        <v>385</v>
      </c>
      <c r="I141" s="28" t="s">
        <v>385</v>
      </c>
      <c r="J141" s="120">
        <f t="shared" si="41"/>
        <v>3</v>
      </c>
      <c r="K141" s="124">
        <v>3</v>
      </c>
      <c r="L141" s="79" t="s">
        <v>385</v>
      </c>
      <c r="M141" s="79" t="s">
        <v>385</v>
      </c>
      <c r="N141" s="79" t="s">
        <v>385</v>
      </c>
      <c r="O141" s="78">
        <f t="shared" si="42"/>
        <v>0</v>
      </c>
      <c r="P141" s="79" t="s">
        <v>385</v>
      </c>
      <c r="Q141" s="79" t="s">
        <v>385</v>
      </c>
      <c r="R141" s="79" t="s">
        <v>385</v>
      </c>
      <c r="S141" s="79" t="s">
        <v>385</v>
      </c>
      <c r="T141" s="78">
        <f t="shared" si="43"/>
        <v>0</v>
      </c>
      <c r="U141" s="79" t="s">
        <v>385</v>
      </c>
      <c r="V141" s="79" t="s">
        <v>385</v>
      </c>
      <c r="W141" s="79" t="s">
        <v>385</v>
      </c>
      <c r="X141" s="79" t="s">
        <v>385</v>
      </c>
      <c r="Y141" s="120">
        <f t="shared" si="44"/>
        <v>8</v>
      </c>
      <c r="Z141" s="124">
        <v>8</v>
      </c>
      <c r="AA141" s="79" t="s">
        <v>385</v>
      </c>
      <c r="AB141" s="79" t="s">
        <v>385</v>
      </c>
      <c r="AC141" s="79" t="s">
        <v>385</v>
      </c>
      <c r="AD141" s="120">
        <f t="shared" si="45"/>
        <v>8</v>
      </c>
      <c r="AE141" s="124">
        <v>8</v>
      </c>
      <c r="AF141" s="79" t="s">
        <v>385</v>
      </c>
      <c r="AG141" s="79" t="s">
        <v>385</v>
      </c>
      <c r="AH141" s="79" t="s">
        <v>385</v>
      </c>
      <c r="AI141" s="120">
        <f t="shared" si="46"/>
        <v>8</v>
      </c>
      <c r="AJ141" s="124">
        <v>8</v>
      </c>
      <c r="AK141" s="79" t="s">
        <v>385</v>
      </c>
      <c r="AL141" s="79" t="s">
        <v>385</v>
      </c>
      <c r="AM141" s="79" t="s">
        <v>385</v>
      </c>
      <c r="AN141" s="128">
        <f t="shared" si="39"/>
        <v>30</v>
      </c>
      <c r="AO141" s="95"/>
    </row>
    <row r="142" spans="1:41" ht="110.25">
      <c r="A142" s="100" t="s">
        <v>144</v>
      </c>
      <c r="B142" s="42" t="s">
        <v>125</v>
      </c>
      <c r="C142" s="101" t="s">
        <v>342</v>
      </c>
      <c r="D142" s="12" t="s">
        <v>296</v>
      </c>
      <c r="E142" s="120">
        <f t="shared" si="40"/>
        <v>14.5</v>
      </c>
      <c r="F142" s="124">
        <f>20-0.5-5</f>
        <v>14.5</v>
      </c>
      <c r="G142" s="28" t="s">
        <v>385</v>
      </c>
      <c r="H142" s="28" t="s">
        <v>385</v>
      </c>
      <c r="I142" s="28" t="s">
        <v>385</v>
      </c>
      <c r="J142" s="120">
        <f t="shared" si="41"/>
        <v>15</v>
      </c>
      <c r="K142" s="124">
        <v>15</v>
      </c>
      <c r="L142" s="79" t="s">
        <v>385</v>
      </c>
      <c r="M142" s="79" t="s">
        <v>385</v>
      </c>
      <c r="N142" s="79" t="s">
        <v>385</v>
      </c>
      <c r="O142" s="78">
        <f t="shared" si="42"/>
        <v>0</v>
      </c>
      <c r="P142" s="79" t="s">
        <v>385</v>
      </c>
      <c r="Q142" s="79" t="s">
        <v>385</v>
      </c>
      <c r="R142" s="79" t="s">
        <v>385</v>
      </c>
      <c r="S142" s="79" t="s">
        <v>385</v>
      </c>
      <c r="T142" s="78">
        <f t="shared" si="43"/>
        <v>0</v>
      </c>
      <c r="U142" s="79" t="s">
        <v>385</v>
      </c>
      <c r="V142" s="79" t="s">
        <v>385</v>
      </c>
      <c r="W142" s="79" t="s">
        <v>385</v>
      </c>
      <c r="X142" s="79" t="s">
        <v>385</v>
      </c>
      <c r="Y142" s="120">
        <f t="shared" si="44"/>
        <v>50</v>
      </c>
      <c r="Z142" s="124">
        <v>50</v>
      </c>
      <c r="AA142" s="79" t="s">
        <v>385</v>
      </c>
      <c r="AB142" s="79" t="s">
        <v>385</v>
      </c>
      <c r="AC142" s="79" t="s">
        <v>385</v>
      </c>
      <c r="AD142" s="120">
        <f t="shared" si="45"/>
        <v>50</v>
      </c>
      <c r="AE142" s="124">
        <v>50</v>
      </c>
      <c r="AF142" s="79" t="s">
        <v>385</v>
      </c>
      <c r="AG142" s="79" t="s">
        <v>385</v>
      </c>
      <c r="AH142" s="79" t="s">
        <v>385</v>
      </c>
      <c r="AI142" s="120">
        <f t="shared" si="46"/>
        <v>50</v>
      </c>
      <c r="AJ142" s="124">
        <v>50</v>
      </c>
      <c r="AK142" s="79" t="s">
        <v>385</v>
      </c>
      <c r="AL142" s="79" t="s">
        <v>385</v>
      </c>
      <c r="AM142" s="79" t="s">
        <v>385</v>
      </c>
      <c r="AN142" s="128">
        <f t="shared" si="39"/>
        <v>179.5</v>
      </c>
      <c r="AO142" s="95"/>
    </row>
    <row r="143" spans="1:41" ht="47.25">
      <c r="A143" s="100" t="s">
        <v>145</v>
      </c>
      <c r="B143" s="42" t="s">
        <v>339</v>
      </c>
      <c r="C143" s="97" t="s">
        <v>340</v>
      </c>
      <c r="D143" s="12" t="s">
        <v>313</v>
      </c>
      <c r="E143" s="78">
        <f t="shared" si="40"/>
        <v>0</v>
      </c>
      <c r="F143" s="28" t="s">
        <v>385</v>
      </c>
      <c r="G143" s="28" t="s">
        <v>385</v>
      </c>
      <c r="H143" s="28" t="s">
        <v>385</v>
      </c>
      <c r="I143" s="28" t="s">
        <v>385</v>
      </c>
      <c r="J143" s="78">
        <f aca="true" t="shared" si="47" ref="J143:J160">SUMIF(K143:N143,"&gt;0")</f>
        <v>0</v>
      </c>
      <c r="K143" s="12" t="s">
        <v>385</v>
      </c>
      <c r="L143" s="79" t="s">
        <v>385</v>
      </c>
      <c r="M143" s="79" t="s">
        <v>385</v>
      </c>
      <c r="N143" s="79" t="s">
        <v>385</v>
      </c>
      <c r="O143" s="78">
        <f aca="true" t="shared" si="48" ref="O143:O160">SUMIF(P143:S143,"&gt;0")</f>
        <v>0</v>
      </c>
      <c r="P143" s="79" t="s">
        <v>385</v>
      </c>
      <c r="Q143" s="79" t="s">
        <v>385</v>
      </c>
      <c r="R143" s="79" t="s">
        <v>385</v>
      </c>
      <c r="S143" s="79" t="s">
        <v>385</v>
      </c>
      <c r="T143" s="78">
        <f t="shared" si="43"/>
        <v>0</v>
      </c>
      <c r="U143" s="79" t="s">
        <v>385</v>
      </c>
      <c r="V143" s="79" t="s">
        <v>385</v>
      </c>
      <c r="W143" s="79" t="s">
        <v>385</v>
      </c>
      <c r="X143" s="79" t="s">
        <v>385</v>
      </c>
      <c r="Y143" s="120">
        <f t="shared" si="44"/>
        <v>5</v>
      </c>
      <c r="Z143" s="124">
        <v>5</v>
      </c>
      <c r="AA143" s="79" t="s">
        <v>385</v>
      </c>
      <c r="AB143" s="79" t="s">
        <v>385</v>
      </c>
      <c r="AC143" s="79" t="s">
        <v>385</v>
      </c>
      <c r="AD143" s="120">
        <f t="shared" si="45"/>
        <v>5</v>
      </c>
      <c r="AE143" s="124">
        <v>5</v>
      </c>
      <c r="AF143" s="79" t="s">
        <v>385</v>
      </c>
      <c r="AG143" s="79" t="s">
        <v>385</v>
      </c>
      <c r="AH143" s="79" t="s">
        <v>385</v>
      </c>
      <c r="AI143" s="120">
        <f t="shared" si="46"/>
        <v>5</v>
      </c>
      <c r="AJ143" s="124">
        <v>5</v>
      </c>
      <c r="AK143" s="79" t="s">
        <v>385</v>
      </c>
      <c r="AL143" s="79" t="s">
        <v>385</v>
      </c>
      <c r="AM143" s="79" t="s">
        <v>385</v>
      </c>
      <c r="AN143" s="128">
        <f t="shared" si="39"/>
        <v>15</v>
      </c>
      <c r="AO143" s="95"/>
    </row>
    <row r="144" spans="1:41" ht="47.25">
      <c r="A144" s="100" t="s">
        <v>146</v>
      </c>
      <c r="B144" s="42" t="s">
        <v>338</v>
      </c>
      <c r="C144" s="97" t="s">
        <v>341</v>
      </c>
      <c r="D144" s="12" t="s">
        <v>313</v>
      </c>
      <c r="E144" s="78">
        <f t="shared" si="40"/>
        <v>0</v>
      </c>
      <c r="F144" s="28" t="s">
        <v>385</v>
      </c>
      <c r="G144" s="28" t="s">
        <v>385</v>
      </c>
      <c r="H144" s="28" t="s">
        <v>385</v>
      </c>
      <c r="I144" s="28" t="s">
        <v>385</v>
      </c>
      <c r="J144" s="120">
        <f t="shared" si="47"/>
        <v>5</v>
      </c>
      <c r="K144" s="124">
        <v>5</v>
      </c>
      <c r="L144" s="79" t="s">
        <v>385</v>
      </c>
      <c r="M144" s="79" t="s">
        <v>385</v>
      </c>
      <c r="N144" s="79" t="s">
        <v>385</v>
      </c>
      <c r="O144" s="78">
        <f t="shared" si="48"/>
        <v>0</v>
      </c>
      <c r="P144" s="79" t="s">
        <v>385</v>
      </c>
      <c r="Q144" s="79" t="s">
        <v>385</v>
      </c>
      <c r="R144" s="79" t="s">
        <v>385</v>
      </c>
      <c r="S144" s="79" t="s">
        <v>385</v>
      </c>
      <c r="T144" s="78">
        <f t="shared" si="43"/>
        <v>0</v>
      </c>
      <c r="U144" s="79" t="s">
        <v>385</v>
      </c>
      <c r="V144" s="79" t="s">
        <v>385</v>
      </c>
      <c r="W144" s="79" t="s">
        <v>385</v>
      </c>
      <c r="X144" s="79" t="s">
        <v>385</v>
      </c>
      <c r="Y144" s="120">
        <f t="shared" si="44"/>
        <v>10</v>
      </c>
      <c r="Z144" s="124">
        <v>10</v>
      </c>
      <c r="AA144" s="79" t="s">
        <v>385</v>
      </c>
      <c r="AB144" s="79" t="s">
        <v>385</v>
      </c>
      <c r="AC144" s="79" t="s">
        <v>385</v>
      </c>
      <c r="AD144" s="120">
        <f t="shared" si="45"/>
        <v>10</v>
      </c>
      <c r="AE144" s="124">
        <v>10</v>
      </c>
      <c r="AF144" s="79" t="s">
        <v>385</v>
      </c>
      <c r="AG144" s="79" t="s">
        <v>385</v>
      </c>
      <c r="AH144" s="79" t="s">
        <v>385</v>
      </c>
      <c r="AI144" s="120">
        <f t="shared" si="46"/>
        <v>10</v>
      </c>
      <c r="AJ144" s="124">
        <v>10</v>
      </c>
      <c r="AK144" s="79" t="s">
        <v>385</v>
      </c>
      <c r="AL144" s="79" t="s">
        <v>385</v>
      </c>
      <c r="AM144" s="79" t="s">
        <v>385</v>
      </c>
      <c r="AN144" s="128">
        <f t="shared" si="39"/>
        <v>35</v>
      </c>
      <c r="AO144" s="95"/>
    </row>
    <row r="145" spans="1:41" ht="47.25">
      <c r="A145" s="100" t="s">
        <v>147</v>
      </c>
      <c r="B145" s="42" t="s">
        <v>444</v>
      </c>
      <c r="C145" s="101" t="s">
        <v>337</v>
      </c>
      <c r="D145" s="12" t="s">
        <v>296</v>
      </c>
      <c r="E145" s="78">
        <f t="shared" si="40"/>
        <v>0</v>
      </c>
      <c r="F145" s="28" t="s">
        <v>385</v>
      </c>
      <c r="G145" s="28" t="s">
        <v>385</v>
      </c>
      <c r="H145" s="28" t="s">
        <v>385</v>
      </c>
      <c r="I145" s="28" t="s">
        <v>385</v>
      </c>
      <c r="J145" s="78">
        <f t="shared" si="47"/>
        <v>0</v>
      </c>
      <c r="K145" s="12" t="s">
        <v>385</v>
      </c>
      <c r="L145" s="79" t="s">
        <v>385</v>
      </c>
      <c r="M145" s="79" t="s">
        <v>385</v>
      </c>
      <c r="N145" s="79" t="s">
        <v>385</v>
      </c>
      <c r="O145" s="78">
        <f t="shared" si="48"/>
        <v>0</v>
      </c>
      <c r="P145" s="79" t="s">
        <v>385</v>
      </c>
      <c r="Q145" s="79" t="s">
        <v>385</v>
      </c>
      <c r="R145" s="79" t="s">
        <v>385</v>
      </c>
      <c r="S145" s="79" t="s">
        <v>385</v>
      </c>
      <c r="T145" s="78">
        <f t="shared" si="43"/>
        <v>0</v>
      </c>
      <c r="U145" s="79" t="s">
        <v>385</v>
      </c>
      <c r="V145" s="79" t="s">
        <v>385</v>
      </c>
      <c r="W145" s="79" t="s">
        <v>385</v>
      </c>
      <c r="X145" s="79" t="s">
        <v>385</v>
      </c>
      <c r="Y145" s="120">
        <f t="shared" si="44"/>
        <v>70</v>
      </c>
      <c r="Z145" s="124">
        <v>70</v>
      </c>
      <c r="AA145" s="79" t="s">
        <v>385</v>
      </c>
      <c r="AB145" s="79" t="s">
        <v>385</v>
      </c>
      <c r="AC145" s="79" t="s">
        <v>385</v>
      </c>
      <c r="AD145" s="120">
        <f t="shared" si="45"/>
        <v>70</v>
      </c>
      <c r="AE145" s="124">
        <v>70</v>
      </c>
      <c r="AF145" s="79" t="s">
        <v>385</v>
      </c>
      <c r="AG145" s="79" t="s">
        <v>385</v>
      </c>
      <c r="AH145" s="79" t="s">
        <v>385</v>
      </c>
      <c r="AI145" s="120">
        <f t="shared" si="46"/>
        <v>70</v>
      </c>
      <c r="AJ145" s="124">
        <v>70</v>
      </c>
      <c r="AK145" s="79" t="s">
        <v>385</v>
      </c>
      <c r="AL145" s="79" t="s">
        <v>385</v>
      </c>
      <c r="AM145" s="79" t="s">
        <v>385</v>
      </c>
      <c r="AN145" s="128">
        <f t="shared" si="39"/>
        <v>210</v>
      </c>
      <c r="AO145" s="95"/>
    </row>
    <row r="146" spans="1:41" ht="47.25">
      <c r="A146" s="100" t="s">
        <v>148</v>
      </c>
      <c r="B146" s="42" t="s">
        <v>329</v>
      </c>
      <c r="C146" s="97" t="s">
        <v>330</v>
      </c>
      <c r="D146" s="12" t="s">
        <v>313</v>
      </c>
      <c r="E146" s="120">
        <f t="shared" si="40"/>
        <v>6</v>
      </c>
      <c r="F146" s="126">
        <f>3+3</f>
        <v>6</v>
      </c>
      <c r="G146" s="28" t="s">
        <v>385</v>
      </c>
      <c r="H146" s="28" t="s">
        <v>385</v>
      </c>
      <c r="I146" s="28" t="s">
        <v>385</v>
      </c>
      <c r="J146" s="120">
        <f t="shared" si="47"/>
        <v>3</v>
      </c>
      <c r="K146" s="124">
        <v>3</v>
      </c>
      <c r="L146" s="79" t="s">
        <v>385</v>
      </c>
      <c r="M146" s="79" t="s">
        <v>385</v>
      </c>
      <c r="N146" s="79" t="s">
        <v>385</v>
      </c>
      <c r="O146" s="78">
        <f t="shared" si="48"/>
        <v>0</v>
      </c>
      <c r="P146" s="79" t="s">
        <v>385</v>
      </c>
      <c r="Q146" s="79" t="s">
        <v>385</v>
      </c>
      <c r="R146" s="79" t="s">
        <v>385</v>
      </c>
      <c r="S146" s="79" t="s">
        <v>385</v>
      </c>
      <c r="T146" s="78">
        <f t="shared" si="43"/>
        <v>0</v>
      </c>
      <c r="U146" s="79" t="s">
        <v>385</v>
      </c>
      <c r="V146" s="79" t="s">
        <v>385</v>
      </c>
      <c r="W146" s="79" t="s">
        <v>385</v>
      </c>
      <c r="X146" s="79" t="s">
        <v>385</v>
      </c>
      <c r="Y146" s="120">
        <f t="shared" si="44"/>
        <v>15</v>
      </c>
      <c r="Z146" s="124">
        <v>15</v>
      </c>
      <c r="AA146" s="79" t="s">
        <v>385</v>
      </c>
      <c r="AB146" s="79" t="s">
        <v>385</v>
      </c>
      <c r="AC146" s="79" t="s">
        <v>385</v>
      </c>
      <c r="AD146" s="120">
        <f t="shared" si="45"/>
        <v>15</v>
      </c>
      <c r="AE146" s="124">
        <v>15</v>
      </c>
      <c r="AF146" s="79" t="s">
        <v>385</v>
      </c>
      <c r="AG146" s="79" t="s">
        <v>385</v>
      </c>
      <c r="AH146" s="79" t="s">
        <v>385</v>
      </c>
      <c r="AI146" s="120">
        <f t="shared" si="46"/>
        <v>15</v>
      </c>
      <c r="AJ146" s="124">
        <v>15</v>
      </c>
      <c r="AK146" s="79" t="s">
        <v>385</v>
      </c>
      <c r="AL146" s="79" t="s">
        <v>385</v>
      </c>
      <c r="AM146" s="79" t="s">
        <v>385</v>
      </c>
      <c r="AN146" s="128">
        <f t="shared" si="39"/>
        <v>54</v>
      </c>
      <c r="AO146" s="95"/>
    </row>
    <row r="147" spans="1:41" ht="63">
      <c r="A147" s="100" t="s">
        <v>211</v>
      </c>
      <c r="B147" s="42" t="s">
        <v>331</v>
      </c>
      <c r="C147" s="97" t="s">
        <v>100</v>
      </c>
      <c r="D147" s="12" t="s">
        <v>313</v>
      </c>
      <c r="E147" s="120">
        <f t="shared" si="40"/>
        <v>3</v>
      </c>
      <c r="F147" s="126">
        <v>3</v>
      </c>
      <c r="G147" s="28" t="s">
        <v>385</v>
      </c>
      <c r="H147" s="28" t="s">
        <v>385</v>
      </c>
      <c r="I147" s="28" t="s">
        <v>385</v>
      </c>
      <c r="J147" s="120">
        <f t="shared" si="47"/>
        <v>3</v>
      </c>
      <c r="K147" s="124">
        <v>3</v>
      </c>
      <c r="L147" s="79" t="s">
        <v>385</v>
      </c>
      <c r="M147" s="79" t="s">
        <v>385</v>
      </c>
      <c r="N147" s="79" t="s">
        <v>385</v>
      </c>
      <c r="O147" s="78">
        <f t="shared" si="48"/>
        <v>0</v>
      </c>
      <c r="P147" s="79" t="s">
        <v>385</v>
      </c>
      <c r="Q147" s="79" t="s">
        <v>385</v>
      </c>
      <c r="R147" s="79" t="s">
        <v>385</v>
      </c>
      <c r="S147" s="79" t="s">
        <v>385</v>
      </c>
      <c r="T147" s="78">
        <f t="shared" si="43"/>
        <v>0</v>
      </c>
      <c r="U147" s="79" t="s">
        <v>385</v>
      </c>
      <c r="V147" s="79" t="s">
        <v>385</v>
      </c>
      <c r="W147" s="79" t="s">
        <v>385</v>
      </c>
      <c r="X147" s="79" t="s">
        <v>385</v>
      </c>
      <c r="Y147" s="120">
        <f t="shared" si="44"/>
        <v>15</v>
      </c>
      <c r="Z147" s="124">
        <v>15</v>
      </c>
      <c r="AA147" s="79" t="s">
        <v>385</v>
      </c>
      <c r="AB147" s="79" t="s">
        <v>385</v>
      </c>
      <c r="AC147" s="79" t="s">
        <v>385</v>
      </c>
      <c r="AD147" s="120">
        <f t="shared" si="45"/>
        <v>15</v>
      </c>
      <c r="AE147" s="124">
        <v>15</v>
      </c>
      <c r="AF147" s="79" t="s">
        <v>385</v>
      </c>
      <c r="AG147" s="79" t="s">
        <v>385</v>
      </c>
      <c r="AH147" s="79" t="s">
        <v>385</v>
      </c>
      <c r="AI147" s="120">
        <f t="shared" si="46"/>
        <v>15</v>
      </c>
      <c r="AJ147" s="124">
        <v>15</v>
      </c>
      <c r="AK147" s="79" t="s">
        <v>385</v>
      </c>
      <c r="AL147" s="79" t="s">
        <v>385</v>
      </c>
      <c r="AM147" s="79" t="s">
        <v>385</v>
      </c>
      <c r="AN147" s="128">
        <f t="shared" si="39"/>
        <v>51</v>
      </c>
      <c r="AO147" s="95"/>
    </row>
    <row r="148" spans="1:41" ht="47.25">
      <c r="A148" s="100" t="s">
        <v>216</v>
      </c>
      <c r="B148" s="20" t="s">
        <v>328</v>
      </c>
      <c r="C148" s="97" t="s">
        <v>239</v>
      </c>
      <c r="D148" s="12" t="s">
        <v>296</v>
      </c>
      <c r="E148" s="120">
        <f t="shared" si="40"/>
        <v>7</v>
      </c>
      <c r="F148" s="127">
        <v>7</v>
      </c>
      <c r="G148" s="28" t="s">
        <v>385</v>
      </c>
      <c r="H148" s="28" t="s">
        <v>385</v>
      </c>
      <c r="I148" s="28" t="s">
        <v>385</v>
      </c>
      <c r="J148" s="120">
        <f t="shared" si="47"/>
        <v>5</v>
      </c>
      <c r="K148" s="124">
        <v>5</v>
      </c>
      <c r="L148" s="79" t="s">
        <v>385</v>
      </c>
      <c r="M148" s="79" t="s">
        <v>385</v>
      </c>
      <c r="N148" s="79" t="s">
        <v>385</v>
      </c>
      <c r="O148" s="78">
        <f t="shared" si="48"/>
        <v>0</v>
      </c>
      <c r="P148" s="79" t="s">
        <v>385</v>
      </c>
      <c r="Q148" s="79" t="s">
        <v>385</v>
      </c>
      <c r="R148" s="79" t="s">
        <v>385</v>
      </c>
      <c r="S148" s="79" t="s">
        <v>385</v>
      </c>
      <c r="T148" s="78">
        <f t="shared" si="43"/>
        <v>0</v>
      </c>
      <c r="U148" s="79" t="s">
        <v>385</v>
      </c>
      <c r="V148" s="79" t="s">
        <v>385</v>
      </c>
      <c r="W148" s="79" t="s">
        <v>385</v>
      </c>
      <c r="X148" s="79" t="s">
        <v>385</v>
      </c>
      <c r="Y148" s="120">
        <f t="shared" si="44"/>
        <v>38</v>
      </c>
      <c r="Z148" s="127">
        <v>38</v>
      </c>
      <c r="AA148" s="79" t="s">
        <v>385</v>
      </c>
      <c r="AB148" s="79" t="s">
        <v>385</v>
      </c>
      <c r="AC148" s="79" t="s">
        <v>385</v>
      </c>
      <c r="AD148" s="120">
        <f t="shared" si="45"/>
        <v>38</v>
      </c>
      <c r="AE148" s="127">
        <v>38</v>
      </c>
      <c r="AF148" s="79" t="s">
        <v>385</v>
      </c>
      <c r="AG148" s="79" t="s">
        <v>385</v>
      </c>
      <c r="AH148" s="79" t="s">
        <v>385</v>
      </c>
      <c r="AI148" s="120">
        <f t="shared" si="46"/>
        <v>38</v>
      </c>
      <c r="AJ148" s="127">
        <v>38</v>
      </c>
      <c r="AK148" s="79" t="s">
        <v>385</v>
      </c>
      <c r="AL148" s="79" t="s">
        <v>385</v>
      </c>
      <c r="AM148" s="79" t="s">
        <v>385</v>
      </c>
      <c r="AN148" s="128">
        <f t="shared" si="39"/>
        <v>126</v>
      </c>
      <c r="AO148" s="95"/>
    </row>
    <row r="149" spans="1:41" ht="47.25">
      <c r="A149" s="100" t="s">
        <v>224</v>
      </c>
      <c r="B149" s="20" t="s">
        <v>327</v>
      </c>
      <c r="C149" s="97" t="s">
        <v>130</v>
      </c>
      <c r="D149" s="12" t="s">
        <v>296</v>
      </c>
      <c r="E149" s="120">
        <f t="shared" si="40"/>
        <v>7</v>
      </c>
      <c r="F149" s="127">
        <v>7</v>
      </c>
      <c r="G149" s="28" t="s">
        <v>385</v>
      </c>
      <c r="H149" s="28" t="s">
        <v>385</v>
      </c>
      <c r="I149" s="28" t="s">
        <v>385</v>
      </c>
      <c r="J149" s="78">
        <f t="shared" si="47"/>
        <v>0</v>
      </c>
      <c r="K149" s="118">
        <f>3-3</f>
        <v>0</v>
      </c>
      <c r="L149" s="79" t="s">
        <v>385</v>
      </c>
      <c r="M149" s="79" t="s">
        <v>385</v>
      </c>
      <c r="N149" s="79" t="s">
        <v>385</v>
      </c>
      <c r="O149" s="78">
        <f t="shared" si="48"/>
        <v>0</v>
      </c>
      <c r="P149" s="79" t="s">
        <v>385</v>
      </c>
      <c r="Q149" s="79" t="s">
        <v>385</v>
      </c>
      <c r="R149" s="79" t="s">
        <v>385</v>
      </c>
      <c r="S149" s="79" t="s">
        <v>385</v>
      </c>
      <c r="T149" s="78">
        <f t="shared" si="43"/>
        <v>0</v>
      </c>
      <c r="U149" s="79" t="s">
        <v>385</v>
      </c>
      <c r="V149" s="79" t="s">
        <v>385</v>
      </c>
      <c r="W149" s="79" t="s">
        <v>385</v>
      </c>
      <c r="X149" s="79" t="s">
        <v>385</v>
      </c>
      <c r="Y149" s="120">
        <f t="shared" si="44"/>
        <v>28</v>
      </c>
      <c r="Z149" s="127">
        <v>28</v>
      </c>
      <c r="AA149" s="79" t="s">
        <v>385</v>
      </c>
      <c r="AB149" s="79" t="s">
        <v>385</v>
      </c>
      <c r="AC149" s="79" t="s">
        <v>385</v>
      </c>
      <c r="AD149" s="120">
        <f t="shared" si="45"/>
        <v>28</v>
      </c>
      <c r="AE149" s="127">
        <v>28</v>
      </c>
      <c r="AF149" s="79" t="s">
        <v>385</v>
      </c>
      <c r="AG149" s="79" t="s">
        <v>385</v>
      </c>
      <c r="AH149" s="79" t="s">
        <v>385</v>
      </c>
      <c r="AI149" s="120">
        <f t="shared" si="46"/>
        <v>28</v>
      </c>
      <c r="AJ149" s="127">
        <v>28</v>
      </c>
      <c r="AK149" s="79" t="s">
        <v>385</v>
      </c>
      <c r="AL149" s="79" t="s">
        <v>385</v>
      </c>
      <c r="AM149" s="79" t="s">
        <v>385</v>
      </c>
      <c r="AN149" s="128">
        <f t="shared" si="39"/>
        <v>91</v>
      </c>
      <c r="AO149" s="95"/>
    </row>
    <row r="150" spans="1:41" ht="47.25">
      <c r="A150" s="100" t="s">
        <v>364</v>
      </c>
      <c r="B150" s="20" t="s">
        <v>126</v>
      </c>
      <c r="C150" s="97" t="s">
        <v>131</v>
      </c>
      <c r="D150" s="12" t="s">
        <v>296</v>
      </c>
      <c r="E150" s="120">
        <f t="shared" si="40"/>
        <v>7</v>
      </c>
      <c r="F150" s="127">
        <v>7</v>
      </c>
      <c r="G150" s="28" t="s">
        <v>385</v>
      </c>
      <c r="H150" s="28" t="s">
        <v>385</v>
      </c>
      <c r="I150" s="28" t="s">
        <v>385</v>
      </c>
      <c r="J150" s="120">
        <f t="shared" si="47"/>
        <v>5</v>
      </c>
      <c r="K150" s="124">
        <v>5</v>
      </c>
      <c r="L150" s="79" t="s">
        <v>385</v>
      </c>
      <c r="M150" s="79" t="s">
        <v>385</v>
      </c>
      <c r="N150" s="79" t="s">
        <v>385</v>
      </c>
      <c r="O150" s="78">
        <f t="shared" si="48"/>
        <v>0</v>
      </c>
      <c r="P150" s="79" t="s">
        <v>385</v>
      </c>
      <c r="Q150" s="79" t="s">
        <v>385</v>
      </c>
      <c r="R150" s="79" t="s">
        <v>385</v>
      </c>
      <c r="S150" s="79" t="s">
        <v>385</v>
      </c>
      <c r="T150" s="78">
        <f t="shared" si="43"/>
        <v>0</v>
      </c>
      <c r="U150" s="79" t="s">
        <v>385</v>
      </c>
      <c r="V150" s="79" t="s">
        <v>385</v>
      </c>
      <c r="W150" s="79" t="s">
        <v>385</v>
      </c>
      <c r="X150" s="79" t="s">
        <v>385</v>
      </c>
      <c r="Y150" s="120">
        <f t="shared" si="44"/>
        <v>48</v>
      </c>
      <c r="Z150" s="127">
        <v>48</v>
      </c>
      <c r="AA150" s="79" t="s">
        <v>385</v>
      </c>
      <c r="AB150" s="79" t="s">
        <v>385</v>
      </c>
      <c r="AC150" s="79" t="s">
        <v>385</v>
      </c>
      <c r="AD150" s="120">
        <f t="shared" si="45"/>
        <v>48</v>
      </c>
      <c r="AE150" s="127">
        <v>48</v>
      </c>
      <c r="AF150" s="79" t="s">
        <v>385</v>
      </c>
      <c r="AG150" s="79" t="s">
        <v>385</v>
      </c>
      <c r="AH150" s="79" t="s">
        <v>385</v>
      </c>
      <c r="AI150" s="120">
        <f t="shared" si="46"/>
        <v>48</v>
      </c>
      <c r="AJ150" s="127">
        <v>48</v>
      </c>
      <c r="AK150" s="79" t="s">
        <v>385</v>
      </c>
      <c r="AL150" s="79" t="s">
        <v>385</v>
      </c>
      <c r="AM150" s="79" t="s">
        <v>385</v>
      </c>
      <c r="AN150" s="128">
        <f t="shared" si="39"/>
        <v>156</v>
      </c>
      <c r="AO150" s="95"/>
    </row>
    <row r="151" spans="1:41" ht="47.25">
      <c r="A151" s="100" t="s">
        <v>283</v>
      </c>
      <c r="B151" s="20" t="s">
        <v>127</v>
      </c>
      <c r="C151" s="97" t="s">
        <v>132</v>
      </c>
      <c r="D151" s="12" t="s">
        <v>296</v>
      </c>
      <c r="E151" s="120">
        <f t="shared" si="40"/>
        <v>5</v>
      </c>
      <c r="F151" s="127">
        <v>5</v>
      </c>
      <c r="G151" s="28" t="s">
        <v>385</v>
      </c>
      <c r="H151" s="28" t="s">
        <v>385</v>
      </c>
      <c r="I151" s="28" t="s">
        <v>385</v>
      </c>
      <c r="J151" s="120">
        <f t="shared" si="47"/>
        <v>8</v>
      </c>
      <c r="K151" s="124">
        <f>5+3</f>
        <v>8</v>
      </c>
      <c r="L151" s="79" t="s">
        <v>385</v>
      </c>
      <c r="M151" s="79" t="s">
        <v>385</v>
      </c>
      <c r="N151" s="79" t="s">
        <v>385</v>
      </c>
      <c r="O151" s="78">
        <f t="shared" si="48"/>
        <v>0</v>
      </c>
      <c r="P151" s="79" t="s">
        <v>385</v>
      </c>
      <c r="Q151" s="79" t="s">
        <v>385</v>
      </c>
      <c r="R151" s="79" t="s">
        <v>385</v>
      </c>
      <c r="S151" s="79" t="s">
        <v>385</v>
      </c>
      <c r="T151" s="78">
        <f t="shared" si="43"/>
        <v>0</v>
      </c>
      <c r="U151" s="79" t="s">
        <v>385</v>
      </c>
      <c r="V151" s="79" t="s">
        <v>385</v>
      </c>
      <c r="W151" s="79" t="s">
        <v>385</v>
      </c>
      <c r="X151" s="79" t="s">
        <v>385</v>
      </c>
      <c r="Y151" s="120">
        <f t="shared" si="44"/>
        <v>16</v>
      </c>
      <c r="Z151" s="127">
        <v>16</v>
      </c>
      <c r="AA151" s="79" t="s">
        <v>385</v>
      </c>
      <c r="AB151" s="79" t="s">
        <v>385</v>
      </c>
      <c r="AC151" s="79" t="s">
        <v>385</v>
      </c>
      <c r="AD151" s="120">
        <f t="shared" si="45"/>
        <v>16</v>
      </c>
      <c r="AE151" s="127">
        <v>16</v>
      </c>
      <c r="AF151" s="79" t="s">
        <v>385</v>
      </c>
      <c r="AG151" s="79" t="s">
        <v>385</v>
      </c>
      <c r="AH151" s="79" t="s">
        <v>385</v>
      </c>
      <c r="AI151" s="120">
        <f t="shared" si="46"/>
        <v>16</v>
      </c>
      <c r="AJ151" s="127">
        <v>16</v>
      </c>
      <c r="AK151" s="79" t="s">
        <v>385</v>
      </c>
      <c r="AL151" s="79" t="s">
        <v>385</v>
      </c>
      <c r="AM151" s="79" t="s">
        <v>385</v>
      </c>
      <c r="AN151" s="128">
        <f t="shared" si="39"/>
        <v>61</v>
      </c>
      <c r="AO151" s="95"/>
    </row>
    <row r="152" spans="1:41" ht="47.25">
      <c r="A152" s="100" t="s">
        <v>365</v>
      </c>
      <c r="B152" s="20" t="s">
        <v>128</v>
      </c>
      <c r="C152" s="97" t="s">
        <v>133</v>
      </c>
      <c r="D152" s="12" t="s">
        <v>296</v>
      </c>
      <c r="E152" s="120">
        <f t="shared" si="40"/>
        <v>3</v>
      </c>
      <c r="F152" s="127">
        <v>3</v>
      </c>
      <c r="G152" s="28" t="s">
        <v>385</v>
      </c>
      <c r="H152" s="28" t="s">
        <v>385</v>
      </c>
      <c r="I152" s="28" t="s">
        <v>385</v>
      </c>
      <c r="J152" s="120">
        <f t="shared" si="47"/>
        <v>3</v>
      </c>
      <c r="K152" s="124">
        <v>3</v>
      </c>
      <c r="L152" s="79" t="s">
        <v>385</v>
      </c>
      <c r="M152" s="79" t="s">
        <v>385</v>
      </c>
      <c r="N152" s="79" t="s">
        <v>385</v>
      </c>
      <c r="O152" s="78">
        <f t="shared" si="48"/>
        <v>0</v>
      </c>
      <c r="P152" s="79" t="s">
        <v>385</v>
      </c>
      <c r="Q152" s="79" t="s">
        <v>385</v>
      </c>
      <c r="R152" s="79" t="s">
        <v>385</v>
      </c>
      <c r="S152" s="79" t="s">
        <v>385</v>
      </c>
      <c r="T152" s="78">
        <f t="shared" si="43"/>
        <v>0</v>
      </c>
      <c r="U152" s="79" t="s">
        <v>385</v>
      </c>
      <c r="V152" s="79" t="s">
        <v>385</v>
      </c>
      <c r="W152" s="79" t="s">
        <v>385</v>
      </c>
      <c r="X152" s="79" t="s">
        <v>385</v>
      </c>
      <c r="Y152" s="120">
        <f t="shared" si="44"/>
        <v>16</v>
      </c>
      <c r="Z152" s="127">
        <v>16</v>
      </c>
      <c r="AA152" s="79" t="s">
        <v>385</v>
      </c>
      <c r="AB152" s="79" t="s">
        <v>385</v>
      </c>
      <c r="AC152" s="79" t="s">
        <v>385</v>
      </c>
      <c r="AD152" s="120">
        <f t="shared" si="45"/>
        <v>16</v>
      </c>
      <c r="AE152" s="127">
        <v>16</v>
      </c>
      <c r="AF152" s="79" t="s">
        <v>385</v>
      </c>
      <c r="AG152" s="79" t="s">
        <v>385</v>
      </c>
      <c r="AH152" s="79" t="s">
        <v>385</v>
      </c>
      <c r="AI152" s="120">
        <f t="shared" si="46"/>
        <v>16</v>
      </c>
      <c r="AJ152" s="127">
        <v>16</v>
      </c>
      <c r="AK152" s="79" t="s">
        <v>385</v>
      </c>
      <c r="AL152" s="79" t="s">
        <v>385</v>
      </c>
      <c r="AM152" s="79" t="s">
        <v>385</v>
      </c>
      <c r="AN152" s="128">
        <f t="shared" si="39"/>
        <v>54</v>
      </c>
      <c r="AO152" s="95"/>
    </row>
    <row r="153" spans="1:41" ht="47.25">
      <c r="A153" s="100" t="s">
        <v>366</v>
      </c>
      <c r="B153" s="20" t="s">
        <v>212</v>
      </c>
      <c r="C153" s="97" t="s">
        <v>473</v>
      </c>
      <c r="D153" s="12" t="s">
        <v>296</v>
      </c>
      <c r="E153" s="120">
        <f t="shared" si="40"/>
        <v>3</v>
      </c>
      <c r="F153" s="127">
        <v>3</v>
      </c>
      <c r="G153" s="28" t="s">
        <v>385</v>
      </c>
      <c r="H153" s="28" t="s">
        <v>385</v>
      </c>
      <c r="I153" s="28" t="s">
        <v>385</v>
      </c>
      <c r="J153" s="78">
        <f t="shared" si="47"/>
        <v>0</v>
      </c>
      <c r="K153" s="118">
        <f>3-3</f>
        <v>0</v>
      </c>
      <c r="L153" s="79" t="s">
        <v>385</v>
      </c>
      <c r="M153" s="79" t="s">
        <v>385</v>
      </c>
      <c r="N153" s="79" t="s">
        <v>385</v>
      </c>
      <c r="O153" s="78">
        <f t="shared" si="48"/>
        <v>0</v>
      </c>
      <c r="P153" s="79" t="s">
        <v>385</v>
      </c>
      <c r="Q153" s="79" t="s">
        <v>385</v>
      </c>
      <c r="R153" s="79" t="s">
        <v>385</v>
      </c>
      <c r="S153" s="79" t="s">
        <v>385</v>
      </c>
      <c r="T153" s="78">
        <f t="shared" si="43"/>
        <v>0</v>
      </c>
      <c r="U153" s="79" t="s">
        <v>385</v>
      </c>
      <c r="V153" s="79" t="s">
        <v>385</v>
      </c>
      <c r="W153" s="79" t="s">
        <v>385</v>
      </c>
      <c r="X153" s="79" t="s">
        <v>385</v>
      </c>
      <c r="Y153" s="120">
        <f t="shared" si="44"/>
        <v>16</v>
      </c>
      <c r="Z153" s="127">
        <v>16</v>
      </c>
      <c r="AA153" s="79" t="s">
        <v>385</v>
      </c>
      <c r="AB153" s="79" t="s">
        <v>385</v>
      </c>
      <c r="AC153" s="79" t="s">
        <v>385</v>
      </c>
      <c r="AD153" s="120">
        <f t="shared" si="45"/>
        <v>16</v>
      </c>
      <c r="AE153" s="127">
        <v>16</v>
      </c>
      <c r="AF153" s="79" t="s">
        <v>385</v>
      </c>
      <c r="AG153" s="79" t="s">
        <v>385</v>
      </c>
      <c r="AH153" s="79" t="s">
        <v>385</v>
      </c>
      <c r="AI153" s="120">
        <f t="shared" si="46"/>
        <v>16</v>
      </c>
      <c r="AJ153" s="127">
        <v>16</v>
      </c>
      <c r="AK153" s="79" t="s">
        <v>385</v>
      </c>
      <c r="AL153" s="79" t="s">
        <v>385</v>
      </c>
      <c r="AM153" s="79" t="s">
        <v>385</v>
      </c>
      <c r="AN153" s="128">
        <f t="shared" si="39"/>
        <v>51</v>
      </c>
      <c r="AO153" s="95"/>
    </row>
    <row r="154" spans="1:41" ht="47.25">
      <c r="A154" s="100" t="s">
        <v>367</v>
      </c>
      <c r="B154" s="20" t="s">
        <v>264</v>
      </c>
      <c r="C154" s="97" t="s">
        <v>217</v>
      </c>
      <c r="D154" s="12" t="s">
        <v>296</v>
      </c>
      <c r="E154" s="120">
        <f t="shared" si="40"/>
        <v>7</v>
      </c>
      <c r="F154" s="127">
        <v>7</v>
      </c>
      <c r="G154" s="28" t="s">
        <v>385</v>
      </c>
      <c r="H154" s="28" t="s">
        <v>385</v>
      </c>
      <c r="I154" s="28" t="s">
        <v>385</v>
      </c>
      <c r="J154" s="120">
        <f t="shared" si="47"/>
        <v>7</v>
      </c>
      <c r="K154" s="124">
        <v>7</v>
      </c>
      <c r="L154" s="79" t="s">
        <v>385</v>
      </c>
      <c r="M154" s="79" t="s">
        <v>385</v>
      </c>
      <c r="N154" s="79" t="s">
        <v>385</v>
      </c>
      <c r="O154" s="78">
        <f t="shared" si="48"/>
        <v>0</v>
      </c>
      <c r="P154" s="79" t="s">
        <v>385</v>
      </c>
      <c r="Q154" s="79" t="s">
        <v>385</v>
      </c>
      <c r="R154" s="79" t="s">
        <v>385</v>
      </c>
      <c r="S154" s="79" t="s">
        <v>385</v>
      </c>
      <c r="T154" s="78">
        <f t="shared" si="43"/>
        <v>0</v>
      </c>
      <c r="U154" s="79" t="s">
        <v>385</v>
      </c>
      <c r="V154" s="79" t="s">
        <v>385</v>
      </c>
      <c r="W154" s="79" t="s">
        <v>385</v>
      </c>
      <c r="X154" s="79" t="s">
        <v>385</v>
      </c>
      <c r="Y154" s="120">
        <f t="shared" si="44"/>
        <v>16</v>
      </c>
      <c r="Z154" s="127">
        <v>16</v>
      </c>
      <c r="AA154" s="79" t="s">
        <v>385</v>
      </c>
      <c r="AB154" s="79" t="s">
        <v>385</v>
      </c>
      <c r="AC154" s="79" t="s">
        <v>385</v>
      </c>
      <c r="AD154" s="120">
        <f t="shared" si="45"/>
        <v>0</v>
      </c>
      <c r="AE154" s="127">
        <v>0</v>
      </c>
      <c r="AF154" s="79" t="s">
        <v>385</v>
      </c>
      <c r="AG154" s="79" t="s">
        <v>385</v>
      </c>
      <c r="AH154" s="79" t="s">
        <v>385</v>
      </c>
      <c r="AI154" s="120">
        <f t="shared" si="46"/>
        <v>16</v>
      </c>
      <c r="AJ154" s="127">
        <v>16</v>
      </c>
      <c r="AK154" s="79" t="s">
        <v>385</v>
      </c>
      <c r="AL154" s="79" t="s">
        <v>385</v>
      </c>
      <c r="AM154" s="79" t="s">
        <v>385</v>
      </c>
      <c r="AN154" s="128">
        <f t="shared" si="39"/>
        <v>46</v>
      </c>
      <c r="AO154" s="95"/>
    </row>
    <row r="155" spans="1:41" ht="63">
      <c r="A155" s="100" t="s">
        <v>368</v>
      </c>
      <c r="B155" s="20" t="s">
        <v>439</v>
      </c>
      <c r="C155" s="97" t="s">
        <v>440</v>
      </c>
      <c r="D155" s="12" t="s">
        <v>296</v>
      </c>
      <c r="E155" s="120">
        <f>SUMIF(F155:I155,"&gt;0")</f>
        <v>3</v>
      </c>
      <c r="F155" s="127">
        <v>3</v>
      </c>
      <c r="G155" s="28" t="s">
        <v>385</v>
      </c>
      <c r="H155" s="28" t="s">
        <v>385</v>
      </c>
      <c r="I155" s="28" t="s">
        <v>385</v>
      </c>
      <c r="J155" s="120">
        <f t="shared" si="47"/>
        <v>3</v>
      </c>
      <c r="K155" s="124">
        <v>3</v>
      </c>
      <c r="L155" s="79" t="s">
        <v>385</v>
      </c>
      <c r="M155" s="79" t="s">
        <v>385</v>
      </c>
      <c r="N155" s="79" t="s">
        <v>385</v>
      </c>
      <c r="O155" s="78">
        <f t="shared" si="48"/>
        <v>0</v>
      </c>
      <c r="P155" s="79" t="s">
        <v>385</v>
      </c>
      <c r="Q155" s="79" t="s">
        <v>385</v>
      </c>
      <c r="R155" s="79" t="s">
        <v>385</v>
      </c>
      <c r="S155" s="79" t="s">
        <v>385</v>
      </c>
      <c r="T155" s="78">
        <f>SUMIF(U155:X155,"&gt;0")</f>
        <v>0</v>
      </c>
      <c r="U155" s="79" t="s">
        <v>385</v>
      </c>
      <c r="V155" s="79" t="s">
        <v>385</v>
      </c>
      <c r="W155" s="79" t="s">
        <v>385</v>
      </c>
      <c r="X155" s="79" t="s">
        <v>385</v>
      </c>
      <c r="Y155" s="120">
        <f>SUMIF(Z155:AC155,"&gt;0")</f>
        <v>20</v>
      </c>
      <c r="Z155" s="127">
        <v>20</v>
      </c>
      <c r="AA155" s="79" t="s">
        <v>385</v>
      </c>
      <c r="AB155" s="79" t="s">
        <v>385</v>
      </c>
      <c r="AC155" s="79" t="s">
        <v>385</v>
      </c>
      <c r="AD155" s="120">
        <f>SUMIF(AE155:AH155,"&gt;0")</f>
        <v>20</v>
      </c>
      <c r="AE155" s="127">
        <v>20</v>
      </c>
      <c r="AF155" s="79" t="s">
        <v>385</v>
      </c>
      <c r="AG155" s="79" t="s">
        <v>385</v>
      </c>
      <c r="AH155" s="79" t="s">
        <v>385</v>
      </c>
      <c r="AI155" s="120">
        <f>SUMIF(AJ155:AM155,"&gt;0")</f>
        <v>20</v>
      </c>
      <c r="AJ155" s="127">
        <v>20</v>
      </c>
      <c r="AK155" s="79" t="s">
        <v>385</v>
      </c>
      <c r="AL155" s="79" t="s">
        <v>385</v>
      </c>
      <c r="AM155" s="79" t="s">
        <v>385</v>
      </c>
      <c r="AN155" s="128">
        <f>E155+J155+O155+T155+Y155+AD155+AI155</f>
        <v>66</v>
      </c>
      <c r="AO155" s="95"/>
    </row>
    <row r="156" spans="1:41" ht="47.25">
      <c r="A156" s="100" t="s">
        <v>369</v>
      </c>
      <c r="B156" s="20" t="s">
        <v>458</v>
      </c>
      <c r="C156" s="97" t="s">
        <v>326</v>
      </c>
      <c r="D156" s="12" t="s">
        <v>296</v>
      </c>
      <c r="E156" s="120">
        <f t="shared" si="40"/>
        <v>7</v>
      </c>
      <c r="F156" s="127">
        <v>7</v>
      </c>
      <c r="G156" s="28" t="s">
        <v>385</v>
      </c>
      <c r="H156" s="28" t="s">
        <v>385</v>
      </c>
      <c r="I156" s="28" t="s">
        <v>385</v>
      </c>
      <c r="J156" s="120">
        <f t="shared" si="47"/>
        <v>5</v>
      </c>
      <c r="K156" s="124">
        <v>5</v>
      </c>
      <c r="L156" s="79" t="s">
        <v>385</v>
      </c>
      <c r="M156" s="79" t="s">
        <v>385</v>
      </c>
      <c r="N156" s="79" t="s">
        <v>385</v>
      </c>
      <c r="O156" s="78">
        <f t="shared" si="48"/>
        <v>0</v>
      </c>
      <c r="P156" s="79" t="s">
        <v>385</v>
      </c>
      <c r="Q156" s="79" t="s">
        <v>385</v>
      </c>
      <c r="R156" s="79" t="s">
        <v>385</v>
      </c>
      <c r="S156" s="79" t="s">
        <v>385</v>
      </c>
      <c r="T156" s="78">
        <f t="shared" si="43"/>
        <v>0</v>
      </c>
      <c r="U156" s="79" t="s">
        <v>385</v>
      </c>
      <c r="V156" s="79" t="s">
        <v>385</v>
      </c>
      <c r="W156" s="79" t="s">
        <v>385</v>
      </c>
      <c r="X156" s="79" t="s">
        <v>385</v>
      </c>
      <c r="Y156" s="120">
        <f t="shared" si="44"/>
        <v>16</v>
      </c>
      <c r="Z156" s="127">
        <v>16</v>
      </c>
      <c r="AA156" s="79" t="s">
        <v>385</v>
      </c>
      <c r="AB156" s="79" t="s">
        <v>385</v>
      </c>
      <c r="AC156" s="79" t="s">
        <v>385</v>
      </c>
      <c r="AD156" s="120">
        <f t="shared" si="45"/>
        <v>16</v>
      </c>
      <c r="AE156" s="127">
        <v>16</v>
      </c>
      <c r="AF156" s="79" t="s">
        <v>385</v>
      </c>
      <c r="AG156" s="79" t="s">
        <v>385</v>
      </c>
      <c r="AH156" s="79" t="s">
        <v>385</v>
      </c>
      <c r="AI156" s="120">
        <f t="shared" si="46"/>
        <v>16</v>
      </c>
      <c r="AJ156" s="127">
        <v>16</v>
      </c>
      <c r="AK156" s="79" t="s">
        <v>385</v>
      </c>
      <c r="AL156" s="79" t="s">
        <v>385</v>
      </c>
      <c r="AM156" s="79" t="s">
        <v>385</v>
      </c>
      <c r="AN156" s="128">
        <f t="shared" si="39"/>
        <v>60</v>
      </c>
      <c r="AO156" s="95"/>
    </row>
    <row r="157" spans="1:41" ht="78.75">
      <c r="A157" s="100" t="s">
        <v>370</v>
      </c>
      <c r="B157" s="20" t="s">
        <v>332</v>
      </c>
      <c r="C157" s="97" t="s">
        <v>510</v>
      </c>
      <c r="D157" s="12" t="s">
        <v>296</v>
      </c>
      <c r="E157" s="130">
        <f t="shared" si="40"/>
        <v>0</v>
      </c>
      <c r="F157" s="94">
        <f>3-3</f>
        <v>0</v>
      </c>
      <c r="G157" s="28" t="s">
        <v>385</v>
      </c>
      <c r="H157" s="28" t="s">
        <v>385</v>
      </c>
      <c r="I157" s="28" t="s">
        <v>385</v>
      </c>
      <c r="J157" s="120">
        <f t="shared" si="47"/>
        <v>3</v>
      </c>
      <c r="K157" s="124">
        <v>3</v>
      </c>
      <c r="L157" s="79" t="s">
        <v>385</v>
      </c>
      <c r="M157" s="79" t="s">
        <v>385</v>
      </c>
      <c r="N157" s="79" t="s">
        <v>385</v>
      </c>
      <c r="O157" s="78">
        <f t="shared" si="48"/>
        <v>0</v>
      </c>
      <c r="P157" s="79" t="s">
        <v>385</v>
      </c>
      <c r="Q157" s="79" t="s">
        <v>385</v>
      </c>
      <c r="R157" s="79" t="s">
        <v>385</v>
      </c>
      <c r="S157" s="79" t="s">
        <v>385</v>
      </c>
      <c r="T157" s="78">
        <f t="shared" si="43"/>
        <v>0</v>
      </c>
      <c r="U157" s="79" t="s">
        <v>385</v>
      </c>
      <c r="V157" s="79" t="s">
        <v>385</v>
      </c>
      <c r="W157" s="79" t="s">
        <v>385</v>
      </c>
      <c r="X157" s="79" t="s">
        <v>385</v>
      </c>
      <c r="Y157" s="120">
        <f t="shared" si="44"/>
        <v>16</v>
      </c>
      <c r="Z157" s="127">
        <v>16</v>
      </c>
      <c r="AA157" s="79" t="s">
        <v>385</v>
      </c>
      <c r="AB157" s="79" t="s">
        <v>385</v>
      </c>
      <c r="AC157" s="79" t="s">
        <v>385</v>
      </c>
      <c r="AD157" s="120">
        <f t="shared" si="45"/>
        <v>16</v>
      </c>
      <c r="AE157" s="127">
        <v>16</v>
      </c>
      <c r="AF157" s="79" t="s">
        <v>385</v>
      </c>
      <c r="AG157" s="79" t="s">
        <v>385</v>
      </c>
      <c r="AH157" s="79" t="s">
        <v>385</v>
      </c>
      <c r="AI157" s="120">
        <f t="shared" si="46"/>
        <v>16</v>
      </c>
      <c r="AJ157" s="127">
        <v>16</v>
      </c>
      <c r="AK157" s="79" t="s">
        <v>385</v>
      </c>
      <c r="AL157" s="79" t="s">
        <v>385</v>
      </c>
      <c r="AM157" s="79" t="s">
        <v>385</v>
      </c>
      <c r="AN157" s="128">
        <f t="shared" si="39"/>
        <v>51</v>
      </c>
      <c r="AO157" s="95"/>
    </row>
    <row r="158" spans="1:41" ht="47.25">
      <c r="A158" s="100" t="s">
        <v>371</v>
      </c>
      <c r="B158" s="20" t="s">
        <v>226</v>
      </c>
      <c r="C158" s="97" t="s">
        <v>225</v>
      </c>
      <c r="D158" s="12" t="s">
        <v>296</v>
      </c>
      <c r="E158" s="120">
        <f t="shared" si="40"/>
        <v>3</v>
      </c>
      <c r="F158" s="124">
        <v>3</v>
      </c>
      <c r="G158" s="28" t="s">
        <v>385</v>
      </c>
      <c r="H158" s="28" t="s">
        <v>385</v>
      </c>
      <c r="I158" s="28" t="s">
        <v>385</v>
      </c>
      <c r="J158" s="120">
        <f t="shared" si="47"/>
        <v>3</v>
      </c>
      <c r="K158" s="124">
        <v>3</v>
      </c>
      <c r="L158" s="79" t="s">
        <v>385</v>
      </c>
      <c r="M158" s="79" t="s">
        <v>385</v>
      </c>
      <c r="N158" s="79" t="s">
        <v>385</v>
      </c>
      <c r="O158" s="78">
        <f t="shared" si="48"/>
        <v>0</v>
      </c>
      <c r="P158" s="79" t="s">
        <v>385</v>
      </c>
      <c r="Q158" s="79" t="s">
        <v>385</v>
      </c>
      <c r="R158" s="79" t="s">
        <v>385</v>
      </c>
      <c r="S158" s="79" t="s">
        <v>385</v>
      </c>
      <c r="T158" s="78">
        <f t="shared" si="43"/>
        <v>0</v>
      </c>
      <c r="U158" s="79" t="s">
        <v>385</v>
      </c>
      <c r="V158" s="79" t="s">
        <v>385</v>
      </c>
      <c r="W158" s="79" t="s">
        <v>385</v>
      </c>
      <c r="X158" s="79" t="s">
        <v>385</v>
      </c>
      <c r="Y158" s="120">
        <f t="shared" si="44"/>
        <v>3</v>
      </c>
      <c r="Z158" s="124">
        <v>3</v>
      </c>
      <c r="AA158" s="79" t="s">
        <v>385</v>
      </c>
      <c r="AB158" s="79" t="s">
        <v>385</v>
      </c>
      <c r="AC158" s="79" t="s">
        <v>385</v>
      </c>
      <c r="AD158" s="120">
        <f t="shared" si="45"/>
        <v>3</v>
      </c>
      <c r="AE158" s="124">
        <v>3</v>
      </c>
      <c r="AF158" s="79" t="s">
        <v>385</v>
      </c>
      <c r="AG158" s="79" t="s">
        <v>385</v>
      </c>
      <c r="AH158" s="79" t="s">
        <v>385</v>
      </c>
      <c r="AI158" s="120">
        <f t="shared" si="46"/>
        <v>3</v>
      </c>
      <c r="AJ158" s="124">
        <v>3</v>
      </c>
      <c r="AK158" s="79" t="s">
        <v>385</v>
      </c>
      <c r="AL158" s="79" t="s">
        <v>385</v>
      </c>
      <c r="AM158" s="79" t="s">
        <v>385</v>
      </c>
      <c r="AN158" s="128">
        <f t="shared" si="39"/>
        <v>15</v>
      </c>
      <c r="AO158" s="95"/>
    </row>
    <row r="159" spans="1:41" ht="63">
      <c r="A159" s="100" t="s">
        <v>438</v>
      </c>
      <c r="B159" s="20" t="s">
        <v>284</v>
      </c>
      <c r="C159" s="97" t="s">
        <v>134</v>
      </c>
      <c r="D159" s="12" t="s">
        <v>296</v>
      </c>
      <c r="E159" s="120">
        <f>SUMIF(F159:I159,"&gt;0")</f>
        <v>6</v>
      </c>
      <c r="F159" s="124">
        <v>6</v>
      </c>
      <c r="G159" s="28" t="s">
        <v>385</v>
      </c>
      <c r="H159" s="28" t="s">
        <v>385</v>
      </c>
      <c r="I159" s="28" t="s">
        <v>385</v>
      </c>
      <c r="J159" s="120">
        <f>SUMIF(K159:N159,"&gt;0")</f>
        <v>5</v>
      </c>
      <c r="K159" s="124">
        <v>5</v>
      </c>
      <c r="L159" s="79" t="s">
        <v>385</v>
      </c>
      <c r="M159" s="79" t="s">
        <v>385</v>
      </c>
      <c r="N159" s="79" t="s">
        <v>385</v>
      </c>
      <c r="O159" s="78">
        <f>SUMIF(P159:S159,"&gt;0")</f>
        <v>0</v>
      </c>
      <c r="P159" s="79" t="s">
        <v>385</v>
      </c>
      <c r="Q159" s="79" t="s">
        <v>385</v>
      </c>
      <c r="R159" s="79" t="s">
        <v>385</v>
      </c>
      <c r="S159" s="79" t="s">
        <v>385</v>
      </c>
      <c r="T159" s="78">
        <f>SUMIF(U159:X159,"&gt;0")</f>
        <v>0</v>
      </c>
      <c r="U159" s="79" t="s">
        <v>385</v>
      </c>
      <c r="V159" s="79" t="s">
        <v>385</v>
      </c>
      <c r="W159" s="79" t="s">
        <v>385</v>
      </c>
      <c r="X159" s="79" t="s">
        <v>385</v>
      </c>
      <c r="Y159" s="120">
        <f>SUMIF(Z159:AC159,"&gt;0")</f>
        <v>10</v>
      </c>
      <c r="Z159" s="124">
        <v>10</v>
      </c>
      <c r="AA159" s="79" t="s">
        <v>385</v>
      </c>
      <c r="AB159" s="79" t="s">
        <v>385</v>
      </c>
      <c r="AC159" s="79" t="s">
        <v>385</v>
      </c>
      <c r="AD159" s="120">
        <f>SUMIF(AE159:AH159,"&gt;0")</f>
        <v>10</v>
      </c>
      <c r="AE159" s="124">
        <v>10</v>
      </c>
      <c r="AF159" s="79" t="s">
        <v>385</v>
      </c>
      <c r="AG159" s="79" t="s">
        <v>385</v>
      </c>
      <c r="AH159" s="79" t="s">
        <v>385</v>
      </c>
      <c r="AI159" s="120">
        <f>SUMIF(AJ159:AM159,"&gt;0")</f>
        <v>10</v>
      </c>
      <c r="AJ159" s="124">
        <v>10</v>
      </c>
      <c r="AK159" s="79" t="s">
        <v>385</v>
      </c>
      <c r="AL159" s="79" t="s">
        <v>385</v>
      </c>
      <c r="AM159" s="79" t="s">
        <v>385</v>
      </c>
      <c r="AN159" s="128">
        <f>E159+J159+O159+T159+Y159+AD159+AI159</f>
        <v>41</v>
      </c>
      <c r="AO159" s="95"/>
    </row>
    <row r="160" spans="1:41" ht="47.25">
      <c r="A160" s="100" t="s">
        <v>509</v>
      </c>
      <c r="B160" s="20" t="s">
        <v>513</v>
      </c>
      <c r="C160" s="97" t="s">
        <v>514</v>
      </c>
      <c r="D160" s="132">
        <v>2022</v>
      </c>
      <c r="E160" s="78">
        <f>SUMIF(F160:I160,"&gt;0")</f>
        <v>0</v>
      </c>
      <c r="F160" s="79" t="s">
        <v>385</v>
      </c>
      <c r="G160" s="79" t="s">
        <v>385</v>
      </c>
      <c r="H160" s="79" t="s">
        <v>385</v>
      </c>
      <c r="I160" s="79" t="s">
        <v>385</v>
      </c>
      <c r="J160" s="78">
        <f t="shared" si="47"/>
        <v>0</v>
      </c>
      <c r="K160" s="12" t="s">
        <v>385</v>
      </c>
      <c r="L160" s="79" t="s">
        <v>385</v>
      </c>
      <c r="M160" s="79" t="s">
        <v>385</v>
      </c>
      <c r="N160" s="79" t="s">
        <v>385</v>
      </c>
      <c r="O160" s="78">
        <f t="shared" si="48"/>
        <v>0</v>
      </c>
      <c r="P160" s="79" t="s">
        <v>385</v>
      </c>
      <c r="Q160" s="79" t="s">
        <v>385</v>
      </c>
      <c r="R160" s="79" t="s">
        <v>385</v>
      </c>
      <c r="S160" s="79" t="s">
        <v>385</v>
      </c>
      <c r="T160" s="78">
        <f t="shared" si="43"/>
        <v>0</v>
      </c>
      <c r="U160" s="79" t="s">
        <v>385</v>
      </c>
      <c r="V160" s="79" t="s">
        <v>385</v>
      </c>
      <c r="W160" s="79" t="s">
        <v>385</v>
      </c>
      <c r="X160" s="79" t="s">
        <v>385</v>
      </c>
      <c r="Y160" s="78">
        <f t="shared" si="44"/>
        <v>0</v>
      </c>
      <c r="Z160" s="79" t="s">
        <v>385</v>
      </c>
      <c r="AA160" s="79" t="s">
        <v>385</v>
      </c>
      <c r="AB160" s="79" t="s">
        <v>385</v>
      </c>
      <c r="AC160" s="79" t="s">
        <v>385</v>
      </c>
      <c r="AD160" s="78">
        <f t="shared" si="45"/>
        <v>0</v>
      </c>
      <c r="AE160" s="79" t="s">
        <v>385</v>
      </c>
      <c r="AF160" s="79" t="s">
        <v>385</v>
      </c>
      <c r="AG160" s="79" t="s">
        <v>385</v>
      </c>
      <c r="AH160" s="79" t="s">
        <v>385</v>
      </c>
      <c r="AI160" s="78">
        <f t="shared" si="46"/>
        <v>0</v>
      </c>
      <c r="AJ160" s="79" t="s">
        <v>385</v>
      </c>
      <c r="AK160" s="79" t="s">
        <v>385</v>
      </c>
      <c r="AL160" s="79" t="s">
        <v>385</v>
      </c>
      <c r="AM160" s="79" t="s">
        <v>385</v>
      </c>
      <c r="AN160" s="128">
        <f t="shared" si="39"/>
        <v>0</v>
      </c>
      <c r="AO160" s="95"/>
    </row>
    <row r="161" spans="1:41" ht="31.5">
      <c r="A161" s="43" t="s">
        <v>29</v>
      </c>
      <c r="B161" s="44" t="s">
        <v>203</v>
      </c>
      <c r="C161" s="12"/>
      <c r="D161" s="12"/>
      <c r="E161" s="45"/>
      <c r="F161" s="75"/>
      <c r="G161" s="104"/>
      <c r="H161" s="10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45"/>
      <c r="AJ161" s="75"/>
      <c r="AK161" s="104"/>
      <c r="AL161" s="104"/>
      <c r="AM161" s="94"/>
      <c r="AN161" s="23"/>
      <c r="AO161" s="95"/>
    </row>
    <row r="162" spans="1:41" ht="63">
      <c r="A162" s="100" t="s">
        <v>167</v>
      </c>
      <c r="B162" s="42" t="s">
        <v>149</v>
      </c>
      <c r="C162" s="97" t="s">
        <v>134</v>
      </c>
      <c r="D162" s="12" t="s">
        <v>296</v>
      </c>
      <c r="E162" s="120">
        <f aca="true" t="shared" si="49" ref="E162:E184">SUMIF(F162:I162,"&gt;0")</f>
        <v>20</v>
      </c>
      <c r="F162" s="124">
        <v>20</v>
      </c>
      <c r="G162" s="28" t="s">
        <v>385</v>
      </c>
      <c r="H162" s="28" t="s">
        <v>385</v>
      </c>
      <c r="I162" s="28" t="s">
        <v>385</v>
      </c>
      <c r="J162" s="120">
        <f aca="true" t="shared" si="50" ref="J162:J181">SUMIF(K162:N162,"&gt;0")</f>
        <v>20</v>
      </c>
      <c r="K162" s="124">
        <v>20</v>
      </c>
      <c r="L162" s="79" t="s">
        <v>385</v>
      </c>
      <c r="M162" s="79" t="s">
        <v>385</v>
      </c>
      <c r="N162" s="79" t="s">
        <v>385</v>
      </c>
      <c r="O162" s="78">
        <f aca="true" t="shared" si="51" ref="O162:O181">SUMIF(P162:S162,"&gt;0")</f>
        <v>0</v>
      </c>
      <c r="P162" s="79" t="s">
        <v>385</v>
      </c>
      <c r="Q162" s="79" t="s">
        <v>385</v>
      </c>
      <c r="R162" s="79" t="s">
        <v>385</v>
      </c>
      <c r="S162" s="79" t="s">
        <v>385</v>
      </c>
      <c r="T162" s="78">
        <f aca="true" t="shared" si="52" ref="T162:T184">SUMIF(U162:X162,"&gt;0")</f>
        <v>0</v>
      </c>
      <c r="U162" s="79" t="s">
        <v>385</v>
      </c>
      <c r="V162" s="79" t="s">
        <v>385</v>
      </c>
      <c r="W162" s="79" t="s">
        <v>385</v>
      </c>
      <c r="X162" s="79" t="s">
        <v>385</v>
      </c>
      <c r="Y162" s="120">
        <f aca="true" t="shared" si="53" ref="Y162:Y184">SUMIF(Z162:AC162,"&gt;0")</f>
        <v>74</v>
      </c>
      <c r="Z162" s="124">
        <v>74</v>
      </c>
      <c r="AA162" s="79" t="s">
        <v>385</v>
      </c>
      <c r="AB162" s="79" t="s">
        <v>385</v>
      </c>
      <c r="AC162" s="79" t="s">
        <v>385</v>
      </c>
      <c r="AD162" s="120">
        <f aca="true" t="shared" si="54" ref="AD162:AD184">SUMIF(AE162:AH162,"&gt;0")</f>
        <v>74</v>
      </c>
      <c r="AE162" s="124">
        <v>74</v>
      </c>
      <c r="AF162" s="79" t="s">
        <v>385</v>
      </c>
      <c r="AG162" s="79" t="s">
        <v>385</v>
      </c>
      <c r="AH162" s="79" t="s">
        <v>385</v>
      </c>
      <c r="AI162" s="120">
        <f aca="true" t="shared" si="55" ref="AI162:AI184">SUMIF(AJ162:AM162,"&gt;0")</f>
        <v>74</v>
      </c>
      <c r="AJ162" s="124">
        <v>74</v>
      </c>
      <c r="AK162" s="79" t="s">
        <v>385</v>
      </c>
      <c r="AL162" s="79" t="s">
        <v>385</v>
      </c>
      <c r="AM162" s="79" t="s">
        <v>385</v>
      </c>
      <c r="AN162" s="128">
        <f t="shared" si="39"/>
        <v>262</v>
      </c>
      <c r="AO162" s="95"/>
    </row>
    <row r="163" spans="1:41" ht="47.25">
      <c r="A163" s="100" t="s">
        <v>168</v>
      </c>
      <c r="B163" s="42" t="s">
        <v>150</v>
      </c>
      <c r="C163" s="97" t="s">
        <v>160</v>
      </c>
      <c r="D163" s="12" t="s">
        <v>296</v>
      </c>
      <c r="E163" s="78">
        <f t="shared" si="49"/>
        <v>0</v>
      </c>
      <c r="F163" s="28" t="s">
        <v>385</v>
      </c>
      <c r="G163" s="28" t="s">
        <v>385</v>
      </c>
      <c r="H163" s="28" t="s">
        <v>385</v>
      </c>
      <c r="I163" s="28" t="s">
        <v>385</v>
      </c>
      <c r="J163" s="78">
        <f t="shared" si="50"/>
        <v>0</v>
      </c>
      <c r="K163" s="12" t="s">
        <v>385</v>
      </c>
      <c r="L163" s="79" t="s">
        <v>385</v>
      </c>
      <c r="M163" s="79" t="s">
        <v>385</v>
      </c>
      <c r="N163" s="79" t="s">
        <v>385</v>
      </c>
      <c r="O163" s="78">
        <f t="shared" si="51"/>
        <v>0</v>
      </c>
      <c r="P163" s="79" t="s">
        <v>385</v>
      </c>
      <c r="Q163" s="79" t="s">
        <v>385</v>
      </c>
      <c r="R163" s="79" t="s">
        <v>385</v>
      </c>
      <c r="S163" s="79" t="s">
        <v>385</v>
      </c>
      <c r="T163" s="78">
        <f t="shared" si="52"/>
        <v>0</v>
      </c>
      <c r="U163" s="79" t="s">
        <v>385</v>
      </c>
      <c r="V163" s="79" t="s">
        <v>385</v>
      </c>
      <c r="W163" s="79" t="s">
        <v>385</v>
      </c>
      <c r="X163" s="79" t="s">
        <v>385</v>
      </c>
      <c r="Y163" s="120">
        <f t="shared" si="53"/>
        <v>10</v>
      </c>
      <c r="Z163" s="124">
        <v>10</v>
      </c>
      <c r="AA163" s="79" t="s">
        <v>385</v>
      </c>
      <c r="AB163" s="79" t="s">
        <v>385</v>
      </c>
      <c r="AC163" s="79" t="s">
        <v>385</v>
      </c>
      <c r="AD163" s="120">
        <f t="shared" si="54"/>
        <v>10</v>
      </c>
      <c r="AE163" s="124">
        <v>10</v>
      </c>
      <c r="AF163" s="79" t="s">
        <v>385</v>
      </c>
      <c r="AG163" s="79" t="s">
        <v>385</v>
      </c>
      <c r="AH163" s="79" t="s">
        <v>385</v>
      </c>
      <c r="AI163" s="120">
        <f t="shared" si="55"/>
        <v>10</v>
      </c>
      <c r="AJ163" s="124">
        <v>10</v>
      </c>
      <c r="AK163" s="79" t="s">
        <v>385</v>
      </c>
      <c r="AL163" s="79" t="s">
        <v>385</v>
      </c>
      <c r="AM163" s="79" t="s">
        <v>385</v>
      </c>
      <c r="AN163" s="128">
        <f t="shared" si="39"/>
        <v>30</v>
      </c>
      <c r="AO163" s="95"/>
    </row>
    <row r="164" spans="1:41" ht="47.25">
      <c r="A164" s="100" t="s">
        <v>169</v>
      </c>
      <c r="B164" s="42" t="s">
        <v>258</v>
      </c>
      <c r="C164" s="97" t="s">
        <v>161</v>
      </c>
      <c r="D164" s="12" t="s">
        <v>296</v>
      </c>
      <c r="E164" s="120">
        <f t="shared" si="49"/>
        <v>8.8</v>
      </c>
      <c r="F164" s="124">
        <f>5+3.84852</f>
        <v>8.8</v>
      </c>
      <c r="G164" s="28" t="s">
        <v>385</v>
      </c>
      <c r="H164" s="28" t="s">
        <v>385</v>
      </c>
      <c r="I164" s="28" t="s">
        <v>385</v>
      </c>
      <c r="J164" s="120">
        <f t="shared" si="50"/>
        <v>5</v>
      </c>
      <c r="K164" s="124">
        <v>5</v>
      </c>
      <c r="L164" s="79" t="s">
        <v>385</v>
      </c>
      <c r="M164" s="79" t="s">
        <v>385</v>
      </c>
      <c r="N164" s="79" t="s">
        <v>385</v>
      </c>
      <c r="O164" s="78">
        <f t="shared" si="51"/>
        <v>0</v>
      </c>
      <c r="P164" s="79" t="s">
        <v>385</v>
      </c>
      <c r="Q164" s="79" t="s">
        <v>385</v>
      </c>
      <c r="R164" s="79" t="s">
        <v>385</v>
      </c>
      <c r="S164" s="79" t="s">
        <v>385</v>
      </c>
      <c r="T164" s="78">
        <f t="shared" si="52"/>
        <v>0</v>
      </c>
      <c r="U164" s="79" t="s">
        <v>385</v>
      </c>
      <c r="V164" s="79" t="s">
        <v>385</v>
      </c>
      <c r="W164" s="79" t="s">
        <v>385</v>
      </c>
      <c r="X164" s="79" t="s">
        <v>385</v>
      </c>
      <c r="Y164" s="120">
        <f t="shared" si="53"/>
        <v>30</v>
      </c>
      <c r="Z164" s="124">
        <v>30</v>
      </c>
      <c r="AA164" s="79" t="s">
        <v>385</v>
      </c>
      <c r="AB164" s="79" t="s">
        <v>385</v>
      </c>
      <c r="AC164" s="79" t="s">
        <v>385</v>
      </c>
      <c r="AD164" s="120">
        <f t="shared" si="54"/>
        <v>30</v>
      </c>
      <c r="AE164" s="124">
        <v>30</v>
      </c>
      <c r="AF164" s="79" t="s">
        <v>385</v>
      </c>
      <c r="AG164" s="79" t="s">
        <v>385</v>
      </c>
      <c r="AH164" s="79" t="s">
        <v>385</v>
      </c>
      <c r="AI164" s="120">
        <f t="shared" si="55"/>
        <v>30</v>
      </c>
      <c r="AJ164" s="124">
        <v>30</v>
      </c>
      <c r="AK164" s="79" t="s">
        <v>385</v>
      </c>
      <c r="AL164" s="79" t="s">
        <v>385</v>
      </c>
      <c r="AM164" s="79" t="s">
        <v>385</v>
      </c>
      <c r="AN164" s="128">
        <f aca="true" t="shared" si="56" ref="AN164:AN193">E164+J164+O164+T164+Y164+AD164+AI164</f>
        <v>103.8</v>
      </c>
      <c r="AO164" s="95"/>
    </row>
    <row r="165" spans="1:41" ht="60.75" customHeight="1">
      <c r="A165" s="100" t="s">
        <v>170</v>
      </c>
      <c r="B165" s="42" t="s">
        <v>151</v>
      </c>
      <c r="C165" s="97" t="s">
        <v>162</v>
      </c>
      <c r="D165" s="12" t="s">
        <v>296</v>
      </c>
      <c r="E165" s="120">
        <f t="shared" si="49"/>
        <v>5</v>
      </c>
      <c r="F165" s="124">
        <v>5</v>
      </c>
      <c r="G165" s="28" t="s">
        <v>385</v>
      </c>
      <c r="H165" s="28" t="s">
        <v>385</v>
      </c>
      <c r="I165" s="28" t="s">
        <v>385</v>
      </c>
      <c r="J165" s="120">
        <f t="shared" si="50"/>
        <v>5</v>
      </c>
      <c r="K165" s="124">
        <v>5</v>
      </c>
      <c r="L165" s="79" t="s">
        <v>385</v>
      </c>
      <c r="M165" s="79" t="s">
        <v>385</v>
      </c>
      <c r="N165" s="79" t="s">
        <v>385</v>
      </c>
      <c r="O165" s="78">
        <f t="shared" si="51"/>
        <v>0</v>
      </c>
      <c r="P165" s="79" t="s">
        <v>385</v>
      </c>
      <c r="Q165" s="79" t="s">
        <v>385</v>
      </c>
      <c r="R165" s="79" t="s">
        <v>385</v>
      </c>
      <c r="S165" s="79" t="s">
        <v>385</v>
      </c>
      <c r="T165" s="78">
        <f t="shared" si="52"/>
        <v>0</v>
      </c>
      <c r="U165" s="79" t="s">
        <v>385</v>
      </c>
      <c r="V165" s="79" t="s">
        <v>385</v>
      </c>
      <c r="W165" s="79" t="s">
        <v>385</v>
      </c>
      <c r="X165" s="79" t="s">
        <v>385</v>
      </c>
      <c r="Y165" s="120">
        <f t="shared" si="53"/>
        <v>8</v>
      </c>
      <c r="Z165" s="124">
        <v>8</v>
      </c>
      <c r="AA165" s="79" t="s">
        <v>385</v>
      </c>
      <c r="AB165" s="79" t="s">
        <v>385</v>
      </c>
      <c r="AC165" s="79" t="s">
        <v>385</v>
      </c>
      <c r="AD165" s="120">
        <f t="shared" si="54"/>
        <v>8</v>
      </c>
      <c r="AE165" s="124">
        <v>8</v>
      </c>
      <c r="AF165" s="79" t="s">
        <v>385</v>
      </c>
      <c r="AG165" s="79" t="s">
        <v>385</v>
      </c>
      <c r="AH165" s="79" t="s">
        <v>385</v>
      </c>
      <c r="AI165" s="120">
        <f t="shared" si="55"/>
        <v>8</v>
      </c>
      <c r="AJ165" s="124">
        <v>8</v>
      </c>
      <c r="AK165" s="79" t="s">
        <v>385</v>
      </c>
      <c r="AL165" s="79" t="s">
        <v>385</v>
      </c>
      <c r="AM165" s="79" t="s">
        <v>385</v>
      </c>
      <c r="AN165" s="128">
        <f t="shared" si="56"/>
        <v>34</v>
      </c>
      <c r="AO165" s="95"/>
    </row>
    <row r="166" spans="1:41" ht="47.25">
      <c r="A166" s="100" t="s">
        <v>171</v>
      </c>
      <c r="B166" s="42" t="s">
        <v>152</v>
      </c>
      <c r="C166" s="97" t="s">
        <v>160</v>
      </c>
      <c r="D166" s="12" t="s">
        <v>296</v>
      </c>
      <c r="E166" s="120">
        <f t="shared" si="49"/>
        <v>10</v>
      </c>
      <c r="F166" s="124">
        <v>10</v>
      </c>
      <c r="G166" s="28" t="s">
        <v>385</v>
      </c>
      <c r="H166" s="28" t="s">
        <v>385</v>
      </c>
      <c r="I166" s="28" t="s">
        <v>385</v>
      </c>
      <c r="J166" s="120">
        <f t="shared" si="50"/>
        <v>10</v>
      </c>
      <c r="K166" s="124">
        <v>10</v>
      </c>
      <c r="L166" s="79" t="s">
        <v>385</v>
      </c>
      <c r="M166" s="79" t="s">
        <v>385</v>
      </c>
      <c r="N166" s="79" t="s">
        <v>385</v>
      </c>
      <c r="O166" s="78">
        <f t="shared" si="51"/>
        <v>0</v>
      </c>
      <c r="P166" s="79" t="s">
        <v>385</v>
      </c>
      <c r="Q166" s="79" t="s">
        <v>385</v>
      </c>
      <c r="R166" s="79" t="s">
        <v>385</v>
      </c>
      <c r="S166" s="79" t="s">
        <v>385</v>
      </c>
      <c r="T166" s="78">
        <f t="shared" si="52"/>
        <v>0</v>
      </c>
      <c r="U166" s="79" t="s">
        <v>385</v>
      </c>
      <c r="V166" s="79" t="s">
        <v>385</v>
      </c>
      <c r="W166" s="79" t="s">
        <v>385</v>
      </c>
      <c r="X166" s="79" t="s">
        <v>385</v>
      </c>
      <c r="Y166" s="120">
        <f t="shared" si="53"/>
        <v>10</v>
      </c>
      <c r="Z166" s="124">
        <v>10</v>
      </c>
      <c r="AA166" s="79" t="s">
        <v>385</v>
      </c>
      <c r="AB166" s="79" t="s">
        <v>385</v>
      </c>
      <c r="AC166" s="79" t="s">
        <v>385</v>
      </c>
      <c r="AD166" s="120">
        <f t="shared" si="54"/>
        <v>10</v>
      </c>
      <c r="AE166" s="124">
        <v>10</v>
      </c>
      <c r="AF166" s="79" t="s">
        <v>385</v>
      </c>
      <c r="AG166" s="79" t="s">
        <v>385</v>
      </c>
      <c r="AH166" s="79" t="s">
        <v>385</v>
      </c>
      <c r="AI166" s="120">
        <f t="shared" si="55"/>
        <v>10</v>
      </c>
      <c r="AJ166" s="124">
        <v>10</v>
      </c>
      <c r="AK166" s="79" t="s">
        <v>385</v>
      </c>
      <c r="AL166" s="79" t="s">
        <v>385</v>
      </c>
      <c r="AM166" s="79" t="s">
        <v>385</v>
      </c>
      <c r="AN166" s="128">
        <f t="shared" si="56"/>
        <v>50</v>
      </c>
      <c r="AO166" s="95"/>
    </row>
    <row r="167" spans="1:41" ht="63">
      <c r="A167" s="100" t="s">
        <v>172</v>
      </c>
      <c r="B167" s="42" t="s">
        <v>153</v>
      </c>
      <c r="C167" s="97" t="s">
        <v>134</v>
      </c>
      <c r="D167" s="12" t="s">
        <v>296</v>
      </c>
      <c r="E167" s="120">
        <f t="shared" si="49"/>
        <v>5</v>
      </c>
      <c r="F167" s="124">
        <v>5</v>
      </c>
      <c r="G167" s="28" t="s">
        <v>385</v>
      </c>
      <c r="H167" s="28" t="s">
        <v>385</v>
      </c>
      <c r="I167" s="28" t="s">
        <v>385</v>
      </c>
      <c r="J167" s="120">
        <f t="shared" si="50"/>
        <v>5</v>
      </c>
      <c r="K167" s="124">
        <v>5</v>
      </c>
      <c r="L167" s="79" t="s">
        <v>385</v>
      </c>
      <c r="M167" s="79" t="s">
        <v>385</v>
      </c>
      <c r="N167" s="79" t="s">
        <v>385</v>
      </c>
      <c r="O167" s="78">
        <f t="shared" si="51"/>
        <v>0</v>
      </c>
      <c r="P167" s="79" t="s">
        <v>385</v>
      </c>
      <c r="Q167" s="79" t="s">
        <v>385</v>
      </c>
      <c r="R167" s="79" t="s">
        <v>385</v>
      </c>
      <c r="S167" s="79" t="s">
        <v>385</v>
      </c>
      <c r="T167" s="78">
        <f t="shared" si="52"/>
        <v>0</v>
      </c>
      <c r="U167" s="79" t="s">
        <v>385</v>
      </c>
      <c r="V167" s="79" t="s">
        <v>385</v>
      </c>
      <c r="W167" s="79" t="s">
        <v>385</v>
      </c>
      <c r="X167" s="79" t="s">
        <v>385</v>
      </c>
      <c r="Y167" s="120">
        <f t="shared" si="53"/>
        <v>5</v>
      </c>
      <c r="Z167" s="124">
        <v>5</v>
      </c>
      <c r="AA167" s="79" t="s">
        <v>385</v>
      </c>
      <c r="AB167" s="79" t="s">
        <v>385</v>
      </c>
      <c r="AC167" s="79" t="s">
        <v>385</v>
      </c>
      <c r="AD167" s="120">
        <f t="shared" si="54"/>
        <v>5</v>
      </c>
      <c r="AE167" s="124">
        <v>5</v>
      </c>
      <c r="AF167" s="79" t="s">
        <v>385</v>
      </c>
      <c r="AG167" s="79" t="s">
        <v>385</v>
      </c>
      <c r="AH167" s="79" t="s">
        <v>385</v>
      </c>
      <c r="AI167" s="120">
        <f t="shared" si="55"/>
        <v>5</v>
      </c>
      <c r="AJ167" s="124">
        <v>5</v>
      </c>
      <c r="AK167" s="79" t="s">
        <v>385</v>
      </c>
      <c r="AL167" s="79" t="s">
        <v>385</v>
      </c>
      <c r="AM167" s="79" t="s">
        <v>385</v>
      </c>
      <c r="AN167" s="128">
        <f t="shared" si="56"/>
        <v>25</v>
      </c>
      <c r="AO167" s="95"/>
    </row>
    <row r="168" spans="1:41" ht="64.5" customHeight="1">
      <c r="A168" s="100" t="s">
        <v>173</v>
      </c>
      <c r="B168" s="98" t="s">
        <v>229</v>
      </c>
      <c r="C168" s="97" t="s">
        <v>162</v>
      </c>
      <c r="D168" s="12" t="s">
        <v>296</v>
      </c>
      <c r="E168" s="120">
        <f t="shared" si="49"/>
        <v>5</v>
      </c>
      <c r="F168" s="124">
        <v>5</v>
      </c>
      <c r="G168" s="28" t="s">
        <v>385</v>
      </c>
      <c r="H168" s="28" t="s">
        <v>385</v>
      </c>
      <c r="I168" s="28" t="s">
        <v>385</v>
      </c>
      <c r="J168" s="120">
        <f t="shared" si="50"/>
        <v>5</v>
      </c>
      <c r="K168" s="124">
        <v>5</v>
      </c>
      <c r="L168" s="79" t="s">
        <v>385</v>
      </c>
      <c r="M168" s="79" t="s">
        <v>385</v>
      </c>
      <c r="N168" s="79" t="s">
        <v>385</v>
      </c>
      <c r="O168" s="78">
        <f t="shared" si="51"/>
        <v>0</v>
      </c>
      <c r="P168" s="79" t="s">
        <v>385</v>
      </c>
      <c r="Q168" s="79" t="s">
        <v>385</v>
      </c>
      <c r="R168" s="79" t="s">
        <v>385</v>
      </c>
      <c r="S168" s="79" t="s">
        <v>385</v>
      </c>
      <c r="T168" s="78">
        <f t="shared" si="52"/>
        <v>0</v>
      </c>
      <c r="U168" s="79" t="s">
        <v>385</v>
      </c>
      <c r="V168" s="79" t="s">
        <v>385</v>
      </c>
      <c r="W168" s="79" t="s">
        <v>385</v>
      </c>
      <c r="X168" s="79" t="s">
        <v>385</v>
      </c>
      <c r="Y168" s="120">
        <f t="shared" si="53"/>
        <v>5</v>
      </c>
      <c r="Z168" s="124">
        <v>5</v>
      </c>
      <c r="AA168" s="79" t="s">
        <v>385</v>
      </c>
      <c r="AB168" s="79" t="s">
        <v>385</v>
      </c>
      <c r="AC168" s="79" t="s">
        <v>385</v>
      </c>
      <c r="AD168" s="120">
        <f t="shared" si="54"/>
        <v>5</v>
      </c>
      <c r="AE168" s="124">
        <v>5</v>
      </c>
      <c r="AF168" s="79" t="s">
        <v>385</v>
      </c>
      <c r="AG168" s="79" t="s">
        <v>385</v>
      </c>
      <c r="AH168" s="79" t="s">
        <v>385</v>
      </c>
      <c r="AI168" s="120">
        <f t="shared" si="55"/>
        <v>5</v>
      </c>
      <c r="AJ168" s="124">
        <v>5</v>
      </c>
      <c r="AK168" s="79" t="s">
        <v>385</v>
      </c>
      <c r="AL168" s="79" t="s">
        <v>385</v>
      </c>
      <c r="AM168" s="79" t="s">
        <v>385</v>
      </c>
      <c r="AN168" s="128">
        <f t="shared" si="56"/>
        <v>25</v>
      </c>
      <c r="AO168" s="95"/>
    </row>
    <row r="169" spans="1:41" ht="47.25">
      <c r="A169" s="100" t="s">
        <v>174</v>
      </c>
      <c r="B169" s="42" t="s">
        <v>154</v>
      </c>
      <c r="C169" s="97" t="s">
        <v>162</v>
      </c>
      <c r="D169" s="12" t="s">
        <v>296</v>
      </c>
      <c r="E169" s="78">
        <f t="shared" si="49"/>
        <v>0</v>
      </c>
      <c r="F169" s="28" t="s">
        <v>385</v>
      </c>
      <c r="G169" s="28" t="s">
        <v>385</v>
      </c>
      <c r="H169" s="28" t="s">
        <v>385</v>
      </c>
      <c r="I169" s="28" t="s">
        <v>385</v>
      </c>
      <c r="J169" s="78">
        <f t="shared" si="50"/>
        <v>0</v>
      </c>
      <c r="K169" s="12" t="s">
        <v>385</v>
      </c>
      <c r="L169" s="79" t="s">
        <v>385</v>
      </c>
      <c r="M169" s="79" t="s">
        <v>385</v>
      </c>
      <c r="N169" s="79" t="s">
        <v>385</v>
      </c>
      <c r="O169" s="78">
        <f t="shared" si="51"/>
        <v>0</v>
      </c>
      <c r="P169" s="79" t="s">
        <v>385</v>
      </c>
      <c r="Q169" s="79" t="s">
        <v>385</v>
      </c>
      <c r="R169" s="79" t="s">
        <v>385</v>
      </c>
      <c r="S169" s="79" t="s">
        <v>385</v>
      </c>
      <c r="T169" s="78">
        <f t="shared" si="52"/>
        <v>0</v>
      </c>
      <c r="U169" s="79" t="s">
        <v>385</v>
      </c>
      <c r="V169" s="79" t="s">
        <v>385</v>
      </c>
      <c r="W169" s="79" t="s">
        <v>385</v>
      </c>
      <c r="X169" s="79" t="s">
        <v>385</v>
      </c>
      <c r="Y169" s="120">
        <f t="shared" si="53"/>
        <v>6</v>
      </c>
      <c r="Z169" s="124">
        <v>6</v>
      </c>
      <c r="AA169" s="79" t="s">
        <v>385</v>
      </c>
      <c r="AB169" s="79" t="s">
        <v>385</v>
      </c>
      <c r="AC169" s="79" t="s">
        <v>385</v>
      </c>
      <c r="AD169" s="120">
        <f t="shared" si="54"/>
        <v>6</v>
      </c>
      <c r="AE169" s="124">
        <v>6</v>
      </c>
      <c r="AF169" s="79" t="s">
        <v>385</v>
      </c>
      <c r="AG169" s="79" t="s">
        <v>385</v>
      </c>
      <c r="AH169" s="79" t="s">
        <v>385</v>
      </c>
      <c r="AI169" s="120">
        <f t="shared" si="55"/>
        <v>6</v>
      </c>
      <c r="AJ169" s="124">
        <v>6</v>
      </c>
      <c r="AK169" s="79" t="s">
        <v>385</v>
      </c>
      <c r="AL169" s="79" t="s">
        <v>385</v>
      </c>
      <c r="AM169" s="79" t="s">
        <v>385</v>
      </c>
      <c r="AN169" s="128">
        <f t="shared" si="56"/>
        <v>18</v>
      </c>
      <c r="AO169" s="95"/>
    </row>
    <row r="170" spans="1:41" ht="47.25">
      <c r="A170" s="100" t="s">
        <v>175</v>
      </c>
      <c r="B170" s="42" t="s">
        <v>259</v>
      </c>
      <c r="C170" s="97" t="s">
        <v>102</v>
      </c>
      <c r="D170" s="12" t="s">
        <v>296</v>
      </c>
      <c r="E170" s="130">
        <f t="shared" si="49"/>
        <v>0</v>
      </c>
      <c r="F170" s="94">
        <f>20-20</f>
        <v>0</v>
      </c>
      <c r="G170" s="28" t="s">
        <v>385</v>
      </c>
      <c r="H170" s="28" t="s">
        <v>385</v>
      </c>
      <c r="I170" s="28" t="s">
        <v>385</v>
      </c>
      <c r="J170" s="120">
        <f t="shared" si="50"/>
        <v>20</v>
      </c>
      <c r="K170" s="124">
        <v>20</v>
      </c>
      <c r="L170" s="79" t="s">
        <v>385</v>
      </c>
      <c r="M170" s="79" t="s">
        <v>385</v>
      </c>
      <c r="N170" s="79" t="s">
        <v>385</v>
      </c>
      <c r="O170" s="78">
        <f t="shared" si="51"/>
        <v>0</v>
      </c>
      <c r="P170" s="79" t="s">
        <v>385</v>
      </c>
      <c r="Q170" s="79" t="s">
        <v>385</v>
      </c>
      <c r="R170" s="79" t="s">
        <v>385</v>
      </c>
      <c r="S170" s="79" t="s">
        <v>385</v>
      </c>
      <c r="T170" s="78">
        <f t="shared" si="52"/>
        <v>0</v>
      </c>
      <c r="U170" s="79" t="s">
        <v>385</v>
      </c>
      <c r="V170" s="79" t="s">
        <v>385</v>
      </c>
      <c r="W170" s="79" t="s">
        <v>385</v>
      </c>
      <c r="X170" s="79" t="s">
        <v>385</v>
      </c>
      <c r="Y170" s="120">
        <f t="shared" si="53"/>
        <v>20</v>
      </c>
      <c r="Z170" s="124">
        <v>20</v>
      </c>
      <c r="AA170" s="79" t="s">
        <v>385</v>
      </c>
      <c r="AB170" s="79" t="s">
        <v>385</v>
      </c>
      <c r="AC170" s="79" t="s">
        <v>385</v>
      </c>
      <c r="AD170" s="120">
        <f t="shared" si="54"/>
        <v>20</v>
      </c>
      <c r="AE170" s="124">
        <v>20</v>
      </c>
      <c r="AF170" s="79" t="s">
        <v>385</v>
      </c>
      <c r="AG170" s="79" t="s">
        <v>385</v>
      </c>
      <c r="AH170" s="79" t="s">
        <v>385</v>
      </c>
      <c r="AI170" s="120">
        <f t="shared" si="55"/>
        <v>20</v>
      </c>
      <c r="AJ170" s="124">
        <v>20</v>
      </c>
      <c r="AK170" s="79" t="s">
        <v>385</v>
      </c>
      <c r="AL170" s="79" t="s">
        <v>385</v>
      </c>
      <c r="AM170" s="79" t="s">
        <v>385</v>
      </c>
      <c r="AN170" s="128">
        <f t="shared" si="56"/>
        <v>80</v>
      </c>
      <c r="AO170" s="95"/>
    </row>
    <row r="171" spans="1:41" ht="47.25">
      <c r="A171" s="100" t="s">
        <v>176</v>
      </c>
      <c r="B171" s="42" t="s">
        <v>155</v>
      </c>
      <c r="C171" s="97" t="s">
        <v>163</v>
      </c>
      <c r="D171" s="12" t="s">
        <v>296</v>
      </c>
      <c r="E171" s="120">
        <f t="shared" si="49"/>
        <v>5</v>
      </c>
      <c r="F171" s="124">
        <v>5</v>
      </c>
      <c r="G171" s="28" t="s">
        <v>385</v>
      </c>
      <c r="H171" s="28" t="s">
        <v>385</v>
      </c>
      <c r="I171" s="28" t="s">
        <v>385</v>
      </c>
      <c r="J171" s="78">
        <f t="shared" si="50"/>
        <v>0</v>
      </c>
      <c r="K171" s="78">
        <f>5-5</f>
        <v>0</v>
      </c>
      <c r="L171" s="79" t="s">
        <v>385</v>
      </c>
      <c r="M171" s="79" t="s">
        <v>385</v>
      </c>
      <c r="N171" s="79" t="s">
        <v>385</v>
      </c>
      <c r="O171" s="78">
        <f t="shared" si="51"/>
        <v>0</v>
      </c>
      <c r="P171" s="79" t="s">
        <v>385</v>
      </c>
      <c r="Q171" s="79" t="s">
        <v>385</v>
      </c>
      <c r="R171" s="79" t="s">
        <v>385</v>
      </c>
      <c r="S171" s="79" t="s">
        <v>385</v>
      </c>
      <c r="T171" s="78">
        <f t="shared" si="52"/>
        <v>0</v>
      </c>
      <c r="U171" s="79" t="s">
        <v>385</v>
      </c>
      <c r="V171" s="79" t="s">
        <v>385</v>
      </c>
      <c r="W171" s="79" t="s">
        <v>385</v>
      </c>
      <c r="X171" s="79" t="s">
        <v>385</v>
      </c>
      <c r="Y171" s="120">
        <f t="shared" si="53"/>
        <v>8</v>
      </c>
      <c r="Z171" s="124">
        <v>8</v>
      </c>
      <c r="AA171" s="79" t="s">
        <v>385</v>
      </c>
      <c r="AB171" s="79" t="s">
        <v>385</v>
      </c>
      <c r="AC171" s="79" t="s">
        <v>385</v>
      </c>
      <c r="AD171" s="120">
        <f t="shared" si="54"/>
        <v>8</v>
      </c>
      <c r="AE171" s="124">
        <v>8</v>
      </c>
      <c r="AF171" s="79" t="s">
        <v>385</v>
      </c>
      <c r="AG171" s="79" t="s">
        <v>385</v>
      </c>
      <c r="AH171" s="79" t="s">
        <v>385</v>
      </c>
      <c r="AI171" s="120">
        <f t="shared" si="55"/>
        <v>8</v>
      </c>
      <c r="AJ171" s="124">
        <v>8</v>
      </c>
      <c r="AK171" s="79" t="s">
        <v>385</v>
      </c>
      <c r="AL171" s="79" t="s">
        <v>385</v>
      </c>
      <c r="AM171" s="79" t="s">
        <v>385</v>
      </c>
      <c r="AN171" s="128">
        <f t="shared" si="56"/>
        <v>29</v>
      </c>
      <c r="AO171" s="95"/>
    </row>
    <row r="172" spans="1:41" ht="47.25">
      <c r="A172" s="100" t="s">
        <v>177</v>
      </c>
      <c r="B172" s="42" t="s">
        <v>156</v>
      </c>
      <c r="C172" s="97" t="s">
        <v>372</v>
      </c>
      <c r="D172" s="12" t="s">
        <v>296</v>
      </c>
      <c r="E172" s="78">
        <f t="shared" si="49"/>
        <v>0</v>
      </c>
      <c r="F172" s="28" t="s">
        <v>385</v>
      </c>
      <c r="G172" s="28" t="s">
        <v>385</v>
      </c>
      <c r="H172" s="28" t="s">
        <v>385</v>
      </c>
      <c r="I172" s="28" t="s">
        <v>385</v>
      </c>
      <c r="J172" s="78">
        <f t="shared" si="50"/>
        <v>0</v>
      </c>
      <c r="K172" s="12" t="s">
        <v>385</v>
      </c>
      <c r="L172" s="79" t="s">
        <v>385</v>
      </c>
      <c r="M172" s="79" t="s">
        <v>385</v>
      </c>
      <c r="N172" s="79" t="s">
        <v>385</v>
      </c>
      <c r="O172" s="78">
        <f t="shared" si="51"/>
        <v>0</v>
      </c>
      <c r="P172" s="79" t="s">
        <v>385</v>
      </c>
      <c r="Q172" s="79" t="s">
        <v>385</v>
      </c>
      <c r="R172" s="79" t="s">
        <v>385</v>
      </c>
      <c r="S172" s="79" t="s">
        <v>385</v>
      </c>
      <c r="T172" s="78">
        <f t="shared" si="52"/>
        <v>0</v>
      </c>
      <c r="U172" s="79" t="s">
        <v>385</v>
      </c>
      <c r="V172" s="79" t="s">
        <v>385</v>
      </c>
      <c r="W172" s="79" t="s">
        <v>385</v>
      </c>
      <c r="X172" s="79" t="s">
        <v>385</v>
      </c>
      <c r="Y172" s="120">
        <f t="shared" si="53"/>
        <v>10</v>
      </c>
      <c r="Z172" s="124">
        <v>10</v>
      </c>
      <c r="AA172" s="79" t="s">
        <v>385</v>
      </c>
      <c r="AB172" s="79" t="s">
        <v>385</v>
      </c>
      <c r="AC172" s="79" t="s">
        <v>385</v>
      </c>
      <c r="AD172" s="120">
        <f t="shared" si="54"/>
        <v>10</v>
      </c>
      <c r="AE172" s="124">
        <v>10</v>
      </c>
      <c r="AF172" s="79" t="s">
        <v>385</v>
      </c>
      <c r="AG172" s="79" t="s">
        <v>385</v>
      </c>
      <c r="AH172" s="79" t="s">
        <v>385</v>
      </c>
      <c r="AI172" s="120">
        <f t="shared" si="55"/>
        <v>10</v>
      </c>
      <c r="AJ172" s="124">
        <v>10</v>
      </c>
      <c r="AK172" s="79" t="s">
        <v>385</v>
      </c>
      <c r="AL172" s="79" t="s">
        <v>385</v>
      </c>
      <c r="AM172" s="79" t="s">
        <v>385</v>
      </c>
      <c r="AN172" s="128">
        <f t="shared" si="56"/>
        <v>30</v>
      </c>
      <c r="AO172" s="95"/>
    </row>
    <row r="173" spans="1:41" ht="47.25">
      <c r="A173" s="100" t="s">
        <v>178</v>
      </c>
      <c r="B173" s="42" t="s">
        <v>157</v>
      </c>
      <c r="C173" s="97" t="s">
        <v>164</v>
      </c>
      <c r="D173" s="12" t="s">
        <v>296</v>
      </c>
      <c r="E173" s="120">
        <f t="shared" si="49"/>
        <v>4</v>
      </c>
      <c r="F173" s="124">
        <f>7-3</f>
        <v>4</v>
      </c>
      <c r="G173" s="28" t="s">
        <v>385</v>
      </c>
      <c r="H173" s="28" t="s">
        <v>385</v>
      </c>
      <c r="I173" s="28" t="s">
        <v>385</v>
      </c>
      <c r="J173" s="120">
        <f t="shared" si="50"/>
        <v>4</v>
      </c>
      <c r="K173" s="124">
        <v>4</v>
      </c>
      <c r="L173" s="79" t="s">
        <v>385</v>
      </c>
      <c r="M173" s="79" t="s">
        <v>385</v>
      </c>
      <c r="N173" s="79" t="s">
        <v>385</v>
      </c>
      <c r="O173" s="78">
        <f t="shared" si="51"/>
        <v>0</v>
      </c>
      <c r="P173" s="79" t="s">
        <v>385</v>
      </c>
      <c r="Q173" s="79" t="s">
        <v>385</v>
      </c>
      <c r="R173" s="79" t="s">
        <v>385</v>
      </c>
      <c r="S173" s="79" t="s">
        <v>385</v>
      </c>
      <c r="T173" s="78">
        <f t="shared" si="52"/>
        <v>0</v>
      </c>
      <c r="U173" s="79" t="s">
        <v>385</v>
      </c>
      <c r="V173" s="79" t="s">
        <v>385</v>
      </c>
      <c r="W173" s="79" t="s">
        <v>385</v>
      </c>
      <c r="X173" s="79" t="s">
        <v>385</v>
      </c>
      <c r="Y173" s="120">
        <f t="shared" si="53"/>
        <v>7</v>
      </c>
      <c r="Z173" s="124">
        <v>7</v>
      </c>
      <c r="AA173" s="79" t="s">
        <v>385</v>
      </c>
      <c r="AB173" s="79" t="s">
        <v>385</v>
      </c>
      <c r="AC173" s="79" t="s">
        <v>385</v>
      </c>
      <c r="AD173" s="120">
        <f t="shared" si="54"/>
        <v>7</v>
      </c>
      <c r="AE173" s="124">
        <v>7</v>
      </c>
      <c r="AF173" s="79" t="s">
        <v>385</v>
      </c>
      <c r="AG173" s="79" t="s">
        <v>385</v>
      </c>
      <c r="AH173" s="79" t="s">
        <v>385</v>
      </c>
      <c r="AI173" s="120">
        <f t="shared" si="55"/>
        <v>7</v>
      </c>
      <c r="AJ173" s="124">
        <v>7</v>
      </c>
      <c r="AK173" s="79" t="s">
        <v>385</v>
      </c>
      <c r="AL173" s="79" t="s">
        <v>385</v>
      </c>
      <c r="AM173" s="79" t="s">
        <v>385</v>
      </c>
      <c r="AN173" s="128">
        <f t="shared" si="56"/>
        <v>29</v>
      </c>
      <c r="AO173" s="95"/>
    </row>
    <row r="174" spans="1:41" ht="47.25">
      <c r="A174" s="100" t="s">
        <v>179</v>
      </c>
      <c r="B174" s="42" t="s">
        <v>158</v>
      </c>
      <c r="C174" s="97" t="s">
        <v>165</v>
      </c>
      <c r="D174" s="12" t="s">
        <v>296</v>
      </c>
      <c r="E174" s="120">
        <f t="shared" si="49"/>
        <v>20</v>
      </c>
      <c r="F174" s="124">
        <v>20</v>
      </c>
      <c r="G174" s="28" t="s">
        <v>385</v>
      </c>
      <c r="H174" s="28" t="s">
        <v>385</v>
      </c>
      <c r="I174" s="28" t="s">
        <v>385</v>
      </c>
      <c r="J174" s="120">
        <f t="shared" si="50"/>
        <v>20</v>
      </c>
      <c r="K174" s="124">
        <f>20+5-5</f>
        <v>20</v>
      </c>
      <c r="L174" s="79" t="s">
        <v>385</v>
      </c>
      <c r="M174" s="79" t="s">
        <v>385</v>
      </c>
      <c r="N174" s="79" t="s">
        <v>385</v>
      </c>
      <c r="O174" s="78">
        <f t="shared" si="51"/>
        <v>0</v>
      </c>
      <c r="P174" s="79" t="s">
        <v>385</v>
      </c>
      <c r="Q174" s="79" t="s">
        <v>385</v>
      </c>
      <c r="R174" s="79" t="s">
        <v>385</v>
      </c>
      <c r="S174" s="79" t="s">
        <v>385</v>
      </c>
      <c r="T174" s="78">
        <f t="shared" si="52"/>
        <v>0</v>
      </c>
      <c r="U174" s="79" t="s">
        <v>385</v>
      </c>
      <c r="V174" s="79" t="s">
        <v>385</v>
      </c>
      <c r="W174" s="79" t="s">
        <v>385</v>
      </c>
      <c r="X174" s="79" t="s">
        <v>385</v>
      </c>
      <c r="Y174" s="120">
        <f t="shared" si="53"/>
        <v>20</v>
      </c>
      <c r="Z174" s="124">
        <v>20</v>
      </c>
      <c r="AA174" s="79" t="s">
        <v>385</v>
      </c>
      <c r="AB174" s="79" t="s">
        <v>385</v>
      </c>
      <c r="AC174" s="79" t="s">
        <v>385</v>
      </c>
      <c r="AD174" s="120">
        <f t="shared" si="54"/>
        <v>20</v>
      </c>
      <c r="AE174" s="124">
        <v>20</v>
      </c>
      <c r="AF174" s="79" t="s">
        <v>385</v>
      </c>
      <c r="AG174" s="79" t="s">
        <v>385</v>
      </c>
      <c r="AH174" s="79" t="s">
        <v>385</v>
      </c>
      <c r="AI174" s="120">
        <f t="shared" si="55"/>
        <v>20</v>
      </c>
      <c r="AJ174" s="124">
        <v>20</v>
      </c>
      <c r="AK174" s="79" t="s">
        <v>385</v>
      </c>
      <c r="AL174" s="79" t="s">
        <v>385</v>
      </c>
      <c r="AM174" s="79" t="s">
        <v>385</v>
      </c>
      <c r="AN174" s="128">
        <f t="shared" si="56"/>
        <v>100</v>
      </c>
      <c r="AO174" s="95"/>
    </row>
    <row r="175" spans="1:41" ht="47.25">
      <c r="A175" s="100" t="s">
        <v>180</v>
      </c>
      <c r="B175" s="42" t="s">
        <v>159</v>
      </c>
      <c r="C175" s="97" t="s">
        <v>166</v>
      </c>
      <c r="D175" s="12" t="s">
        <v>296</v>
      </c>
      <c r="E175" s="78">
        <f t="shared" si="49"/>
        <v>0</v>
      </c>
      <c r="F175" s="28" t="s">
        <v>385</v>
      </c>
      <c r="G175" s="28" t="s">
        <v>385</v>
      </c>
      <c r="H175" s="28" t="s">
        <v>385</v>
      </c>
      <c r="I175" s="28" t="s">
        <v>385</v>
      </c>
      <c r="J175" s="78">
        <f t="shared" si="50"/>
        <v>0</v>
      </c>
      <c r="K175" s="12" t="s">
        <v>385</v>
      </c>
      <c r="L175" s="79" t="s">
        <v>385</v>
      </c>
      <c r="M175" s="79" t="s">
        <v>385</v>
      </c>
      <c r="N175" s="79" t="s">
        <v>385</v>
      </c>
      <c r="O175" s="78">
        <f t="shared" si="51"/>
        <v>0</v>
      </c>
      <c r="P175" s="79" t="s">
        <v>385</v>
      </c>
      <c r="Q175" s="79" t="s">
        <v>385</v>
      </c>
      <c r="R175" s="79" t="s">
        <v>385</v>
      </c>
      <c r="S175" s="79" t="s">
        <v>385</v>
      </c>
      <c r="T175" s="78">
        <f t="shared" si="52"/>
        <v>0</v>
      </c>
      <c r="U175" s="79" t="s">
        <v>385</v>
      </c>
      <c r="V175" s="79" t="s">
        <v>385</v>
      </c>
      <c r="W175" s="79" t="s">
        <v>385</v>
      </c>
      <c r="X175" s="79" t="s">
        <v>385</v>
      </c>
      <c r="Y175" s="120">
        <f t="shared" si="53"/>
        <v>5</v>
      </c>
      <c r="Z175" s="124">
        <v>5</v>
      </c>
      <c r="AA175" s="79" t="s">
        <v>385</v>
      </c>
      <c r="AB175" s="79" t="s">
        <v>385</v>
      </c>
      <c r="AC175" s="79" t="s">
        <v>385</v>
      </c>
      <c r="AD175" s="120">
        <f t="shared" si="54"/>
        <v>5</v>
      </c>
      <c r="AE175" s="124">
        <v>5</v>
      </c>
      <c r="AF175" s="79" t="s">
        <v>385</v>
      </c>
      <c r="AG175" s="79" t="s">
        <v>385</v>
      </c>
      <c r="AH175" s="79" t="s">
        <v>385</v>
      </c>
      <c r="AI175" s="120">
        <f t="shared" si="55"/>
        <v>5</v>
      </c>
      <c r="AJ175" s="124">
        <v>5</v>
      </c>
      <c r="AK175" s="79" t="s">
        <v>385</v>
      </c>
      <c r="AL175" s="79" t="s">
        <v>385</v>
      </c>
      <c r="AM175" s="79" t="s">
        <v>385</v>
      </c>
      <c r="AN175" s="128">
        <f t="shared" si="56"/>
        <v>15</v>
      </c>
      <c r="AO175" s="95"/>
    </row>
    <row r="176" spans="1:41" ht="47.25">
      <c r="A176" s="100" t="s">
        <v>181</v>
      </c>
      <c r="B176" s="42" t="s">
        <v>201</v>
      </c>
      <c r="C176" s="97" t="s">
        <v>165</v>
      </c>
      <c r="D176" s="12" t="s">
        <v>296</v>
      </c>
      <c r="E176" s="120">
        <f t="shared" si="49"/>
        <v>20</v>
      </c>
      <c r="F176" s="124">
        <v>20</v>
      </c>
      <c r="G176" s="28" t="s">
        <v>385</v>
      </c>
      <c r="H176" s="28" t="s">
        <v>385</v>
      </c>
      <c r="I176" s="28" t="s">
        <v>385</v>
      </c>
      <c r="J176" s="120">
        <f t="shared" si="50"/>
        <v>20</v>
      </c>
      <c r="K176" s="124">
        <v>20</v>
      </c>
      <c r="L176" s="79" t="s">
        <v>385</v>
      </c>
      <c r="M176" s="79" t="s">
        <v>385</v>
      </c>
      <c r="N176" s="79" t="s">
        <v>385</v>
      </c>
      <c r="O176" s="78">
        <f t="shared" si="51"/>
        <v>0</v>
      </c>
      <c r="P176" s="79" t="s">
        <v>385</v>
      </c>
      <c r="Q176" s="79" t="s">
        <v>385</v>
      </c>
      <c r="R176" s="79" t="s">
        <v>385</v>
      </c>
      <c r="S176" s="79" t="s">
        <v>385</v>
      </c>
      <c r="T176" s="78">
        <f t="shared" si="52"/>
        <v>0</v>
      </c>
      <c r="U176" s="79" t="s">
        <v>385</v>
      </c>
      <c r="V176" s="79" t="s">
        <v>385</v>
      </c>
      <c r="W176" s="79" t="s">
        <v>385</v>
      </c>
      <c r="X176" s="79" t="s">
        <v>385</v>
      </c>
      <c r="Y176" s="120">
        <f t="shared" si="53"/>
        <v>30</v>
      </c>
      <c r="Z176" s="124">
        <v>30</v>
      </c>
      <c r="AA176" s="79" t="s">
        <v>385</v>
      </c>
      <c r="AB176" s="79" t="s">
        <v>385</v>
      </c>
      <c r="AC176" s="79" t="s">
        <v>385</v>
      </c>
      <c r="AD176" s="120">
        <f t="shared" si="54"/>
        <v>30</v>
      </c>
      <c r="AE176" s="124">
        <v>30</v>
      </c>
      <c r="AF176" s="79" t="s">
        <v>385</v>
      </c>
      <c r="AG176" s="79" t="s">
        <v>385</v>
      </c>
      <c r="AH176" s="79" t="s">
        <v>385</v>
      </c>
      <c r="AI176" s="120">
        <f t="shared" si="55"/>
        <v>30</v>
      </c>
      <c r="AJ176" s="124">
        <v>30</v>
      </c>
      <c r="AK176" s="79" t="s">
        <v>385</v>
      </c>
      <c r="AL176" s="79" t="s">
        <v>385</v>
      </c>
      <c r="AM176" s="79" t="s">
        <v>385</v>
      </c>
      <c r="AN176" s="128">
        <f t="shared" si="56"/>
        <v>130</v>
      </c>
      <c r="AO176" s="95"/>
    </row>
    <row r="177" spans="1:41" ht="63">
      <c r="A177" s="100" t="s">
        <v>227</v>
      </c>
      <c r="B177" s="42" t="s">
        <v>228</v>
      </c>
      <c r="C177" s="97" t="s">
        <v>230</v>
      </c>
      <c r="D177" s="12" t="s">
        <v>296</v>
      </c>
      <c r="E177" s="120">
        <f t="shared" si="49"/>
        <v>20</v>
      </c>
      <c r="F177" s="124">
        <v>20</v>
      </c>
      <c r="G177" s="28" t="s">
        <v>385</v>
      </c>
      <c r="H177" s="28" t="s">
        <v>385</v>
      </c>
      <c r="I177" s="28" t="s">
        <v>385</v>
      </c>
      <c r="J177" s="120">
        <f t="shared" si="50"/>
        <v>25</v>
      </c>
      <c r="K177" s="124">
        <f>20+5</f>
        <v>25</v>
      </c>
      <c r="L177" s="79" t="s">
        <v>385</v>
      </c>
      <c r="M177" s="79" t="s">
        <v>385</v>
      </c>
      <c r="N177" s="79" t="s">
        <v>385</v>
      </c>
      <c r="O177" s="78">
        <f t="shared" si="51"/>
        <v>0</v>
      </c>
      <c r="P177" s="79" t="s">
        <v>385</v>
      </c>
      <c r="Q177" s="79" t="s">
        <v>385</v>
      </c>
      <c r="R177" s="79" t="s">
        <v>385</v>
      </c>
      <c r="S177" s="79" t="s">
        <v>385</v>
      </c>
      <c r="T177" s="78">
        <f t="shared" si="52"/>
        <v>0</v>
      </c>
      <c r="U177" s="79" t="s">
        <v>385</v>
      </c>
      <c r="V177" s="79" t="s">
        <v>385</v>
      </c>
      <c r="W177" s="79" t="s">
        <v>385</v>
      </c>
      <c r="X177" s="79" t="s">
        <v>385</v>
      </c>
      <c r="Y177" s="120">
        <f t="shared" si="53"/>
        <v>71</v>
      </c>
      <c r="Z177" s="124">
        <v>71</v>
      </c>
      <c r="AA177" s="79" t="s">
        <v>385</v>
      </c>
      <c r="AB177" s="79" t="s">
        <v>385</v>
      </c>
      <c r="AC177" s="79" t="s">
        <v>385</v>
      </c>
      <c r="AD177" s="120">
        <f t="shared" si="54"/>
        <v>71</v>
      </c>
      <c r="AE177" s="124">
        <v>71</v>
      </c>
      <c r="AF177" s="79" t="s">
        <v>385</v>
      </c>
      <c r="AG177" s="79" t="s">
        <v>385</v>
      </c>
      <c r="AH177" s="79" t="s">
        <v>385</v>
      </c>
      <c r="AI177" s="120">
        <f t="shared" si="55"/>
        <v>71</v>
      </c>
      <c r="AJ177" s="124">
        <v>71</v>
      </c>
      <c r="AK177" s="79" t="s">
        <v>385</v>
      </c>
      <c r="AL177" s="79" t="s">
        <v>385</v>
      </c>
      <c r="AM177" s="79" t="s">
        <v>385</v>
      </c>
      <c r="AN177" s="128">
        <f t="shared" si="56"/>
        <v>258</v>
      </c>
      <c r="AO177" s="95"/>
    </row>
    <row r="178" spans="1:41" ht="78" customHeight="1">
      <c r="A178" s="100" t="s">
        <v>251</v>
      </c>
      <c r="B178" s="106" t="s">
        <v>253</v>
      </c>
      <c r="C178" s="97" t="s">
        <v>515</v>
      </c>
      <c r="D178" s="12" t="s">
        <v>296</v>
      </c>
      <c r="E178" s="120">
        <f t="shared" si="49"/>
        <v>5</v>
      </c>
      <c r="F178" s="124">
        <v>5</v>
      </c>
      <c r="G178" s="28" t="s">
        <v>385</v>
      </c>
      <c r="H178" s="28" t="s">
        <v>385</v>
      </c>
      <c r="I178" s="28" t="s">
        <v>385</v>
      </c>
      <c r="J178" s="120">
        <f t="shared" si="50"/>
        <v>5</v>
      </c>
      <c r="K178" s="124">
        <v>5</v>
      </c>
      <c r="L178" s="79" t="s">
        <v>385</v>
      </c>
      <c r="M178" s="79" t="s">
        <v>385</v>
      </c>
      <c r="N178" s="79" t="s">
        <v>385</v>
      </c>
      <c r="O178" s="78">
        <f t="shared" si="51"/>
        <v>0</v>
      </c>
      <c r="P178" s="79" t="s">
        <v>385</v>
      </c>
      <c r="Q178" s="79" t="s">
        <v>385</v>
      </c>
      <c r="R178" s="79" t="s">
        <v>385</v>
      </c>
      <c r="S178" s="79" t="s">
        <v>385</v>
      </c>
      <c r="T178" s="78">
        <f t="shared" si="52"/>
        <v>0</v>
      </c>
      <c r="U178" s="79" t="s">
        <v>385</v>
      </c>
      <c r="V178" s="79" t="s">
        <v>385</v>
      </c>
      <c r="W178" s="79" t="s">
        <v>385</v>
      </c>
      <c r="X178" s="79" t="s">
        <v>385</v>
      </c>
      <c r="Y178" s="120">
        <f t="shared" si="53"/>
        <v>15</v>
      </c>
      <c r="Z178" s="124">
        <v>15</v>
      </c>
      <c r="AA178" s="79" t="s">
        <v>385</v>
      </c>
      <c r="AB178" s="79" t="s">
        <v>385</v>
      </c>
      <c r="AC178" s="79" t="s">
        <v>385</v>
      </c>
      <c r="AD178" s="120">
        <f t="shared" si="54"/>
        <v>15</v>
      </c>
      <c r="AE178" s="124">
        <v>15</v>
      </c>
      <c r="AF178" s="79" t="s">
        <v>385</v>
      </c>
      <c r="AG178" s="79" t="s">
        <v>385</v>
      </c>
      <c r="AH178" s="79" t="s">
        <v>385</v>
      </c>
      <c r="AI178" s="120">
        <f t="shared" si="55"/>
        <v>15</v>
      </c>
      <c r="AJ178" s="124">
        <v>15</v>
      </c>
      <c r="AK178" s="79" t="s">
        <v>385</v>
      </c>
      <c r="AL178" s="79" t="s">
        <v>385</v>
      </c>
      <c r="AM178" s="79" t="s">
        <v>385</v>
      </c>
      <c r="AN178" s="128">
        <f t="shared" si="56"/>
        <v>55</v>
      </c>
      <c r="AO178" s="95"/>
    </row>
    <row r="179" spans="1:41" ht="47.25">
      <c r="A179" s="100" t="s">
        <v>252</v>
      </c>
      <c r="B179" s="106" t="s">
        <v>254</v>
      </c>
      <c r="C179" s="12" t="s">
        <v>162</v>
      </c>
      <c r="D179" s="12" t="s">
        <v>296</v>
      </c>
      <c r="E179" s="78">
        <f t="shared" si="49"/>
        <v>0</v>
      </c>
      <c r="F179" s="28" t="s">
        <v>385</v>
      </c>
      <c r="G179" s="28" t="s">
        <v>385</v>
      </c>
      <c r="H179" s="28" t="s">
        <v>385</v>
      </c>
      <c r="I179" s="28" t="s">
        <v>385</v>
      </c>
      <c r="J179" s="78">
        <f t="shared" si="50"/>
        <v>0</v>
      </c>
      <c r="K179" s="12" t="s">
        <v>385</v>
      </c>
      <c r="L179" s="79" t="s">
        <v>385</v>
      </c>
      <c r="M179" s="79" t="s">
        <v>385</v>
      </c>
      <c r="N179" s="79" t="s">
        <v>385</v>
      </c>
      <c r="O179" s="78">
        <f t="shared" si="51"/>
        <v>0</v>
      </c>
      <c r="P179" s="79" t="s">
        <v>385</v>
      </c>
      <c r="Q179" s="79" t="s">
        <v>385</v>
      </c>
      <c r="R179" s="79" t="s">
        <v>385</v>
      </c>
      <c r="S179" s="79" t="s">
        <v>385</v>
      </c>
      <c r="T179" s="78">
        <f t="shared" si="52"/>
        <v>0</v>
      </c>
      <c r="U179" s="79" t="s">
        <v>385</v>
      </c>
      <c r="V179" s="79" t="s">
        <v>385</v>
      </c>
      <c r="W179" s="79" t="s">
        <v>385</v>
      </c>
      <c r="X179" s="79" t="s">
        <v>385</v>
      </c>
      <c r="Y179" s="120">
        <f t="shared" si="53"/>
        <v>30</v>
      </c>
      <c r="Z179" s="124">
        <v>30</v>
      </c>
      <c r="AA179" s="79" t="s">
        <v>385</v>
      </c>
      <c r="AB179" s="79" t="s">
        <v>385</v>
      </c>
      <c r="AC179" s="79" t="s">
        <v>385</v>
      </c>
      <c r="AD179" s="120">
        <f t="shared" si="54"/>
        <v>30</v>
      </c>
      <c r="AE179" s="124">
        <v>30</v>
      </c>
      <c r="AF179" s="79" t="s">
        <v>385</v>
      </c>
      <c r="AG179" s="79" t="s">
        <v>385</v>
      </c>
      <c r="AH179" s="79" t="s">
        <v>385</v>
      </c>
      <c r="AI179" s="120">
        <f t="shared" si="55"/>
        <v>30</v>
      </c>
      <c r="AJ179" s="124">
        <v>30</v>
      </c>
      <c r="AK179" s="79" t="s">
        <v>385</v>
      </c>
      <c r="AL179" s="79" t="s">
        <v>385</v>
      </c>
      <c r="AM179" s="79" t="s">
        <v>385</v>
      </c>
      <c r="AN179" s="128">
        <f t="shared" si="56"/>
        <v>90</v>
      </c>
      <c r="AO179" s="95"/>
    </row>
    <row r="180" spans="1:41" ht="47.25">
      <c r="A180" s="100" t="s">
        <v>285</v>
      </c>
      <c r="B180" s="106" t="s">
        <v>286</v>
      </c>
      <c r="C180" s="97" t="s">
        <v>166</v>
      </c>
      <c r="D180" s="12" t="s">
        <v>296</v>
      </c>
      <c r="E180" s="120">
        <f t="shared" si="49"/>
        <v>5</v>
      </c>
      <c r="F180" s="124">
        <v>5</v>
      </c>
      <c r="G180" s="28" t="s">
        <v>385</v>
      </c>
      <c r="H180" s="28" t="s">
        <v>385</v>
      </c>
      <c r="I180" s="28" t="s">
        <v>385</v>
      </c>
      <c r="J180" s="120">
        <f t="shared" si="50"/>
        <v>5</v>
      </c>
      <c r="K180" s="124">
        <v>5</v>
      </c>
      <c r="L180" s="79" t="s">
        <v>385</v>
      </c>
      <c r="M180" s="79" t="s">
        <v>385</v>
      </c>
      <c r="N180" s="79" t="s">
        <v>385</v>
      </c>
      <c r="O180" s="78">
        <f t="shared" si="51"/>
        <v>0</v>
      </c>
      <c r="P180" s="79" t="s">
        <v>385</v>
      </c>
      <c r="Q180" s="79" t="s">
        <v>385</v>
      </c>
      <c r="R180" s="79" t="s">
        <v>385</v>
      </c>
      <c r="S180" s="79" t="s">
        <v>385</v>
      </c>
      <c r="T180" s="78">
        <f t="shared" si="52"/>
        <v>0</v>
      </c>
      <c r="U180" s="79" t="s">
        <v>385</v>
      </c>
      <c r="V180" s="79" t="s">
        <v>385</v>
      </c>
      <c r="W180" s="79" t="s">
        <v>385</v>
      </c>
      <c r="X180" s="79" t="s">
        <v>385</v>
      </c>
      <c r="Y180" s="120">
        <f t="shared" si="53"/>
        <v>22</v>
      </c>
      <c r="Z180" s="124">
        <v>22</v>
      </c>
      <c r="AA180" s="79" t="s">
        <v>385</v>
      </c>
      <c r="AB180" s="79" t="s">
        <v>385</v>
      </c>
      <c r="AC180" s="79" t="s">
        <v>385</v>
      </c>
      <c r="AD180" s="120">
        <f t="shared" si="54"/>
        <v>22</v>
      </c>
      <c r="AE180" s="124">
        <v>22</v>
      </c>
      <c r="AF180" s="79" t="s">
        <v>385</v>
      </c>
      <c r="AG180" s="79" t="s">
        <v>385</v>
      </c>
      <c r="AH180" s="79" t="s">
        <v>385</v>
      </c>
      <c r="AI180" s="120">
        <f t="shared" si="55"/>
        <v>22</v>
      </c>
      <c r="AJ180" s="124">
        <v>22</v>
      </c>
      <c r="AK180" s="79" t="s">
        <v>385</v>
      </c>
      <c r="AL180" s="79" t="s">
        <v>385</v>
      </c>
      <c r="AM180" s="79" t="s">
        <v>385</v>
      </c>
      <c r="AN180" s="128">
        <f t="shared" si="56"/>
        <v>76</v>
      </c>
      <c r="AO180" s="95"/>
    </row>
    <row r="181" spans="1:41" ht="47.25">
      <c r="A181" s="100" t="s">
        <v>379</v>
      </c>
      <c r="B181" s="106" t="s">
        <v>377</v>
      </c>
      <c r="C181" s="97" t="s">
        <v>378</v>
      </c>
      <c r="D181" s="12" t="s">
        <v>296</v>
      </c>
      <c r="E181" s="120">
        <f t="shared" si="49"/>
        <v>3</v>
      </c>
      <c r="F181" s="124">
        <f>3</f>
        <v>3</v>
      </c>
      <c r="G181" s="28" t="s">
        <v>385</v>
      </c>
      <c r="H181" s="28" t="s">
        <v>385</v>
      </c>
      <c r="I181" s="28" t="s">
        <v>385</v>
      </c>
      <c r="J181" s="120">
        <f t="shared" si="50"/>
        <v>3</v>
      </c>
      <c r="K181" s="124">
        <v>3</v>
      </c>
      <c r="L181" s="79" t="s">
        <v>385</v>
      </c>
      <c r="M181" s="79" t="s">
        <v>385</v>
      </c>
      <c r="N181" s="79" t="s">
        <v>385</v>
      </c>
      <c r="O181" s="78">
        <f t="shared" si="51"/>
        <v>0</v>
      </c>
      <c r="P181" s="79" t="s">
        <v>385</v>
      </c>
      <c r="Q181" s="79" t="s">
        <v>385</v>
      </c>
      <c r="R181" s="79" t="s">
        <v>385</v>
      </c>
      <c r="S181" s="79" t="s">
        <v>385</v>
      </c>
      <c r="T181" s="78">
        <f t="shared" si="52"/>
        <v>0</v>
      </c>
      <c r="U181" s="79" t="s">
        <v>385</v>
      </c>
      <c r="V181" s="79" t="s">
        <v>385</v>
      </c>
      <c r="W181" s="79" t="s">
        <v>385</v>
      </c>
      <c r="X181" s="79" t="s">
        <v>385</v>
      </c>
      <c r="Y181" s="120">
        <f t="shared" si="53"/>
        <v>8</v>
      </c>
      <c r="Z181" s="124">
        <v>8</v>
      </c>
      <c r="AA181" s="79" t="s">
        <v>385</v>
      </c>
      <c r="AB181" s="79" t="s">
        <v>385</v>
      </c>
      <c r="AC181" s="79" t="s">
        <v>385</v>
      </c>
      <c r="AD181" s="120">
        <f t="shared" si="54"/>
        <v>8</v>
      </c>
      <c r="AE181" s="124">
        <v>8</v>
      </c>
      <c r="AF181" s="79" t="s">
        <v>385</v>
      </c>
      <c r="AG181" s="79" t="s">
        <v>385</v>
      </c>
      <c r="AH181" s="79" t="s">
        <v>385</v>
      </c>
      <c r="AI181" s="120">
        <f t="shared" si="55"/>
        <v>8</v>
      </c>
      <c r="AJ181" s="124">
        <v>8</v>
      </c>
      <c r="AK181" s="79" t="s">
        <v>385</v>
      </c>
      <c r="AL181" s="79" t="s">
        <v>385</v>
      </c>
      <c r="AM181" s="79" t="s">
        <v>385</v>
      </c>
      <c r="AN181" s="128">
        <f t="shared" si="56"/>
        <v>30</v>
      </c>
      <c r="AO181" s="95"/>
    </row>
    <row r="182" spans="1:41" ht="47.25">
      <c r="A182" s="100" t="s">
        <v>380</v>
      </c>
      <c r="B182" s="44" t="s">
        <v>315</v>
      </c>
      <c r="C182" s="12" t="s">
        <v>316</v>
      </c>
      <c r="D182" s="12" t="s">
        <v>296</v>
      </c>
      <c r="E182" s="130">
        <f t="shared" si="49"/>
        <v>0</v>
      </c>
      <c r="F182" s="101">
        <f>7-7</f>
        <v>0</v>
      </c>
      <c r="G182" s="28" t="s">
        <v>385</v>
      </c>
      <c r="H182" s="28" t="s">
        <v>385</v>
      </c>
      <c r="I182" s="28" t="s">
        <v>385</v>
      </c>
      <c r="J182" s="120">
        <f>SUMIF(K182:N182,"&gt;0")</f>
        <v>3</v>
      </c>
      <c r="K182" s="124">
        <v>3</v>
      </c>
      <c r="L182" s="79" t="s">
        <v>385</v>
      </c>
      <c r="M182" s="79" t="s">
        <v>385</v>
      </c>
      <c r="N182" s="79" t="s">
        <v>385</v>
      </c>
      <c r="O182" s="78">
        <f>SUMIF(P182:S182,"&gt;0")</f>
        <v>0</v>
      </c>
      <c r="P182" s="79" t="s">
        <v>385</v>
      </c>
      <c r="Q182" s="79" t="s">
        <v>385</v>
      </c>
      <c r="R182" s="79" t="s">
        <v>385</v>
      </c>
      <c r="S182" s="79" t="s">
        <v>385</v>
      </c>
      <c r="T182" s="78">
        <f t="shared" si="52"/>
        <v>0</v>
      </c>
      <c r="U182" s="79" t="s">
        <v>385</v>
      </c>
      <c r="V182" s="79" t="s">
        <v>385</v>
      </c>
      <c r="W182" s="79" t="s">
        <v>385</v>
      </c>
      <c r="X182" s="79" t="s">
        <v>385</v>
      </c>
      <c r="Y182" s="120">
        <f t="shared" si="53"/>
        <v>18</v>
      </c>
      <c r="Z182" s="126">
        <v>18</v>
      </c>
      <c r="AA182" s="79" t="s">
        <v>385</v>
      </c>
      <c r="AB182" s="79" t="s">
        <v>385</v>
      </c>
      <c r="AC182" s="79" t="s">
        <v>385</v>
      </c>
      <c r="AD182" s="120">
        <f t="shared" si="54"/>
        <v>18</v>
      </c>
      <c r="AE182" s="126">
        <v>18</v>
      </c>
      <c r="AF182" s="79" t="s">
        <v>385</v>
      </c>
      <c r="AG182" s="79" t="s">
        <v>385</v>
      </c>
      <c r="AH182" s="79" t="s">
        <v>385</v>
      </c>
      <c r="AI182" s="120">
        <f t="shared" si="55"/>
        <v>18</v>
      </c>
      <c r="AJ182" s="126">
        <v>18</v>
      </c>
      <c r="AK182" s="79" t="s">
        <v>385</v>
      </c>
      <c r="AL182" s="79" t="s">
        <v>385</v>
      </c>
      <c r="AM182" s="79" t="s">
        <v>385</v>
      </c>
      <c r="AN182" s="128">
        <f t="shared" si="56"/>
        <v>57</v>
      </c>
      <c r="AO182" s="95"/>
    </row>
    <row r="183" spans="1:41" ht="47.25">
      <c r="A183" s="100" t="s">
        <v>381</v>
      </c>
      <c r="B183" s="106" t="s">
        <v>317</v>
      </c>
      <c r="C183" s="12" t="s">
        <v>318</v>
      </c>
      <c r="D183" s="104" t="s">
        <v>313</v>
      </c>
      <c r="E183" s="120">
        <f t="shared" si="49"/>
        <v>7</v>
      </c>
      <c r="F183" s="126">
        <f>3+4</f>
        <v>7</v>
      </c>
      <c r="G183" s="28" t="s">
        <v>385</v>
      </c>
      <c r="H183" s="28" t="s">
        <v>385</v>
      </c>
      <c r="I183" s="28" t="s">
        <v>385</v>
      </c>
      <c r="J183" s="120">
        <f>SUMIF(K183:N183,"&gt;0")</f>
        <v>3</v>
      </c>
      <c r="K183" s="124">
        <v>3</v>
      </c>
      <c r="L183" s="79" t="s">
        <v>385</v>
      </c>
      <c r="M183" s="79" t="s">
        <v>385</v>
      </c>
      <c r="N183" s="79" t="s">
        <v>385</v>
      </c>
      <c r="O183" s="78">
        <f>SUMIF(P183:S183,"&gt;0")</f>
        <v>0</v>
      </c>
      <c r="P183" s="79" t="s">
        <v>385</v>
      </c>
      <c r="Q183" s="79" t="s">
        <v>385</v>
      </c>
      <c r="R183" s="79" t="s">
        <v>385</v>
      </c>
      <c r="S183" s="79" t="s">
        <v>385</v>
      </c>
      <c r="T183" s="78">
        <f t="shared" si="52"/>
        <v>0</v>
      </c>
      <c r="U183" s="79" t="s">
        <v>385</v>
      </c>
      <c r="V183" s="79" t="s">
        <v>385</v>
      </c>
      <c r="W183" s="79" t="s">
        <v>385</v>
      </c>
      <c r="X183" s="79" t="s">
        <v>385</v>
      </c>
      <c r="Y183" s="120">
        <f t="shared" si="53"/>
        <v>5</v>
      </c>
      <c r="Z183" s="126">
        <v>5</v>
      </c>
      <c r="AA183" s="79" t="s">
        <v>385</v>
      </c>
      <c r="AB183" s="79" t="s">
        <v>385</v>
      </c>
      <c r="AC183" s="79" t="s">
        <v>385</v>
      </c>
      <c r="AD183" s="120">
        <f t="shared" si="54"/>
        <v>5</v>
      </c>
      <c r="AE183" s="126">
        <v>5</v>
      </c>
      <c r="AF183" s="79" t="s">
        <v>385</v>
      </c>
      <c r="AG183" s="79" t="s">
        <v>385</v>
      </c>
      <c r="AH183" s="79" t="s">
        <v>385</v>
      </c>
      <c r="AI183" s="120">
        <f t="shared" si="55"/>
        <v>5</v>
      </c>
      <c r="AJ183" s="126">
        <v>5</v>
      </c>
      <c r="AK183" s="79" t="s">
        <v>385</v>
      </c>
      <c r="AL183" s="79" t="s">
        <v>385</v>
      </c>
      <c r="AM183" s="79" t="s">
        <v>385</v>
      </c>
      <c r="AN183" s="128">
        <f t="shared" si="56"/>
        <v>25</v>
      </c>
      <c r="AO183" s="95"/>
    </row>
    <row r="184" spans="1:41" ht="47.25">
      <c r="A184" s="100" t="s">
        <v>321</v>
      </c>
      <c r="B184" s="44" t="s">
        <v>319</v>
      </c>
      <c r="C184" s="12" t="s">
        <v>320</v>
      </c>
      <c r="D184" s="12" t="s">
        <v>313</v>
      </c>
      <c r="E184" s="120">
        <f t="shared" si="49"/>
        <v>3</v>
      </c>
      <c r="F184" s="126">
        <v>3</v>
      </c>
      <c r="G184" s="28" t="s">
        <v>385</v>
      </c>
      <c r="H184" s="28" t="s">
        <v>385</v>
      </c>
      <c r="I184" s="28" t="s">
        <v>385</v>
      </c>
      <c r="J184" s="120">
        <f>SUMIF(K184:N184,"&gt;0")</f>
        <v>3</v>
      </c>
      <c r="K184" s="124">
        <v>3</v>
      </c>
      <c r="L184" s="79" t="s">
        <v>385</v>
      </c>
      <c r="M184" s="79" t="s">
        <v>385</v>
      </c>
      <c r="N184" s="79" t="s">
        <v>385</v>
      </c>
      <c r="O184" s="78">
        <f>SUMIF(P184:S184,"&gt;0")</f>
        <v>0</v>
      </c>
      <c r="P184" s="79" t="s">
        <v>385</v>
      </c>
      <c r="Q184" s="79" t="s">
        <v>385</v>
      </c>
      <c r="R184" s="79" t="s">
        <v>385</v>
      </c>
      <c r="S184" s="79" t="s">
        <v>385</v>
      </c>
      <c r="T184" s="78">
        <f t="shared" si="52"/>
        <v>0</v>
      </c>
      <c r="U184" s="79" t="s">
        <v>385</v>
      </c>
      <c r="V184" s="79" t="s">
        <v>385</v>
      </c>
      <c r="W184" s="79" t="s">
        <v>385</v>
      </c>
      <c r="X184" s="79" t="s">
        <v>385</v>
      </c>
      <c r="Y184" s="120">
        <f t="shared" si="53"/>
        <v>5</v>
      </c>
      <c r="Z184" s="126">
        <v>5</v>
      </c>
      <c r="AA184" s="79" t="s">
        <v>385</v>
      </c>
      <c r="AB184" s="79" t="s">
        <v>385</v>
      </c>
      <c r="AC184" s="79" t="s">
        <v>385</v>
      </c>
      <c r="AD184" s="120">
        <f t="shared" si="54"/>
        <v>5</v>
      </c>
      <c r="AE184" s="126">
        <v>5</v>
      </c>
      <c r="AF184" s="79" t="s">
        <v>385</v>
      </c>
      <c r="AG184" s="79" t="s">
        <v>385</v>
      </c>
      <c r="AH184" s="79" t="s">
        <v>385</v>
      </c>
      <c r="AI184" s="120">
        <f t="shared" si="55"/>
        <v>5</v>
      </c>
      <c r="AJ184" s="126">
        <v>5</v>
      </c>
      <c r="AK184" s="79" t="s">
        <v>385</v>
      </c>
      <c r="AL184" s="79" t="s">
        <v>385</v>
      </c>
      <c r="AM184" s="79" t="s">
        <v>385</v>
      </c>
      <c r="AN184" s="128">
        <f t="shared" si="56"/>
        <v>21</v>
      </c>
      <c r="AO184" s="95"/>
    </row>
    <row r="185" spans="1:41" ht="53.25" customHeight="1">
      <c r="A185" s="37" t="s">
        <v>187</v>
      </c>
      <c r="B185" s="44" t="s">
        <v>198</v>
      </c>
      <c r="C185" s="12"/>
      <c r="D185" s="12"/>
      <c r="E185" s="23"/>
      <c r="F185" s="12"/>
      <c r="G185" s="104"/>
      <c r="H185" s="10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  <c r="AA185" s="94"/>
      <c r="AB185" s="94"/>
      <c r="AC185" s="94"/>
      <c r="AD185" s="94"/>
      <c r="AE185" s="94"/>
      <c r="AF185" s="94"/>
      <c r="AG185" s="94"/>
      <c r="AH185" s="94"/>
      <c r="AI185" s="23"/>
      <c r="AJ185" s="12"/>
      <c r="AK185" s="104"/>
      <c r="AL185" s="104"/>
      <c r="AM185" s="94"/>
      <c r="AN185" s="23"/>
      <c r="AO185" s="95"/>
    </row>
    <row r="186" spans="1:41" ht="52.5" customHeight="1">
      <c r="A186" s="100" t="s">
        <v>183</v>
      </c>
      <c r="B186" s="42" t="s">
        <v>462</v>
      </c>
      <c r="C186" s="12" t="s">
        <v>162</v>
      </c>
      <c r="D186" s="12" t="s">
        <v>296</v>
      </c>
      <c r="E186" s="120">
        <f aca="true" t="shared" si="57" ref="E186:E202">SUMIF(F186:I186,"&gt;0")</f>
        <v>15.3</v>
      </c>
      <c r="F186" s="127">
        <f>10+5.25845</f>
        <v>15.3</v>
      </c>
      <c r="G186" s="28" t="s">
        <v>385</v>
      </c>
      <c r="H186" s="28" t="s">
        <v>385</v>
      </c>
      <c r="I186" s="28" t="s">
        <v>385</v>
      </c>
      <c r="J186" s="120">
        <f aca="true" t="shared" si="58" ref="J186:J193">SUMIF(K186:N186,"&gt;0")</f>
        <v>8</v>
      </c>
      <c r="K186" s="124">
        <v>8</v>
      </c>
      <c r="L186" s="79" t="s">
        <v>385</v>
      </c>
      <c r="M186" s="79" t="s">
        <v>385</v>
      </c>
      <c r="N186" s="79" t="s">
        <v>385</v>
      </c>
      <c r="O186" s="78">
        <f aca="true" t="shared" si="59" ref="O186:O195">SUMIF(P186:S186,"&gt;0")</f>
        <v>0</v>
      </c>
      <c r="P186" s="79" t="s">
        <v>385</v>
      </c>
      <c r="Q186" s="79" t="s">
        <v>385</v>
      </c>
      <c r="R186" s="79" t="s">
        <v>385</v>
      </c>
      <c r="S186" s="79" t="s">
        <v>385</v>
      </c>
      <c r="T186" s="78">
        <f aca="true" t="shared" si="60" ref="T186:T195">SUMIF(U186:X186,"&gt;0")</f>
        <v>0</v>
      </c>
      <c r="U186" s="79" t="s">
        <v>385</v>
      </c>
      <c r="V186" s="79" t="s">
        <v>385</v>
      </c>
      <c r="W186" s="79" t="s">
        <v>385</v>
      </c>
      <c r="X186" s="79" t="s">
        <v>385</v>
      </c>
      <c r="Y186" s="120">
        <f aca="true" t="shared" si="61" ref="Y186:Y193">SUMIF(Z186:AC186,"&gt;0")</f>
        <v>15</v>
      </c>
      <c r="Z186" s="127">
        <v>15</v>
      </c>
      <c r="AA186" s="79" t="s">
        <v>385</v>
      </c>
      <c r="AB186" s="79" t="s">
        <v>385</v>
      </c>
      <c r="AC186" s="79" t="s">
        <v>385</v>
      </c>
      <c r="AD186" s="120">
        <f aca="true" t="shared" si="62" ref="AD186:AD193">SUMIF(AE186:AH186,"&gt;0")</f>
        <v>15</v>
      </c>
      <c r="AE186" s="127">
        <v>15</v>
      </c>
      <c r="AF186" s="79" t="s">
        <v>385</v>
      </c>
      <c r="AG186" s="79" t="s">
        <v>385</v>
      </c>
      <c r="AH186" s="79" t="s">
        <v>385</v>
      </c>
      <c r="AI186" s="120">
        <f aca="true" t="shared" si="63" ref="AI186:AI193">SUMIF(AJ186:AM186,"&gt;0")</f>
        <v>15</v>
      </c>
      <c r="AJ186" s="127">
        <v>15</v>
      </c>
      <c r="AK186" s="79" t="s">
        <v>385</v>
      </c>
      <c r="AL186" s="79" t="s">
        <v>385</v>
      </c>
      <c r="AM186" s="79" t="s">
        <v>385</v>
      </c>
      <c r="AN186" s="128">
        <f t="shared" si="56"/>
        <v>68.3</v>
      </c>
      <c r="AO186" s="95"/>
    </row>
    <row r="187" spans="1:41" ht="54.75" customHeight="1">
      <c r="A187" s="100" t="s">
        <v>184</v>
      </c>
      <c r="B187" s="42" t="s">
        <v>463</v>
      </c>
      <c r="C187" s="12" t="s">
        <v>162</v>
      </c>
      <c r="D187" s="12" t="s">
        <v>296</v>
      </c>
      <c r="E187" s="120">
        <f t="shared" si="57"/>
        <v>45</v>
      </c>
      <c r="F187" s="127">
        <v>45</v>
      </c>
      <c r="G187" s="28" t="s">
        <v>385</v>
      </c>
      <c r="H187" s="28" t="s">
        <v>385</v>
      </c>
      <c r="I187" s="28" t="s">
        <v>385</v>
      </c>
      <c r="J187" s="120">
        <f t="shared" si="58"/>
        <v>40</v>
      </c>
      <c r="K187" s="124">
        <v>40</v>
      </c>
      <c r="L187" s="79" t="s">
        <v>385</v>
      </c>
      <c r="M187" s="79" t="s">
        <v>385</v>
      </c>
      <c r="N187" s="79" t="s">
        <v>385</v>
      </c>
      <c r="O187" s="78">
        <f t="shared" si="59"/>
        <v>0</v>
      </c>
      <c r="P187" s="79" t="s">
        <v>385</v>
      </c>
      <c r="Q187" s="79" t="s">
        <v>385</v>
      </c>
      <c r="R187" s="79" t="s">
        <v>385</v>
      </c>
      <c r="S187" s="79" t="s">
        <v>385</v>
      </c>
      <c r="T187" s="78">
        <f t="shared" si="60"/>
        <v>0</v>
      </c>
      <c r="U187" s="79" t="s">
        <v>385</v>
      </c>
      <c r="V187" s="79" t="s">
        <v>385</v>
      </c>
      <c r="W187" s="79" t="s">
        <v>385</v>
      </c>
      <c r="X187" s="79" t="s">
        <v>385</v>
      </c>
      <c r="Y187" s="120">
        <f t="shared" si="61"/>
        <v>50</v>
      </c>
      <c r="Z187" s="127">
        <v>50</v>
      </c>
      <c r="AA187" s="79" t="s">
        <v>385</v>
      </c>
      <c r="AB187" s="79" t="s">
        <v>385</v>
      </c>
      <c r="AC187" s="79" t="s">
        <v>385</v>
      </c>
      <c r="AD187" s="120">
        <f t="shared" si="62"/>
        <v>50</v>
      </c>
      <c r="AE187" s="127">
        <v>50</v>
      </c>
      <c r="AF187" s="79" t="s">
        <v>385</v>
      </c>
      <c r="AG187" s="79" t="s">
        <v>385</v>
      </c>
      <c r="AH187" s="79" t="s">
        <v>385</v>
      </c>
      <c r="AI187" s="120">
        <f t="shared" si="63"/>
        <v>50</v>
      </c>
      <c r="AJ187" s="127">
        <v>50</v>
      </c>
      <c r="AK187" s="79" t="s">
        <v>385</v>
      </c>
      <c r="AL187" s="79" t="s">
        <v>385</v>
      </c>
      <c r="AM187" s="79" t="s">
        <v>385</v>
      </c>
      <c r="AN187" s="128">
        <f t="shared" si="56"/>
        <v>235</v>
      </c>
      <c r="AO187" s="95"/>
    </row>
    <row r="188" spans="1:41" ht="53.25" customHeight="1">
      <c r="A188" s="100" t="s">
        <v>185</v>
      </c>
      <c r="B188" s="42" t="s">
        <v>308</v>
      </c>
      <c r="C188" s="12" t="s">
        <v>162</v>
      </c>
      <c r="D188" s="12" t="s">
        <v>296</v>
      </c>
      <c r="E188" s="120">
        <f t="shared" si="57"/>
        <v>30</v>
      </c>
      <c r="F188" s="127">
        <v>30</v>
      </c>
      <c r="G188" s="28" t="s">
        <v>385</v>
      </c>
      <c r="H188" s="28" t="s">
        <v>385</v>
      </c>
      <c r="I188" s="28" t="s">
        <v>385</v>
      </c>
      <c r="J188" s="120">
        <f t="shared" si="58"/>
        <v>25</v>
      </c>
      <c r="K188" s="124">
        <v>25</v>
      </c>
      <c r="L188" s="79" t="s">
        <v>385</v>
      </c>
      <c r="M188" s="79" t="s">
        <v>385</v>
      </c>
      <c r="N188" s="79" t="s">
        <v>385</v>
      </c>
      <c r="O188" s="78">
        <f t="shared" si="59"/>
        <v>0</v>
      </c>
      <c r="P188" s="79" t="s">
        <v>385</v>
      </c>
      <c r="Q188" s="79" t="s">
        <v>385</v>
      </c>
      <c r="R188" s="79" t="s">
        <v>385</v>
      </c>
      <c r="S188" s="79" t="s">
        <v>385</v>
      </c>
      <c r="T188" s="78">
        <f t="shared" si="60"/>
        <v>0</v>
      </c>
      <c r="U188" s="79" t="s">
        <v>385</v>
      </c>
      <c r="V188" s="79" t="s">
        <v>385</v>
      </c>
      <c r="W188" s="79" t="s">
        <v>385</v>
      </c>
      <c r="X188" s="79" t="s">
        <v>385</v>
      </c>
      <c r="Y188" s="120">
        <f t="shared" si="61"/>
        <v>35</v>
      </c>
      <c r="Z188" s="127">
        <v>35</v>
      </c>
      <c r="AA188" s="79" t="s">
        <v>385</v>
      </c>
      <c r="AB188" s="79" t="s">
        <v>385</v>
      </c>
      <c r="AC188" s="79" t="s">
        <v>385</v>
      </c>
      <c r="AD188" s="120">
        <f t="shared" si="62"/>
        <v>35</v>
      </c>
      <c r="AE188" s="127">
        <v>35</v>
      </c>
      <c r="AF188" s="79" t="s">
        <v>385</v>
      </c>
      <c r="AG188" s="79" t="s">
        <v>385</v>
      </c>
      <c r="AH188" s="79" t="s">
        <v>385</v>
      </c>
      <c r="AI188" s="120">
        <f t="shared" si="63"/>
        <v>35</v>
      </c>
      <c r="AJ188" s="127">
        <v>35</v>
      </c>
      <c r="AK188" s="79" t="s">
        <v>385</v>
      </c>
      <c r="AL188" s="79" t="s">
        <v>385</v>
      </c>
      <c r="AM188" s="79" t="s">
        <v>385</v>
      </c>
      <c r="AN188" s="128">
        <f t="shared" si="56"/>
        <v>160</v>
      </c>
      <c r="AO188" s="95"/>
    </row>
    <row r="189" spans="1:41" ht="57.75" customHeight="1">
      <c r="A189" s="100" t="s">
        <v>186</v>
      </c>
      <c r="B189" s="42" t="s">
        <v>182</v>
      </c>
      <c r="C189" s="12" t="s">
        <v>162</v>
      </c>
      <c r="D189" s="12" t="s">
        <v>296</v>
      </c>
      <c r="E189" s="120">
        <f t="shared" si="57"/>
        <v>15</v>
      </c>
      <c r="F189" s="127">
        <v>15</v>
      </c>
      <c r="G189" s="28" t="s">
        <v>385</v>
      </c>
      <c r="H189" s="28" t="s">
        <v>385</v>
      </c>
      <c r="I189" s="28" t="s">
        <v>385</v>
      </c>
      <c r="J189" s="120">
        <f t="shared" si="58"/>
        <v>10</v>
      </c>
      <c r="K189" s="124">
        <v>10</v>
      </c>
      <c r="L189" s="79" t="s">
        <v>385</v>
      </c>
      <c r="M189" s="79" t="s">
        <v>385</v>
      </c>
      <c r="N189" s="79" t="s">
        <v>385</v>
      </c>
      <c r="O189" s="78">
        <f t="shared" si="59"/>
        <v>0</v>
      </c>
      <c r="P189" s="79" t="s">
        <v>385</v>
      </c>
      <c r="Q189" s="79" t="s">
        <v>385</v>
      </c>
      <c r="R189" s="79" t="s">
        <v>385</v>
      </c>
      <c r="S189" s="79" t="s">
        <v>385</v>
      </c>
      <c r="T189" s="78">
        <f t="shared" si="60"/>
        <v>0</v>
      </c>
      <c r="U189" s="79" t="s">
        <v>385</v>
      </c>
      <c r="V189" s="79" t="s">
        <v>385</v>
      </c>
      <c r="W189" s="79" t="s">
        <v>385</v>
      </c>
      <c r="X189" s="79" t="s">
        <v>385</v>
      </c>
      <c r="Y189" s="120">
        <f t="shared" si="61"/>
        <v>15</v>
      </c>
      <c r="Z189" s="127">
        <v>15</v>
      </c>
      <c r="AA189" s="79" t="s">
        <v>385</v>
      </c>
      <c r="AB189" s="79" t="s">
        <v>385</v>
      </c>
      <c r="AC189" s="79" t="s">
        <v>385</v>
      </c>
      <c r="AD189" s="120">
        <f t="shared" si="62"/>
        <v>15</v>
      </c>
      <c r="AE189" s="127">
        <v>15</v>
      </c>
      <c r="AF189" s="79" t="s">
        <v>385</v>
      </c>
      <c r="AG189" s="79" t="s">
        <v>385</v>
      </c>
      <c r="AH189" s="79" t="s">
        <v>385</v>
      </c>
      <c r="AI189" s="120">
        <f t="shared" si="63"/>
        <v>15</v>
      </c>
      <c r="AJ189" s="127">
        <v>15</v>
      </c>
      <c r="AK189" s="79" t="s">
        <v>385</v>
      </c>
      <c r="AL189" s="79" t="s">
        <v>385</v>
      </c>
      <c r="AM189" s="79" t="s">
        <v>385</v>
      </c>
      <c r="AN189" s="128">
        <f t="shared" si="56"/>
        <v>70</v>
      </c>
      <c r="AO189" s="95"/>
    </row>
    <row r="190" spans="1:41" ht="72.75" customHeight="1">
      <c r="A190" s="100" t="s">
        <v>268</v>
      </c>
      <c r="B190" s="42" t="s">
        <v>454</v>
      </c>
      <c r="C190" s="12" t="s">
        <v>162</v>
      </c>
      <c r="D190" s="12" t="s">
        <v>296</v>
      </c>
      <c r="E190" s="120">
        <f t="shared" si="57"/>
        <v>10</v>
      </c>
      <c r="F190" s="127">
        <v>10</v>
      </c>
      <c r="G190" s="28" t="s">
        <v>385</v>
      </c>
      <c r="H190" s="28" t="s">
        <v>385</v>
      </c>
      <c r="I190" s="28" t="s">
        <v>385</v>
      </c>
      <c r="J190" s="120">
        <f t="shared" si="58"/>
        <v>7</v>
      </c>
      <c r="K190" s="124">
        <v>7</v>
      </c>
      <c r="L190" s="79" t="s">
        <v>385</v>
      </c>
      <c r="M190" s="79" t="s">
        <v>385</v>
      </c>
      <c r="N190" s="79" t="s">
        <v>385</v>
      </c>
      <c r="O190" s="78">
        <f t="shared" si="59"/>
        <v>0</v>
      </c>
      <c r="P190" s="79" t="s">
        <v>385</v>
      </c>
      <c r="Q190" s="79" t="s">
        <v>385</v>
      </c>
      <c r="R190" s="79" t="s">
        <v>385</v>
      </c>
      <c r="S190" s="79" t="s">
        <v>385</v>
      </c>
      <c r="T190" s="78">
        <f t="shared" si="60"/>
        <v>0</v>
      </c>
      <c r="U190" s="79" t="s">
        <v>385</v>
      </c>
      <c r="V190" s="79" t="s">
        <v>385</v>
      </c>
      <c r="W190" s="79" t="s">
        <v>385</v>
      </c>
      <c r="X190" s="79" t="s">
        <v>385</v>
      </c>
      <c r="Y190" s="120">
        <f t="shared" si="61"/>
        <v>20</v>
      </c>
      <c r="Z190" s="127">
        <v>20</v>
      </c>
      <c r="AA190" s="79" t="s">
        <v>385</v>
      </c>
      <c r="AB190" s="79" t="s">
        <v>385</v>
      </c>
      <c r="AC190" s="79" t="s">
        <v>385</v>
      </c>
      <c r="AD190" s="120">
        <f t="shared" si="62"/>
        <v>20</v>
      </c>
      <c r="AE190" s="127">
        <v>20</v>
      </c>
      <c r="AF190" s="79" t="s">
        <v>385</v>
      </c>
      <c r="AG190" s="79" t="s">
        <v>385</v>
      </c>
      <c r="AH190" s="79" t="s">
        <v>385</v>
      </c>
      <c r="AI190" s="120">
        <f t="shared" si="63"/>
        <v>20</v>
      </c>
      <c r="AJ190" s="127">
        <v>20</v>
      </c>
      <c r="AK190" s="79" t="s">
        <v>385</v>
      </c>
      <c r="AL190" s="79" t="s">
        <v>385</v>
      </c>
      <c r="AM190" s="79" t="s">
        <v>385</v>
      </c>
      <c r="AN190" s="128">
        <f t="shared" si="56"/>
        <v>77</v>
      </c>
      <c r="AO190" s="95"/>
    </row>
    <row r="191" spans="1:41" ht="110.25">
      <c r="A191" s="100" t="s">
        <v>382</v>
      </c>
      <c r="B191" s="42" t="s">
        <v>272</v>
      </c>
      <c r="C191" s="12" t="s">
        <v>61</v>
      </c>
      <c r="D191" s="12" t="s">
        <v>296</v>
      </c>
      <c r="E191" s="78">
        <f t="shared" si="57"/>
        <v>0</v>
      </c>
      <c r="F191" s="28" t="s">
        <v>385</v>
      </c>
      <c r="G191" s="28" t="s">
        <v>385</v>
      </c>
      <c r="H191" s="28" t="s">
        <v>385</v>
      </c>
      <c r="I191" s="28" t="s">
        <v>385</v>
      </c>
      <c r="J191" s="78">
        <f t="shared" si="58"/>
        <v>0</v>
      </c>
      <c r="K191" s="12" t="s">
        <v>385</v>
      </c>
      <c r="L191" s="79" t="s">
        <v>385</v>
      </c>
      <c r="M191" s="79" t="s">
        <v>385</v>
      </c>
      <c r="N191" s="79" t="s">
        <v>385</v>
      </c>
      <c r="O191" s="78">
        <f t="shared" si="59"/>
        <v>0</v>
      </c>
      <c r="P191" s="79" t="s">
        <v>385</v>
      </c>
      <c r="Q191" s="79" t="s">
        <v>385</v>
      </c>
      <c r="R191" s="79" t="s">
        <v>385</v>
      </c>
      <c r="S191" s="79" t="s">
        <v>385</v>
      </c>
      <c r="T191" s="78">
        <f t="shared" si="60"/>
        <v>0</v>
      </c>
      <c r="U191" s="79" t="s">
        <v>385</v>
      </c>
      <c r="V191" s="79" t="s">
        <v>385</v>
      </c>
      <c r="W191" s="79" t="s">
        <v>385</v>
      </c>
      <c r="X191" s="79" t="s">
        <v>385</v>
      </c>
      <c r="Y191" s="78">
        <f t="shared" si="61"/>
        <v>0</v>
      </c>
      <c r="Z191" s="79" t="s">
        <v>385</v>
      </c>
      <c r="AA191" s="79" t="s">
        <v>385</v>
      </c>
      <c r="AB191" s="79" t="s">
        <v>385</v>
      </c>
      <c r="AC191" s="79" t="s">
        <v>385</v>
      </c>
      <c r="AD191" s="78">
        <f t="shared" si="62"/>
        <v>0</v>
      </c>
      <c r="AE191" s="79" t="s">
        <v>385</v>
      </c>
      <c r="AF191" s="79" t="s">
        <v>385</v>
      </c>
      <c r="AG191" s="79" t="s">
        <v>385</v>
      </c>
      <c r="AH191" s="79" t="s">
        <v>385</v>
      </c>
      <c r="AI191" s="78">
        <f t="shared" si="63"/>
        <v>0</v>
      </c>
      <c r="AJ191" s="79" t="s">
        <v>385</v>
      </c>
      <c r="AK191" s="79" t="s">
        <v>385</v>
      </c>
      <c r="AL191" s="79" t="s">
        <v>385</v>
      </c>
      <c r="AM191" s="79" t="s">
        <v>385</v>
      </c>
      <c r="AN191" s="78">
        <f t="shared" si="56"/>
        <v>0</v>
      </c>
      <c r="AO191" s="95"/>
    </row>
    <row r="192" spans="1:41" ht="110.25">
      <c r="A192" s="43" t="s">
        <v>30</v>
      </c>
      <c r="B192" s="44" t="s">
        <v>3</v>
      </c>
      <c r="C192" s="12" t="s">
        <v>61</v>
      </c>
      <c r="D192" s="12" t="s">
        <v>296</v>
      </c>
      <c r="E192" s="120">
        <f t="shared" si="57"/>
        <v>16143.4</v>
      </c>
      <c r="F192" s="28" t="s">
        <v>385</v>
      </c>
      <c r="G192" s="124">
        <f>8000+8143.401</f>
        <v>16143.4</v>
      </c>
      <c r="H192" s="28" t="s">
        <v>385</v>
      </c>
      <c r="I192" s="28" t="s">
        <v>385</v>
      </c>
      <c r="J192" s="120">
        <f t="shared" si="58"/>
        <v>383.8</v>
      </c>
      <c r="K192" s="79" t="s">
        <v>385</v>
      </c>
      <c r="L192" s="79">
        <f>383.8</f>
        <v>383.8</v>
      </c>
      <c r="M192" s="79" t="s">
        <v>385</v>
      </c>
      <c r="N192" s="79" t="s">
        <v>385</v>
      </c>
      <c r="O192" s="78">
        <f t="shared" si="59"/>
        <v>0</v>
      </c>
      <c r="P192" s="79" t="s">
        <v>385</v>
      </c>
      <c r="Q192" s="79" t="s">
        <v>385</v>
      </c>
      <c r="R192" s="79" t="s">
        <v>385</v>
      </c>
      <c r="S192" s="79" t="s">
        <v>385</v>
      </c>
      <c r="T192" s="78">
        <f t="shared" si="60"/>
        <v>0</v>
      </c>
      <c r="U192" s="79" t="s">
        <v>385</v>
      </c>
      <c r="V192" s="79" t="s">
        <v>385</v>
      </c>
      <c r="W192" s="79" t="s">
        <v>385</v>
      </c>
      <c r="X192" s="79" t="s">
        <v>385</v>
      </c>
      <c r="Y192" s="120">
        <f t="shared" si="61"/>
        <v>22450</v>
      </c>
      <c r="Z192" s="79" t="s">
        <v>385</v>
      </c>
      <c r="AA192" s="124">
        <v>22450</v>
      </c>
      <c r="AB192" s="79" t="s">
        <v>385</v>
      </c>
      <c r="AC192" s="79" t="s">
        <v>385</v>
      </c>
      <c r="AD192" s="120">
        <f t="shared" si="62"/>
        <v>23710</v>
      </c>
      <c r="AE192" s="79" t="s">
        <v>385</v>
      </c>
      <c r="AF192" s="124">
        <v>23710</v>
      </c>
      <c r="AG192" s="79" t="s">
        <v>385</v>
      </c>
      <c r="AH192" s="79" t="s">
        <v>385</v>
      </c>
      <c r="AI192" s="120">
        <f t="shared" si="63"/>
        <v>24996</v>
      </c>
      <c r="AJ192" s="79" t="s">
        <v>385</v>
      </c>
      <c r="AK192" s="124">
        <v>24996</v>
      </c>
      <c r="AL192" s="79" t="s">
        <v>385</v>
      </c>
      <c r="AM192" s="79" t="s">
        <v>385</v>
      </c>
      <c r="AN192" s="128">
        <f t="shared" si="56"/>
        <v>87683.2</v>
      </c>
      <c r="AO192" s="95"/>
    </row>
    <row r="193" spans="1:41" ht="110.25">
      <c r="A193" s="43" t="s">
        <v>31</v>
      </c>
      <c r="B193" s="44" t="s">
        <v>33</v>
      </c>
      <c r="C193" s="12" t="s">
        <v>61</v>
      </c>
      <c r="D193" s="12" t="s">
        <v>296</v>
      </c>
      <c r="E193" s="120">
        <f t="shared" si="57"/>
        <v>5058</v>
      </c>
      <c r="F193" s="124">
        <f>5469-411</f>
        <v>5058</v>
      </c>
      <c r="G193" s="28" t="s">
        <v>385</v>
      </c>
      <c r="H193" s="28" t="s">
        <v>385</v>
      </c>
      <c r="I193" s="28" t="s">
        <v>385</v>
      </c>
      <c r="J193" s="120">
        <f t="shared" si="58"/>
        <v>5878</v>
      </c>
      <c r="K193" s="124">
        <v>5878</v>
      </c>
      <c r="L193" s="79" t="s">
        <v>385</v>
      </c>
      <c r="M193" s="79" t="s">
        <v>385</v>
      </c>
      <c r="N193" s="79" t="s">
        <v>385</v>
      </c>
      <c r="O193" s="120">
        <f t="shared" si="59"/>
        <v>5878</v>
      </c>
      <c r="P193" s="124">
        <v>5878</v>
      </c>
      <c r="Q193" s="79" t="s">
        <v>385</v>
      </c>
      <c r="R193" s="79" t="s">
        <v>385</v>
      </c>
      <c r="S193" s="79" t="s">
        <v>385</v>
      </c>
      <c r="T193" s="120">
        <f t="shared" si="60"/>
        <v>5878</v>
      </c>
      <c r="U193" s="124">
        <v>5878</v>
      </c>
      <c r="V193" s="79" t="s">
        <v>385</v>
      </c>
      <c r="W193" s="79" t="s">
        <v>385</v>
      </c>
      <c r="X193" s="79" t="s">
        <v>385</v>
      </c>
      <c r="Y193" s="120">
        <f t="shared" si="61"/>
        <v>6796</v>
      </c>
      <c r="Z193" s="124">
        <v>6796</v>
      </c>
      <c r="AA193" s="79" t="s">
        <v>385</v>
      </c>
      <c r="AB193" s="79" t="s">
        <v>385</v>
      </c>
      <c r="AC193" s="79" t="s">
        <v>385</v>
      </c>
      <c r="AD193" s="120">
        <f t="shared" si="62"/>
        <v>7068</v>
      </c>
      <c r="AE193" s="124">
        <v>7068</v>
      </c>
      <c r="AF193" s="79" t="s">
        <v>385</v>
      </c>
      <c r="AG193" s="79" t="s">
        <v>385</v>
      </c>
      <c r="AH193" s="79" t="s">
        <v>385</v>
      </c>
      <c r="AI193" s="120">
        <f t="shared" si="63"/>
        <v>7351</v>
      </c>
      <c r="AJ193" s="124">
        <v>7351</v>
      </c>
      <c r="AK193" s="79" t="s">
        <v>385</v>
      </c>
      <c r="AL193" s="79" t="s">
        <v>385</v>
      </c>
      <c r="AM193" s="79" t="s">
        <v>385</v>
      </c>
      <c r="AN193" s="128">
        <f t="shared" si="56"/>
        <v>43907</v>
      </c>
      <c r="AO193" s="95"/>
    </row>
    <row r="194" spans="1:41" ht="110.25">
      <c r="A194" s="43" t="s">
        <v>32</v>
      </c>
      <c r="B194" s="44" t="s">
        <v>63</v>
      </c>
      <c r="C194" s="12" t="s">
        <v>39</v>
      </c>
      <c r="D194" s="12" t="s">
        <v>296</v>
      </c>
      <c r="E194" s="120">
        <f t="shared" si="57"/>
        <v>21528</v>
      </c>
      <c r="F194" s="124">
        <f>17878+4194-410-134</f>
        <v>21528</v>
      </c>
      <c r="G194" s="28" t="s">
        <v>385</v>
      </c>
      <c r="H194" s="28" t="s">
        <v>385</v>
      </c>
      <c r="I194" s="28" t="s">
        <v>385</v>
      </c>
      <c r="J194" s="120">
        <f aca="true" t="shared" si="64" ref="J194:J202">SUMIF(K194:N194,"&gt;0")</f>
        <v>23321</v>
      </c>
      <c r="K194" s="124">
        <v>23321</v>
      </c>
      <c r="L194" s="79" t="s">
        <v>385</v>
      </c>
      <c r="M194" s="79" t="s">
        <v>385</v>
      </c>
      <c r="N194" s="79" t="s">
        <v>385</v>
      </c>
      <c r="O194" s="120">
        <f t="shared" si="59"/>
        <v>23321</v>
      </c>
      <c r="P194" s="124">
        <v>23321</v>
      </c>
      <c r="Q194" s="79" t="s">
        <v>385</v>
      </c>
      <c r="R194" s="79" t="s">
        <v>385</v>
      </c>
      <c r="S194" s="79" t="s">
        <v>385</v>
      </c>
      <c r="T194" s="120">
        <f t="shared" si="60"/>
        <v>23321</v>
      </c>
      <c r="U194" s="124">
        <v>23321</v>
      </c>
      <c r="V194" s="79" t="s">
        <v>385</v>
      </c>
      <c r="W194" s="79" t="s">
        <v>385</v>
      </c>
      <c r="X194" s="79" t="s">
        <v>385</v>
      </c>
      <c r="Y194" s="120">
        <f aca="true" t="shared" si="65" ref="Y194:Y202">SUMIF(Z194:AC194,"&gt;0")</f>
        <v>31443</v>
      </c>
      <c r="Z194" s="124">
        <v>31443</v>
      </c>
      <c r="AA194" s="79" t="s">
        <v>385</v>
      </c>
      <c r="AB194" s="79" t="s">
        <v>385</v>
      </c>
      <c r="AC194" s="79" t="s">
        <v>385</v>
      </c>
      <c r="AD194" s="120">
        <f aca="true" t="shared" si="66" ref="AD194:AD202">SUMIF(AE194:AH194,"&gt;0")</f>
        <v>31443</v>
      </c>
      <c r="AE194" s="124">
        <v>31443</v>
      </c>
      <c r="AF194" s="79" t="s">
        <v>385</v>
      </c>
      <c r="AG194" s="79" t="s">
        <v>385</v>
      </c>
      <c r="AH194" s="79" t="s">
        <v>385</v>
      </c>
      <c r="AI194" s="120">
        <f aca="true" t="shared" si="67" ref="AI194:AI202">SUMIF(AJ194:AM194,"&gt;0")</f>
        <v>31443</v>
      </c>
      <c r="AJ194" s="124">
        <v>31443</v>
      </c>
      <c r="AK194" s="79" t="s">
        <v>385</v>
      </c>
      <c r="AL194" s="79" t="s">
        <v>385</v>
      </c>
      <c r="AM194" s="79" t="s">
        <v>385</v>
      </c>
      <c r="AN194" s="128">
        <f aca="true" t="shared" si="68" ref="AN194:AN203">E194+J194+O194+T194+Y194+AD194+AI194</f>
        <v>185820</v>
      </c>
      <c r="AO194" s="95"/>
    </row>
    <row r="195" spans="1:41" ht="94.5">
      <c r="A195" s="43" t="s">
        <v>34</v>
      </c>
      <c r="B195" s="44" t="s">
        <v>1</v>
      </c>
      <c r="C195" s="12" t="s">
        <v>39</v>
      </c>
      <c r="D195" s="12" t="s">
        <v>296</v>
      </c>
      <c r="E195" s="120">
        <f t="shared" si="57"/>
        <v>48950</v>
      </c>
      <c r="F195" s="124">
        <f>17475+37134-2280-3379</f>
        <v>48950</v>
      </c>
      <c r="G195" s="28" t="s">
        <v>385</v>
      </c>
      <c r="H195" s="28" t="s">
        <v>385</v>
      </c>
      <c r="I195" s="28" t="s">
        <v>385</v>
      </c>
      <c r="J195" s="120">
        <f t="shared" si="64"/>
        <v>55969</v>
      </c>
      <c r="K195" s="124">
        <v>55969</v>
      </c>
      <c r="L195" s="79" t="s">
        <v>385</v>
      </c>
      <c r="M195" s="79" t="s">
        <v>385</v>
      </c>
      <c r="N195" s="79" t="s">
        <v>385</v>
      </c>
      <c r="O195" s="120">
        <f t="shared" si="59"/>
        <v>55969</v>
      </c>
      <c r="P195" s="124">
        <v>55969</v>
      </c>
      <c r="Q195" s="79" t="s">
        <v>385</v>
      </c>
      <c r="R195" s="79" t="s">
        <v>385</v>
      </c>
      <c r="S195" s="79" t="s">
        <v>385</v>
      </c>
      <c r="T195" s="120">
        <f t="shared" si="60"/>
        <v>55969</v>
      </c>
      <c r="U195" s="124">
        <v>55969</v>
      </c>
      <c r="V195" s="79" t="s">
        <v>385</v>
      </c>
      <c r="W195" s="79" t="s">
        <v>385</v>
      </c>
      <c r="X195" s="79" t="s">
        <v>385</v>
      </c>
      <c r="Y195" s="120">
        <f t="shared" si="65"/>
        <v>65760</v>
      </c>
      <c r="Z195" s="124">
        <v>65760</v>
      </c>
      <c r="AA195" s="79" t="s">
        <v>385</v>
      </c>
      <c r="AB195" s="79" t="s">
        <v>385</v>
      </c>
      <c r="AC195" s="79" t="s">
        <v>385</v>
      </c>
      <c r="AD195" s="120">
        <f t="shared" si="66"/>
        <v>65760</v>
      </c>
      <c r="AE195" s="124">
        <v>65760</v>
      </c>
      <c r="AF195" s="79" t="s">
        <v>385</v>
      </c>
      <c r="AG195" s="79" t="s">
        <v>385</v>
      </c>
      <c r="AH195" s="79" t="s">
        <v>385</v>
      </c>
      <c r="AI195" s="120">
        <f t="shared" si="67"/>
        <v>65760</v>
      </c>
      <c r="AJ195" s="124">
        <v>65760</v>
      </c>
      <c r="AK195" s="79" t="s">
        <v>385</v>
      </c>
      <c r="AL195" s="79" t="s">
        <v>385</v>
      </c>
      <c r="AM195" s="79" t="s">
        <v>385</v>
      </c>
      <c r="AN195" s="128">
        <f t="shared" si="68"/>
        <v>414137</v>
      </c>
      <c r="AO195" s="95"/>
    </row>
    <row r="196" spans="1:41" ht="157.5">
      <c r="A196" s="43" t="s">
        <v>35</v>
      </c>
      <c r="B196" s="44" t="s">
        <v>5</v>
      </c>
      <c r="C196" s="12" t="s">
        <v>39</v>
      </c>
      <c r="D196" s="12" t="s">
        <v>296</v>
      </c>
      <c r="E196" s="120">
        <f t="shared" si="57"/>
        <v>30069</v>
      </c>
      <c r="F196" s="124">
        <f>31664-1595</f>
        <v>30069</v>
      </c>
      <c r="G196" s="28" t="s">
        <v>385</v>
      </c>
      <c r="H196" s="28" t="s">
        <v>385</v>
      </c>
      <c r="I196" s="28" t="s">
        <v>385</v>
      </c>
      <c r="J196" s="120">
        <f t="shared" si="64"/>
        <v>34810</v>
      </c>
      <c r="K196" s="124">
        <v>34810</v>
      </c>
      <c r="L196" s="79" t="s">
        <v>385</v>
      </c>
      <c r="M196" s="79" t="s">
        <v>385</v>
      </c>
      <c r="N196" s="79" t="s">
        <v>385</v>
      </c>
      <c r="O196" s="120">
        <f aca="true" t="shared" si="69" ref="O196:O202">SUMIF(P196:S196,"&gt;0")</f>
        <v>34810</v>
      </c>
      <c r="P196" s="124">
        <v>34810</v>
      </c>
      <c r="Q196" s="79" t="s">
        <v>385</v>
      </c>
      <c r="R196" s="79" t="s">
        <v>385</v>
      </c>
      <c r="S196" s="79" t="s">
        <v>385</v>
      </c>
      <c r="T196" s="120">
        <f aca="true" t="shared" si="70" ref="T196:T202">SUMIF(U196:X196,"&gt;0")</f>
        <v>34810</v>
      </c>
      <c r="U196" s="124">
        <v>34810</v>
      </c>
      <c r="V196" s="79" t="s">
        <v>385</v>
      </c>
      <c r="W196" s="79" t="s">
        <v>385</v>
      </c>
      <c r="X196" s="79" t="s">
        <v>385</v>
      </c>
      <c r="Y196" s="120">
        <f t="shared" si="65"/>
        <v>35733</v>
      </c>
      <c r="Z196" s="124">
        <f>30560+5173</f>
        <v>35733</v>
      </c>
      <c r="AA196" s="79" t="s">
        <v>385</v>
      </c>
      <c r="AB196" s="79" t="s">
        <v>385</v>
      </c>
      <c r="AC196" s="79" t="s">
        <v>385</v>
      </c>
      <c r="AD196" s="120">
        <f t="shared" si="66"/>
        <v>37737</v>
      </c>
      <c r="AE196" s="124">
        <f>32285+5452</f>
        <v>37737</v>
      </c>
      <c r="AF196" s="79" t="s">
        <v>385</v>
      </c>
      <c r="AG196" s="79" t="s">
        <v>385</v>
      </c>
      <c r="AH196" s="79" t="s">
        <v>385</v>
      </c>
      <c r="AI196" s="120">
        <f t="shared" si="67"/>
        <v>39769</v>
      </c>
      <c r="AJ196" s="124">
        <f>34024+5745</f>
        <v>39769</v>
      </c>
      <c r="AK196" s="79" t="s">
        <v>385</v>
      </c>
      <c r="AL196" s="79" t="s">
        <v>385</v>
      </c>
      <c r="AM196" s="79" t="s">
        <v>385</v>
      </c>
      <c r="AN196" s="128">
        <f t="shared" si="68"/>
        <v>247738</v>
      </c>
      <c r="AO196" s="95"/>
    </row>
    <row r="197" spans="1:41" ht="78.75">
      <c r="A197" s="43" t="s">
        <v>36</v>
      </c>
      <c r="B197" s="44" t="s">
        <v>443</v>
      </c>
      <c r="C197" s="12" t="s">
        <v>39</v>
      </c>
      <c r="D197" s="12" t="s">
        <v>296</v>
      </c>
      <c r="E197" s="120">
        <f>SUMIF(F197:I197,"&gt;0")</f>
        <v>126019</v>
      </c>
      <c r="F197" s="28" t="s">
        <v>385</v>
      </c>
      <c r="G197" s="28" t="s">
        <v>385</v>
      </c>
      <c r="H197" s="28" t="s">
        <v>385</v>
      </c>
      <c r="I197" s="124">
        <f>126019</f>
        <v>126019</v>
      </c>
      <c r="J197" s="120">
        <f>SUMIF(K197:N197,"&gt;0")</f>
        <v>3400</v>
      </c>
      <c r="K197" s="79" t="s">
        <v>385</v>
      </c>
      <c r="L197" s="79" t="s">
        <v>385</v>
      </c>
      <c r="M197" s="79" t="s">
        <v>385</v>
      </c>
      <c r="N197" s="124">
        <f>3400</f>
        <v>3400</v>
      </c>
      <c r="O197" s="120">
        <f>SUMIF(P197:S197,"&gt;0")</f>
        <v>3400</v>
      </c>
      <c r="P197" s="79" t="s">
        <v>385</v>
      </c>
      <c r="Q197" s="79" t="s">
        <v>385</v>
      </c>
      <c r="R197" s="79" t="s">
        <v>385</v>
      </c>
      <c r="S197" s="124">
        <f>3400</f>
        <v>3400</v>
      </c>
      <c r="T197" s="120">
        <f>SUMIF(U197:X197,"&gt;0")</f>
        <v>3400</v>
      </c>
      <c r="U197" s="79" t="s">
        <v>385</v>
      </c>
      <c r="V197" s="79" t="s">
        <v>385</v>
      </c>
      <c r="W197" s="79" t="s">
        <v>385</v>
      </c>
      <c r="X197" s="124">
        <f>3400</f>
        <v>3400</v>
      </c>
      <c r="Y197" s="120">
        <f>SUMIF(Z197:AC197,"&gt;0")</f>
        <v>601055</v>
      </c>
      <c r="Z197" s="79" t="s">
        <v>385</v>
      </c>
      <c r="AA197" s="79" t="s">
        <v>385</v>
      </c>
      <c r="AB197" s="79" t="s">
        <v>385</v>
      </c>
      <c r="AC197" s="124">
        <f>601055</f>
        <v>601055</v>
      </c>
      <c r="AD197" s="120">
        <f>SUMIF(AE197:AH197,"&gt;0")</f>
        <v>625097</v>
      </c>
      <c r="AE197" s="79" t="s">
        <v>385</v>
      </c>
      <c r="AF197" s="79" t="s">
        <v>385</v>
      </c>
      <c r="AG197" s="79" t="s">
        <v>385</v>
      </c>
      <c r="AH197" s="124">
        <f>625097</f>
        <v>625097</v>
      </c>
      <c r="AI197" s="120">
        <f>SUMIF(AJ197:AM197,"&gt;0")</f>
        <v>650100</v>
      </c>
      <c r="AJ197" s="79" t="s">
        <v>385</v>
      </c>
      <c r="AK197" s="79" t="s">
        <v>385</v>
      </c>
      <c r="AL197" s="79" t="s">
        <v>385</v>
      </c>
      <c r="AM197" s="124">
        <f>650100</f>
        <v>650100</v>
      </c>
      <c r="AN197" s="128">
        <f>E197+J197+O197+T197+Y197+AD197+AI197</f>
        <v>2012471</v>
      </c>
      <c r="AO197" s="95"/>
    </row>
    <row r="198" spans="1:41" ht="118.5" customHeight="1">
      <c r="A198" s="43" t="s">
        <v>37</v>
      </c>
      <c r="B198" s="44" t="s">
        <v>232</v>
      </c>
      <c r="C198" s="12" t="s">
        <v>39</v>
      </c>
      <c r="D198" s="12" t="s">
        <v>296</v>
      </c>
      <c r="E198" s="120">
        <f t="shared" si="57"/>
        <v>299506</v>
      </c>
      <c r="F198" s="124">
        <f>306970+16337-23801</f>
        <v>299506</v>
      </c>
      <c r="G198" s="28" t="s">
        <v>385</v>
      </c>
      <c r="H198" s="28" t="s">
        <v>385</v>
      </c>
      <c r="I198" s="28" t="s">
        <v>385</v>
      </c>
      <c r="J198" s="120">
        <f>SUMIF(K198:N198,"&gt;0")</f>
        <v>320371</v>
      </c>
      <c r="K198" s="124">
        <v>320371</v>
      </c>
      <c r="L198" s="79" t="s">
        <v>385</v>
      </c>
      <c r="M198" s="79" t="s">
        <v>385</v>
      </c>
      <c r="N198" s="79" t="s">
        <v>385</v>
      </c>
      <c r="O198" s="120">
        <f t="shared" si="69"/>
        <v>301294</v>
      </c>
      <c r="P198" s="124">
        <f>320371-19077</f>
        <v>301294</v>
      </c>
      <c r="Q198" s="79" t="s">
        <v>385</v>
      </c>
      <c r="R198" s="79" t="s">
        <v>385</v>
      </c>
      <c r="S198" s="79" t="s">
        <v>385</v>
      </c>
      <c r="T198" s="120">
        <f>SUMIF(U198:X198,"&gt;0")</f>
        <v>301294</v>
      </c>
      <c r="U198" s="124">
        <f>320371-19077</f>
        <v>301294</v>
      </c>
      <c r="V198" s="79" t="s">
        <v>385</v>
      </c>
      <c r="W198" s="79" t="s">
        <v>385</v>
      </c>
      <c r="X198" s="79" t="s">
        <v>385</v>
      </c>
      <c r="Y198" s="120">
        <f t="shared" si="65"/>
        <v>385228</v>
      </c>
      <c r="Z198" s="124">
        <v>385228</v>
      </c>
      <c r="AA198" s="79" t="s">
        <v>385</v>
      </c>
      <c r="AB198" s="79" t="s">
        <v>385</v>
      </c>
      <c r="AC198" s="79" t="s">
        <v>385</v>
      </c>
      <c r="AD198" s="120">
        <f t="shared" si="66"/>
        <v>397585</v>
      </c>
      <c r="AE198" s="124">
        <v>397585</v>
      </c>
      <c r="AF198" s="79" t="s">
        <v>385</v>
      </c>
      <c r="AG198" s="79" t="s">
        <v>385</v>
      </c>
      <c r="AH198" s="79" t="s">
        <v>385</v>
      </c>
      <c r="AI198" s="120">
        <f t="shared" si="67"/>
        <v>410438</v>
      </c>
      <c r="AJ198" s="124">
        <v>410438</v>
      </c>
      <c r="AK198" s="79" t="s">
        <v>385</v>
      </c>
      <c r="AL198" s="79" t="s">
        <v>385</v>
      </c>
      <c r="AM198" s="79" t="s">
        <v>385</v>
      </c>
      <c r="AN198" s="128">
        <f t="shared" si="68"/>
        <v>2415716</v>
      </c>
      <c r="AO198" s="95"/>
    </row>
    <row r="199" spans="1:41" ht="173.25">
      <c r="A199" s="43" t="s">
        <v>38</v>
      </c>
      <c r="B199" s="44" t="s">
        <v>42</v>
      </c>
      <c r="C199" s="12" t="s">
        <v>39</v>
      </c>
      <c r="D199" s="12" t="s">
        <v>296</v>
      </c>
      <c r="E199" s="120">
        <f t="shared" si="57"/>
        <v>146068</v>
      </c>
      <c r="F199" s="124">
        <f>113485+32582.999</f>
        <v>146068</v>
      </c>
      <c r="G199" s="28" t="s">
        <v>385</v>
      </c>
      <c r="H199" s="28" t="s">
        <v>385</v>
      </c>
      <c r="I199" s="28" t="s">
        <v>385</v>
      </c>
      <c r="J199" s="78">
        <f t="shared" si="64"/>
        <v>0</v>
      </c>
      <c r="K199" s="79" t="s">
        <v>385</v>
      </c>
      <c r="L199" s="79" t="s">
        <v>385</v>
      </c>
      <c r="M199" s="79" t="s">
        <v>385</v>
      </c>
      <c r="N199" s="79" t="s">
        <v>385</v>
      </c>
      <c r="O199" s="78">
        <f t="shared" si="69"/>
        <v>0</v>
      </c>
      <c r="P199" s="79" t="s">
        <v>385</v>
      </c>
      <c r="Q199" s="79" t="s">
        <v>385</v>
      </c>
      <c r="R199" s="79" t="s">
        <v>385</v>
      </c>
      <c r="S199" s="79" t="s">
        <v>385</v>
      </c>
      <c r="T199" s="78">
        <f t="shared" si="70"/>
        <v>0</v>
      </c>
      <c r="U199" s="79" t="s">
        <v>385</v>
      </c>
      <c r="V199" s="79" t="s">
        <v>385</v>
      </c>
      <c r="W199" s="79" t="s">
        <v>385</v>
      </c>
      <c r="X199" s="79" t="s">
        <v>385</v>
      </c>
      <c r="Y199" s="120">
        <f t="shared" si="65"/>
        <v>92622</v>
      </c>
      <c r="Z199" s="124">
        <v>92622</v>
      </c>
      <c r="AA199" s="79" t="s">
        <v>385</v>
      </c>
      <c r="AB199" s="79" t="s">
        <v>385</v>
      </c>
      <c r="AC199" s="79" t="s">
        <v>385</v>
      </c>
      <c r="AD199" s="120">
        <f t="shared" si="66"/>
        <v>92622</v>
      </c>
      <c r="AE199" s="124">
        <v>92622</v>
      </c>
      <c r="AF199" s="79" t="s">
        <v>385</v>
      </c>
      <c r="AG199" s="79" t="s">
        <v>385</v>
      </c>
      <c r="AH199" s="79" t="s">
        <v>385</v>
      </c>
      <c r="AI199" s="120">
        <f t="shared" si="67"/>
        <v>92622</v>
      </c>
      <c r="AJ199" s="124">
        <v>92622</v>
      </c>
      <c r="AK199" s="79" t="s">
        <v>385</v>
      </c>
      <c r="AL199" s="79" t="s">
        <v>385</v>
      </c>
      <c r="AM199" s="79" t="s">
        <v>385</v>
      </c>
      <c r="AN199" s="128">
        <f t="shared" si="68"/>
        <v>423934</v>
      </c>
      <c r="AO199" s="95"/>
    </row>
    <row r="200" spans="1:41" ht="63">
      <c r="A200" s="43" t="s">
        <v>40</v>
      </c>
      <c r="B200" s="44" t="s">
        <v>437</v>
      </c>
      <c r="C200" s="12" t="s">
        <v>39</v>
      </c>
      <c r="D200" s="12" t="s">
        <v>296</v>
      </c>
      <c r="E200" s="78">
        <f t="shared" si="57"/>
        <v>0</v>
      </c>
      <c r="F200" s="28" t="s">
        <v>385</v>
      </c>
      <c r="G200" s="28" t="s">
        <v>385</v>
      </c>
      <c r="H200" s="28" t="s">
        <v>385</v>
      </c>
      <c r="I200" s="28" t="s">
        <v>385</v>
      </c>
      <c r="J200" s="78">
        <f t="shared" si="64"/>
        <v>0</v>
      </c>
      <c r="K200" s="79" t="s">
        <v>385</v>
      </c>
      <c r="L200" s="79" t="s">
        <v>385</v>
      </c>
      <c r="M200" s="79" t="s">
        <v>385</v>
      </c>
      <c r="N200" s="79" t="s">
        <v>385</v>
      </c>
      <c r="O200" s="78">
        <f t="shared" si="69"/>
        <v>0</v>
      </c>
      <c r="P200" s="79" t="s">
        <v>385</v>
      </c>
      <c r="Q200" s="79" t="s">
        <v>385</v>
      </c>
      <c r="R200" s="79" t="s">
        <v>385</v>
      </c>
      <c r="S200" s="79" t="s">
        <v>385</v>
      </c>
      <c r="T200" s="78">
        <f t="shared" si="70"/>
        <v>0</v>
      </c>
      <c r="U200" s="79" t="s">
        <v>385</v>
      </c>
      <c r="V200" s="79" t="s">
        <v>385</v>
      </c>
      <c r="W200" s="79" t="s">
        <v>385</v>
      </c>
      <c r="X200" s="79" t="s">
        <v>385</v>
      </c>
      <c r="Y200" s="78">
        <f t="shared" si="65"/>
        <v>0</v>
      </c>
      <c r="Z200" s="79" t="s">
        <v>385</v>
      </c>
      <c r="AA200" s="79" t="s">
        <v>385</v>
      </c>
      <c r="AB200" s="79" t="s">
        <v>385</v>
      </c>
      <c r="AC200" s="79" t="s">
        <v>385</v>
      </c>
      <c r="AD200" s="78">
        <f t="shared" si="66"/>
        <v>0</v>
      </c>
      <c r="AE200" s="79" t="s">
        <v>385</v>
      </c>
      <c r="AF200" s="79" t="s">
        <v>385</v>
      </c>
      <c r="AG200" s="79" t="s">
        <v>385</v>
      </c>
      <c r="AH200" s="79" t="s">
        <v>385</v>
      </c>
      <c r="AI200" s="78">
        <f t="shared" si="67"/>
        <v>0</v>
      </c>
      <c r="AJ200" s="79" t="s">
        <v>385</v>
      </c>
      <c r="AK200" s="79" t="s">
        <v>385</v>
      </c>
      <c r="AL200" s="79" t="s">
        <v>385</v>
      </c>
      <c r="AM200" s="79" t="s">
        <v>385</v>
      </c>
      <c r="AN200" s="78">
        <f t="shared" si="68"/>
        <v>0</v>
      </c>
      <c r="AO200" s="95"/>
    </row>
    <row r="201" spans="1:42" ht="167.25" customHeight="1">
      <c r="A201" s="43" t="s">
        <v>41</v>
      </c>
      <c r="B201" s="38" t="s">
        <v>265</v>
      </c>
      <c r="C201" s="12" t="s">
        <v>39</v>
      </c>
      <c r="D201" s="12" t="s">
        <v>296</v>
      </c>
      <c r="E201" s="120">
        <f>SUMIF(F201:I201,"&gt;0")</f>
        <v>29936</v>
      </c>
      <c r="F201" s="28" t="s">
        <v>385</v>
      </c>
      <c r="G201" s="124">
        <v>29936</v>
      </c>
      <c r="H201" s="28" t="s">
        <v>385</v>
      </c>
      <c r="I201" s="28" t="s">
        <v>385</v>
      </c>
      <c r="J201" s="120">
        <f>SUMIF(K201:N201,"&gt;0")</f>
        <v>39045.8</v>
      </c>
      <c r="K201" s="79" t="s">
        <v>385</v>
      </c>
      <c r="L201" s="124">
        <f>33519+5526.8</f>
        <v>39045.8</v>
      </c>
      <c r="M201" s="79" t="s">
        <v>385</v>
      </c>
      <c r="N201" s="79" t="s">
        <v>385</v>
      </c>
      <c r="O201" s="120">
        <f>SUMIF(P201:S201,"&gt;0")</f>
        <v>39045.8</v>
      </c>
      <c r="P201" s="79" t="s">
        <v>385</v>
      </c>
      <c r="Q201" s="124">
        <f>33519+5526.8</f>
        <v>39045.8</v>
      </c>
      <c r="R201" s="79" t="s">
        <v>385</v>
      </c>
      <c r="S201" s="79" t="s">
        <v>385</v>
      </c>
      <c r="T201" s="120">
        <f>SUMIF(U201:X201,"&gt;0")</f>
        <v>39045.8</v>
      </c>
      <c r="U201" s="79" t="s">
        <v>385</v>
      </c>
      <c r="V201" s="124">
        <f>33519+5526.8</f>
        <v>39045.8</v>
      </c>
      <c r="W201" s="79" t="s">
        <v>385</v>
      </c>
      <c r="X201" s="79" t="s">
        <v>385</v>
      </c>
      <c r="Y201" s="78">
        <f>SUMIF(Z201:AC201,"&gt;0")</f>
        <v>0</v>
      </c>
      <c r="Z201" s="79" t="s">
        <v>385</v>
      </c>
      <c r="AA201" s="79" t="s">
        <v>385</v>
      </c>
      <c r="AB201" s="79" t="s">
        <v>385</v>
      </c>
      <c r="AC201" s="79" t="s">
        <v>385</v>
      </c>
      <c r="AD201" s="78">
        <f>SUMIF(AE201:AH201,"&gt;0")</f>
        <v>0</v>
      </c>
      <c r="AE201" s="79" t="s">
        <v>385</v>
      </c>
      <c r="AF201" s="79" t="s">
        <v>385</v>
      </c>
      <c r="AG201" s="79" t="s">
        <v>385</v>
      </c>
      <c r="AH201" s="79" t="s">
        <v>385</v>
      </c>
      <c r="AI201" s="78">
        <f>SUMIF(AJ201:AM201,"&gt;0")</f>
        <v>0</v>
      </c>
      <c r="AJ201" s="79" t="s">
        <v>385</v>
      </c>
      <c r="AK201" s="79" t="s">
        <v>385</v>
      </c>
      <c r="AL201" s="79" t="s">
        <v>385</v>
      </c>
      <c r="AM201" s="79" t="s">
        <v>385</v>
      </c>
      <c r="AN201" s="128">
        <f>E201+J201+O201+T201+Y201+AD201+AI201</f>
        <v>147073.4</v>
      </c>
      <c r="AO201" s="95"/>
      <c r="AP201" s="4"/>
    </row>
    <row r="202" spans="1:42" ht="157.5">
      <c r="A202" s="43" t="s">
        <v>235</v>
      </c>
      <c r="B202" s="38" t="s">
        <v>449</v>
      </c>
      <c r="C202" s="12" t="s">
        <v>39</v>
      </c>
      <c r="D202" s="12" t="s">
        <v>296</v>
      </c>
      <c r="E202" s="120">
        <f t="shared" si="57"/>
        <v>321239.2</v>
      </c>
      <c r="F202" s="124">
        <f>306+15.23927</f>
        <v>321.2</v>
      </c>
      <c r="G202" s="124">
        <f>112321.30922</f>
        <v>112321.3</v>
      </c>
      <c r="H202" s="124">
        <f>208596.71711</f>
        <v>208596.7</v>
      </c>
      <c r="I202" s="28" t="s">
        <v>385</v>
      </c>
      <c r="J202" s="120">
        <f t="shared" si="64"/>
        <v>352434.9</v>
      </c>
      <c r="K202" s="124">
        <f>352.4-352.43491+352.43491</f>
        <v>352.4</v>
      </c>
      <c r="L202" s="124">
        <f>123907.954+2841.73674</f>
        <v>126749.7</v>
      </c>
      <c r="M202" s="124">
        <f>220280.80711+5051.97644</f>
        <v>225332.8</v>
      </c>
      <c r="N202" s="79" t="s">
        <v>385</v>
      </c>
      <c r="O202" s="120">
        <f t="shared" si="69"/>
        <v>360018.1</v>
      </c>
      <c r="P202" s="124">
        <f>366-366+366-5.98191</f>
        <v>360</v>
      </c>
      <c r="Q202" s="124">
        <f>129476.90769</f>
        <v>129476.9</v>
      </c>
      <c r="R202" s="124">
        <f>230181.16922</f>
        <v>230181.2</v>
      </c>
      <c r="S202" s="79" t="s">
        <v>385</v>
      </c>
      <c r="T202" s="120">
        <f t="shared" si="70"/>
        <v>361618</v>
      </c>
      <c r="U202" s="124">
        <f>366-366+366-4.38194</f>
        <v>361.6</v>
      </c>
      <c r="V202" s="124">
        <f>130052.32075</f>
        <v>130052.3</v>
      </c>
      <c r="W202" s="124">
        <f>231204.12579</f>
        <v>231204.1</v>
      </c>
      <c r="X202" s="79" t="s">
        <v>385</v>
      </c>
      <c r="Y202" s="78">
        <f t="shared" si="65"/>
        <v>0</v>
      </c>
      <c r="Z202" s="79" t="s">
        <v>385</v>
      </c>
      <c r="AA202" s="79" t="s">
        <v>385</v>
      </c>
      <c r="AB202" s="79" t="s">
        <v>385</v>
      </c>
      <c r="AC202" s="79" t="s">
        <v>385</v>
      </c>
      <c r="AD202" s="78">
        <f t="shared" si="66"/>
        <v>0</v>
      </c>
      <c r="AE202" s="79" t="s">
        <v>385</v>
      </c>
      <c r="AF202" s="79" t="s">
        <v>385</v>
      </c>
      <c r="AG202" s="79" t="s">
        <v>385</v>
      </c>
      <c r="AH202" s="79" t="s">
        <v>385</v>
      </c>
      <c r="AI202" s="78">
        <f t="shared" si="67"/>
        <v>0</v>
      </c>
      <c r="AJ202" s="79" t="s">
        <v>385</v>
      </c>
      <c r="AK202" s="79" t="s">
        <v>385</v>
      </c>
      <c r="AL202" s="79" t="s">
        <v>385</v>
      </c>
      <c r="AM202" s="79" t="s">
        <v>385</v>
      </c>
      <c r="AN202" s="128">
        <f t="shared" si="68"/>
        <v>1395310.2</v>
      </c>
      <c r="AO202" s="95"/>
      <c r="AP202" s="4"/>
    </row>
    <row r="203" spans="1:41" ht="18.75">
      <c r="A203" s="43"/>
      <c r="B203" s="169" t="s">
        <v>51</v>
      </c>
      <c r="C203" s="70"/>
      <c r="D203" s="70"/>
      <c r="E203" s="125">
        <f>SUM(F203:I203)</f>
        <v>1045722.2</v>
      </c>
      <c r="F203" s="129">
        <f>SUM(F90:F202)</f>
        <v>552705.8</v>
      </c>
      <c r="G203" s="129">
        <f>SUM(G90:G202)</f>
        <v>158400.7</v>
      </c>
      <c r="H203" s="129">
        <f>SUM(H90:H202)</f>
        <v>208596.7</v>
      </c>
      <c r="I203" s="129">
        <f>SUM(I90:I202)</f>
        <v>126019</v>
      </c>
      <c r="J203" s="125">
        <f>SUM(K203:N203)</f>
        <v>837028.5</v>
      </c>
      <c r="K203" s="129">
        <f>SUM(K90:K202)</f>
        <v>442116.4</v>
      </c>
      <c r="L203" s="129">
        <f>SUM(L90:L202)</f>
        <v>166179.3</v>
      </c>
      <c r="M203" s="129">
        <f>SUM(M90:M202)</f>
        <v>225332.8</v>
      </c>
      <c r="N203" s="129">
        <f>SUM(N90:N202)</f>
        <v>3400</v>
      </c>
      <c r="O203" s="125">
        <f>SUM(P203:S203)</f>
        <v>823735.9</v>
      </c>
      <c r="P203" s="129">
        <f>SUM(P90:P202)</f>
        <v>421632</v>
      </c>
      <c r="Q203" s="129">
        <f>SUM(Q90:Q202)</f>
        <v>168522.7</v>
      </c>
      <c r="R203" s="129">
        <f>SUM(R90:R202)</f>
        <v>230181.2</v>
      </c>
      <c r="S203" s="129">
        <f>SUM(S90:S202)</f>
        <v>3400</v>
      </c>
      <c r="T203" s="125">
        <f>SUM(U203:X203)</f>
        <v>825335.8</v>
      </c>
      <c r="U203" s="129">
        <f>SUM(U90:U202)</f>
        <v>421633.6</v>
      </c>
      <c r="V203" s="129">
        <f>SUM(V90:V202)</f>
        <v>169098.1</v>
      </c>
      <c r="W203" s="129">
        <f>SUM(W90:W202)</f>
        <v>231204.1</v>
      </c>
      <c r="X203" s="129">
        <f>SUM(X90:X202)</f>
        <v>3400</v>
      </c>
      <c r="Y203" s="125">
        <f>SUM(Z203:AC203)</f>
        <v>1243813</v>
      </c>
      <c r="Z203" s="129">
        <f>SUM(Z90:Z202)</f>
        <v>620308</v>
      </c>
      <c r="AA203" s="129">
        <f>SUM(AA90:AA202)</f>
        <v>22450</v>
      </c>
      <c r="AB203" s="82">
        <f>SUM(AB90:AB202)</f>
        <v>0</v>
      </c>
      <c r="AC203" s="129">
        <f>SUM(AC90:AC202)</f>
        <v>601055</v>
      </c>
      <c r="AD203" s="125">
        <f>SUM(AE203:AH203)</f>
        <v>1283733</v>
      </c>
      <c r="AE203" s="129">
        <f>SUM(AE90:AE202)</f>
        <v>634926</v>
      </c>
      <c r="AF203" s="129">
        <f>SUM(AF90:AF202)</f>
        <v>23710</v>
      </c>
      <c r="AG203" s="82">
        <f>SUM(AG90:AG202)</f>
        <v>0</v>
      </c>
      <c r="AH203" s="129">
        <f>SUM(AH90:AH202)</f>
        <v>625097</v>
      </c>
      <c r="AI203" s="125">
        <f>SUM(AJ203:AM203)</f>
        <v>1325207</v>
      </c>
      <c r="AJ203" s="129">
        <f>SUM(AJ90:AJ202)</f>
        <v>650111</v>
      </c>
      <c r="AK203" s="129">
        <f>SUM(AK90:AK202)</f>
        <v>24996</v>
      </c>
      <c r="AL203" s="82">
        <f>SUM(AL90:AL202)</f>
        <v>0</v>
      </c>
      <c r="AM203" s="129">
        <f>SUM(AM90:AM202)</f>
        <v>650100</v>
      </c>
      <c r="AN203" s="128">
        <f t="shared" si="68"/>
        <v>7384575.4</v>
      </c>
      <c r="AO203" s="95"/>
    </row>
    <row r="204" spans="1:42" ht="51.75" customHeight="1">
      <c r="A204" s="108" t="s">
        <v>299</v>
      </c>
      <c r="B204" s="148" t="s">
        <v>386</v>
      </c>
      <c r="C204" s="148"/>
      <c r="D204" s="148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  <c r="Z204" s="109"/>
      <c r="AA204" s="109"/>
      <c r="AB204" s="109"/>
      <c r="AC204" s="109"/>
      <c r="AD204" s="109"/>
      <c r="AE204" s="110"/>
      <c r="AF204" s="109"/>
      <c r="AG204" s="109"/>
      <c r="AH204" s="109"/>
      <c r="AI204" s="109"/>
      <c r="AJ204" s="109"/>
      <c r="AK204" s="109"/>
      <c r="AL204" s="109"/>
      <c r="AM204" s="109"/>
      <c r="AN204" s="111"/>
      <c r="AO204" s="95"/>
      <c r="AP204" s="27"/>
    </row>
    <row r="205" spans="1:45" s="24" customFormat="1" ht="31.5">
      <c r="A205" s="37" t="s">
        <v>46</v>
      </c>
      <c r="B205" s="112" t="s">
        <v>199</v>
      </c>
      <c r="C205" s="107"/>
      <c r="D205" s="113"/>
      <c r="E205" s="45"/>
      <c r="F205" s="75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  <c r="X205" s="94"/>
      <c r="Y205" s="94"/>
      <c r="Z205" s="94"/>
      <c r="AA205" s="94"/>
      <c r="AB205" s="94"/>
      <c r="AC205" s="94"/>
      <c r="AD205" s="94"/>
      <c r="AE205" s="94"/>
      <c r="AF205" s="94"/>
      <c r="AG205" s="94"/>
      <c r="AH205" s="94"/>
      <c r="AI205" s="45"/>
      <c r="AJ205" s="75"/>
      <c r="AK205" s="94"/>
      <c r="AL205" s="94"/>
      <c r="AM205" s="94"/>
      <c r="AN205" s="23"/>
      <c r="AO205" s="95"/>
      <c r="AQ205" s="1"/>
      <c r="AR205" s="1"/>
      <c r="AS205" s="114"/>
    </row>
    <row r="206" spans="1:44" s="24" customFormat="1" ht="47.25">
      <c r="A206" s="100" t="s">
        <v>192</v>
      </c>
      <c r="B206" s="42" t="s">
        <v>188</v>
      </c>
      <c r="C206" s="97" t="s">
        <v>104</v>
      </c>
      <c r="D206" s="12" t="s">
        <v>296</v>
      </c>
      <c r="E206" s="120">
        <f aca="true" t="shared" si="71" ref="E206:E221">SUMIF(F206:I206,"&gt;0")</f>
        <v>19.3</v>
      </c>
      <c r="F206" s="127">
        <f>25-5.659</f>
        <v>19.3</v>
      </c>
      <c r="G206" s="28" t="s">
        <v>385</v>
      </c>
      <c r="H206" s="28" t="s">
        <v>385</v>
      </c>
      <c r="I206" s="28" t="s">
        <v>385</v>
      </c>
      <c r="J206" s="120">
        <f aca="true" t="shared" si="72" ref="J206:J211">SUMIF(K206:N206,"&gt;0")</f>
        <v>25</v>
      </c>
      <c r="K206" s="124">
        <v>25</v>
      </c>
      <c r="L206" s="79" t="s">
        <v>385</v>
      </c>
      <c r="M206" s="79" t="s">
        <v>385</v>
      </c>
      <c r="N206" s="79" t="s">
        <v>385</v>
      </c>
      <c r="O206" s="78">
        <f aca="true" t="shared" si="73" ref="O206:O211">SUMIF(P206:S206,"&gt;0")</f>
        <v>0</v>
      </c>
      <c r="P206" s="79" t="s">
        <v>385</v>
      </c>
      <c r="Q206" s="79" t="s">
        <v>385</v>
      </c>
      <c r="R206" s="79" t="s">
        <v>385</v>
      </c>
      <c r="S206" s="79" t="s">
        <v>385</v>
      </c>
      <c r="T206" s="78">
        <f aca="true" t="shared" si="74" ref="T206:T223">SUMIF(U206:X206,"&gt;0")</f>
        <v>0</v>
      </c>
      <c r="U206" s="79" t="s">
        <v>385</v>
      </c>
      <c r="V206" s="79" t="s">
        <v>385</v>
      </c>
      <c r="W206" s="79" t="s">
        <v>385</v>
      </c>
      <c r="X206" s="79" t="s">
        <v>385</v>
      </c>
      <c r="Y206" s="120">
        <f aca="true" t="shared" si="75" ref="Y206:Y224">SUMIF(Z206:AC206,"&gt;0")</f>
        <v>45</v>
      </c>
      <c r="Z206" s="127">
        <v>45</v>
      </c>
      <c r="AA206" s="79" t="s">
        <v>385</v>
      </c>
      <c r="AB206" s="79" t="s">
        <v>385</v>
      </c>
      <c r="AC206" s="79" t="s">
        <v>385</v>
      </c>
      <c r="AD206" s="120">
        <f aca="true" t="shared" si="76" ref="AD206:AD224">SUMIF(AE206:AH206,"&gt;0")</f>
        <v>45</v>
      </c>
      <c r="AE206" s="127">
        <v>45</v>
      </c>
      <c r="AF206" s="79" t="s">
        <v>385</v>
      </c>
      <c r="AG206" s="79" t="s">
        <v>385</v>
      </c>
      <c r="AH206" s="79" t="s">
        <v>385</v>
      </c>
      <c r="AI206" s="120">
        <f aca="true" t="shared" si="77" ref="AI206:AI224">SUMIF(AJ206:AM206,"&gt;0")</f>
        <v>45</v>
      </c>
      <c r="AJ206" s="127">
        <v>45</v>
      </c>
      <c r="AK206" s="79" t="s">
        <v>385</v>
      </c>
      <c r="AL206" s="79" t="s">
        <v>385</v>
      </c>
      <c r="AM206" s="79" t="s">
        <v>385</v>
      </c>
      <c r="AN206" s="128">
        <f aca="true" t="shared" si="78" ref="AN206:AN224">E206+J206+O206+T206+Y206+AD206+AI206</f>
        <v>179.3</v>
      </c>
      <c r="AO206" s="95"/>
      <c r="AQ206" s="1"/>
      <c r="AR206" s="1"/>
    </row>
    <row r="207" spans="1:44" s="24" customFormat="1" ht="113.25" customHeight="1">
      <c r="A207" s="100" t="s">
        <v>193</v>
      </c>
      <c r="B207" s="42" t="s">
        <v>189</v>
      </c>
      <c r="C207" s="97" t="s">
        <v>237</v>
      </c>
      <c r="D207" s="12" t="s">
        <v>296</v>
      </c>
      <c r="E207" s="120">
        <f t="shared" si="71"/>
        <v>100</v>
      </c>
      <c r="F207" s="127">
        <v>100</v>
      </c>
      <c r="G207" s="28" t="s">
        <v>385</v>
      </c>
      <c r="H207" s="28" t="s">
        <v>385</v>
      </c>
      <c r="I207" s="28" t="s">
        <v>385</v>
      </c>
      <c r="J207" s="120">
        <f t="shared" si="72"/>
        <v>150</v>
      </c>
      <c r="K207" s="124">
        <v>150</v>
      </c>
      <c r="L207" s="79" t="s">
        <v>385</v>
      </c>
      <c r="M207" s="79" t="s">
        <v>385</v>
      </c>
      <c r="N207" s="79" t="s">
        <v>385</v>
      </c>
      <c r="O207" s="78">
        <f t="shared" si="73"/>
        <v>0</v>
      </c>
      <c r="P207" s="79" t="s">
        <v>385</v>
      </c>
      <c r="Q207" s="79" t="s">
        <v>385</v>
      </c>
      <c r="R207" s="79" t="s">
        <v>385</v>
      </c>
      <c r="S207" s="79" t="s">
        <v>385</v>
      </c>
      <c r="T207" s="78">
        <f t="shared" si="74"/>
        <v>0</v>
      </c>
      <c r="U207" s="79" t="s">
        <v>385</v>
      </c>
      <c r="V207" s="79" t="s">
        <v>385</v>
      </c>
      <c r="W207" s="79" t="s">
        <v>385</v>
      </c>
      <c r="X207" s="79" t="s">
        <v>385</v>
      </c>
      <c r="Y207" s="120">
        <f t="shared" si="75"/>
        <v>400</v>
      </c>
      <c r="Z207" s="127">
        <v>400</v>
      </c>
      <c r="AA207" s="79" t="s">
        <v>385</v>
      </c>
      <c r="AB207" s="79" t="s">
        <v>385</v>
      </c>
      <c r="AC207" s="79" t="s">
        <v>385</v>
      </c>
      <c r="AD207" s="120">
        <f t="shared" si="76"/>
        <v>400</v>
      </c>
      <c r="AE207" s="127">
        <v>400</v>
      </c>
      <c r="AF207" s="79" t="s">
        <v>385</v>
      </c>
      <c r="AG207" s="79" t="s">
        <v>385</v>
      </c>
      <c r="AH207" s="79" t="s">
        <v>385</v>
      </c>
      <c r="AI207" s="120">
        <f t="shared" si="77"/>
        <v>400</v>
      </c>
      <c r="AJ207" s="127">
        <v>400</v>
      </c>
      <c r="AK207" s="79" t="s">
        <v>385</v>
      </c>
      <c r="AL207" s="79" t="s">
        <v>385</v>
      </c>
      <c r="AM207" s="79" t="s">
        <v>385</v>
      </c>
      <c r="AN207" s="128">
        <f t="shared" si="78"/>
        <v>1450</v>
      </c>
      <c r="AO207" s="95"/>
      <c r="AQ207" s="1"/>
      <c r="AR207" s="1"/>
    </row>
    <row r="208" spans="1:44" s="24" customFormat="1" ht="47.25">
      <c r="A208" s="100" t="s">
        <v>194</v>
      </c>
      <c r="B208" s="115" t="s">
        <v>190</v>
      </c>
      <c r="C208" s="97" t="s">
        <v>104</v>
      </c>
      <c r="D208" s="12" t="s">
        <v>296</v>
      </c>
      <c r="E208" s="120">
        <f t="shared" si="71"/>
        <v>20</v>
      </c>
      <c r="F208" s="127">
        <v>20</v>
      </c>
      <c r="G208" s="28" t="s">
        <v>385</v>
      </c>
      <c r="H208" s="28" t="s">
        <v>385</v>
      </c>
      <c r="I208" s="28" t="s">
        <v>385</v>
      </c>
      <c r="J208" s="120">
        <f t="shared" si="72"/>
        <v>20</v>
      </c>
      <c r="K208" s="124">
        <v>20</v>
      </c>
      <c r="L208" s="79" t="s">
        <v>385</v>
      </c>
      <c r="M208" s="79" t="s">
        <v>385</v>
      </c>
      <c r="N208" s="79" t="s">
        <v>385</v>
      </c>
      <c r="O208" s="78">
        <f t="shared" si="73"/>
        <v>0</v>
      </c>
      <c r="P208" s="79" t="s">
        <v>385</v>
      </c>
      <c r="Q208" s="79" t="s">
        <v>385</v>
      </c>
      <c r="R208" s="79" t="s">
        <v>385</v>
      </c>
      <c r="S208" s="79" t="s">
        <v>385</v>
      </c>
      <c r="T208" s="78">
        <f t="shared" si="74"/>
        <v>0</v>
      </c>
      <c r="U208" s="79" t="s">
        <v>385</v>
      </c>
      <c r="V208" s="79" t="s">
        <v>385</v>
      </c>
      <c r="W208" s="79" t="s">
        <v>385</v>
      </c>
      <c r="X208" s="79" t="s">
        <v>385</v>
      </c>
      <c r="Y208" s="120">
        <f t="shared" si="75"/>
        <v>20</v>
      </c>
      <c r="Z208" s="127">
        <v>20</v>
      </c>
      <c r="AA208" s="79" t="s">
        <v>385</v>
      </c>
      <c r="AB208" s="79" t="s">
        <v>385</v>
      </c>
      <c r="AC208" s="79" t="s">
        <v>385</v>
      </c>
      <c r="AD208" s="120">
        <f t="shared" si="76"/>
        <v>20</v>
      </c>
      <c r="AE208" s="127">
        <v>20</v>
      </c>
      <c r="AF208" s="79" t="s">
        <v>385</v>
      </c>
      <c r="AG208" s="79" t="s">
        <v>385</v>
      </c>
      <c r="AH208" s="79" t="s">
        <v>385</v>
      </c>
      <c r="AI208" s="120">
        <f t="shared" si="77"/>
        <v>20</v>
      </c>
      <c r="AJ208" s="127">
        <v>20</v>
      </c>
      <c r="AK208" s="79" t="s">
        <v>385</v>
      </c>
      <c r="AL208" s="79" t="s">
        <v>385</v>
      </c>
      <c r="AM208" s="79" t="s">
        <v>385</v>
      </c>
      <c r="AN208" s="128">
        <f t="shared" si="78"/>
        <v>100</v>
      </c>
      <c r="AO208" s="95"/>
      <c r="AQ208" s="1"/>
      <c r="AR208" s="1"/>
    </row>
    <row r="209" spans="1:44" s="24" customFormat="1" ht="63">
      <c r="A209" s="100" t="s">
        <v>195</v>
      </c>
      <c r="B209" s="42" t="s">
        <v>191</v>
      </c>
      <c r="C209" s="97" t="s">
        <v>240</v>
      </c>
      <c r="D209" s="12" t="s">
        <v>296</v>
      </c>
      <c r="E209" s="120">
        <f t="shared" si="71"/>
        <v>20</v>
      </c>
      <c r="F209" s="127">
        <v>20</v>
      </c>
      <c r="G209" s="28" t="s">
        <v>385</v>
      </c>
      <c r="H209" s="28" t="s">
        <v>385</v>
      </c>
      <c r="I209" s="28" t="s">
        <v>385</v>
      </c>
      <c r="J209" s="120">
        <f t="shared" si="72"/>
        <v>15</v>
      </c>
      <c r="K209" s="124">
        <v>15</v>
      </c>
      <c r="L209" s="79" t="s">
        <v>385</v>
      </c>
      <c r="M209" s="79" t="s">
        <v>385</v>
      </c>
      <c r="N209" s="79" t="s">
        <v>385</v>
      </c>
      <c r="O209" s="78">
        <f t="shared" si="73"/>
        <v>0</v>
      </c>
      <c r="P209" s="79" t="s">
        <v>385</v>
      </c>
      <c r="Q209" s="79" t="s">
        <v>385</v>
      </c>
      <c r="R209" s="79" t="s">
        <v>385</v>
      </c>
      <c r="S209" s="79" t="s">
        <v>385</v>
      </c>
      <c r="T209" s="78">
        <f t="shared" si="74"/>
        <v>0</v>
      </c>
      <c r="U209" s="79" t="s">
        <v>385</v>
      </c>
      <c r="V209" s="79" t="s">
        <v>385</v>
      </c>
      <c r="W209" s="79" t="s">
        <v>385</v>
      </c>
      <c r="X209" s="79" t="s">
        <v>385</v>
      </c>
      <c r="Y209" s="120">
        <f t="shared" si="75"/>
        <v>50</v>
      </c>
      <c r="Z209" s="127">
        <v>50</v>
      </c>
      <c r="AA209" s="79" t="s">
        <v>385</v>
      </c>
      <c r="AB209" s="79" t="s">
        <v>385</v>
      </c>
      <c r="AC209" s="79" t="s">
        <v>385</v>
      </c>
      <c r="AD209" s="120">
        <f t="shared" si="76"/>
        <v>50</v>
      </c>
      <c r="AE209" s="127">
        <v>50</v>
      </c>
      <c r="AF209" s="79" t="s">
        <v>385</v>
      </c>
      <c r="AG209" s="79" t="s">
        <v>385</v>
      </c>
      <c r="AH209" s="79" t="s">
        <v>385</v>
      </c>
      <c r="AI209" s="120">
        <f t="shared" si="77"/>
        <v>50</v>
      </c>
      <c r="AJ209" s="127">
        <v>50</v>
      </c>
      <c r="AK209" s="79" t="s">
        <v>385</v>
      </c>
      <c r="AL209" s="79" t="s">
        <v>385</v>
      </c>
      <c r="AM209" s="79" t="s">
        <v>385</v>
      </c>
      <c r="AN209" s="128">
        <f t="shared" si="78"/>
        <v>185</v>
      </c>
      <c r="AO209" s="95"/>
      <c r="AQ209" s="1"/>
      <c r="AR209" s="1"/>
    </row>
    <row r="210" spans="1:44" s="24" customFormat="1" ht="47.25">
      <c r="A210" s="100" t="s">
        <v>245</v>
      </c>
      <c r="B210" s="42" t="s">
        <v>247</v>
      </c>
      <c r="C210" s="97" t="s">
        <v>104</v>
      </c>
      <c r="D210" s="12" t="s">
        <v>296</v>
      </c>
      <c r="E210" s="120">
        <f t="shared" si="71"/>
        <v>10</v>
      </c>
      <c r="F210" s="127">
        <f>10-0.00232</f>
        <v>10</v>
      </c>
      <c r="G210" s="28" t="s">
        <v>385</v>
      </c>
      <c r="H210" s="28" t="s">
        <v>385</v>
      </c>
      <c r="I210" s="28" t="s">
        <v>385</v>
      </c>
      <c r="J210" s="120">
        <f t="shared" si="72"/>
        <v>10</v>
      </c>
      <c r="K210" s="124">
        <v>10</v>
      </c>
      <c r="L210" s="79" t="s">
        <v>385</v>
      </c>
      <c r="M210" s="79" t="s">
        <v>385</v>
      </c>
      <c r="N210" s="79" t="s">
        <v>385</v>
      </c>
      <c r="O210" s="78">
        <f t="shared" si="73"/>
        <v>0</v>
      </c>
      <c r="P210" s="79" t="s">
        <v>385</v>
      </c>
      <c r="Q210" s="79" t="s">
        <v>385</v>
      </c>
      <c r="R210" s="79" t="s">
        <v>385</v>
      </c>
      <c r="S210" s="79" t="s">
        <v>385</v>
      </c>
      <c r="T210" s="78">
        <f t="shared" si="74"/>
        <v>0</v>
      </c>
      <c r="U210" s="79" t="s">
        <v>385</v>
      </c>
      <c r="V210" s="79" t="s">
        <v>385</v>
      </c>
      <c r="W210" s="79" t="s">
        <v>385</v>
      </c>
      <c r="X210" s="79" t="s">
        <v>385</v>
      </c>
      <c r="Y210" s="120">
        <f t="shared" si="75"/>
        <v>30</v>
      </c>
      <c r="Z210" s="127">
        <v>30</v>
      </c>
      <c r="AA210" s="79" t="s">
        <v>385</v>
      </c>
      <c r="AB210" s="79" t="s">
        <v>385</v>
      </c>
      <c r="AC210" s="79" t="s">
        <v>385</v>
      </c>
      <c r="AD210" s="120">
        <f t="shared" si="76"/>
        <v>30</v>
      </c>
      <c r="AE210" s="127">
        <v>30</v>
      </c>
      <c r="AF210" s="79" t="s">
        <v>385</v>
      </c>
      <c r="AG210" s="79" t="s">
        <v>385</v>
      </c>
      <c r="AH210" s="79" t="s">
        <v>385</v>
      </c>
      <c r="AI210" s="120">
        <f t="shared" si="77"/>
        <v>30</v>
      </c>
      <c r="AJ210" s="127">
        <v>30</v>
      </c>
      <c r="AK210" s="79" t="s">
        <v>385</v>
      </c>
      <c r="AL210" s="79" t="s">
        <v>385</v>
      </c>
      <c r="AM210" s="79" t="s">
        <v>385</v>
      </c>
      <c r="AN210" s="128">
        <f t="shared" si="78"/>
        <v>110</v>
      </c>
      <c r="AO210" s="95"/>
      <c r="AQ210" s="1"/>
      <c r="AR210" s="1"/>
    </row>
    <row r="211" spans="1:44" s="24" customFormat="1" ht="47.25">
      <c r="A211" s="100" t="s">
        <v>246</v>
      </c>
      <c r="B211" s="42" t="s">
        <v>248</v>
      </c>
      <c r="C211" s="97" t="s">
        <v>104</v>
      </c>
      <c r="D211" s="12" t="s">
        <v>296</v>
      </c>
      <c r="E211" s="78">
        <f t="shared" si="71"/>
        <v>0</v>
      </c>
      <c r="F211" s="28" t="s">
        <v>385</v>
      </c>
      <c r="G211" s="28" t="s">
        <v>385</v>
      </c>
      <c r="H211" s="28" t="s">
        <v>385</v>
      </c>
      <c r="I211" s="28" t="s">
        <v>385</v>
      </c>
      <c r="J211" s="78">
        <f t="shared" si="72"/>
        <v>0</v>
      </c>
      <c r="K211" s="12" t="s">
        <v>385</v>
      </c>
      <c r="L211" s="79" t="s">
        <v>385</v>
      </c>
      <c r="M211" s="79" t="s">
        <v>385</v>
      </c>
      <c r="N211" s="79" t="s">
        <v>385</v>
      </c>
      <c r="O211" s="78">
        <f t="shared" si="73"/>
        <v>0</v>
      </c>
      <c r="P211" s="79" t="s">
        <v>385</v>
      </c>
      <c r="Q211" s="79" t="s">
        <v>385</v>
      </c>
      <c r="R211" s="79" t="s">
        <v>385</v>
      </c>
      <c r="S211" s="79" t="s">
        <v>385</v>
      </c>
      <c r="T211" s="78">
        <f t="shared" si="74"/>
        <v>0</v>
      </c>
      <c r="U211" s="79" t="s">
        <v>385</v>
      </c>
      <c r="V211" s="79" t="s">
        <v>385</v>
      </c>
      <c r="W211" s="79" t="s">
        <v>385</v>
      </c>
      <c r="X211" s="79" t="s">
        <v>385</v>
      </c>
      <c r="Y211" s="120">
        <f t="shared" si="75"/>
        <v>10</v>
      </c>
      <c r="Z211" s="127">
        <v>10</v>
      </c>
      <c r="AA211" s="79" t="s">
        <v>385</v>
      </c>
      <c r="AB211" s="79" t="s">
        <v>385</v>
      </c>
      <c r="AC211" s="79" t="s">
        <v>385</v>
      </c>
      <c r="AD211" s="120">
        <f t="shared" si="76"/>
        <v>10</v>
      </c>
      <c r="AE211" s="127">
        <v>10</v>
      </c>
      <c r="AF211" s="79" t="s">
        <v>385</v>
      </c>
      <c r="AG211" s="79" t="s">
        <v>385</v>
      </c>
      <c r="AH211" s="79" t="s">
        <v>385</v>
      </c>
      <c r="AI211" s="120">
        <f t="shared" si="77"/>
        <v>10</v>
      </c>
      <c r="AJ211" s="127">
        <v>10</v>
      </c>
      <c r="AK211" s="79" t="s">
        <v>385</v>
      </c>
      <c r="AL211" s="79" t="s">
        <v>385</v>
      </c>
      <c r="AM211" s="79" t="s">
        <v>385</v>
      </c>
      <c r="AN211" s="128">
        <f t="shared" si="78"/>
        <v>30</v>
      </c>
      <c r="AO211" s="95"/>
      <c r="AQ211" s="1"/>
      <c r="AR211" s="1"/>
    </row>
    <row r="212" spans="1:44" s="24" customFormat="1" ht="110.25">
      <c r="A212" s="100" t="s">
        <v>269</v>
      </c>
      <c r="B212" s="42" t="s">
        <v>273</v>
      </c>
      <c r="C212" s="97" t="s">
        <v>61</v>
      </c>
      <c r="D212" s="12" t="s">
        <v>296</v>
      </c>
      <c r="E212" s="78">
        <f t="shared" si="71"/>
        <v>0</v>
      </c>
      <c r="F212" s="28" t="s">
        <v>385</v>
      </c>
      <c r="G212" s="28" t="s">
        <v>385</v>
      </c>
      <c r="H212" s="28" t="s">
        <v>385</v>
      </c>
      <c r="I212" s="28" t="s">
        <v>385</v>
      </c>
      <c r="J212" s="78">
        <f aca="true" t="shared" si="79" ref="J212:J226">SUMIF(K212:N212,"&gt;0")</f>
        <v>0</v>
      </c>
      <c r="K212" s="12" t="s">
        <v>385</v>
      </c>
      <c r="L212" s="79" t="s">
        <v>385</v>
      </c>
      <c r="M212" s="79" t="s">
        <v>385</v>
      </c>
      <c r="N212" s="79" t="s">
        <v>385</v>
      </c>
      <c r="O212" s="78">
        <f aca="true" t="shared" si="80" ref="O212:O226">SUMIF(P212:S212,"&gt;0")</f>
        <v>0</v>
      </c>
      <c r="P212" s="79" t="s">
        <v>385</v>
      </c>
      <c r="Q212" s="79" t="s">
        <v>385</v>
      </c>
      <c r="R212" s="79" t="s">
        <v>385</v>
      </c>
      <c r="S212" s="79" t="s">
        <v>385</v>
      </c>
      <c r="T212" s="78">
        <f t="shared" si="74"/>
        <v>0</v>
      </c>
      <c r="U212" s="79" t="s">
        <v>385</v>
      </c>
      <c r="V212" s="79" t="s">
        <v>385</v>
      </c>
      <c r="W212" s="79" t="s">
        <v>385</v>
      </c>
      <c r="X212" s="79" t="s">
        <v>385</v>
      </c>
      <c r="Y212" s="78">
        <f t="shared" si="75"/>
        <v>0</v>
      </c>
      <c r="Z212" s="79" t="s">
        <v>385</v>
      </c>
      <c r="AA212" s="79" t="s">
        <v>385</v>
      </c>
      <c r="AB212" s="79" t="s">
        <v>385</v>
      </c>
      <c r="AC212" s="79" t="s">
        <v>385</v>
      </c>
      <c r="AD212" s="78">
        <f t="shared" si="76"/>
        <v>0</v>
      </c>
      <c r="AE212" s="79" t="s">
        <v>385</v>
      </c>
      <c r="AF212" s="79" t="s">
        <v>385</v>
      </c>
      <c r="AG212" s="79" t="s">
        <v>385</v>
      </c>
      <c r="AH212" s="79" t="s">
        <v>385</v>
      </c>
      <c r="AI212" s="78">
        <f t="shared" si="77"/>
        <v>0</v>
      </c>
      <c r="AJ212" s="79" t="s">
        <v>385</v>
      </c>
      <c r="AK212" s="79" t="s">
        <v>385</v>
      </c>
      <c r="AL212" s="79" t="s">
        <v>385</v>
      </c>
      <c r="AM212" s="79" t="s">
        <v>385</v>
      </c>
      <c r="AN212" s="78">
        <f t="shared" si="78"/>
        <v>0</v>
      </c>
      <c r="AO212" s="95"/>
      <c r="AQ212" s="1"/>
      <c r="AR212" s="1"/>
    </row>
    <row r="213" spans="1:44" s="24" customFormat="1" ht="47.25">
      <c r="A213" s="100" t="s">
        <v>270</v>
      </c>
      <c r="B213" s="42" t="s">
        <v>274</v>
      </c>
      <c r="C213" s="97" t="s">
        <v>102</v>
      </c>
      <c r="D213" s="12" t="s">
        <v>296</v>
      </c>
      <c r="E213" s="78">
        <f t="shared" si="71"/>
        <v>0</v>
      </c>
      <c r="F213" s="28" t="s">
        <v>385</v>
      </c>
      <c r="G213" s="28" t="s">
        <v>385</v>
      </c>
      <c r="H213" s="28" t="s">
        <v>385</v>
      </c>
      <c r="I213" s="28" t="s">
        <v>385</v>
      </c>
      <c r="J213" s="78">
        <f t="shared" si="79"/>
        <v>0</v>
      </c>
      <c r="K213" s="12" t="s">
        <v>385</v>
      </c>
      <c r="L213" s="79" t="s">
        <v>385</v>
      </c>
      <c r="M213" s="79" t="s">
        <v>385</v>
      </c>
      <c r="N213" s="79" t="s">
        <v>385</v>
      </c>
      <c r="O213" s="78">
        <f t="shared" si="80"/>
        <v>0</v>
      </c>
      <c r="P213" s="79" t="s">
        <v>385</v>
      </c>
      <c r="Q213" s="79" t="s">
        <v>385</v>
      </c>
      <c r="R213" s="79" t="s">
        <v>385</v>
      </c>
      <c r="S213" s="79" t="s">
        <v>385</v>
      </c>
      <c r="T213" s="78">
        <f t="shared" si="74"/>
        <v>0</v>
      </c>
      <c r="U213" s="79" t="s">
        <v>385</v>
      </c>
      <c r="V213" s="79" t="s">
        <v>385</v>
      </c>
      <c r="W213" s="79" t="s">
        <v>385</v>
      </c>
      <c r="X213" s="79" t="s">
        <v>385</v>
      </c>
      <c r="Y213" s="78">
        <f t="shared" si="75"/>
        <v>0</v>
      </c>
      <c r="Z213" s="79" t="s">
        <v>385</v>
      </c>
      <c r="AA213" s="79" t="s">
        <v>385</v>
      </c>
      <c r="AB213" s="79" t="s">
        <v>385</v>
      </c>
      <c r="AC213" s="79" t="s">
        <v>385</v>
      </c>
      <c r="AD213" s="78">
        <f t="shared" si="76"/>
        <v>0</v>
      </c>
      <c r="AE213" s="79" t="s">
        <v>385</v>
      </c>
      <c r="AF213" s="79" t="s">
        <v>385</v>
      </c>
      <c r="AG213" s="79" t="s">
        <v>385</v>
      </c>
      <c r="AH213" s="79" t="s">
        <v>385</v>
      </c>
      <c r="AI213" s="78">
        <v>0</v>
      </c>
      <c r="AJ213" s="79" t="s">
        <v>385</v>
      </c>
      <c r="AK213" s="79" t="s">
        <v>385</v>
      </c>
      <c r="AL213" s="79" t="s">
        <v>385</v>
      </c>
      <c r="AM213" s="79" t="s">
        <v>385</v>
      </c>
      <c r="AN213" s="78">
        <f t="shared" si="78"/>
        <v>0</v>
      </c>
      <c r="AO213" s="95"/>
      <c r="AQ213" s="1"/>
      <c r="AR213" s="1"/>
    </row>
    <row r="214" spans="1:44" s="24" customFormat="1" ht="78.75">
      <c r="A214" s="100" t="s">
        <v>271</v>
      </c>
      <c r="B214" s="42" t="s">
        <v>275</v>
      </c>
      <c r="C214" s="97" t="s">
        <v>455</v>
      </c>
      <c r="D214" s="12" t="s">
        <v>296</v>
      </c>
      <c r="E214" s="78">
        <f t="shared" si="71"/>
        <v>0</v>
      </c>
      <c r="F214" s="28" t="s">
        <v>385</v>
      </c>
      <c r="G214" s="28" t="s">
        <v>385</v>
      </c>
      <c r="H214" s="28" t="s">
        <v>385</v>
      </c>
      <c r="I214" s="28" t="s">
        <v>385</v>
      </c>
      <c r="J214" s="78">
        <f t="shared" si="79"/>
        <v>0</v>
      </c>
      <c r="K214" s="12" t="s">
        <v>385</v>
      </c>
      <c r="L214" s="79" t="s">
        <v>385</v>
      </c>
      <c r="M214" s="79" t="s">
        <v>385</v>
      </c>
      <c r="N214" s="79" t="s">
        <v>385</v>
      </c>
      <c r="O214" s="78">
        <f t="shared" si="80"/>
        <v>0</v>
      </c>
      <c r="P214" s="79" t="s">
        <v>385</v>
      </c>
      <c r="Q214" s="79" t="s">
        <v>385</v>
      </c>
      <c r="R214" s="79" t="s">
        <v>385</v>
      </c>
      <c r="S214" s="79" t="s">
        <v>385</v>
      </c>
      <c r="T214" s="78">
        <f t="shared" si="74"/>
        <v>0</v>
      </c>
      <c r="U214" s="79" t="s">
        <v>385</v>
      </c>
      <c r="V214" s="79" t="s">
        <v>385</v>
      </c>
      <c r="W214" s="79" t="s">
        <v>385</v>
      </c>
      <c r="X214" s="79" t="s">
        <v>385</v>
      </c>
      <c r="Y214" s="120">
        <f t="shared" si="75"/>
        <v>50</v>
      </c>
      <c r="Z214" s="127">
        <v>50</v>
      </c>
      <c r="AA214" s="79" t="s">
        <v>385</v>
      </c>
      <c r="AB214" s="79" t="s">
        <v>385</v>
      </c>
      <c r="AC214" s="79" t="s">
        <v>385</v>
      </c>
      <c r="AD214" s="120">
        <f t="shared" si="76"/>
        <v>50</v>
      </c>
      <c r="AE214" s="127">
        <v>50</v>
      </c>
      <c r="AF214" s="79" t="s">
        <v>385</v>
      </c>
      <c r="AG214" s="79" t="s">
        <v>385</v>
      </c>
      <c r="AH214" s="79" t="s">
        <v>385</v>
      </c>
      <c r="AI214" s="120">
        <f t="shared" si="77"/>
        <v>50</v>
      </c>
      <c r="AJ214" s="127">
        <v>50</v>
      </c>
      <c r="AK214" s="79" t="s">
        <v>385</v>
      </c>
      <c r="AL214" s="79" t="s">
        <v>385</v>
      </c>
      <c r="AM214" s="79" t="s">
        <v>385</v>
      </c>
      <c r="AN214" s="128">
        <f t="shared" si="78"/>
        <v>150</v>
      </c>
      <c r="AO214" s="95"/>
      <c r="AQ214" s="1"/>
      <c r="AR214" s="1"/>
    </row>
    <row r="215" spans="1:44" s="24" customFormat="1" ht="47.25">
      <c r="A215" s="100" t="s">
        <v>279</v>
      </c>
      <c r="B215" s="42" t="s">
        <v>280</v>
      </c>
      <c r="C215" s="97" t="s">
        <v>104</v>
      </c>
      <c r="D215" s="12" t="s">
        <v>296</v>
      </c>
      <c r="E215" s="120">
        <f t="shared" si="71"/>
        <v>15</v>
      </c>
      <c r="F215" s="127">
        <f>15-0.04564</f>
        <v>15</v>
      </c>
      <c r="G215" s="28" t="s">
        <v>385</v>
      </c>
      <c r="H215" s="28" t="s">
        <v>385</v>
      </c>
      <c r="I215" s="28" t="s">
        <v>385</v>
      </c>
      <c r="J215" s="120">
        <f t="shared" si="79"/>
        <v>15</v>
      </c>
      <c r="K215" s="124">
        <v>15</v>
      </c>
      <c r="L215" s="79" t="s">
        <v>385</v>
      </c>
      <c r="M215" s="79" t="s">
        <v>385</v>
      </c>
      <c r="N215" s="79" t="s">
        <v>385</v>
      </c>
      <c r="O215" s="78">
        <f t="shared" si="80"/>
        <v>0</v>
      </c>
      <c r="P215" s="79" t="s">
        <v>385</v>
      </c>
      <c r="Q215" s="79" t="s">
        <v>385</v>
      </c>
      <c r="R215" s="79" t="s">
        <v>385</v>
      </c>
      <c r="S215" s="79" t="s">
        <v>385</v>
      </c>
      <c r="T215" s="78">
        <f t="shared" si="74"/>
        <v>0</v>
      </c>
      <c r="U215" s="79" t="s">
        <v>385</v>
      </c>
      <c r="V215" s="79" t="s">
        <v>385</v>
      </c>
      <c r="W215" s="79" t="s">
        <v>385</v>
      </c>
      <c r="X215" s="79" t="s">
        <v>385</v>
      </c>
      <c r="Y215" s="120">
        <f t="shared" si="75"/>
        <v>23</v>
      </c>
      <c r="Z215" s="127">
        <v>23</v>
      </c>
      <c r="AA215" s="79" t="s">
        <v>385</v>
      </c>
      <c r="AB215" s="79" t="s">
        <v>385</v>
      </c>
      <c r="AC215" s="79" t="s">
        <v>385</v>
      </c>
      <c r="AD215" s="120">
        <f t="shared" si="76"/>
        <v>23</v>
      </c>
      <c r="AE215" s="127">
        <v>23</v>
      </c>
      <c r="AF215" s="79" t="s">
        <v>385</v>
      </c>
      <c r="AG215" s="79" t="s">
        <v>385</v>
      </c>
      <c r="AH215" s="79" t="s">
        <v>385</v>
      </c>
      <c r="AI215" s="120">
        <f t="shared" si="77"/>
        <v>23</v>
      </c>
      <c r="AJ215" s="127">
        <v>23</v>
      </c>
      <c r="AK215" s="79" t="s">
        <v>385</v>
      </c>
      <c r="AL215" s="79" t="s">
        <v>385</v>
      </c>
      <c r="AM215" s="79" t="s">
        <v>385</v>
      </c>
      <c r="AN215" s="128">
        <f t="shared" si="78"/>
        <v>99</v>
      </c>
      <c r="AO215" s="95"/>
      <c r="AQ215" s="1"/>
      <c r="AR215" s="1"/>
    </row>
    <row r="216" spans="1:44" s="24" customFormat="1" ht="63">
      <c r="A216" s="100" t="s">
        <v>387</v>
      </c>
      <c r="B216" s="42" t="s">
        <v>388</v>
      </c>
      <c r="C216" s="97" t="s">
        <v>39</v>
      </c>
      <c r="D216" s="12" t="s">
        <v>313</v>
      </c>
      <c r="E216" s="78">
        <f t="shared" si="71"/>
        <v>0</v>
      </c>
      <c r="F216" s="28" t="s">
        <v>385</v>
      </c>
      <c r="G216" s="28" t="s">
        <v>385</v>
      </c>
      <c r="H216" s="28" t="s">
        <v>385</v>
      </c>
      <c r="I216" s="28" t="s">
        <v>385</v>
      </c>
      <c r="J216" s="78">
        <f t="shared" si="79"/>
        <v>0</v>
      </c>
      <c r="K216" s="12" t="s">
        <v>385</v>
      </c>
      <c r="L216" s="79" t="s">
        <v>385</v>
      </c>
      <c r="M216" s="79" t="s">
        <v>385</v>
      </c>
      <c r="N216" s="79" t="s">
        <v>385</v>
      </c>
      <c r="O216" s="78">
        <f t="shared" si="80"/>
        <v>0</v>
      </c>
      <c r="P216" s="79" t="s">
        <v>385</v>
      </c>
      <c r="Q216" s="79" t="s">
        <v>385</v>
      </c>
      <c r="R216" s="79" t="s">
        <v>385</v>
      </c>
      <c r="S216" s="79" t="s">
        <v>385</v>
      </c>
      <c r="T216" s="78">
        <f t="shared" si="74"/>
        <v>0</v>
      </c>
      <c r="U216" s="79" t="s">
        <v>385</v>
      </c>
      <c r="V216" s="79" t="s">
        <v>385</v>
      </c>
      <c r="W216" s="79" t="s">
        <v>385</v>
      </c>
      <c r="X216" s="79" t="s">
        <v>385</v>
      </c>
      <c r="Y216" s="78">
        <f t="shared" si="75"/>
        <v>0</v>
      </c>
      <c r="Z216" s="79" t="s">
        <v>385</v>
      </c>
      <c r="AA216" s="79" t="s">
        <v>385</v>
      </c>
      <c r="AB216" s="79" t="s">
        <v>385</v>
      </c>
      <c r="AC216" s="79" t="s">
        <v>385</v>
      </c>
      <c r="AD216" s="78">
        <f t="shared" si="76"/>
        <v>0</v>
      </c>
      <c r="AE216" s="79" t="s">
        <v>385</v>
      </c>
      <c r="AF216" s="79" t="s">
        <v>385</v>
      </c>
      <c r="AG216" s="79" t="s">
        <v>385</v>
      </c>
      <c r="AH216" s="79" t="s">
        <v>385</v>
      </c>
      <c r="AI216" s="78">
        <f t="shared" si="77"/>
        <v>0</v>
      </c>
      <c r="AJ216" s="79" t="s">
        <v>385</v>
      </c>
      <c r="AK216" s="79" t="s">
        <v>385</v>
      </c>
      <c r="AL216" s="79" t="s">
        <v>385</v>
      </c>
      <c r="AM216" s="79" t="s">
        <v>385</v>
      </c>
      <c r="AN216" s="78">
        <f t="shared" si="78"/>
        <v>0</v>
      </c>
      <c r="AO216" s="95"/>
      <c r="AQ216" s="1"/>
      <c r="AR216" s="1"/>
    </row>
    <row r="217" spans="1:44" s="24" customFormat="1" ht="47.25">
      <c r="A217" s="100" t="s">
        <v>389</v>
      </c>
      <c r="B217" s="42" t="s">
        <v>442</v>
      </c>
      <c r="C217" s="97" t="s">
        <v>39</v>
      </c>
      <c r="D217" s="12" t="s">
        <v>313</v>
      </c>
      <c r="E217" s="78">
        <f t="shared" si="71"/>
        <v>0</v>
      </c>
      <c r="F217" s="28" t="s">
        <v>385</v>
      </c>
      <c r="G217" s="28" t="s">
        <v>385</v>
      </c>
      <c r="H217" s="28" t="s">
        <v>385</v>
      </c>
      <c r="I217" s="28" t="s">
        <v>385</v>
      </c>
      <c r="J217" s="78">
        <f t="shared" si="79"/>
        <v>0</v>
      </c>
      <c r="K217" s="12" t="s">
        <v>385</v>
      </c>
      <c r="L217" s="79" t="s">
        <v>385</v>
      </c>
      <c r="M217" s="79" t="s">
        <v>385</v>
      </c>
      <c r="N217" s="79" t="s">
        <v>385</v>
      </c>
      <c r="O217" s="78">
        <f t="shared" si="80"/>
        <v>0</v>
      </c>
      <c r="P217" s="79" t="s">
        <v>385</v>
      </c>
      <c r="Q217" s="79" t="s">
        <v>385</v>
      </c>
      <c r="R217" s="79" t="s">
        <v>385</v>
      </c>
      <c r="S217" s="79" t="s">
        <v>385</v>
      </c>
      <c r="T217" s="78">
        <f t="shared" si="74"/>
        <v>0</v>
      </c>
      <c r="U217" s="79" t="s">
        <v>385</v>
      </c>
      <c r="V217" s="79" t="s">
        <v>385</v>
      </c>
      <c r="W217" s="79" t="s">
        <v>385</v>
      </c>
      <c r="X217" s="79" t="s">
        <v>385</v>
      </c>
      <c r="Y217" s="78">
        <f t="shared" si="75"/>
        <v>0</v>
      </c>
      <c r="Z217" s="79" t="s">
        <v>385</v>
      </c>
      <c r="AA217" s="79" t="s">
        <v>385</v>
      </c>
      <c r="AB217" s="79" t="s">
        <v>385</v>
      </c>
      <c r="AC217" s="79" t="s">
        <v>385</v>
      </c>
      <c r="AD217" s="78">
        <f t="shared" si="76"/>
        <v>0</v>
      </c>
      <c r="AE217" s="79" t="s">
        <v>385</v>
      </c>
      <c r="AF217" s="79" t="s">
        <v>385</v>
      </c>
      <c r="AG217" s="79" t="s">
        <v>385</v>
      </c>
      <c r="AH217" s="79" t="s">
        <v>385</v>
      </c>
      <c r="AI217" s="78">
        <f t="shared" si="77"/>
        <v>0</v>
      </c>
      <c r="AJ217" s="79" t="s">
        <v>385</v>
      </c>
      <c r="AK217" s="79" t="s">
        <v>385</v>
      </c>
      <c r="AL217" s="79" t="s">
        <v>385</v>
      </c>
      <c r="AM217" s="79" t="s">
        <v>385</v>
      </c>
      <c r="AN217" s="78">
        <f t="shared" si="78"/>
        <v>0</v>
      </c>
      <c r="AO217" s="95"/>
      <c r="AQ217" s="1"/>
      <c r="AR217" s="1"/>
    </row>
    <row r="218" spans="1:44" s="24" customFormat="1" ht="47.25">
      <c r="A218" s="100" t="s">
        <v>390</v>
      </c>
      <c r="B218" s="42" t="s">
        <v>391</v>
      </c>
      <c r="C218" s="97" t="s">
        <v>39</v>
      </c>
      <c r="D218" s="12" t="s">
        <v>313</v>
      </c>
      <c r="E218" s="78">
        <f t="shared" si="71"/>
        <v>0</v>
      </c>
      <c r="F218" s="28" t="s">
        <v>385</v>
      </c>
      <c r="G218" s="28" t="s">
        <v>385</v>
      </c>
      <c r="H218" s="28" t="s">
        <v>385</v>
      </c>
      <c r="I218" s="28" t="s">
        <v>385</v>
      </c>
      <c r="J218" s="78">
        <f t="shared" si="79"/>
        <v>0</v>
      </c>
      <c r="K218" s="12" t="s">
        <v>385</v>
      </c>
      <c r="L218" s="79" t="s">
        <v>385</v>
      </c>
      <c r="M218" s="79" t="s">
        <v>385</v>
      </c>
      <c r="N218" s="79" t="s">
        <v>385</v>
      </c>
      <c r="O218" s="78">
        <f t="shared" si="80"/>
        <v>0</v>
      </c>
      <c r="P218" s="79" t="s">
        <v>385</v>
      </c>
      <c r="Q218" s="79" t="s">
        <v>385</v>
      </c>
      <c r="R218" s="79" t="s">
        <v>385</v>
      </c>
      <c r="S218" s="79" t="s">
        <v>385</v>
      </c>
      <c r="T218" s="78">
        <f t="shared" si="74"/>
        <v>0</v>
      </c>
      <c r="U218" s="79" t="s">
        <v>385</v>
      </c>
      <c r="V218" s="79" t="s">
        <v>385</v>
      </c>
      <c r="W218" s="79" t="s">
        <v>385</v>
      </c>
      <c r="X218" s="79" t="s">
        <v>385</v>
      </c>
      <c r="Y218" s="78">
        <f t="shared" si="75"/>
        <v>0</v>
      </c>
      <c r="Z218" s="79" t="s">
        <v>385</v>
      </c>
      <c r="AA218" s="79" t="s">
        <v>385</v>
      </c>
      <c r="AB218" s="79" t="s">
        <v>385</v>
      </c>
      <c r="AC218" s="79" t="s">
        <v>385</v>
      </c>
      <c r="AD218" s="78">
        <f t="shared" si="76"/>
        <v>0</v>
      </c>
      <c r="AE218" s="79" t="s">
        <v>385</v>
      </c>
      <c r="AF218" s="79" t="s">
        <v>385</v>
      </c>
      <c r="AG218" s="79" t="s">
        <v>385</v>
      </c>
      <c r="AH218" s="79" t="s">
        <v>385</v>
      </c>
      <c r="AI218" s="78">
        <f t="shared" si="77"/>
        <v>0</v>
      </c>
      <c r="AJ218" s="79" t="s">
        <v>385</v>
      </c>
      <c r="AK218" s="79" t="s">
        <v>385</v>
      </c>
      <c r="AL218" s="79" t="s">
        <v>385</v>
      </c>
      <c r="AM218" s="79" t="s">
        <v>385</v>
      </c>
      <c r="AN218" s="78">
        <f t="shared" si="78"/>
        <v>0</v>
      </c>
      <c r="AO218" s="95"/>
      <c r="AQ218" s="1"/>
      <c r="AR218" s="1"/>
    </row>
    <row r="219" spans="1:44" s="24" customFormat="1" ht="94.5">
      <c r="A219" s="100" t="s">
        <v>392</v>
      </c>
      <c r="B219" s="42" t="s">
        <v>393</v>
      </c>
      <c r="C219" s="97" t="s">
        <v>39</v>
      </c>
      <c r="D219" s="12" t="s">
        <v>313</v>
      </c>
      <c r="E219" s="78">
        <f t="shared" si="71"/>
        <v>0</v>
      </c>
      <c r="F219" s="28" t="s">
        <v>385</v>
      </c>
      <c r="G219" s="28" t="s">
        <v>385</v>
      </c>
      <c r="H219" s="28" t="s">
        <v>385</v>
      </c>
      <c r="I219" s="28" t="s">
        <v>385</v>
      </c>
      <c r="J219" s="78">
        <f t="shared" si="79"/>
        <v>0</v>
      </c>
      <c r="K219" s="12" t="s">
        <v>385</v>
      </c>
      <c r="L219" s="79" t="s">
        <v>385</v>
      </c>
      <c r="M219" s="79" t="s">
        <v>385</v>
      </c>
      <c r="N219" s="79" t="s">
        <v>385</v>
      </c>
      <c r="O219" s="78">
        <f t="shared" si="80"/>
        <v>0</v>
      </c>
      <c r="P219" s="79" t="s">
        <v>385</v>
      </c>
      <c r="Q219" s="79" t="s">
        <v>385</v>
      </c>
      <c r="R219" s="79" t="s">
        <v>385</v>
      </c>
      <c r="S219" s="79" t="s">
        <v>385</v>
      </c>
      <c r="T219" s="78">
        <f t="shared" si="74"/>
        <v>0</v>
      </c>
      <c r="U219" s="79" t="s">
        <v>385</v>
      </c>
      <c r="V219" s="79" t="s">
        <v>385</v>
      </c>
      <c r="W219" s="79" t="s">
        <v>385</v>
      </c>
      <c r="X219" s="79" t="s">
        <v>385</v>
      </c>
      <c r="Y219" s="78">
        <f t="shared" si="75"/>
        <v>0</v>
      </c>
      <c r="Z219" s="79" t="s">
        <v>385</v>
      </c>
      <c r="AA219" s="79" t="s">
        <v>385</v>
      </c>
      <c r="AB219" s="79" t="s">
        <v>385</v>
      </c>
      <c r="AC219" s="79" t="s">
        <v>385</v>
      </c>
      <c r="AD219" s="78">
        <f t="shared" si="76"/>
        <v>0</v>
      </c>
      <c r="AE219" s="79" t="s">
        <v>385</v>
      </c>
      <c r="AF219" s="79" t="s">
        <v>385</v>
      </c>
      <c r="AG219" s="79" t="s">
        <v>385</v>
      </c>
      <c r="AH219" s="79" t="s">
        <v>385</v>
      </c>
      <c r="AI219" s="78">
        <f t="shared" si="77"/>
        <v>0</v>
      </c>
      <c r="AJ219" s="79" t="s">
        <v>385</v>
      </c>
      <c r="AK219" s="79" t="s">
        <v>385</v>
      </c>
      <c r="AL219" s="79" t="s">
        <v>385</v>
      </c>
      <c r="AM219" s="79" t="s">
        <v>385</v>
      </c>
      <c r="AN219" s="78">
        <f t="shared" si="78"/>
        <v>0</v>
      </c>
      <c r="AO219" s="95"/>
      <c r="AQ219" s="1"/>
      <c r="AR219" s="1"/>
    </row>
    <row r="220" spans="1:44" s="24" customFormat="1" ht="110.25">
      <c r="A220" s="100" t="s">
        <v>394</v>
      </c>
      <c r="B220" s="42" t="s">
        <v>395</v>
      </c>
      <c r="C220" s="97" t="s">
        <v>61</v>
      </c>
      <c r="D220" s="12" t="s">
        <v>313</v>
      </c>
      <c r="E220" s="78">
        <f t="shared" si="71"/>
        <v>0</v>
      </c>
      <c r="F220" s="28" t="s">
        <v>385</v>
      </c>
      <c r="G220" s="28" t="s">
        <v>385</v>
      </c>
      <c r="H220" s="28" t="s">
        <v>385</v>
      </c>
      <c r="I220" s="28" t="s">
        <v>385</v>
      </c>
      <c r="J220" s="78">
        <f>SUMIF(K220:N220,"&gt;0")</f>
        <v>0</v>
      </c>
      <c r="K220" s="12" t="s">
        <v>385</v>
      </c>
      <c r="L220" s="79" t="s">
        <v>385</v>
      </c>
      <c r="M220" s="79" t="s">
        <v>385</v>
      </c>
      <c r="N220" s="79" t="s">
        <v>385</v>
      </c>
      <c r="O220" s="78">
        <f>SUMIF(P220:S220,"&gt;0")</f>
        <v>0</v>
      </c>
      <c r="P220" s="79" t="s">
        <v>385</v>
      </c>
      <c r="Q220" s="79" t="s">
        <v>385</v>
      </c>
      <c r="R220" s="79" t="s">
        <v>385</v>
      </c>
      <c r="S220" s="79" t="s">
        <v>385</v>
      </c>
      <c r="T220" s="78">
        <f t="shared" si="74"/>
        <v>0</v>
      </c>
      <c r="U220" s="79" t="s">
        <v>385</v>
      </c>
      <c r="V220" s="79" t="s">
        <v>385</v>
      </c>
      <c r="W220" s="79" t="s">
        <v>385</v>
      </c>
      <c r="X220" s="79" t="s">
        <v>385</v>
      </c>
      <c r="Y220" s="120">
        <f t="shared" si="75"/>
        <v>400</v>
      </c>
      <c r="Z220" s="127">
        <v>400</v>
      </c>
      <c r="AA220" s="79" t="s">
        <v>385</v>
      </c>
      <c r="AB220" s="79" t="s">
        <v>385</v>
      </c>
      <c r="AC220" s="79" t="s">
        <v>385</v>
      </c>
      <c r="AD220" s="120">
        <f t="shared" si="76"/>
        <v>400</v>
      </c>
      <c r="AE220" s="127">
        <v>400</v>
      </c>
      <c r="AF220" s="79" t="s">
        <v>385</v>
      </c>
      <c r="AG220" s="79" t="s">
        <v>385</v>
      </c>
      <c r="AH220" s="79" t="s">
        <v>385</v>
      </c>
      <c r="AI220" s="120">
        <f t="shared" si="77"/>
        <v>400</v>
      </c>
      <c r="AJ220" s="127">
        <v>400</v>
      </c>
      <c r="AK220" s="79" t="s">
        <v>385</v>
      </c>
      <c r="AL220" s="79" t="s">
        <v>385</v>
      </c>
      <c r="AM220" s="79" t="s">
        <v>385</v>
      </c>
      <c r="AN220" s="128">
        <f t="shared" si="78"/>
        <v>1200</v>
      </c>
      <c r="AO220" s="95"/>
      <c r="AQ220" s="1"/>
      <c r="AR220" s="1"/>
    </row>
    <row r="221" spans="1:44" s="24" customFormat="1" ht="63">
      <c r="A221" s="100" t="s">
        <v>396</v>
      </c>
      <c r="B221" s="42" t="s">
        <v>397</v>
      </c>
      <c r="C221" s="97" t="s">
        <v>398</v>
      </c>
      <c r="D221" s="12" t="s">
        <v>313</v>
      </c>
      <c r="E221" s="78">
        <f t="shared" si="71"/>
        <v>0</v>
      </c>
      <c r="F221" s="28" t="s">
        <v>385</v>
      </c>
      <c r="G221" s="28" t="s">
        <v>385</v>
      </c>
      <c r="H221" s="28" t="s">
        <v>385</v>
      </c>
      <c r="I221" s="28" t="s">
        <v>385</v>
      </c>
      <c r="J221" s="78">
        <f>SUMIF(K221:N221,"&gt;0")</f>
        <v>0</v>
      </c>
      <c r="K221" s="12" t="s">
        <v>385</v>
      </c>
      <c r="L221" s="79" t="s">
        <v>385</v>
      </c>
      <c r="M221" s="79" t="s">
        <v>385</v>
      </c>
      <c r="N221" s="79" t="s">
        <v>385</v>
      </c>
      <c r="O221" s="78">
        <f>SUMIF(P221:S221,"&gt;0")</f>
        <v>0</v>
      </c>
      <c r="P221" s="79" t="s">
        <v>385</v>
      </c>
      <c r="Q221" s="79" t="s">
        <v>385</v>
      </c>
      <c r="R221" s="79" t="s">
        <v>385</v>
      </c>
      <c r="S221" s="79" t="s">
        <v>385</v>
      </c>
      <c r="T221" s="78">
        <f t="shared" si="74"/>
        <v>0</v>
      </c>
      <c r="U221" s="79" t="s">
        <v>385</v>
      </c>
      <c r="V221" s="79" t="s">
        <v>385</v>
      </c>
      <c r="W221" s="79" t="s">
        <v>385</v>
      </c>
      <c r="X221" s="79" t="s">
        <v>385</v>
      </c>
      <c r="Y221" s="120">
        <f t="shared" si="75"/>
        <v>50</v>
      </c>
      <c r="Z221" s="127">
        <v>50</v>
      </c>
      <c r="AA221" s="79" t="s">
        <v>385</v>
      </c>
      <c r="AB221" s="79" t="s">
        <v>385</v>
      </c>
      <c r="AC221" s="79" t="s">
        <v>385</v>
      </c>
      <c r="AD221" s="120">
        <f t="shared" si="76"/>
        <v>50</v>
      </c>
      <c r="AE221" s="127">
        <v>50</v>
      </c>
      <c r="AF221" s="79" t="s">
        <v>385</v>
      </c>
      <c r="AG221" s="79" t="s">
        <v>385</v>
      </c>
      <c r="AH221" s="79" t="s">
        <v>385</v>
      </c>
      <c r="AI221" s="120">
        <f t="shared" si="77"/>
        <v>50</v>
      </c>
      <c r="AJ221" s="127">
        <v>50</v>
      </c>
      <c r="AK221" s="79" t="s">
        <v>385</v>
      </c>
      <c r="AL221" s="79" t="s">
        <v>385</v>
      </c>
      <c r="AM221" s="79" t="s">
        <v>385</v>
      </c>
      <c r="AN221" s="128">
        <f t="shared" si="78"/>
        <v>150</v>
      </c>
      <c r="AO221" s="95"/>
      <c r="AQ221" s="1"/>
      <c r="AR221" s="1"/>
    </row>
    <row r="222" spans="1:44" s="24" customFormat="1" ht="47.25">
      <c r="A222" s="100" t="s">
        <v>456</v>
      </c>
      <c r="B222" s="42" t="s">
        <v>457</v>
      </c>
      <c r="C222" s="97" t="s">
        <v>102</v>
      </c>
      <c r="D222" s="12" t="s">
        <v>313</v>
      </c>
      <c r="E222" s="120">
        <f>SUMIF(F222:I222,"&gt;0")</f>
        <v>606</v>
      </c>
      <c r="F222" s="127">
        <v>606</v>
      </c>
      <c r="G222" s="28" t="s">
        <v>385</v>
      </c>
      <c r="H222" s="28" t="s">
        <v>385</v>
      </c>
      <c r="I222" s="28" t="s">
        <v>385</v>
      </c>
      <c r="J222" s="78">
        <f>SUMIF(K222:N222,"&gt;0")</f>
        <v>0</v>
      </c>
      <c r="K222" s="12" t="s">
        <v>385</v>
      </c>
      <c r="L222" s="79" t="s">
        <v>385</v>
      </c>
      <c r="M222" s="79" t="s">
        <v>385</v>
      </c>
      <c r="N222" s="79" t="s">
        <v>385</v>
      </c>
      <c r="O222" s="78">
        <f>SUMIF(P222:S222,"&gt;0")</f>
        <v>0</v>
      </c>
      <c r="P222" s="79" t="s">
        <v>385</v>
      </c>
      <c r="Q222" s="79" t="s">
        <v>385</v>
      </c>
      <c r="R222" s="79" t="s">
        <v>385</v>
      </c>
      <c r="S222" s="79" t="s">
        <v>385</v>
      </c>
      <c r="T222" s="78">
        <f t="shared" si="74"/>
        <v>0</v>
      </c>
      <c r="U222" s="79" t="s">
        <v>385</v>
      </c>
      <c r="V222" s="79" t="s">
        <v>385</v>
      </c>
      <c r="W222" s="79" t="s">
        <v>385</v>
      </c>
      <c r="X222" s="79" t="s">
        <v>385</v>
      </c>
      <c r="Y222" s="78">
        <f t="shared" si="75"/>
        <v>0</v>
      </c>
      <c r="Z222" s="79" t="s">
        <v>385</v>
      </c>
      <c r="AA222" s="79" t="s">
        <v>385</v>
      </c>
      <c r="AB222" s="79" t="s">
        <v>385</v>
      </c>
      <c r="AC222" s="79" t="s">
        <v>385</v>
      </c>
      <c r="AD222" s="78">
        <f t="shared" si="76"/>
        <v>0</v>
      </c>
      <c r="AE222" s="79" t="s">
        <v>385</v>
      </c>
      <c r="AF222" s="79" t="s">
        <v>385</v>
      </c>
      <c r="AG222" s="79" t="s">
        <v>385</v>
      </c>
      <c r="AH222" s="79" t="s">
        <v>385</v>
      </c>
      <c r="AI222" s="78">
        <f t="shared" si="77"/>
        <v>0</v>
      </c>
      <c r="AJ222" s="79" t="s">
        <v>385</v>
      </c>
      <c r="AK222" s="79" t="s">
        <v>385</v>
      </c>
      <c r="AL222" s="79" t="s">
        <v>385</v>
      </c>
      <c r="AM222" s="79" t="s">
        <v>385</v>
      </c>
      <c r="AN222" s="128">
        <f>E222+J222+O222+T222+Y222+AD222+AI222</f>
        <v>606</v>
      </c>
      <c r="AO222" s="95"/>
      <c r="AQ222" s="1"/>
      <c r="AR222" s="1"/>
    </row>
    <row r="223" spans="1:41" ht="110.25">
      <c r="A223" s="37" t="s">
        <v>64</v>
      </c>
      <c r="B223" s="42" t="s">
        <v>0</v>
      </c>
      <c r="C223" s="12" t="s">
        <v>61</v>
      </c>
      <c r="D223" s="12" t="s">
        <v>296</v>
      </c>
      <c r="E223" s="120">
        <f aca="true" t="shared" si="81" ref="E223:E235">SUMIF(F223:I223,"&gt;0")</f>
        <v>85312</v>
      </c>
      <c r="F223" s="28" t="s">
        <v>385</v>
      </c>
      <c r="G223" s="124">
        <f>85524-212</f>
        <v>85312</v>
      </c>
      <c r="H223" s="28" t="s">
        <v>385</v>
      </c>
      <c r="I223" s="28" t="s">
        <v>385</v>
      </c>
      <c r="J223" s="120">
        <f>SUMIF(K223:N223,"&gt;0")</f>
        <v>85938</v>
      </c>
      <c r="K223" s="79" t="s">
        <v>385</v>
      </c>
      <c r="L223" s="124">
        <f>85938</f>
        <v>85938</v>
      </c>
      <c r="M223" s="79" t="s">
        <v>385</v>
      </c>
      <c r="N223" s="79" t="s">
        <v>385</v>
      </c>
      <c r="O223" s="120">
        <f>SUMIF(P223:S223,"&gt;0")</f>
        <v>85938</v>
      </c>
      <c r="P223" s="79" t="s">
        <v>385</v>
      </c>
      <c r="Q223" s="124">
        <f>85938</f>
        <v>85938</v>
      </c>
      <c r="R223" s="79" t="s">
        <v>385</v>
      </c>
      <c r="S223" s="79" t="s">
        <v>385</v>
      </c>
      <c r="T223" s="120">
        <f t="shared" si="74"/>
        <v>85938</v>
      </c>
      <c r="U223" s="79" t="s">
        <v>385</v>
      </c>
      <c r="V223" s="124">
        <f>85938</f>
        <v>85938</v>
      </c>
      <c r="W223" s="79" t="s">
        <v>385</v>
      </c>
      <c r="X223" s="79" t="s">
        <v>385</v>
      </c>
      <c r="Y223" s="120">
        <f t="shared" si="75"/>
        <v>96508</v>
      </c>
      <c r="Z223" s="79" t="s">
        <v>385</v>
      </c>
      <c r="AA223" s="124">
        <v>96508</v>
      </c>
      <c r="AB223" s="79" t="s">
        <v>385</v>
      </c>
      <c r="AC223" s="79" t="s">
        <v>385</v>
      </c>
      <c r="AD223" s="120">
        <f t="shared" si="76"/>
        <v>98005</v>
      </c>
      <c r="AE223" s="79" t="s">
        <v>385</v>
      </c>
      <c r="AF223" s="124">
        <v>98005</v>
      </c>
      <c r="AG223" s="79" t="s">
        <v>385</v>
      </c>
      <c r="AH223" s="79" t="s">
        <v>385</v>
      </c>
      <c r="AI223" s="120">
        <f t="shared" si="77"/>
        <v>99347</v>
      </c>
      <c r="AJ223" s="79" t="s">
        <v>385</v>
      </c>
      <c r="AK223" s="124">
        <v>99347</v>
      </c>
      <c r="AL223" s="79" t="s">
        <v>385</v>
      </c>
      <c r="AM223" s="79" t="s">
        <v>385</v>
      </c>
      <c r="AN223" s="128">
        <f t="shared" si="78"/>
        <v>636986</v>
      </c>
      <c r="AO223" s="95"/>
    </row>
    <row r="224" spans="1:41" ht="392.25" customHeight="1">
      <c r="A224" s="37" t="s">
        <v>65</v>
      </c>
      <c r="B224" s="42" t="s">
        <v>231</v>
      </c>
      <c r="C224" s="12" t="s">
        <v>61</v>
      </c>
      <c r="D224" s="12" t="s">
        <v>296</v>
      </c>
      <c r="E224" s="120">
        <f t="shared" si="81"/>
        <v>22400</v>
      </c>
      <c r="F224" s="28" t="s">
        <v>385</v>
      </c>
      <c r="G224" s="124">
        <f>22400</f>
        <v>22400</v>
      </c>
      <c r="H224" s="28" t="s">
        <v>385</v>
      </c>
      <c r="I224" s="28" t="s">
        <v>385</v>
      </c>
      <c r="J224" s="120">
        <f>SUMIF(K224:N224,"&gt;0")</f>
        <v>22400</v>
      </c>
      <c r="K224" s="79" t="s">
        <v>385</v>
      </c>
      <c r="L224" s="124">
        <f>22400</f>
        <v>22400</v>
      </c>
      <c r="M224" s="79" t="s">
        <v>385</v>
      </c>
      <c r="N224" s="79" t="s">
        <v>385</v>
      </c>
      <c r="O224" s="120">
        <f>SUMIF(P224:S224,"&gt;0")</f>
        <v>22400</v>
      </c>
      <c r="P224" s="79" t="s">
        <v>385</v>
      </c>
      <c r="Q224" s="124">
        <f>22400</f>
        <v>22400</v>
      </c>
      <c r="R224" s="79" t="s">
        <v>385</v>
      </c>
      <c r="S224" s="79" t="s">
        <v>385</v>
      </c>
      <c r="T224" s="120">
        <f aca="true" t="shared" si="82" ref="T224:T229">SUMIF(U224:X224,"&gt;0")</f>
        <v>22400</v>
      </c>
      <c r="U224" s="79" t="s">
        <v>385</v>
      </c>
      <c r="V224" s="124">
        <f>22400</f>
        <v>22400</v>
      </c>
      <c r="W224" s="79" t="s">
        <v>385</v>
      </c>
      <c r="X224" s="79" t="s">
        <v>385</v>
      </c>
      <c r="Y224" s="120">
        <f t="shared" si="75"/>
        <v>24477</v>
      </c>
      <c r="Z224" s="79" t="s">
        <v>385</v>
      </c>
      <c r="AA224" s="124">
        <v>24477</v>
      </c>
      <c r="AB224" s="79" t="s">
        <v>385</v>
      </c>
      <c r="AC224" s="79" t="s">
        <v>385</v>
      </c>
      <c r="AD224" s="120">
        <f t="shared" si="76"/>
        <v>24740</v>
      </c>
      <c r="AE224" s="79" t="s">
        <v>385</v>
      </c>
      <c r="AF224" s="124">
        <v>24740</v>
      </c>
      <c r="AG224" s="79" t="s">
        <v>385</v>
      </c>
      <c r="AH224" s="79" t="s">
        <v>385</v>
      </c>
      <c r="AI224" s="120">
        <f t="shared" si="77"/>
        <v>24976</v>
      </c>
      <c r="AJ224" s="79" t="s">
        <v>385</v>
      </c>
      <c r="AK224" s="124">
        <v>24976</v>
      </c>
      <c r="AL224" s="79" t="s">
        <v>385</v>
      </c>
      <c r="AM224" s="79" t="s">
        <v>385</v>
      </c>
      <c r="AN224" s="128">
        <f t="shared" si="78"/>
        <v>163793</v>
      </c>
      <c r="AO224" s="95"/>
    </row>
    <row r="225" spans="1:41" ht="157.5">
      <c r="A225" s="37" t="s">
        <v>288</v>
      </c>
      <c r="B225" s="42" t="s">
        <v>242</v>
      </c>
      <c r="C225" s="12" t="s">
        <v>61</v>
      </c>
      <c r="D225" s="12" t="s">
        <v>296</v>
      </c>
      <c r="E225" s="120">
        <f t="shared" si="81"/>
        <v>4</v>
      </c>
      <c r="F225" s="124">
        <v>4</v>
      </c>
      <c r="G225" s="28" t="s">
        <v>385</v>
      </c>
      <c r="H225" s="28" t="s">
        <v>385</v>
      </c>
      <c r="I225" s="28" t="s">
        <v>385</v>
      </c>
      <c r="J225" s="120">
        <f t="shared" si="79"/>
        <v>3.6</v>
      </c>
      <c r="K225" s="124">
        <v>3.6</v>
      </c>
      <c r="L225" s="79" t="s">
        <v>385</v>
      </c>
      <c r="M225" s="79" t="s">
        <v>385</v>
      </c>
      <c r="N225" s="79" t="s">
        <v>385</v>
      </c>
      <c r="O225" s="78">
        <f t="shared" si="80"/>
        <v>0</v>
      </c>
      <c r="P225" s="79" t="s">
        <v>385</v>
      </c>
      <c r="Q225" s="79" t="s">
        <v>385</v>
      </c>
      <c r="R225" s="79" t="s">
        <v>385</v>
      </c>
      <c r="S225" s="79" t="s">
        <v>385</v>
      </c>
      <c r="T225" s="78">
        <f t="shared" si="82"/>
        <v>0</v>
      </c>
      <c r="U225" s="79" t="s">
        <v>385</v>
      </c>
      <c r="V225" s="79" t="s">
        <v>385</v>
      </c>
      <c r="W225" s="79" t="s">
        <v>385</v>
      </c>
      <c r="X225" s="79" t="s">
        <v>385</v>
      </c>
      <c r="Y225" s="120">
        <f aca="true" t="shared" si="83" ref="Y225:Y235">SUMIF(Z225:AC225,"&gt;0")</f>
        <v>2554</v>
      </c>
      <c r="Z225" s="124">
        <v>2554</v>
      </c>
      <c r="AA225" s="79" t="s">
        <v>385</v>
      </c>
      <c r="AB225" s="79" t="s">
        <v>385</v>
      </c>
      <c r="AC225" s="79" t="s">
        <v>385</v>
      </c>
      <c r="AD225" s="120">
        <f aca="true" t="shared" si="84" ref="AD225:AD235">SUMIF(AE225:AH225,"&gt;0")</f>
        <v>2554</v>
      </c>
      <c r="AE225" s="124">
        <v>2554</v>
      </c>
      <c r="AF225" s="79" t="s">
        <v>385</v>
      </c>
      <c r="AG225" s="79" t="s">
        <v>385</v>
      </c>
      <c r="AH225" s="79" t="s">
        <v>385</v>
      </c>
      <c r="AI225" s="120">
        <f aca="true" t="shared" si="85" ref="AI225:AI235">SUMIF(AJ225:AM225,"&gt;0")</f>
        <v>2554</v>
      </c>
      <c r="AJ225" s="124">
        <v>2554</v>
      </c>
      <c r="AK225" s="79" t="s">
        <v>385</v>
      </c>
      <c r="AL225" s="79" t="s">
        <v>385</v>
      </c>
      <c r="AM225" s="79" t="s">
        <v>385</v>
      </c>
      <c r="AN225" s="128">
        <f aca="true" t="shared" si="86" ref="AN225:AN236">E225+J225+O225+T225+Y225+AD225+AI225</f>
        <v>7669.6</v>
      </c>
      <c r="AO225" s="95"/>
    </row>
    <row r="226" spans="1:41" ht="126">
      <c r="A226" s="37" t="s">
        <v>66</v>
      </c>
      <c r="B226" s="42" t="s">
        <v>256</v>
      </c>
      <c r="C226" s="12" t="s">
        <v>61</v>
      </c>
      <c r="D226" s="12" t="s">
        <v>296</v>
      </c>
      <c r="E226" s="78">
        <f>SUMIF(F226:I226,"&gt;0")</f>
        <v>0</v>
      </c>
      <c r="F226" s="28" t="s">
        <v>385</v>
      </c>
      <c r="G226" s="118">
        <f>188295-98770.899-59984.101-29540</f>
        <v>0</v>
      </c>
      <c r="H226" s="28" t="s">
        <v>385</v>
      </c>
      <c r="I226" s="28" t="s">
        <v>385</v>
      </c>
      <c r="J226" s="78">
        <f t="shared" si="79"/>
        <v>0</v>
      </c>
      <c r="K226" s="79" t="s">
        <v>385</v>
      </c>
      <c r="L226" s="79" t="s">
        <v>385</v>
      </c>
      <c r="M226" s="79" t="s">
        <v>385</v>
      </c>
      <c r="N226" s="79" t="s">
        <v>385</v>
      </c>
      <c r="O226" s="78">
        <f t="shared" si="80"/>
        <v>0</v>
      </c>
      <c r="P226" s="79" t="s">
        <v>385</v>
      </c>
      <c r="Q226" s="79" t="s">
        <v>385</v>
      </c>
      <c r="R226" s="79" t="s">
        <v>385</v>
      </c>
      <c r="S226" s="79" t="s">
        <v>385</v>
      </c>
      <c r="T226" s="78">
        <f t="shared" si="82"/>
        <v>0</v>
      </c>
      <c r="U226" s="79" t="s">
        <v>385</v>
      </c>
      <c r="V226" s="79" t="s">
        <v>385</v>
      </c>
      <c r="W226" s="79" t="s">
        <v>385</v>
      </c>
      <c r="X226" s="79" t="s">
        <v>385</v>
      </c>
      <c r="Y226" s="120">
        <f t="shared" si="83"/>
        <v>196127</v>
      </c>
      <c r="Z226" s="79" t="s">
        <v>385</v>
      </c>
      <c r="AA226" s="124">
        <v>196127</v>
      </c>
      <c r="AB226" s="79" t="s">
        <v>385</v>
      </c>
      <c r="AC226" s="79" t="s">
        <v>385</v>
      </c>
      <c r="AD226" s="120">
        <f t="shared" si="84"/>
        <v>196127</v>
      </c>
      <c r="AE226" s="79" t="s">
        <v>385</v>
      </c>
      <c r="AF226" s="124">
        <v>196127</v>
      </c>
      <c r="AG226" s="79" t="s">
        <v>385</v>
      </c>
      <c r="AH226" s="79" t="s">
        <v>385</v>
      </c>
      <c r="AI226" s="120">
        <f t="shared" si="85"/>
        <v>196127</v>
      </c>
      <c r="AJ226" s="79" t="s">
        <v>385</v>
      </c>
      <c r="AK226" s="124">
        <v>196127</v>
      </c>
      <c r="AL226" s="79" t="s">
        <v>385</v>
      </c>
      <c r="AM226" s="79" t="s">
        <v>385</v>
      </c>
      <c r="AN226" s="128">
        <f t="shared" si="86"/>
        <v>588381</v>
      </c>
      <c r="AO226" s="95"/>
    </row>
    <row r="227" spans="1:44" s="3" customFormat="1" ht="63">
      <c r="A227" s="37" t="s">
        <v>67</v>
      </c>
      <c r="B227" s="44" t="s">
        <v>43</v>
      </c>
      <c r="C227" s="12" t="s">
        <v>44</v>
      </c>
      <c r="D227" s="12" t="s">
        <v>296</v>
      </c>
      <c r="E227" s="120">
        <f t="shared" si="81"/>
        <v>15248</v>
      </c>
      <c r="F227" s="124">
        <v>15248</v>
      </c>
      <c r="G227" s="28" t="s">
        <v>385</v>
      </c>
      <c r="H227" s="28" t="s">
        <v>385</v>
      </c>
      <c r="I227" s="28" t="s">
        <v>385</v>
      </c>
      <c r="J227" s="120">
        <f aca="true" t="shared" si="87" ref="J227:J235">SUMIF(K227:N227,"&gt;0")</f>
        <v>16129</v>
      </c>
      <c r="K227" s="124">
        <v>16129</v>
      </c>
      <c r="L227" s="79" t="s">
        <v>385</v>
      </c>
      <c r="M227" s="79" t="s">
        <v>385</v>
      </c>
      <c r="N227" s="79" t="s">
        <v>385</v>
      </c>
      <c r="O227" s="120">
        <f aca="true" t="shared" si="88" ref="O227:O235">SUMIF(P227:S227,"&gt;0")</f>
        <v>16129</v>
      </c>
      <c r="P227" s="124">
        <v>16129</v>
      </c>
      <c r="Q227" s="79" t="s">
        <v>385</v>
      </c>
      <c r="R227" s="79" t="s">
        <v>385</v>
      </c>
      <c r="S227" s="79" t="s">
        <v>385</v>
      </c>
      <c r="T227" s="120">
        <f t="shared" si="82"/>
        <v>16129</v>
      </c>
      <c r="U227" s="124">
        <v>16129</v>
      </c>
      <c r="V227" s="79" t="s">
        <v>385</v>
      </c>
      <c r="W227" s="79" t="s">
        <v>385</v>
      </c>
      <c r="X227" s="79" t="s">
        <v>385</v>
      </c>
      <c r="Y227" s="120">
        <f t="shared" si="83"/>
        <v>18025</v>
      </c>
      <c r="Z227" s="124">
        <v>18025</v>
      </c>
      <c r="AA227" s="79" t="s">
        <v>385</v>
      </c>
      <c r="AB227" s="79" t="s">
        <v>385</v>
      </c>
      <c r="AC227" s="79" t="s">
        <v>385</v>
      </c>
      <c r="AD227" s="120">
        <f t="shared" si="84"/>
        <v>18746</v>
      </c>
      <c r="AE227" s="124">
        <v>18746</v>
      </c>
      <c r="AF227" s="79" t="s">
        <v>385</v>
      </c>
      <c r="AG227" s="79" t="s">
        <v>385</v>
      </c>
      <c r="AH227" s="79" t="s">
        <v>385</v>
      </c>
      <c r="AI227" s="120">
        <f t="shared" si="85"/>
        <v>19495</v>
      </c>
      <c r="AJ227" s="124">
        <v>19495</v>
      </c>
      <c r="AK227" s="79" t="s">
        <v>385</v>
      </c>
      <c r="AL227" s="79" t="s">
        <v>385</v>
      </c>
      <c r="AM227" s="79" t="s">
        <v>385</v>
      </c>
      <c r="AN227" s="128">
        <f t="shared" si="86"/>
        <v>119901</v>
      </c>
      <c r="AO227" s="95"/>
      <c r="AQ227" s="1"/>
      <c r="AR227" s="1"/>
    </row>
    <row r="228" spans="1:44" s="3" customFormat="1" ht="110.25">
      <c r="A228" s="37" t="s">
        <v>68</v>
      </c>
      <c r="B228" s="44" t="s">
        <v>257</v>
      </c>
      <c r="C228" s="12" t="s">
        <v>61</v>
      </c>
      <c r="D228" s="12" t="s">
        <v>296</v>
      </c>
      <c r="E228" s="120">
        <f t="shared" si="81"/>
        <v>3317</v>
      </c>
      <c r="F228" s="28" t="s">
        <v>385</v>
      </c>
      <c r="G228" s="124">
        <f>3417-100</f>
        <v>3317</v>
      </c>
      <c r="H228" s="28" t="s">
        <v>385</v>
      </c>
      <c r="I228" s="28" t="s">
        <v>385</v>
      </c>
      <c r="J228" s="120">
        <f t="shared" si="87"/>
        <v>488.8</v>
      </c>
      <c r="K228" s="79" t="s">
        <v>385</v>
      </c>
      <c r="L228" s="79">
        <f>488.8</f>
        <v>488.8</v>
      </c>
      <c r="M228" s="79" t="s">
        <v>385</v>
      </c>
      <c r="N228" s="79" t="s">
        <v>385</v>
      </c>
      <c r="O228" s="78">
        <f t="shared" si="88"/>
        <v>0</v>
      </c>
      <c r="P228" s="79" t="s">
        <v>385</v>
      </c>
      <c r="Q228" s="79" t="s">
        <v>385</v>
      </c>
      <c r="R228" s="79" t="s">
        <v>385</v>
      </c>
      <c r="S228" s="79" t="s">
        <v>385</v>
      </c>
      <c r="T228" s="78">
        <f t="shared" si="82"/>
        <v>0</v>
      </c>
      <c r="U228" s="79" t="s">
        <v>385</v>
      </c>
      <c r="V228" s="79" t="s">
        <v>385</v>
      </c>
      <c r="W228" s="79" t="s">
        <v>385</v>
      </c>
      <c r="X228" s="79" t="s">
        <v>385</v>
      </c>
      <c r="Y228" s="120">
        <f t="shared" si="83"/>
        <v>3473</v>
      </c>
      <c r="Z228" s="79" t="s">
        <v>385</v>
      </c>
      <c r="AA228" s="124">
        <v>3473</v>
      </c>
      <c r="AB228" s="79" t="s">
        <v>385</v>
      </c>
      <c r="AC228" s="79" t="s">
        <v>385</v>
      </c>
      <c r="AD228" s="120">
        <f t="shared" si="84"/>
        <v>3473</v>
      </c>
      <c r="AE228" s="79" t="s">
        <v>385</v>
      </c>
      <c r="AF228" s="124">
        <v>3473</v>
      </c>
      <c r="AG228" s="79" t="s">
        <v>385</v>
      </c>
      <c r="AH228" s="79" t="s">
        <v>385</v>
      </c>
      <c r="AI228" s="120">
        <f t="shared" si="85"/>
        <v>3473</v>
      </c>
      <c r="AJ228" s="79" t="s">
        <v>385</v>
      </c>
      <c r="AK228" s="124">
        <v>3473</v>
      </c>
      <c r="AL228" s="79" t="s">
        <v>385</v>
      </c>
      <c r="AM228" s="79" t="s">
        <v>385</v>
      </c>
      <c r="AN228" s="128">
        <f t="shared" si="86"/>
        <v>14224.8</v>
      </c>
      <c r="AO228" s="95"/>
      <c r="AQ228" s="1"/>
      <c r="AR228" s="1"/>
    </row>
    <row r="229" spans="1:44" s="3" customFormat="1" ht="128.25" customHeight="1">
      <c r="A229" s="37" t="s">
        <v>234</v>
      </c>
      <c r="B229" s="44" t="s">
        <v>266</v>
      </c>
      <c r="C229" s="12" t="s">
        <v>61</v>
      </c>
      <c r="D229" s="12" t="s">
        <v>296</v>
      </c>
      <c r="E229" s="120">
        <f t="shared" si="81"/>
        <v>10140</v>
      </c>
      <c r="F229" s="28" t="s">
        <v>385</v>
      </c>
      <c r="G229" s="124">
        <f>10140</f>
        <v>10140</v>
      </c>
      <c r="H229" s="28" t="s">
        <v>385</v>
      </c>
      <c r="I229" s="28" t="s">
        <v>385</v>
      </c>
      <c r="J229" s="120">
        <f t="shared" si="87"/>
        <v>10750</v>
      </c>
      <c r="K229" s="79" t="s">
        <v>385</v>
      </c>
      <c r="L229" s="124">
        <f>10750</f>
        <v>10750</v>
      </c>
      <c r="M229" s="79" t="s">
        <v>385</v>
      </c>
      <c r="N229" s="79" t="s">
        <v>385</v>
      </c>
      <c r="O229" s="78">
        <f t="shared" si="88"/>
        <v>0</v>
      </c>
      <c r="P229" s="79" t="s">
        <v>385</v>
      </c>
      <c r="Q229" s="79" t="s">
        <v>385</v>
      </c>
      <c r="R229" s="79" t="s">
        <v>385</v>
      </c>
      <c r="S229" s="79" t="s">
        <v>385</v>
      </c>
      <c r="T229" s="78">
        <f t="shared" si="82"/>
        <v>0</v>
      </c>
      <c r="U229" s="79" t="s">
        <v>385</v>
      </c>
      <c r="V229" s="79" t="s">
        <v>385</v>
      </c>
      <c r="W229" s="79" t="s">
        <v>385</v>
      </c>
      <c r="X229" s="79" t="s">
        <v>385</v>
      </c>
      <c r="Y229" s="120">
        <f t="shared" si="83"/>
        <v>9006</v>
      </c>
      <c r="Z229" s="79" t="s">
        <v>385</v>
      </c>
      <c r="AA229" s="124">
        <v>9006</v>
      </c>
      <c r="AB229" s="79" t="s">
        <v>385</v>
      </c>
      <c r="AC229" s="79" t="s">
        <v>385</v>
      </c>
      <c r="AD229" s="120">
        <f t="shared" si="84"/>
        <v>9146</v>
      </c>
      <c r="AE229" s="79" t="s">
        <v>385</v>
      </c>
      <c r="AF229" s="124">
        <v>9146</v>
      </c>
      <c r="AG229" s="79" t="s">
        <v>385</v>
      </c>
      <c r="AH229" s="79" t="s">
        <v>385</v>
      </c>
      <c r="AI229" s="120">
        <f t="shared" si="85"/>
        <v>9271</v>
      </c>
      <c r="AJ229" s="79" t="s">
        <v>385</v>
      </c>
      <c r="AK229" s="124">
        <v>9271</v>
      </c>
      <c r="AL229" s="79" t="s">
        <v>385</v>
      </c>
      <c r="AM229" s="79" t="s">
        <v>385</v>
      </c>
      <c r="AN229" s="128">
        <f aca="true" t="shared" si="89" ref="AN229:AN234">E229+J229+O229+T229+Y229+AD229+AI229</f>
        <v>48313</v>
      </c>
      <c r="AO229" s="95"/>
      <c r="AQ229" s="1"/>
      <c r="AR229" s="1"/>
    </row>
    <row r="230" spans="1:44" s="3" customFormat="1" ht="173.25">
      <c r="A230" s="37" t="s">
        <v>447</v>
      </c>
      <c r="B230" s="44" t="s">
        <v>448</v>
      </c>
      <c r="C230" s="12" t="s">
        <v>61</v>
      </c>
      <c r="D230" s="12" t="s">
        <v>296</v>
      </c>
      <c r="E230" s="120">
        <f>SUMIF(F230:I230,"&gt;0")</f>
        <v>1953.1</v>
      </c>
      <c r="F230" s="124">
        <f>715+410+1360+90+4-182.3667+182.3667+0.816+0.82634+1.34851+1.15148-250-380</f>
        <v>1953.1</v>
      </c>
      <c r="G230" s="28" t="s">
        <v>385</v>
      </c>
      <c r="H230" s="28" t="s">
        <v>385</v>
      </c>
      <c r="I230" s="28" t="s">
        <v>385</v>
      </c>
      <c r="J230" s="120">
        <f t="shared" si="87"/>
        <v>2539.4</v>
      </c>
      <c r="K230" s="124">
        <v>2539.4</v>
      </c>
      <c r="L230" s="79" t="s">
        <v>385</v>
      </c>
      <c r="M230" s="79" t="s">
        <v>385</v>
      </c>
      <c r="N230" s="79" t="s">
        <v>385</v>
      </c>
      <c r="O230" s="120">
        <f t="shared" si="88"/>
        <v>2543</v>
      </c>
      <c r="P230" s="124">
        <v>2543</v>
      </c>
      <c r="Q230" s="79" t="s">
        <v>385</v>
      </c>
      <c r="R230" s="79" t="s">
        <v>385</v>
      </c>
      <c r="S230" s="79" t="s">
        <v>385</v>
      </c>
      <c r="T230" s="120">
        <f aca="true" t="shared" si="90" ref="T230:T235">SUMIF(U230:X230,"&gt;0")</f>
        <v>2543</v>
      </c>
      <c r="U230" s="124">
        <v>2543</v>
      </c>
      <c r="V230" s="79" t="s">
        <v>385</v>
      </c>
      <c r="W230" s="79" t="s">
        <v>385</v>
      </c>
      <c r="X230" s="79" t="s">
        <v>385</v>
      </c>
      <c r="Y230" s="78">
        <f>SUMIF(Z230:AC230,"&gt;0")</f>
        <v>0</v>
      </c>
      <c r="Z230" s="79" t="s">
        <v>385</v>
      </c>
      <c r="AA230" s="79" t="s">
        <v>385</v>
      </c>
      <c r="AB230" s="79" t="s">
        <v>385</v>
      </c>
      <c r="AC230" s="79" t="s">
        <v>385</v>
      </c>
      <c r="AD230" s="78">
        <f>SUMIF(AE230:AH230,"&gt;0")</f>
        <v>0</v>
      </c>
      <c r="AE230" s="79" t="s">
        <v>385</v>
      </c>
      <c r="AF230" s="79" t="s">
        <v>385</v>
      </c>
      <c r="AG230" s="79" t="s">
        <v>385</v>
      </c>
      <c r="AH230" s="79" t="s">
        <v>385</v>
      </c>
      <c r="AI230" s="78">
        <f>SUMIF(AJ230:AM230,"&gt;0")</f>
        <v>0</v>
      </c>
      <c r="AJ230" s="79" t="s">
        <v>385</v>
      </c>
      <c r="AK230" s="79" t="s">
        <v>385</v>
      </c>
      <c r="AL230" s="79" t="s">
        <v>385</v>
      </c>
      <c r="AM230" s="79" t="s">
        <v>385</v>
      </c>
      <c r="AN230" s="128">
        <f t="shared" si="89"/>
        <v>9578.5</v>
      </c>
      <c r="AO230" s="95"/>
      <c r="AQ230" s="1"/>
      <c r="AR230" s="1"/>
    </row>
    <row r="231" spans="1:44" s="3" customFormat="1" ht="110.25">
      <c r="A231" s="37" t="s">
        <v>469</v>
      </c>
      <c r="B231" s="44" t="s">
        <v>470</v>
      </c>
      <c r="C231" s="12" t="s">
        <v>61</v>
      </c>
      <c r="D231" s="12" t="s">
        <v>296</v>
      </c>
      <c r="E231" s="120">
        <f>SUMIF(F231:I231,"&gt;0")</f>
        <v>217095</v>
      </c>
      <c r="F231" s="28" t="s">
        <v>385</v>
      </c>
      <c r="G231" s="28" t="s">
        <v>385</v>
      </c>
      <c r="H231" s="124">
        <f>217095</f>
        <v>217095</v>
      </c>
      <c r="I231" s="28" t="s">
        <v>385</v>
      </c>
      <c r="J231" s="120">
        <f>SUMIF(K231:N231,"&gt;0")</f>
        <v>217226</v>
      </c>
      <c r="K231" s="79" t="s">
        <v>385</v>
      </c>
      <c r="L231" s="124">
        <f>217226</f>
        <v>217226</v>
      </c>
      <c r="M231" s="79" t="s">
        <v>385</v>
      </c>
      <c r="N231" s="79" t="s">
        <v>385</v>
      </c>
      <c r="O231" s="120">
        <f t="shared" si="88"/>
        <v>217226</v>
      </c>
      <c r="P231" s="79" t="s">
        <v>385</v>
      </c>
      <c r="Q231" s="124">
        <f>217226</f>
        <v>217226</v>
      </c>
      <c r="R231" s="79" t="s">
        <v>385</v>
      </c>
      <c r="S231" s="79" t="s">
        <v>385</v>
      </c>
      <c r="T231" s="120">
        <f t="shared" si="90"/>
        <v>217226</v>
      </c>
      <c r="U231" s="79" t="s">
        <v>385</v>
      </c>
      <c r="V231" s="124">
        <f>217226</f>
        <v>217226</v>
      </c>
      <c r="W231" s="79" t="s">
        <v>385</v>
      </c>
      <c r="X231" s="79" t="s">
        <v>385</v>
      </c>
      <c r="Y231" s="78">
        <f>SUMIF(Z231:AC231,"&gt;0")</f>
        <v>0</v>
      </c>
      <c r="Z231" s="79" t="s">
        <v>385</v>
      </c>
      <c r="AA231" s="79" t="s">
        <v>385</v>
      </c>
      <c r="AB231" s="79" t="s">
        <v>385</v>
      </c>
      <c r="AC231" s="79" t="s">
        <v>385</v>
      </c>
      <c r="AD231" s="78">
        <f>SUMIF(AE231:AH231,"&gt;0")</f>
        <v>0</v>
      </c>
      <c r="AE231" s="79" t="s">
        <v>385</v>
      </c>
      <c r="AF231" s="79" t="s">
        <v>385</v>
      </c>
      <c r="AG231" s="79" t="s">
        <v>385</v>
      </c>
      <c r="AH231" s="79" t="s">
        <v>385</v>
      </c>
      <c r="AI231" s="78">
        <f>SUMIF(AJ231:AM231,"&gt;0")</f>
        <v>0</v>
      </c>
      <c r="AJ231" s="79" t="s">
        <v>385</v>
      </c>
      <c r="AK231" s="79" t="s">
        <v>385</v>
      </c>
      <c r="AL231" s="79" t="s">
        <v>385</v>
      </c>
      <c r="AM231" s="79" t="s">
        <v>385</v>
      </c>
      <c r="AN231" s="128">
        <f t="shared" si="89"/>
        <v>868773</v>
      </c>
      <c r="AO231" s="95"/>
      <c r="AQ231" s="1"/>
      <c r="AR231" s="1"/>
    </row>
    <row r="232" spans="1:44" s="3" customFormat="1" ht="126">
      <c r="A232" s="37" t="s">
        <v>477</v>
      </c>
      <c r="B232" s="44" t="s">
        <v>478</v>
      </c>
      <c r="C232" s="12" t="s">
        <v>61</v>
      </c>
      <c r="D232" s="12" t="s">
        <v>313</v>
      </c>
      <c r="E232" s="120">
        <f>SUMIF(F232:I232,"&gt;0")</f>
        <v>240674</v>
      </c>
      <c r="F232" s="28" t="s">
        <v>385</v>
      </c>
      <c r="G232" s="124">
        <f>133937.899+80161.101+39838-8543-3028-1692</f>
        <v>240674</v>
      </c>
      <c r="H232" s="28" t="s">
        <v>385</v>
      </c>
      <c r="I232" s="28" t="s">
        <v>385</v>
      </c>
      <c r="J232" s="120">
        <f>SUMIF(K232:N232,"&gt;0")</f>
        <v>243222</v>
      </c>
      <c r="K232" s="79" t="s">
        <v>385</v>
      </c>
      <c r="L232" s="124">
        <f>243222</f>
        <v>243222</v>
      </c>
      <c r="M232" s="79" t="s">
        <v>385</v>
      </c>
      <c r="N232" s="79" t="s">
        <v>385</v>
      </c>
      <c r="O232" s="120">
        <f t="shared" si="88"/>
        <v>243222</v>
      </c>
      <c r="P232" s="79" t="s">
        <v>385</v>
      </c>
      <c r="Q232" s="124">
        <f>243222</f>
        <v>243222</v>
      </c>
      <c r="R232" s="79" t="s">
        <v>385</v>
      </c>
      <c r="S232" s="79" t="s">
        <v>385</v>
      </c>
      <c r="T232" s="120">
        <f t="shared" si="90"/>
        <v>243222</v>
      </c>
      <c r="U232" s="79" t="s">
        <v>385</v>
      </c>
      <c r="V232" s="124">
        <f>243222</f>
        <v>243222</v>
      </c>
      <c r="W232" s="79" t="s">
        <v>385</v>
      </c>
      <c r="X232" s="79" t="s">
        <v>385</v>
      </c>
      <c r="Y232" s="78">
        <f>SUMIF(Z232:AC232,"&gt;0")</f>
        <v>0</v>
      </c>
      <c r="Z232" s="79" t="s">
        <v>385</v>
      </c>
      <c r="AA232" s="79" t="s">
        <v>385</v>
      </c>
      <c r="AB232" s="79" t="s">
        <v>385</v>
      </c>
      <c r="AC232" s="79" t="s">
        <v>385</v>
      </c>
      <c r="AD232" s="78">
        <f>SUMIF(AE232:AH232,"&gt;0")</f>
        <v>0</v>
      </c>
      <c r="AE232" s="79" t="s">
        <v>385</v>
      </c>
      <c r="AF232" s="79" t="s">
        <v>385</v>
      </c>
      <c r="AG232" s="79" t="s">
        <v>385</v>
      </c>
      <c r="AH232" s="79" t="s">
        <v>385</v>
      </c>
      <c r="AI232" s="78">
        <f>SUMIF(AJ232:AM232,"&gt;0")</f>
        <v>0</v>
      </c>
      <c r="AJ232" s="79" t="s">
        <v>385</v>
      </c>
      <c r="AK232" s="79" t="s">
        <v>385</v>
      </c>
      <c r="AL232" s="79" t="s">
        <v>385</v>
      </c>
      <c r="AM232" s="79" t="s">
        <v>385</v>
      </c>
      <c r="AN232" s="128">
        <f t="shared" si="89"/>
        <v>970340</v>
      </c>
      <c r="AO232" s="95"/>
      <c r="AQ232" s="1"/>
      <c r="AR232" s="1"/>
    </row>
    <row r="233" spans="1:44" s="3" customFormat="1" ht="110.25">
      <c r="A233" s="37" t="s">
        <v>497</v>
      </c>
      <c r="B233" s="44" t="s">
        <v>498</v>
      </c>
      <c r="C233" s="12" t="s">
        <v>61</v>
      </c>
      <c r="D233" s="132">
        <v>2021</v>
      </c>
      <c r="E233" s="120">
        <f>SUMIF(F233:I233,"&gt;0")</f>
        <v>67347</v>
      </c>
      <c r="F233" s="28" t="s">
        <v>385</v>
      </c>
      <c r="G233" s="124">
        <f>35042+21483+10822</f>
        <v>67347</v>
      </c>
      <c r="H233" s="28" t="s">
        <v>385</v>
      </c>
      <c r="I233" s="28" t="s">
        <v>385</v>
      </c>
      <c r="J233" s="78">
        <f>SUMIF(K233:N233,"&gt;0")</f>
        <v>0</v>
      </c>
      <c r="K233" s="79" t="s">
        <v>385</v>
      </c>
      <c r="L233" s="79" t="s">
        <v>385</v>
      </c>
      <c r="M233" s="79" t="s">
        <v>385</v>
      </c>
      <c r="N233" s="79" t="s">
        <v>385</v>
      </c>
      <c r="O233" s="78">
        <f t="shared" si="88"/>
        <v>0</v>
      </c>
      <c r="P233" s="79" t="s">
        <v>385</v>
      </c>
      <c r="Q233" s="79" t="s">
        <v>385</v>
      </c>
      <c r="R233" s="79" t="s">
        <v>385</v>
      </c>
      <c r="S233" s="79" t="s">
        <v>385</v>
      </c>
      <c r="T233" s="78">
        <f t="shared" si="90"/>
        <v>0</v>
      </c>
      <c r="U233" s="79" t="s">
        <v>385</v>
      </c>
      <c r="V233" s="79" t="s">
        <v>385</v>
      </c>
      <c r="W233" s="79" t="s">
        <v>385</v>
      </c>
      <c r="X233" s="79" t="s">
        <v>385</v>
      </c>
      <c r="Y233" s="78">
        <f>SUMIF(Z233:AC233,"&gt;0")</f>
        <v>0</v>
      </c>
      <c r="Z233" s="79" t="s">
        <v>385</v>
      </c>
      <c r="AA233" s="79" t="s">
        <v>385</v>
      </c>
      <c r="AB233" s="79" t="s">
        <v>385</v>
      </c>
      <c r="AC233" s="79" t="s">
        <v>385</v>
      </c>
      <c r="AD233" s="78">
        <f>SUMIF(AE233:AH233,"&gt;0")</f>
        <v>0</v>
      </c>
      <c r="AE233" s="79" t="s">
        <v>385</v>
      </c>
      <c r="AF233" s="79" t="s">
        <v>385</v>
      </c>
      <c r="AG233" s="79" t="s">
        <v>385</v>
      </c>
      <c r="AH233" s="79" t="s">
        <v>385</v>
      </c>
      <c r="AI233" s="78">
        <f>SUMIF(AJ233:AM233,"&gt;0")</f>
        <v>0</v>
      </c>
      <c r="AJ233" s="79" t="s">
        <v>385</v>
      </c>
      <c r="AK233" s="79" t="s">
        <v>385</v>
      </c>
      <c r="AL233" s="79" t="s">
        <v>385</v>
      </c>
      <c r="AM233" s="79" t="s">
        <v>385</v>
      </c>
      <c r="AN233" s="128">
        <f t="shared" si="89"/>
        <v>67347</v>
      </c>
      <c r="AO233" s="95"/>
      <c r="AQ233" s="1"/>
      <c r="AR233" s="1"/>
    </row>
    <row r="234" spans="1:44" s="3" customFormat="1" ht="126">
      <c r="A234" s="37" t="s">
        <v>524</v>
      </c>
      <c r="B234" s="44" t="s">
        <v>525</v>
      </c>
      <c r="C234" s="97" t="s">
        <v>39</v>
      </c>
      <c r="D234" s="132" t="s">
        <v>526</v>
      </c>
      <c r="E234" s="78">
        <f>SUMIF(F234:I234,"&gt;0")</f>
        <v>0</v>
      </c>
      <c r="F234" s="28" t="s">
        <v>385</v>
      </c>
      <c r="G234" s="28" t="s">
        <v>385</v>
      </c>
      <c r="H234" s="28" t="s">
        <v>385</v>
      </c>
      <c r="I234" s="28" t="s">
        <v>385</v>
      </c>
      <c r="J234" s="120">
        <f>SUMIF(K234:N234,"&gt;0")</f>
        <v>125320</v>
      </c>
      <c r="K234" s="124" t="s">
        <v>385</v>
      </c>
      <c r="L234" s="124">
        <f>125320</f>
        <v>125320</v>
      </c>
      <c r="M234" s="79" t="s">
        <v>385</v>
      </c>
      <c r="N234" s="79" t="s">
        <v>385</v>
      </c>
      <c r="O234" s="120">
        <f t="shared" si="88"/>
        <v>125320</v>
      </c>
      <c r="P234" s="124" t="s">
        <v>385</v>
      </c>
      <c r="Q234" s="124">
        <f>125320</f>
        <v>125320</v>
      </c>
      <c r="R234" s="79" t="s">
        <v>385</v>
      </c>
      <c r="S234" s="79" t="s">
        <v>385</v>
      </c>
      <c r="T234" s="120">
        <f t="shared" si="90"/>
        <v>125320</v>
      </c>
      <c r="U234" s="124" t="s">
        <v>385</v>
      </c>
      <c r="V234" s="124">
        <f>125320</f>
        <v>125320</v>
      </c>
      <c r="W234" s="79" t="s">
        <v>385</v>
      </c>
      <c r="X234" s="79" t="s">
        <v>385</v>
      </c>
      <c r="Y234" s="78">
        <f>SUMIF(Z234:AC234,"&gt;0")</f>
        <v>0</v>
      </c>
      <c r="Z234" s="79" t="s">
        <v>385</v>
      </c>
      <c r="AA234" s="79" t="s">
        <v>385</v>
      </c>
      <c r="AB234" s="79" t="s">
        <v>385</v>
      </c>
      <c r="AC234" s="79" t="s">
        <v>385</v>
      </c>
      <c r="AD234" s="78">
        <f>SUMIF(AE234:AH234,"&gt;0")</f>
        <v>0</v>
      </c>
      <c r="AE234" s="79" t="s">
        <v>385</v>
      </c>
      <c r="AF234" s="79" t="s">
        <v>385</v>
      </c>
      <c r="AG234" s="79" t="s">
        <v>385</v>
      </c>
      <c r="AH234" s="79" t="s">
        <v>385</v>
      </c>
      <c r="AI234" s="78">
        <f>SUMIF(AJ234:AM234,"&gt;0")</f>
        <v>0</v>
      </c>
      <c r="AJ234" s="79" t="s">
        <v>385</v>
      </c>
      <c r="AK234" s="79" t="s">
        <v>385</v>
      </c>
      <c r="AL234" s="79" t="s">
        <v>385</v>
      </c>
      <c r="AM234" s="79" t="s">
        <v>385</v>
      </c>
      <c r="AN234" s="128">
        <f t="shared" si="89"/>
        <v>375960</v>
      </c>
      <c r="AO234" s="95"/>
      <c r="AQ234" s="1"/>
      <c r="AR234" s="1"/>
    </row>
    <row r="235" spans="1:44" s="3" customFormat="1" ht="110.25">
      <c r="A235" s="37" t="s">
        <v>528</v>
      </c>
      <c r="B235" s="44" t="s">
        <v>529</v>
      </c>
      <c r="C235" s="97" t="s">
        <v>39</v>
      </c>
      <c r="D235" s="132" t="s">
        <v>526</v>
      </c>
      <c r="E235" s="78">
        <f t="shared" si="81"/>
        <v>0</v>
      </c>
      <c r="F235" s="28" t="s">
        <v>385</v>
      </c>
      <c r="G235" s="28" t="s">
        <v>385</v>
      </c>
      <c r="H235" s="28" t="s">
        <v>385</v>
      </c>
      <c r="I235" s="28" t="s">
        <v>385</v>
      </c>
      <c r="J235" s="120">
        <f t="shared" si="87"/>
        <v>6154.2</v>
      </c>
      <c r="K235" s="124" t="s">
        <v>385</v>
      </c>
      <c r="L235" s="124">
        <f>6154.2</f>
        <v>6154.2</v>
      </c>
      <c r="M235" s="79" t="s">
        <v>385</v>
      </c>
      <c r="N235" s="79" t="s">
        <v>385</v>
      </c>
      <c r="O235" s="120">
        <f t="shared" si="88"/>
        <v>7289</v>
      </c>
      <c r="P235" s="124" t="s">
        <v>385</v>
      </c>
      <c r="Q235" s="124">
        <f>7289</f>
        <v>7289</v>
      </c>
      <c r="R235" s="79" t="s">
        <v>385</v>
      </c>
      <c r="S235" s="79" t="s">
        <v>385</v>
      </c>
      <c r="T235" s="120">
        <f t="shared" si="90"/>
        <v>7289</v>
      </c>
      <c r="U235" s="124" t="s">
        <v>385</v>
      </c>
      <c r="V235" s="124">
        <f>7289</f>
        <v>7289</v>
      </c>
      <c r="W235" s="79" t="s">
        <v>385</v>
      </c>
      <c r="X235" s="79" t="s">
        <v>385</v>
      </c>
      <c r="Y235" s="78">
        <f t="shared" si="83"/>
        <v>0</v>
      </c>
      <c r="Z235" s="79" t="s">
        <v>385</v>
      </c>
      <c r="AA235" s="79" t="s">
        <v>385</v>
      </c>
      <c r="AB235" s="79" t="s">
        <v>385</v>
      </c>
      <c r="AC235" s="79" t="s">
        <v>385</v>
      </c>
      <c r="AD235" s="78">
        <f t="shared" si="84"/>
        <v>0</v>
      </c>
      <c r="AE235" s="79" t="s">
        <v>385</v>
      </c>
      <c r="AF235" s="79" t="s">
        <v>385</v>
      </c>
      <c r="AG235" s="79" t="s">
        <v>385</v>
      </c>
      <c r="AH235" s="79" t="s">
        <v>385</v>
      </c>
      <c r="AI235" s="78">
        <f t="shared" si="85"/>
        <v>0</v>
      </c>
      <c r="AJ235" s="79" t="s">
        <v>385</v>
      </c>
      <c r="AK235" s="79" t="s">
        <v>385</v>
      </c>
      <c r="AL235" s="79" t="s">
        <v>385</v>
      </c>
      <c r="AM235" s="79" t="s">
        <v>385</v>
      </c>
      <c r="AN235" s="128">
        <f t="shared" si="86"/>
        <v>20732.2</v>
      </c>
      <c r="AO235" s="95"/>
      <c r="AQ235" s="1"/>
      <c r="AR235" s="1"/>
    </row>
    <row r="236" spans="1:44" s="3" customFormat="1" ht="18.75">
      <c r="A236" s="37"/>
      <c r="B236" s="168" t="s">
        <v>45</v>
      </c>
      <c r="C236" s="15"/>
      <c r="D236" s="15"/>
      <c r="E236" s="125">
        <f>SUM(F236:I236)</f>
        <v>664280.4</v>
      </c>
      <c r="F236" s="120">
        <f>SUM(F205:F235)</f>
        <v>17995.4</v>
      </c>
      <c r="G236" s="120">
        <f>SUM(G205:G235)</f>
        <v>429190</v>
      </c>
      <c r="H236" s="120">
        <f>SUM(H205:H235)</f>
        <v>217095</v>
      </c>
      <c r="I236" s="78">
        <f>SUM(I205:I235)</f>
        <v>0</v>
      </c>
      <c r="J236" s="128">
        <f>SUM(K236:N236)</f>
        <v>730406</v>
      </c>
      <c r="K236" s="120">
        <f>SUM(K205:K235)</f>
        <v>18907</v>
      </c>
      <c r="L236" s="120">
        <f>SUM(L205:L235)</f>
        <v>711499</v>
      </c>
      <c r="M236" s="78">
        <f>SUM(M205:M235)</f>
        <v>0</v>
      </c>
      <c r="N236" s="78">
        <f>SUM(N205:N235)</f>
        <v>0</v>
      </c>
      <c r="O236" s="128">
        <f>SUM(P236:S236)</f>
        <v>720067</v>
      </c>
      <c r="P236" s="120">
        <f>SUM(P205:P235)</f>
        <v>18672</v>
      </c>
      <c r="Q236" s="120">
        <f>SUM(Q205:Q235)</f>
        <v>701395</v>
      </c>
      <c r="R236" s="78">
        <f>SUM(R205:R235)</f>
        <v>0</v>
      </c>
      <c r="S236" s="78">
        <f>SUM(S205:S235)</f>
        <v>0</v>
      </c>
      <c r="T236" s="128">
        <f>SUM(U236:X236)</f>
        <v>720067</v>
      </c>
      <c r="U236" s="120">
        <f>SUM(U205:U235)</f>
        <v>18672</v>
      </c>
      <c r="V236" s="120">
        <f>SUM(V205:V235)</f>
        <v>701395</v>
      </c>
      <c r="W236" s="78">
        <f>SUM(W205:W235)</f>
        <v>0</v>
      </c>
      <c r="X236" s="78">
        <f>SUM(X205:X235)</f>
        <v>0</v>
      </c>
      <c r="Y236" s="125">
        <f>SUM(Z236:AC236)</f>
        <v>351248</v>
      </c>
      <c r="Z236" s="120">
        <f>SUM(Z205:Z235)</f>
        <v>21657</v>
      </c>
      <c r="AA236" s="120">
        <f>SUM(AA205:AA235)</f>
        <v>329591</v>
      </c>
      <c r="AB236" s="78">
        <f>SUM(AB205:AB235)</f>
        <v>0</v>
      </c>
      <c r="AC236" s="78">
        <f>SUM(AC205:AC235)</f>
        <v>0</v>
      </c>
      <c r="AD236" s="125">
        <f>SUM(AE236:AH236)</f>
        <v>353869</v>
      </c>
      <c r="AE236" s="120">
        <f>SUM(AE205:AE235)</f>
        <v>22378</v>
      </c>
      <c r="AF236" s="120">
        <f>SUM(AF205:AF235)</f>
        <v>331491</v>
      </c>
      <c r="AG236" s="78">
        <f>SUM(AG205:AG235)</f>
        <v>0</v>
      </c>
      <c r="AH236" s="78">
        <f>SUM(AH205:AH235)</f>
        <v>0</v>
      </c>
      <c r="AI236" s="125">
        <f>SUM(AJ236:AM236)</f>
        <v>356321</v>
      </c>
      <c r="AJ236" s="120">
        <f>SUM(AJ205:AJ235)</f>
        <v>23127</v>
      </c>
      <c r="AK236" s="120">
        <f>SUM(AK205:AK235)</f>
        <v>333194</v>
      </c>
      <c r="AL236" s="78">
        <f>SUM(AL205:AL235)</f>
        <v>0</v>
      </c>
      <c r="AM236" s="78">
        <f>SUM(AM205:AM235)</f>
        <v>0</v>
      </c>
      <c r="AN236" s="128">
        <f t="shared" si="86"/>
        <v>3896258.4</v>
      </c>
      <c r="AO236" s="95"/>
      <c r="AP236" s="21"/>
      <c r="AQ236" s="1"/>
      <c r="AR236" s="1"/>
    </row>
    <row r="237" spans="1:45" ht="31.5">
      <c r="A237" s="39" t="s">
        <v>85</v>
      </c>
      <c r="B237" s="137" t="s">
        <v>482</v>
      </c>
      <c r="C237" s="26"/>
      <c r="D237" s="26"/>
      <c r="E237" s="120">
        <f aca="true" t="shared" si="91" ref="E237:AN237">E23+E85+E203+E236</f>
        <v>8834301.3</v>
      </c>
      <c r="F237" s="120">
        <f t="shared" si="91"/>
        <v>2512194.9</v>
      </c>
      <c r="G237" s="120">
        <f t="shared" si="91"/>
        <v>4840289.9</v>
      </c>
      <c r="H237" s="120">
        <f t="shared" si="91"/>
        <v>806215.5</v>
      </c>
      <c r="I237" s="120">
        <f t="shared" si="91"/>
        <v>675601</v>
      </c>
      <c r="J237" s="120">
        <f t="shared" si="91"/>
        <v>10037436.2</v>
      </c>
      <c r="K237" s="120">
        <f t="shared" si="91"/>
        <v>2583281.1</v>
      </c>
      <c r="L237" s="120">
        <f t="shared" si="91"/>
        <v>6049058.7</v>
      </c>
      <c r="M237" s="120">
        <f t="shared" si="91"/>
        <v>727882.4</v>
      </c>
      <c r="N237" s="120">
        <f t="shared" si="91"/>
        <v>677214</v>
      </c>
      <c r="O237" s="120">
        <f t="shared" si="91"/>
        <v>8836119.2</v>
      </c>
      <c r="P237" s="120">
        <f t="shared" si="91"/>
        <v>2479457.5</v>
      </c>
      <c r="Q237" s="120">
        <f t="shared" si="91"/>
        <v>5449266.5</v>
      </c>
      <c r="R237" s="120">
        <f t="shared" si="91"/>
        <v>230181.2</v>
      </c>
      <c r="S237" s="120">
        <f t="shared" si="91"/>
        <v>677214</v>
      </c>
      <c r="T237" s="120">
        <f t="shared" si="91"/>
        <v>8464639.5</v>
      </c>
      <c r="U237" s="120">
        <f t="shared" si="91"/>
        <v>2412444.7</v>
      </c>
      <c r="V237" s="120">
        <f t="shared" si="91"/>
        <v>5143776.7</v>
      </c>
      <c r="W237" s="120">
        <f t="shared" si="91"/>
        <v>231204.1</v>
      </c>
      <c r="X237" s="120">
        <f t="shared" si="91"/>
        <v>677214</v>
      </c>
      <c r="Y237" s="120">
        <f t="shared" si="91"/>
        <v>9562060.5</v>
      </c>
      <c r="Z237" s="120">
        <f t="shared" si="91"/>
        <v>3043736.5</v>
      </c>
      <c r="AA237" s="120">
        <f t="shared" si="91"/>
        <v>5632959</v>
      </c>
      <c r="AB237" s="78">
        <f t="shared" si="91"/>
        <v>0</v>
      </c>
      <c r="AC237" s="120">
        <f t="shared" si="91"/>
        <v>885365</v>
      </c>
      <c r="AD237" s="120">
        <f t="shared" si="91"/>
        <v>9901331.3</v>
      </c>
      <c r="AE237" s="120">
        <f t="shared" si="91"/>
        <v>3128169</v>
      </c>
      <c r="AF237" s="120">
        <f t="shared" si="91"/>
        <v>5852383.3</v>
      </c>
      <c r="AG237" s="78">
        <f t="shared" si="91"/>
        <v>0</v>
      </c>
      <c r="AH237" s="120">
        <f t="shared" si="91"/>
        <v>920779</v>
      </c>
      <c r="AI237" s="120">
        <f t="shared" si="91"/>
        <v>10365972.2</v>
      </c>
      <c r="AJ237" s="120">
        <f t="shared" si="91"/>
        <v>3244079.7</v>
      </c>
      <c r="AK237" s="120">
        <f t="shared" si="91"/>
        <v>6164284.5</v>
      </c>
      <c r="AL237" s="78">
        <f t="shared" si="91"/>
        <v>0</v>
      </c>
      <c r="AM237" s="120">
        <f t="shared" si="91"/>
        <v>957608</v>
      </c>
      <c r="AN237" s="120">
        <f t="shared" si="91"/>
        <v>66001860.2</v>
      </c>
      <c r="AO237" s="95"/>
      <c r="AP237" s="3"/>
      <c r="AS237" s="27"/>
    </row>
    <row r="238" spans="1:40" s="18" customFormat="1" ht="18.75">
      <c r="A238" s="49"/>
      <c r="B238" s="131" t="s">
        <v>481</v>
      </c>
      <c r="C238" s="15"/>
      <c r="D238" s="104">
        <v>2021</v>
      </c>
      <c r="E238" s="120">
        <f>SUMIF(F238:I238,"&gt;0")</f>
        <v>10677.2</v>
      </c>
      <c r="F238" s="128">
        <f>F86</f>
        <v>10677.2</v>
      </c>
      <c r="G238" s="118">
        <v>0</v>
      </c>
      <c r="H238" s="118">
        <v>0</v>
      </c>
      <c r="I238" s="118">
        <v>0</v>
      </c>
      <c r="J238" s="78">
        <f>SUMIF(K238:N238,"&gt;0")</f>
        <v>0</v>
      </c>
      <c r="K238" s="118">
        <v>0</v>
      </c>
      <c r="L238" s="118">
        <v>0</v>
      </c>
      <c r="M238" s="118">
        <v>0</v>
      </c>
      <c r="N238" s="118">
        <v>0</v>
      </c>
      <c r="O238" s="78">
        <f>SUMIF(P238:S238,"&gt;0")</f>
        <v>0</v>
      </c>
      <c r="P238" s="118">
        <v>0</v>
      </c>
      <c r="Q238" s="118">
        <v>0</v>
      </c>
      <c r="R238" s="118">
        <v>0</v>
      </c>
      <c r="S238" s="118">
        <v>0</v>
      </c>
      <c r="T238" s="78">
        <f>SUMIF(U238:X238,"&gt;0")</f>
        <v>0</v>
      </c>
      <c r="U238" s="118">
        <v>0</v>
      </c>
      <c r="V238" s="118">
        <v>0</v>
      </c>
      <c r="W238" s="118">
        <v>0</v>
      </c>
      <c r="X238" s="118">
        <v>0</v>
      </c>
      <c r="Y238" s="78">
        <f>SUMIF(Z238:AC238,"&gt;0")</f>
        <v>0</v>
      </c>
      <c r="Z238" s="118">
        <v>0</v>
      </c>
      <c r="AA238" s="118">
        <v>0</v>
      </c>
      <c r="AB238" s="118">
        <v>0</v>
      </c>
      <c r="AC238" s="118">
        <v>0</v>
      </c>
      <c r="AD238" s="78">
        <f>SUMIF(AE238:AH238,"&gt;0")</f>
        <v>0</v>
      </c>
      <c r="AE238" s="118">
        <v>0</v>
      </c>
      <c r="AF238" s="118">
        <v>0</v>
      </c>
      <c r="AG238" s="118">
        <v>0</v>
      </c>
      <c r="AH238" s="118">
        <v>0</v>
      </c>
      <c r="AI238" s="78">
        <f>SUMIF(AJ238:AM238,"&gt;0")</f>
        <v>0</v>
      </c>
      <c r="AJ238" s="118">
        <v>0</v>
      </c>
      <c r="AK238" s="118">
        <v>0</v>
      </c>
      <c r="AL238" s="118">
        <v>0</v>
      </c>
      <c r="AM238" s="118">
        <v>0</v>
      </c>
      <c r="AN238" s="120">
        <f>E238+J238+O238+T238+Y238+AD238+AI238</f>
        <v>10677.2</v>
      </c>
    </row>
    <row r="239" spans="1:40" s="18" customFormat="1" ht="18.75">
      <c r="A239" s="49"/>
      <c r="B239" s="131" t="s">
        <v>518</v>
      </c>
      <c r="C239" s="15"/>
      <c r="D239" s="104">
        <v>2021</v>
      </c>
      <c r="E239" s="120">
        <f>SUMIF(F239:I239,"&gt;0")</f>
        <v>605.2</v>
      </c>
      <c r="F239" s="128">
        <f>F87</f>
        <v>605.2</v>
      </c>
      <c r="G239" s="118">
        <v>0</v>
      </c>
      <c r="H239" s="118">
        <v>0</v>
      </c>
      <c r="I239" s="118">
        <v>0</v>
      </c>
      <c r="J239" s="78">
        <f>SUMIF(K239:N239,"&gt;0")</f>
        <v>0</v>
      </c>
      <c r="K239" s="118">
        <v>0</v>
      </c>
      <c r="L239" s="118">
        <v>0</v>
      </c>
      <c r="M239" s="118">
        <v>0</v>
      </c>
      <c r="N239" s="118">
        <v>0</v>
      </c>
      <c r="O239" s="78">
        <f>SUMIF(P239:S239,"&gt;0")</f>
        <v>0</v>
      </c>
      <c r="P239" s="118">
        <v>0</v>
      </c>
      <c r="Q239" s="118">
        <v>0</v>
      </c>
      <c r="R239" s="118">
        <v>0</v>
      </c>
      <c r="S239" s="118">
        <v>0</v>
      </c>
      <c r="T239" s="78">
        <f>SUMIF(U239:X239,"&gt;0")</f>
        <v>0</v>
      </c>
      <c r="U239" s="118">
        <v>0</v>
      </c>
      <c r="V239" s="118">
        <v>0</v>
      </c>
      <c r="W239" s="118">
        <v>0</v>
      </c>
      <c r="X239" s="118">
        <v>0</v>
      </c>
      <c r="Y239" s="78">
        <f>SUMIF(Z239:AC239,"&gt;0")</f>
        <v>0</v>
      </c>
      <c r="Z239" s="118">
        <v>0</v>
      </c>
      <c r="AA239" s="118">
        <v>0</v>
      </c>
      <c r="AB239" s="118">
        <v>0</v>
      </c>
      <c r="AC239" s="118">
        <v>0</v>
      </c>
      <c r="AD239" s="78">
        <f>SUMIF(AE239:AH239,"&gt;0")</f>
        <v>0</v>
      </c>
      <c r="AE239" s="118">
        <v>0</v>
      </c>
      <c r="AF239" s="118">
        <v>0</v>
      </c>
      <c r="AG239" s="118">
        <v>0</v>
      </c>
      <c r="AH239" s="118">
        <v>0</v>
      </c>
      <c r="AI239" s="78">
        <f>SUMIF(AJ239:AM239,"&gt;0")</f>
        <v>0</v>
      </c>
      <c r="AJ239" s="118">
        <v>0</v>
      </c>
      <c r="AK239" s="118">
        <v>0</v>
      </c>
      <c r="AL239" s="118">
        <v>0</v>
      </c>
      <c r="AM239" s="118">
        <v>0</v>
      </c>
      <c r="AN239" s="120">
        <f>E239+J239+O239+T239+Y239+AD239+AI239</f>
        <v>605.2</v>
      </c>
    </row>
    <row r="240" spans="1:40" s="18" customFormat="1" ht="18.75">
      <c r="A240" s="49"/>
      <c r="B240" s="131" t="s">
        <v>527</v>
      </c>
      <c r="C240" s="15"/>
      <c r="D240" s="104">
        <v>2022</v>
      </c>
      <c r="E240" s="78">
        <f>SUMIF(F240:I240,"&gt;0")</f>
        <v>0</v>
      </c>
      <c r="F240" s="118">
        <v>0</v>
      </c>
      <c r="G240" s="118">
        <v>0</v>
      </c>
      <c r="H240" s="118">
        <v>0</v>
      </c>
      <c r="I240" s="118">
        <v>0</v>
      </c>
      <c r="J240" s="120">
        <f>SUMIF(K240:N240,"&gt;0")</f>
        <v>1380.4</v>
      </c>
      <c r="K240" s="120">
        <f>K88</f>
        <v>1380.4</v>
      </c>
      <c r="L240" s="118">
        <v>0</v>
      </c>
      <c r="M240" s="118">
        <v>0</v>
      </c>
      <c r="N240" s="118">
        <v>0</v>
      </c>
      <c r="O240" s="78">
        <f>SUMIF(P240:S240,"&gt;0")</f>
        <v>0</v>
      </c>
      <c r="P240" s="118">
        <v>0</v>
      </c>
      <c r="Q240" s="118">
        <v>0</v>
      </c>
      <c r="R240" s="118">
        <v>0</v>
      </c>
      <c r="S240" s="118">
        <v>0</v>
      </c>
      <c r="T240" s="78">
        <f>SUMIF(U240:X240,"&gt;0")</f>
        <v>0</v>
      </c>
      <c r="U240" s="118">
        <v>0</v>
      </c>
      <c r="V240" s="118">
        <v>0</v>
      </c>
      <c r="W240" s="118">
        <v>0</v>
      </c>
      <c r="X240" s="118">
        <v>0</v>
      </c>
      <c r="Y240" s="78">
        <f>SUMIF(Z240:AC240,"&gt;0")</f>
        <v>0</v>
      </c>
      <c r="Z240" s="118">
        <v>0</v>
      </c>
      <c r="AA240" s="118">
        <v>0</v>
      </c>
      <c r="AB240" s="118">
        <v>0</v>
      </c>
      <c r="AC240" s="118">
        <v>0</v>
      </c>
      <c r="AD240" s="78">
        <f>SUMIF(AE240:AH240,"&gt;0")</f>
        <v>0</v>
      </c>
      <c r="AE240" s="118">
        <v>0</v>
      </c>
      <c r="AF240" s="118">
        <v>0</v>
      </c>
      <c r="AG240" s="118">
        <v>0</v>
      </c>
      <c r="AH240" s="118">
        <v>0</v>
      </c>
      <c r="AI240" s="78">
        <f>SUMIF(AJ240:AM240,"&gt;0")</f>
        <v>0</v>
      </c>
      <c r="AJ240" s="118">
        <v>0</v>
      </c>
      <c r="AK240" s="118">
        <v>0</v>
      </c>
      <c r="AL240" s="118">
        <v>0</v>
      </c>
      <c r="AM240" s="118">
        <v>0</v>
      </c>
      <c r="AN240" s="120">
        <f>E240+J240+O240+T240+Y240+AD240+AI240</f>
        <v>1380.4</v>
      </c>
    </row>
    <row r="241" spans="1:40" s="18" customFormat="1" ht="31.5">
      <c r="A241" s="49"/>
      <c r="B241" s="137" t="s">
        <v>483</v>
      </c>
      <c r="C241" s="15"/>
      <c r="D241" s="104"/>
      <c r="E241" s="120">
        <f>SUMIF(F241:I241,"&gt;0")</f>
        <v>8845583.7</v>
      </c>
      <c r="F241" s="128">
        <f>F237+F239+F238+F240</f>
        <v>2523477.3</v>
      </c>
      <c r="G241" s="128">
        <f>G237+G239+G238+G240</f>
        <v>4840289.9</v>
      </c>
      <c r="H241" s="128">
        <f>H237+H239+H238+H240</f>
        <v>806215.5</v>
      </c>
      <c r="I241" s="128">
        <f>I237+I239+I238+I240</f>
        <v>675601</v>
      </c>
      <c r="J241" s="120">
        <f>SUMIF(K241:N241,"&gt;0")</f>
        <v>10038816.6</v>
      </c>
      <c r="K241" s="128">
        <f>K237+K239+K238+K240</f>
        <v>2584661.5</v>
      </c>
      <c r="L241" s="128">
        <f>L237+L239+L238+L240</f>
        <v>6049058.7</v>
      </c>
      <c r="M241" s="128">
        <f>M237+M239+M238+M240</f>
        <v>727882.4</v>
      </c>
      <c r="N241" s="128">
        <f>N237+N239+N238+N240</f>
        <v>677214</v>
      </c>
      <c r="O241" s="120">
        <f>SUMIF(P241:S241,"&gt;0")</f>
        <v>8836119.2</v>
      </c>
      <c r="P241" s="128">
        <f>P237+P239+P238+P240</f>
        <v>2479457.5</v>
      </c>
      <c r="Q241" s="128">
        <f>Q237+Q239+Q238+Q240</f>
        <v>5449266.5</v>
      </c>
      <c r="R241" s="128">
        <f>R237+R239+R238+R240</f>
        <v>230181.2</v>
      </c>
      <c r="S241" s="128">
        <f>S237+S239+S238+S240</f>
        <v>677214</v>
      </c>
      <c r="T241" s="120">
        <f>SUMIF(U241:X241,"&gt;0")</f>
        <v>8464639.5</v>
      </c>
      <c r="U241" s="128">
        <f>U237+U239+U238+U240</f>
        <v>2412444.7</v>
      </c>
      <c r="V241" s="128">
        <f>V237+V239+V238+V240</f>
        <v>5143776.7</v>
      </c>
      <c r="W241" s="128">
        <f>W237+W239+W238+W240</f>
        <v>231204.1</v>
      </c>
      <c r="X241" s="128">
        <f>X237+X239+X238+X240</f>
        <v>677214</v>
      </c>
      <c r="Y241" s="120">
        <f>SUMIF(Z241:AC241,"&gt;0")</f>
        <v>9562060.5</v>
      </c>
      <c r="Z241" s="128">
        <f>Z237+Z239+Z238+Z240</f>
        <v>3043736.5</v>
      </c>
      <c r="AA241" s="128">
        <f>AA237+AA239+AA238+AA240</f>
        <v>5632959</v>
      </c>
      <c r="AB241" s="118">
        <f>AB237+AB239+AB238+AB240</f>
        <v>0</v>
      </c>
      <c r="AC241" s="128">
        <f>AC237+AC239+AC238+AC240</f>
        <v>885365</v>
      </c>
      <c r="AD241" s="120">
        <f>SUMIF(AE241:AH241,"&gt;0")</f>
        <v>9901331.3</v>
      </c>
      <c r="AE241" s="128">
        <f>AE237+AE239+AE238+AE240</f>
        <v>3128169</v>
      </c>
      <c r="AF241" s="128">
        <f>AF237+AF239+AF238+AF240</f>
        <v>5852383.3</v>
      </c>
      <c r="AG241" s="118">
        <f>AG237+AG239+AG238+AG240</f>
        <v>0</v>
      </c>
      <c r="AH241" s="128">
        <f>AH237+AH239+AH238+AH240</f>
        <v>920779</v>
      </c>
      <c r="AI241" s="120">
        <f>SUMIF(AJ241:AM241,"&gt;0")</f>
        <v>10365972.2</v>
      </c>
      <c r="AJ241" s="128">
        <f>AJ237+AJ239+AJ238+AJ240</f>
        <v>3244079.7</v>
      </c>
      <c r="AK241" s="128">
        <f>AK237+AK239+AK238+AK240</f>
        <v>6164284.5</v>
      </c>
      <c r="AL241" s="118">
        <f>AL237+AL239+AL238+AL240</f>
        <v>0</v>
      </c>
      <c r="AM241" s="128">
        <f>AM237+AM239+AM238+AM240</f>
        <v>957608</v>
      </c>
      <c r="AN241" s="120">
        <f>E241+J241+O241+T241+Y241+AD241+AI241</f>
        <v>66014523</v>
      </c>
    </row>
    <row r="242" spans="4:44" ht="15.75">
      <c r="D242" s="59"/>
      <c r="AO242" s="64"/>
      <c r="AP242" s="3"/>
      <c r="AQ242" s="3"/>
      <c r="AR242" s="3"/>
    </row>
    <row r="243" spans="2:44" ht="15.75">
      <c r="B243" s="117"/>
      <c r="D243" s="13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21"/>
      <c r="AP243" s="36"/>
      <c r="AQ243" s="36"/>
      <c r="AR243" s="36"/>
    </row>
    <row r="244" spans="2:44" ht="15.75">
      <c r="B244" s="117"/>
      <c r="D244" s="13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21"/>
      <c r="AP244" s="36"/>
      <c r="AQ244" s="36"/>
      <c r="AR244" s="36"/>
    </row>
    <row r="245" spans="2:44" ht="15.75">
      <c r="B245" s="117"/>
      <c r="D245" s="13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21"/>
      <c r="AP245" s="36"/>
      <c r="AQ245" s="36"/>
      <c r="AR245" s="36"/>
    </row>
    <row r="246" spans="2:44" ht="15.75">
      <c r="B246" s="117"/>
      <c r="D246" s="13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21"/>
      <c r="AP246" s="36"/>
      <c r="AQ246" s="36"/>
      <c r="AR246" s="36"/>
    </row>
    <row r="247" spans="1:44" ht="15.75">
      <c r="A247" s="61"/>
      <c r="B247" s="62"/>
      <c r="C247" s="63"/>
      <c r="D247" s="13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36"/>
      <c r="AP247" s="36"/>
      <c r="AQ247" s="36"/>
      <c r="AR247" s="36"/>
    </row>
    <row r="248" spans="1:44" s="134" customFormat="1" ht="15.75">
      <c r="A248" s="7"/>
      <c r="B248" s="117"/>
      <c r="C248" s="7"/>
      <c r="D248" s="136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50"/>
      <c r="AP248" s="133"/>
      <c r="AQ248" s="133"/>
      <c r="AR248" s="133"/>
    </row>
    <row r="249" spans="1:44" s="134" customFormat="1" ht="15.75">
      <c r="A249" s="7"/>
      <c r="B249" s="170"/>
      <c r="C249" s="7"/>
      <c r="D249" s="13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50"/>
      <c r="AP249" s="133"/>
      <c r="AQ249" s="133"/>
      <c r="AR249" s="133"/>
    </row>
    <row r="250" spans="1:44" s="134" customFormat="1" ht="15.75">
      <c r="A250" s="7"/>
      <c r="B250" s="170"/>
      <c r="C250" s="7"/>
      <c r="D250" s="13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50"/>
      <c r="AP250" s="133"/>
      <c r="AQ250" s="133"/>
      <c r="AR250" s="133"/>
    </row>
    <row r="251" spans="2:44" ht="15.75">
      <c r="B251" s="69"/>
      <c r="D251" s="16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36"/>
      <c r="AP251" s="36"/>
      <c r="AQ251" s="36"/>
      <c r="AR251" s="36"/>
    </row>
    <row r="252" spans="2:44" ht="15.75" customHeight="1">
      <c r="B252" s="71"/>
      <c r="D252" s="16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122"/>
      <c r="AO252" s="36"/>
      <c r="AP252" s="36"/>
      <c r="AQ252" s="36"/>
      <c r="AR252" s="36"/>
    </row>
    <row r="253" spans="2:44" ht="15.75" customHeight="1">
      <c r="B253" s="71"/>
      <c r="D253" s="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2"/>
      <c r="AJ253" s="53"/>
      <c r="AK253" s="53"/>
      <c r="AL253" s="53"/>
      <c r="AM253" s="53"/>
      <c r="AN253" s="122"/>
      <c r="AO253" s="36"/>
      <c r="AP253" s="36"/>
      <c r="AQ253" s="36"/>
      <c r="AR253" s="36"/>
    </row>
    <row r="254" spans="2:44" ht="15.75" customHeight="1">
      <c r="B254" s="7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122"/>
      <c r="AO254" s="36"/>
      <c r="AP254" s="36"/>
      <c r="AQ254" s="36"/>
      <c r="AR254" s="36"/>
    </row>
    <row r="255" spans="2:44" ht="15.75" customHeight="1">
      <c r="B255" s="71"/>
      <c r="D255" s="1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2"/>
      <c r="AJ255" s="53"/>
      <c r="AK255" s="53"/>
      <c r="AL255" s="53"/>
      <c r="AM255" s="53"/>
      <c r="AN255" s="122"/>
      <c r="AO255" s="35"/>
      <c r="AP255" s="3"/>
      <c r="AQ255" s="3"/>
      <c r="AR255" s="3"/>
    </row>
    <row r="256" spans="1:40" s="48" customFormat="1" ht="15.75">
      <c r="A256" s="46"/>
      <c r="B256" s="171"/>
      <c r="C256" s="47"/>
      <c r="D256" s="46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4"/>
      <c r="AJ256" s="56"/>
      <c r="AK256" s="56"/>
      <c r="AL256" s="56"/>
      <c r="AM256" s="56"/>
      <c r="AN256" s="123"/>
    </row>
    <row r="257" spans="2:40" ht="15.75">
      <c r="B257" s="71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0"/>
      <c r="AJ257" s="53"/>
      <c r="AK257" s="53"/>
      <c r="AL257" s="53"/>
      <c r="AM257" s="53"/>
      <c r="AN257" s="50"/>
    </row>
    <row r="258" spans="2:40" ht="15.75">
      <c r="B258" s="71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2"/>
      <c r="AJ258" s="53"/>
      <c r="AK258" s="53"/>
      <c r="AL258" s="53"/>
      <c r="AM258" s="53"/>
      <c r="AN258" s="50"/>
    </row>
    <row r="259" spans="2:40" ht="15.75">
      <c r="B259" s="71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2"/>
      <c r="AJ259" s="53"/>
      <c r="AK259" s="53"/>
      <c r="AL259" s="53"/>
      <c r="AM259" s="53"/>
      <c r="AN259" s="50"/>
    </row>
    <row r="260" spans="1:40" ht="15.75">
      <c r="A260" s="1"/>
      <c r="B260" s="71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2"/>
      <c r="AJ260" s="53"/>
      <c r="AK260" s="53"/>
      <c r="AL260" s="53"/>
      <c r="AM260" s="53"/>
      <c r="AN260" s="50"/>
    </row>
    <row r="261" spans="1:40" ht="15.75">
      <c r="A261" s="1"/>
      <c r="B261" s="69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2"/>
      <c r="AJ261" s="53"/>
      <c r="AK261" s="53"/>
      <c r="AL261" s="53"/>
      <c r="AM261" s="53"/>
      <c r="AN261" s="50"/>
    </row>
    <row r="266" spans="1:40" ht="15.75">
      <c r="A266" s="1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1"/>
      <c r="AJ266" s="32"/>
      <c r="AK266" s="32"/>
      <c r="AL266" s="32"/>
      <c r="AM266" s="32"/>
      <c r="AN266" s="31"/>
    </row>
    <row r="267" spans="1:40" ht="15.75">
      <c r="A267" s="1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1"/>
      <c r="AJ267" s="32"/>
      <c r="AK267" s="32"/>
      <c r="AL267" s="32"/>
      <c r="AM267" s="32"/>
      <c r="AN267" s="31"/>
    </row>
    <row r="268" spans="1:40" ht="15.75">
      <c r="A268" s="1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1"/>
      <c r="AJ268" s="32"/>
      <c r="AK268" s="32"/>
      <c r="AL268" s="32"/>
      <c r="AM268" s="32"/>
      <c r="AN268" s="31"/>
    </row>
    <row r="269" spans="1:40" ht="15.75">
      <c r="A269" s="1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1"/>
      <c r="AJ269" s="32"/>
      <c r="AK269" s="32"/>
      <c r="AL269" s="32"/>
      <c r="AM269" s="32"/>
      <c r="AN269" s="31"/>
    </row>
    <row r="270" spans="1:40" ht="15.75">
      <c r="A270" s="1"/>
      <c r="B270" s="117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1"/>
      <c r="AJ270" s="32"/>
      <c r="AK270" s="32"/>
      <c r="AL270" s="32"/>
      <c r="AM270" s="32"/>
      <c r="AN270" s="31"/>
    </row>
    <row r="271" spans="1:40" ht="15.75">
      <c r="A271" s="1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1"/>
      <c r="AJ271" s="32"/>
      <c r="AK271" s="32"/>
      <c r="AL271" s="32"/>
      <c r="AM271" s="32"/>
      <c r="AN271" s="31"/>
    </row>
  </sheetData>
  <sheetProtection/>
  <autoFilter ref="A15:AS261"/>
  <mergeCells count="33">
    <mergeCell ref="AN14:AN15"/>
    <mergeCell ref="J14:N14"/>
    <mergeCell ref="A17:D17"/>
    <mergeCell ref="A13:A15"/>
    <mergeCell ref="AD14:AH14"/>
    <mergeCell ref="C25:C27"/>
    <mergeCell ref="A25:A27"/>
    <mergeCell ref="AJ8:AM8"/>
    <mergeCell ref="P7:S7"/>
    <mergeCell ref="B13:B15"/>
    <mergeCell ref="C13:C15"/>
    <mergeCell ref="D13:D15"/>
    <mergeCell ref="E11:AN11"/>
    <mergeCell ref="AJ9:AM9"/>
    <mergeCell ref="Y14:AC14"/>
    <mergeCell ref="AI14:AM14"/>
    <mergeCell ref="T14:X14"/>
    <mergeCell ref="B89:D89"/>
    <mergeCell ref="C42:C44"/>
    <mergeCell ref="B204:D204"/>
    <mergeCell ref="A10:S10"/>
    <mergeCell ref="O14:S14"/>
    <mergeCell ref="B24:D24"/>
    <mergeCell ref="B18:D18"/>
    <mergeCell ref="E14:I14"/>
    <mergeCell ref="E13:S13"/>
    <mergeCell ref="A46:A47"/>
    <mergeCell ref="C46:C47"/>
    <mergeCell ref="A48:A49"/>
    <mergeCell ref="C48:C49"/>
    <mergeCell ref="A55:A56"/>
    <mergeCell ref="C55:C56"/>
    <mergeCell ref="A42:A44"/>
  </mergeCells>
  <printOptions/>
  <pageMargins left="0.3937007874015748" right="0.15748031496062992" top="0.5905511811023623" bottom="0.31496062992125984" header="0.15748031496062992" footer="0.15748031496062992"/>
  <pageSetup horizontalDpi="600" verticalDpi="600" orientation="landscape" pageOrder="overThenDown" paperSize="9" scale="43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mestoivanchenko.lv</dc:creator>
  <cp:keywords/>
  <dc:description/>
  <cp:lastModifiedBy>litkina.iv</cp:lastModifiedBy>
  <cp:lastPrinted>2022-05-19T07:58:25Z</cp:lastPrinted>
  <dcterms:created xsi:type="dcterms:W3CDTF">2016-04-28T12:33:42Z</dcterms:created>
  <dcterms:modified xsi:type="dcterms:W3CDTF">2022-07-15T10:26:41Z</dcterms:modified>
  <cp:category/>
  <cp:version/>
  <cp:contentType/>
  <cp:contentStatus/>
</cp:coreProperties>
</file>