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420" windowWidth="19170" windowHeight="10620" tabRatio="874" activeTab="0"/>
  </bookViews>
  <sheets>
    <sheet name="Прил." sheetId="1" r:id="rId1"/>
  </sheets>
  <definedNames>
    <definedName name="_xlnm.Print_Titles" localSheetId="0">'Прил.'!$3:$6</definedName>
    <definedName name="_xlnm.Print_Area" localSheetId="0">'Прил.'!$A$1:$AE$94</definedName>
  </definedNames>
  <calcPr fullCalcOnLoad="1"/>
</workbook>
</file>

<file path=xl/sharedStrings.xml><?xml version="1.0" encoding="utf-8"?>
<sst xmlns="http://schemas.openxmlformats.org/spreadsheetml/2006/main" count="235" uniqueCount="124">
  <si>
    <t>1.1</t>
  </si>
  <si>
    <t>1.2</t>
  </si>
  <si>
    <t>1.3</t>
  </si>
  <si>
    <t>2.1</t>
  </si>
  <si>
    <t>4.1</t>
  </si>
  <si>
    <t>Сроки реализации</t>
  </si>
  <si>
    <t>ИТОГО</t>
  </si>
  <si>
    <t>Всего</t>
  </si>
  <si>
    <t>Местный бюджет</t>
  </si>
  <si>
    <t>Областной бюджет</t>
  </si>
  <si>
    <t>ДГХ</t>
  </si>
  <si>
    <t>Итого по задаче 1:</t>
  </si>
  <si>
    <t>Итого по задаче 2:</t>
  </si>
  <si>
    <t>Итого по задаче 3:</t>
  </si>
  <si>
    <t>4.2</t>
  </si>
  <si>
    <t>Итого по задаче 4:</t>
  </si>
  <si>
    <t>5.1</t>
  </si>
  <si>
    <t>4.3</t>
  </si>
  <si>
    <t>Текущее содержание дорог  в зимнее и летнее время</t>
  </si>
  <si>
    <t>Ликвидация несанкционированных свалок</t>
  </si>
  <si>
    <t>Обеспечение водоснабжения</t>
  </si>
  <si>
    <t>Итого по задаче 5:</t>
  </si>
  <si>
    <t>3.1</t>
  </si>
  <si>
    <t>3.2</t>
  </si>
  <si>
    <t>3.3</t>
  </si>
  <si>
    <t>3.4</t>
  </si>
  <si>
    <t>3.5</t>
  </si>
  <si>
    <t>3.6</t>
  </si>
  <si>
    <t>Текущий ремонт памятных мест</t>
  </si>
  <si>
    <t>Федеральный бюджет</t>
  </si>
  <si>
    <t>Внебюджетные средства</t>
  </si>
  <si>
    <t>Удаление аварийно-опасных, сухостойных и упавших деревьев</t>
  </si>
  <si>
    <t>Обработка территорий пляжей</t>
  </si>
  <si>
    <t>Обработка территорий парков</t>
  </si>
  <si>
    <t>2.2</t>
  </si>
  <si>
    <t>2.3</t>
  </si>
  <si>
    <t>Обработка земельных участков общего пользования, расположенных в границах городского округа Тольятти</t>
  </si>
  <si>
    <t xml:space="preserve">Задача 3: Содержание мест погребения (мест захоронения) городского округа Тольятти </t>
  </si>
  <si>
    <t>3.7</t>
  </si>
  <si>
    <t xml:space="preserve"> ДГХ</t>
  </si>
  <si>
    <t xml:space="preserve"> ДГХ </t>
  </si>
  <si>
    <t>№ п/п</t>
  </si>
  <si>
    <t xml:space="preserve">Наименование целей, задач и мероприятий муниципальной программы  </t>
  </si>
  <si>
    <t>Ответсвенный исполнитель</t>
  </si>
  <si>
    <t>Финансовое обеспечение реализации муниципальной программы, тыс. руб.</t>
  </si>
  <si>
    <t>Подготовка мест проведения праздничных мероприятий</t>
  </si>
  <si>
    <t>2.4</t>
  </si>
  <si>
    <t>парки</t>
  </si>
  <si>
    <t>План на 2020 год</t>
  </si>
  <si>
    <t>План на 2021 год</t>
  </si>
  <si>
    <t>План на 2022 год</t>
  </si>
  <si>
    <t>План на 2023 год</t>
  </si>
  <si>
    <t>План на 2024 год</t>
  </si>
  <si>
    <t>2020-2024</t>
  </si>
  <si>
    <t>Содержание пляжа и прилегающей территории</t>
  </si>
  <si>
    <t xml:space="preserve">Предоставление субсидий на выплату ежемесячных доплат и компенсационных выплат матерям (или другим родственникам, фактически осуществляющим уход за ребенком), находящимся в отпуске </t>
  </si>
  <si>
    <t>4540*</t>
  </si>
  <si>
    <t>*планируемые к поступлению средства областного бюджета.</t>
  </si>
  <si>
    <t>Содержание  территории парков города</t>
  </si>
  <si>
    <t>Перечень мероприятий муниципальной программы "Тольятти - чистый город на 2020-2024 годы"</t>
  </si>
  <si>
    <t>Содержание  объектов озеленения</t>
  </si>
  <si>
    <t>Содержание автодорог</t>
  </si>
  <si>
    <t>Задача 2: Проведение акарицидной обработки и дератизации территорий общего пользования городского округа Тольятти</t>
  </si>
  <si>
    <t>Задача 1: Содержание территорий общего пользования, комплексное содержание жилых кварталов и объектов озеленения городского округа Тольятти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</si>
  <si>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</si>
  <si>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</si>
  <si>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</si>
  <si>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</si>
  <si>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</si>
  <si>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</si>
  <si>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</si>
  <si>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</si>
  <si>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</si>
  <si>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 xml:space="preserve">Содержание объектов благоустройства </t>
  </si>
  <si>
    <t>Задача 4: Праздничное оформление городских общественных пространств</t>
  </si>
  <si>
    <t>Задача 5: Обеспечение безопасности населения городского округа Тольятти от неблагоприятного воздействия животных без владельцев</t>
  </si>
  <si>
    <t>Цель: Обеспечение выполнения комплекса мероприятий по содержанию территории городского округа Тольятти, направленных на предупреждение потенциального экологического вреда и обеспечение соответствия городских общественных пространств высоким стандартам качества городской среды</t>
  </si>
  <si>
    <t>Санитарная очистка мест проведения праздничных мероприятий</t>
  </si>
  <si>
    <t>Обращение с твердыми коммунальными отходами</t>
  </si>
  <si>
    <t xml:space="preserve">Осуществление деятельности по обращению с животными без владельцев </t>
  </si>
  <si>
    <t>Содержание территории берегоукрепления</t>
  </si>
  <si>
    <t>Текущий (ямочный)  ремонт асфальтобетонного покрытия дорог, тротуаров Автозаводского, Комсомольского и мкр. Поволжский</t>
  </si>
  <si>
    <t xml:space="preserve">Содержание тротуаров </t>
  </si>
  <si>
    <t xml:space="preserve">Содержание газонов </t>
  </si>
  <si>
    <t>1.13</t>
  </si>
  <si>
    <t>1.14</t>
  </si>
  <si>
    <t>Содержание катков и  кортов</t>
  </si>
  <si>
    <t>Текущий (ямочный) ремонт асфальтобетонного покрытия дорог, тротуаров в Центральном районе</t>
  </si>
  <si>
    <t>Содержание скверов и площадок семейного отдыха</t>
  </si>
  <si>
    <t>ДГХ (МБУ "Зеленстрой")</t>
  </si>
  <si>
    <t>3.8</t>
  </si>
  <si>
    <t>2020-2022</t>
  </si>
  <si>
    <t>Захоронение смета</t>
  </si>
  <si>
    <t>Транспортные услуги по вывозу смета</t>
  </si>
  <si>
    <t>Приобретение мусоросборников, предназначенных для складирования ТКО</t>
  </si>
  <si>
    <t>3.9</t>
  </si>
  <si>
    <t>3.10</t>
  </si>
  <si>
    <t>3.11</t>
  </si>
  <si>
    <t>Предоставление субсидий на иные цели, в том числе на реализацию мероприятий,  направленных на содержание мест погребения (мест захоронения)</t>
  </si>
  <si>
    <t>2021-2024</t>
  </si>
  <si>
    <t>Освобождение земельных участков и благоустройство после сноса (демонтаж сооружений)</t>
  </si>
  <si>
    <t>Дератизация территории кладбищ</t>
  </si>
  <si>
    <t>2020,2023, 2024</t>
  </si>
  <si>
    <t>Ремонт территории воинских захоронений, захоронений участников Великой Отечественной войны</t>
  </si>
  <si>
    <t>Ремонт покрытий проездов и пешеходных дорожек</t>
  </si>
  <si>
    <t>Предоставление субсидий на иные цели, в том числе на приобретение, и (или) модернизацию, и (или) дооборудование, и (или) капитальный ремонт основных средств Учреждений, не              относящихся к объектам капитального                      строительства;</t>
  </si>
  <si>
    <t>6.1</t>
  </si>
  <si>
    <t>6.2</t>
  </si>
  <si>
    <t>6.3</t>
  </si>
  <si>
    <t>6.5</t>
  </si>
  <si>
    <t>6.4</t>
  </si>
  <si>
    <t>Задача 6: Проведение санитарной очистки территорий общего пользования городского округа Тольятти</t>
  </si>
  <si>
    <t>ДК</t>
  </si>
  <si>
    <t>ДО</t>
  </si>
  <si>
    <t>УФиС</t>
  </si>
  <si>
    <t>Х</t>
  </si>
  <si>
    <t>2020 (оплата принятых в 2019 г. обязательств)</t>
  </si>
  <si>
    <t>Уход за зелеными насаждениями</t>
  </si>
  <si>
    <t xml:space="preserve">Акарицидная обработка </t>
  </si>
  <si>
    <t>Итого с учетом оплаты ранее принятых обязательств:</t>
  </si>
  <si>
    <t>** Оплата ранее принятых обязательств:</t>
  </si>
  <si>
    <t>Итого по Программе, без учета оплаты ранее принятых обязательств:</t>
  </si>
  <si>
    <t>Итого по задаче 6 без учета оплаты ранее принятых обязательств:</t>
  </si>
  <si>
    <t xml:space="preserve">Дератизация набережной Комсомольского района и территорий общего пользования 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</si>
</sst>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0.0000"/>
    <numFmt numFmtId="181" formatCode="_-* #,##0_р_._-;\-* #,##0_р_._-;_-* &quot;-&quot;??_р_._-;_-@_-"/>
    <numFmt numFmtId="182" formatCode="[$-F800]dddd\,\ mmmm\ dd\,\ yyyy"/>
    <numFmt numFmtId="183" formatCode="_-* #,##0.0_р_._-;\-* #,##0.0_р_._-;_-* &quot;-&quot;??_р_._-;_-@_-"/>
    <numFmt numFmtId="184" formatCode="[$-FC19]d\ mmmm\ yyyy\ &quot;г.&quot;"/>
    <numFmt numFmtId="185" formatCode="#,##0.00_ ;\-#,##0.00\ "/>
    <numFmt numFmtId="186" formatCode="#,##0.0"/>
    <numFmt numFmtId="187" formatCode="_-* #,##0.00_р_._-;\-* #,##0.00_р_._-;_-* \-??_р_._-;_-@_-"/>
    <numFmt numFmtId="188" formatCode="_-* #,##0_р_._-;\-* #,##0_р_._-;_-* \-??_р_._-;_-@_-"/>
    <numFmt numFmtId="189" formatCode="dddd&quot;, &quot;mmmm\ dd&quot;, &quot;yyyy"/>
    <numFmt numFmtId="190" formatCode="#,##0.00;[Red]#,##0.00"/>
    <numFmt numFmtId="191" formatCode="#,##0.000;[Red]#,##0.000"/>
    <numFmt numFmtId="192" formatCode="#,##0.0;[Red]#,##0.0"/>
    <numFmt numFmtId="193" formatCode="#,##0;[Red]#,##0"/>
    <numFmt numFmtId="194" formatCode="0.0;[Red]0.0"/>
    <numFmt numFmtId="195" formatCode="#,##0.000"/>
    <numFmt numFmtId="196" formatCode="#,##0.0000"/>
    <numFmt numFmtId="197" formatCode="#,##0.00000"/>
    <numFmt numFmtId="198" formatCode="#,##0.0000;[Red]#,##0.0000"/>
    <numFmt numFmtId="199" formatCode="#,##0.000000"/>
    <numFmt numFmtId="200" formatCode="0.00;[Red]0.00"/>
    <numFmt numFmtId="201" formatCode="0.000000"/>
    <numFmt numFmtId="202" formatCode="0.00000"/>
    <numFmt numFmtId="203" formatCode="0.0000000"/>
    <numFmt numFmtId="204" formatCode="0.00000000"/>
    <numFmt numFmtId="205" formatCode="0.000000000"/>
    <numFmt numFmtId="206" formatCode="0.0000000000"/>
    <numFmt numFmtId="207" formatCode="0.00000000000"/>
    <numFmt numFmtId="208" formatCode="0.000000000000"/>
    <numFmt numFmtId="209" formatCode="0.0000000000000"/>
    <numFmt numFmtId="210" formatCode="0.00000000000000"/>
    <numFmt numFmtId="211" formatCode="0.000000000000000"/>
    <numFmt numFmtId="212" formatCode="#,##0.0000000"/>
    <numFmt numFmtId="213" formatCode="#\ ##0.0"/>
    <numFmt numFmtId="214" formatCode="#,##0.00000000"/>
    <numFmt numFmtId="215" formatCode="#,##0.000000000"/>
    <numFmt numFmtId="216" formatCode="#,##0.0000000000"/>
    <numFmt numFmtId="217" formatCode="#,##0.00000000000"/>
    <numFmt numFmtId="218" formatCode="_-* #,##0.000_р_._-;\-* #,##0.000_р_._-;_-* &quot;-&quot;??_р_._-;_-@_-"/>
    <numFmt numFmtId="219" formatCode="_-* #,##0.0_р_._-;\-* #,##0.0_р_._-;_-* &quot;-&quot;?_р_._-;_-@_-"/>
    <numFmt numFmtId="220" formatCode="_-* #,##0.0\ _₽_-;\-* #,##0.0\ _₽_-;_-* &quot;-&quot;?\ _₽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9"/>
      <color theme="1"/>
      <name val="Calibri"/>
      <family val="2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ill="0" applyBorder="0" applyAlignment="0" applyProtection="0"/>
    <xf numFmtId="0" fontId="52" fillId="31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0" fontId="6" fillId="32" borderId="0" xfId="0" applyFont="1" applyFill="1" applyAlignment="1">
      <alignment vertical="center" wrapText="1"/>
    </xf>
    <xf numFmtId="186" fontId="6" fillId="32" borderId="0" xfId="0" applyNumberFormat="1" applyFont="1" applyFill="1" applyAlignment="1">
      <alignment vertical="center" wrapText="1"/>
    </xf>
    <xf numFmtId="0" fontId="6" fillId="32" borderId="0" xfId="0" applyFont="1" applyFill="1" applyBorder="1" applyAlignment="1">
      <alignment vertical="center" wrapText="1"/>
    </xf>
    <xf numFmtId="186" fontId="14" fillId="32" borderId="0" xfId="0" applyNumberFormat="1" applyFont="1" applyFill="1" applyBorder="1" applyAlignment="1">
      <alignment vertical="center" wrapText="1"/>
    </xf>
    <xf numFmtId="186" fontId="6" fillId="32" borderId="0" xfId="0" applyNumberFormat="1" applyFont="1" applyFill="1" applyBorder="1" applyAlignment="1">
      <alignment vertical="center" wrapText="1"/>
    </xf>
    <xf numFmtId="49" fontId="6" fillId="32" borderId="0" xfId="0" applyNumberFormat="1" applyFont="1" applyFill="1" applyBorder="1" applyAlignment="1">
      <alignment vertical="center" wrapText="1"/>
    </xf>
    <xf numFmtId="180" fontId="6" fillId="32" borderId="0" xfId="0" applyNumberFormat="1" applyFont="1" applyFill="1" applyAlignment="1">
      <alignment vertical="center" wrapText="1"/>
    </xf>
    <xf numFmtId="186" fontId="10" fillId="32" borderId="0" xfId="0" applyNumberFormat="1" applyFont="1" applyFill="1" applyAlignment="1">
      <alignment vertical="center" wrapText="1"/>
    </xf>
    <xf numFmtId="0" fontId="10" fillId="32" borderId="0" xfId="0" applyFont="1" applyFill="1" applyAlignment="1">
      <alignment vertical="center" wrapText="1"/>
    </xf>
    <xf numFmtId="4" fontId="6" fillId="32" borderId="0" xfId="0" applyNumberFormat="1" applyFont="1" applyFill="1" applyAlignment="1">
      <alignment vertical="center" wrapText="1"/>
    </xf>
    <xf numFmtId="4" fontId="10" fillId="32" borderId="0" xfId="0" applyNumberFormat="1" applyFont="1" applyFill="1" applyAlignment="1">
      <alignment vertical="center" wrapText="1"/>
    </xf>
    <xf numFmtId="195" fontId="6" fillId="32" borderId="0" xfId="0" applyNumberFormat="1" applyFont="1" applyFill="1" applyAlignment="1">
      <alignment vertical="center" wrapText="1"/>
    </xf>
    <xf numFmtId="212" fontId="6" fillId="32" borderId="0" xfId="0" applyNumberFormat="1" applyFont="1" applyFill="1" applyAlignment="1">
      <alignment vertical="center" wrapText="1"/>
    </xf>
    <xf numFmtId="1" fontId="6" fillId="32" borderId="0" xfId="0" applyNumberFormat="1" applyFont="1" applyFill="1" applyBorder="1" applyAlignment="1">
      <alignment vertical="center" wrapText="1"/>
    </xf>
    <xf numFmtId="214" fontId="6" fillId="32" borderId="0" xfId="0" applyNumberFormat="1" applyFont="1" applyFill="1" applyAlignment="1">
      <alignment vertical="center" wrapText="1"/>
    </xf>
    <xf numFmtId="215" fontId="6" fillId="32" borderId="0" xfId="0" applyNumberFormat="1" applyFont="1" applyFill="1" applyAlignment="1">
      <alignment vertical="center" wrapText="1"/>
    </xf>
    <xf numFmtId="186" fontId="14" fillId="32" borderId="0" xfId="0" applyNumberFormat="1" applyFont="1" applyFill="1" applyAlignment="1">
      <alignment vertical="center" wrapText="1"/>
    </xf>
    <xf numFmtId="49" fontId="6" fillId="32" borderId="0" xfId="0" applyNumberFormat="1" applyFont="1" applyFill="1" applyAlignment="1">
      <alignment vertical="center" wrapText="1"/>
    </xf>
    <xf numFmtId="2" fontId="6" fillId="32" borderId="0" xfId="0" applyNumberFormat="1" applyFont="1" applyFill="1" applyAlignment="1">
      <alignment vertical="center" wrapText="1"/>
    </xf>
    <xf numFmtId="186" fontId="11" fillId="0" borderId="0" xfId="0" applyNumberFormat="1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86" fontId="6" fillId="0" borderId="0" xfId="0" applyNumberFormat="1" applyFont="1" applyFill="1" applyBorder="1" applyAlignment="1">
      <alignment vertical="center" wrapText="1"/>
    </xf>
    <xf numFmtId="186" fontId="14" fillId="0" borderId="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3" fontId="14" fillId="0" borderId="0" xfId="0" applyNumberFormat="1" applyFont="1" applyFill="1" applyBorder="1" applyAlignment="1">
      <alignment vertical="center" wrapText="1"/>
    </xf>
    <xf numFmtId="4" fontId="14" fillId="32" borderId="0" xfId="0" applyNumberFormat="1" applyFont="1" applyFill="1" applyBorder="1" applyAlignment="1">
      <alignment vertical="center" wrapText="1"/>
    </xf>
    <xf numFmtId="186" fontId="14" fillId="0" borderId="10" xfId="0" applyNumberFormat="1" applyFont="1" applyFill="1" applyBorder="1" applyAlignment="1">
      <alignment vertical="center" wrapText="1"/>
    </xf>
    <xf numFmtId="186" fontId="6" fillId="0" borderId="0" xfId="0" applyNumberFormat="1" applyFont="1" applyFill="1" applyAlignment="1">
      <alignment vertical="center" wrapText="1"/>
    </xf>
    <xf numFmtId="186" fontId="12" fillId="32" borderId="0" xfId="0" applyNumberFormat="1" applyFont="1" applyFill="1" applyBorder="1" applyAlignment="1">
      <alignment horizontal="center" vertical="center" wrapText="1"/>
    </xf>
    <xf numFmtId="186" fontId="4" fillId="32" borderId="0" xfId="0" applyNumberFormat="1" applyFont="1" applyFill="1" applyBorder="1" applyAlignment="1">
      <alignment vertical="center" wrapText="1"/>
    </xf>
    <xf numFmtId="186" fontId="11" fillId="32" borderId="0" xfId="0" applyNumberFormat="1" applyFont="1" applyFill="1" applyBorder="1" applyAlignment="1">
      <alignment vertical="center" wrapText="1"/>
    </xf>
    <xf numFmtId="0" fontId="6" fillId="33" borderId="0" xfId="0" applyFont="1" applyFill="1" applyAlignment="1">
      <alignment vertical="center" wrapText="1"/>
    </xf>
    <xf numFmtId="186" fontId="6" fillId="33" borderId="0" xfId="0" applyNumberFormat="1" applyFont="1" applyFill="1" applyAlignment="1">
      <alignment vertical="center" wrapText="1"/>
    </xf>
    <xf numFmtId="186" fontId="11" fillId="32" borderId="0" xfId="0" applyNumberFormat="1" applyFont="1" applyFill="1" applyAlignment="1">
      <alignment vertical="center" wrapText="1"/>
    </xf>
    <xf numFmtId="0" fontId="53" fillId="0" borderId="0" xfId="0" applyFont="1" applyAlignment="1">
      <alignment/>
    </xf>
    <xf numFmtId="186" fontId="6" fillId="34" borderId="0" xfId="0" applyNumberFormat="1" applyFont="1" applyFill="1" applyBorder="1" applyAlignment="1">
      <alignment vertical="center" wrapText="1"/>
    </xf>
    <xf numFmtId="0" fontId="6" fillId="34" borderId="0" xfId="0" applyFont="1" applyFill="1" applyBorder="1" applyAlignment="1">
      <alignment vertical="center" wrapText="1"/>
    </xf>
    <xf numFmtId="0" fontId="6" fillId="34" borderId="0" xfId="0" applyFont="1" applyFill="1" applyAlignment="1">
      <alignment vertical="center" wrapText="1"/>
    </xf>
    <xf numFmtId="186" fontId="6" fillId="34" borderId="0" xfId="0" applyNumberFormat="1" applyFont="1" applyFill="1" applyAlignment="1">
      <alignment vertical="center" wrapText="1"/>
    </xf>
    <xf numFmtId="214" fontId="6" fillId="34" borderId="0" xfId="0" applyNumberFormat="1" applyFont="1" applyFill="1" applyAlignment="1">
      <alignment vertical="center" wrapText="1"/>
    </xf>
    <xf numFmtId="214" fontId="6" fillId="0" borderId="0" xfId="0" applyNumberFormat="1" applyFont="1" applyFill="1" applyAlignment="1">
      <alignment vertical="center" wrapText="1"/>
    </xf>
    <xf numFmtId="2" fontId="6" fillId="34" borderId="0" xfId="0" applyNumberFormat="1" applyFont="1" applyFill="1" applyAlignment="1">
      <alignment vertical="center" wrapText="1"/>
    </xf>
    <xf numFmtId="2" fontId="6" fillId="33" borderId="0" xfId="0" applyNumberFormat="1" applyFont="1" applyFill="1" applyAlignment="1">
      <alignment vertical="center" wrapText="1"/>
    </xf>
    <xf numFmtId="2" fontId="10" fillId="32" borderId="0" xfId="0" applyNumberFormat="1" applyFont="1" applyFill="1" applyAlignment="1">
      <alignment vertical="center" wrapText="1"/>
    </xf>
    <xf numFmtId="2" fontId="4" fillId="32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vertical="center" wrapText="1"/>
    </xf>
    <xf numFmtId="2" fontId="10" fillId="32" borderId="0" xfId="0" applyNumberFormat="1" applyFont="1" applyFill="1" applyBorder="1" applyAlignment="1">
      <alignment vertical="center" wrapText="1"/>
    </xf>
    <xf numFmtId="178" fontId="6" fillId="32" borderId="0" xfId="0" applyNumberFormat="1" applyFont="1" applyFill="1" applyAlignment="1">
      <alignment vertical="center" wrapText="1"/>
    </xf>
    <xf numFmtId="0" fontId="6" fillId="33" borderId="0" xfId="0" applyFont="1" applyFill="1" applyAlignment="1">
      <alignment horizontal="left" vertical="center" wrapText="1"/>
    </xf>
    <xf numFmtId="186" fontId="12" fillId="0" borderId="11" xfId="0" applyNumberFormat="1" applyFont="1" applyFill="1" applyBorder="1" applyAlignment="1">
      <alignment horizontal="center" vertical="center" wrapText="1"/>
    </xf>
    <xf numFmtId="183" fontId="12" fillId="0" borderId="11" xfId="67" applyNumberFormat="1" applyFont="1" applyFill="1" applyBorder="1" applyAlignment="1">
      <alignment horizontal="center" vertical="center" wrapText="1"/>
    </xf>
    <xf numFmtId="186" fontId="12" fillId="0" borderId="12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186" fontId="17" fillId="0" borderId="11" xfId="0" applyNumberFormat="1" applyFont="1" applyFill="1" applyBorder="1" applyAlignment="1">
      <alignment horizontal="center" vertical="center" wrapText="1"/>
    </xf>
    <xf numFmtId="186" fontId="17" fillId="0" borderId="13" xfId="0" applyNumberFormat="1" applyFont="1" applyFill="1" applyBorder="1" applyAlignment="1">
      <alignment horizontal="center" vertical="center" wrapText="1"/>
    </xf>
    <xf numFmtId="49" fontId="6" fillId="33" borderId="0" xfId="0" applyNumberFormat="1" applyFont="1" applyFill="1" applyAlignment="1">
      <alignment horizontal="left" vertical="center" wrapText="1"/>
    </xf>
    <xf numFmtId="49" fontId="13" fillId="0" borderId="0" xfId="0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2" fillId="0" borderId="12" xfId="0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/>
    </xf>
    <xf numFmtId="0" fontId="12" fillId="0" borderId="11" xfId="0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vertical="center" wrapText="1"/>
    </xf>
    <xf numFmtId="178" fontId="12" fillId="0" borderId="11" xfId="0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left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186" fontId="15" fillId="0" borderId="11" xfId="0" applyNumberFormat="1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186" fontId="56" fillId="0" borderId="11" xfId="0" applyNumberFormat="1" applyFont="1" applyFill="1" applyBorder="1" applyAlignment="1">
      <alignment horizontal="center" vertical="center" wrapText="1"/>
    </xf>
    <xf numFmtId="186" fontId="57" fillId="0" borderId="11" xfId="0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16" fontId="56" fillId="0" borderId="11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186" fontId="6" fillId="0" borderId="11" xfId="0" applyNumberFormat="1" applyFont="1" applyFill="1" applyBorder="1" applyAlignment="1">
      <alignment vertical="center" wrapText="1"/>
    </xf>
    <xf numFmtId="196" fontId="14" fillId="0" borderId="11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3" fontId="6" fillId="0" borderId="11" xfId="0" applyNumberFormat="1" applyFont="1" applyFill="1" applyBorder="1" applyAlignment="1">
      <alignment vertical="center" wrapText="1"/>
    </xf>
    <xf numFmtId="186" fontId="11" fillId="0" borderId="11" xfId="0" applyNumberFormat="1" applyFont="1" applyFill="1" applyBorder="1" applyAlignment="1">
      <alignment vertical="center" wrapText="1"/>
    </xf>
    <xf numFmtId="186" fontId="14" fillId="0" borderId="11" xfId="0" applyNumberFormat="1" applyFont="1" applyFill="1" applyBorder="1" applyAlignment="1">
      <alignment vertical="center" wrapText="1"/>
    </xf>
    <xf numFmtId="186" fontId="4" fillId="0" borderId="11" xfId="0" applyNumberFormat="1" applyFont="1" applyFill="1" applyBorder="1" applyAlignment="1">
      <alignment vertical="center" wrapText="1"/>
    </xf>
    <xf numFmtId="186" fontId="14" fillId="0" borderId="12" xfId="0" applyNumberFormat="1" applyFont="1" applyFill="1" applyBorder="1" applyAlignment="1">
      <alignment vertical="center" wrapText="1"/>
    </xf>
    <xf numFmtId="195" fontId="14" fillId="0" borderId="11" xfId="0" applyNumberFormat="1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186" fontId="8" fillId="0" borderId="11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3" fontId="16" fillId="0" borderId="11" xfId="0" applyNumberFormat="1" applyFont="1" applyFill="1" applyBorder="1" applyAlignment="1">
      <alignment horizontal="center" vertical="center" wrapText="1"/>
    </xf>
    <xf numFmtId="186" fontId="16" fillId="0" borderId="11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186" fontId="8" fillId="0" borderId="11" xfId="0" applyNumberFormat="1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196" fontId="11" fillId="0" borderId="11" xfId="0" applyNumberFormat="1" applyFont="1" applyFill="1" applyBorder="1" applyAlignment="1">
      <alignment vertical="center" wrapText="1"/>
    </xf>
    <xf numFmtId="49" fontId="14" fillId="0" borderId="11" xfId="0" applyNumberFormat="1" applyFont="1" applyFill="1" applyBorder="1" applyAlignment="1">
      <alignment vertical="center" wrapText="1"/>
    </xf>
    <xf numFmtId="199" fontId="8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vertical="center" wrapText="1"/>
    </xf>
    <xf numFmtId="186" fontId="6" fillId="0" borderId="12" xfId="0" applyNumberFormat="1" applyFont="1" applyFill="1" applyBorder="1" applyAlignment="1">
      <alignment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186" fontId="14" fillId="0" borderId="11" xfId="0" applyNumberFormat="1" applyFont="1" applyFill="1" applyBorder="1" applyAlignment="1">
      <alignment horizontal="center" vertical="center" wrapText="1"/>
    </xf>
    <xf numFmtId="2" fontId="14" fillId="0" borderId="11" xfId="0" applyNumberFormat="1" applyFont="1" applyFill="1" applyBorder="1" applyAlignment="1">
      <alignment vertical="center" wrapText="1"/>
    </xf>
    <xf numFmtId="197" fontId="11" fillId="0" borderId="11" xfId="0" applyNumberFormat="1" applyFont="1" applyFill="1" applyBorder="1" applyAlignment="1">
      <alignment vertical="center" wrapText="1"/>
    </xf>
    <xf numFmtId="49" fontId="17" fillId="0" borderId="14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vertical="center" wrapText="1"/>
    </xf>
    <xf numFmtId="0" fontId="17" fillId="0" borderId="11" xfId="0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186" fontId="17" fillId="0" borderId="12" xfId="0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vertical="center" wrapText="1"/>
    </xf>
    <xf numFmtId="49" fontId="17" fillId="0" borderId="15" xfId="0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center" vertical="center" wrapText="1"/>
    </xf>
    <xf numFmtId="186" fontId="17" fillId="0" borderId="16" xfId="0" applyNumberFormat="1" applyFont="1" applyFill="1" applyBorder="1" applyAlignment="1">
      <alignment horizontal="center" vertical="center" wrapText="1"/>
    </xf>
    <xf numFmtId="2" fontId="6" fillId="33" borderId="0" xfId="0" applyNumberFormat="1" applyFont="1" applyFill="1" applyAlignment="1">
      <alignment horizontal="left" vertical="center" wrapText="1"/>
    </xf>
    <xf numFmtId="0" fontId="56" fillId="0" borderId="11" xfId="0" applyFont="1" applyFill="1" applyBorder="1" applyAlignment="1">
      <alignment horizontal="left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2" fontId="6" fillId="32" borderId="0" xfId="0" applyNumberFormat="1" applyFont="1" applyFill="1" applyAlignment="1">
      <alignment horizontal="left" vertical="center" wrapText="1"/>
    </xf>
    <xf numFmtId="186" fontId="4" fillId="0" borderId="17" xfId="0" applyNumberFormat="1" applyFont="1" applyFill="1" applyBorder="1" applyAlignment="1">
      <alignment horizontal="center" vertical="center" wrapText="1"/>
    </xf>
    <xf numFmtId="186" fontId="4" fillId="0" borderId="18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left" vertical="center" wrapText="1"/>
    </xf>
    <xf numFmtId="49" fontId="6" fillId="0" borderId="18" xfId="0" applyNumberFormat="1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left" vertical="center" wrapText="1"/>
    </xf>
    <xf numFmtId="0" fontId="54" fillId="0" borderId="14" xfId="0" applyFont="1" applyFill="1" applyBorder="1" applyAlignment="1">
      <alignment/>
    </xf>
    <xf numFmtId="49" fontId="12" fillId="0" borderId="14" xfId="0" applyNumberFormat="1" applyFont="1" applyFill="1" applyBorder="1" applyAlignment="1">
      <alignment horizontal="left" vertical="center" wrapText="1"/>
    </xf>
    <xf numFmtId="49" fontId="12" fillId="0" borderId="11" xfId="0" applyNumberFormat="1" applyFont="1" applyFill="1" applyBorder="1" applyAlignment="1">
      <alignment horizontal="left" vertical="center" wrapText="1"/>
    </xf>
    <xf numFmtId="49" fontId="12" fillId="0" borderId="12" xfId="0" applyNumberFormat="1" applyFont="1" applyFill="1" applyBorder="1" applyAlignment="1">
      <alignment horizontal="left" vertical="center" wrapText="1"/>
    </xf>
    <xf numFmtId="49" fontId="6" fillId="0" borderId="20" xfId="0" applyNumberFormat="1" applyFont="1" applyFill="1" applyBorder="1" applyAlignment="1">
      <alignment horizontal="left" vertical="center" wrapText="1"/>
    </xf>
    <xf numFmtId="49" fontId="12" fillId="0" borderId="19" xfId="0" applyNumberFormat="1" applyFont="1" applyFill="1" applyBorder="1" applyAlignment="1">
      <alignment horizontal="left" vertical="center" wrapText="1"/>
    </xf>
    <xf numFmtId="49" fontId="12" fillId="0" borderId="20" xfId="0" applyNumberFormat="1" applyFont="1" applyFill="1" applyBorder="1" applyAlignment="1">
      <alignment horizontal="left" vertical="center" wrapText="1"/>
    </xf>
    <xf numFmtId="49" fontId="12" fillId="0" borderId="21" xfId="0" applyNumberFormat="1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186" fontId="14" fillId="0" borderId="17" xfId="0" applyNumberFormat="1" applyFont="1" applyFill="1" applyBorder="1" applyAlignment="1">
      <alignment horizontal="center" vertical="center" wrapText="1"/>
    </xf>
    <xf numFmtId="186" fontId="14" fillId="0" borderId="18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righ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/>
    </xf>
    <xf numFmtId="0" fontId="36" fillId="0" borderId="12" xfId="0" applyFont="1" applyFill="1" applyBorder="1" applyAlignment="1">
      <alignment/>
    </xf>
    <xf numFmtId="2" fontId="12" fillId="0" borderId="14" xfId="0" applyNumberFormat="1" applyFont="1" applyFill="1" applyBorder="1" applyAlignment="1">
      <alignment horizontal="left" vertical="center" wrapText="1"/>
    </xf>
    <xf numFmtId="2" fontId="12" fillId="0" borderId="11" xfId="0" applyNumberFormat="1" applyFont="1" applyFill="1" applyBorder="1" applyAlignment="1">
      <alignment horizontal="left" vertical="center" wrapText="1"/>
    </xf>
    <xf numFmtId="2" fontId="12" fillId="0" borderId="12" xfId="0" applyNumberFormat="1" applyFont="1" applyFill="1" applyBorder="1" applyAlignment="1">
      <alignment horizontal="left" vertical="center" wrapText="1"/>
    </xf>
    <xf numFmtId="4" fontId="12" fillId="0" borderId="14" xfId="0" applyNumberFormat="1" applyFont="1" applyFill="1" applyBorder="1" applyAlignment="1">
      <alignment horizontal="left" vertical="center" wrapText="1"/>
    </xf>
    <xf numFmtId="4" fontId="12" fillId="0" borderId="11" xfId="0" applyNumberFormat="1" applyFont="1" applyFill="1" applyBorder="1" applyAlignment="1">
      <alignment horizontal="left" vertical="center" wrapText="1"/>
    </xf>
    <xf numFmtId="4" fontId="12" fillId="0" borderId="12" xfId="0" applyNumberFormat="1" applyFont="1" applyFill="1" applyBorder="1" applyAlignment="1">
      <alignment horizontal="left" vertical="center" wrapText="1"/>
    </xf>
    <xf numFmtId="49" fontId="55" fillId="0" borderId="14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0" fontId="54" fillId="0" borderId="24" xfId="0" applyFont="1" applyFill="1" applyBorder="1" applyAlignment="1">
      <alignment horizontal="center" vertical="center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2 2" xfId="67"/>
    <cellStyle name="Финансовый 2 3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15"/>
  <sheetViews>
    <sheetView tabSelected="1" view="pageBreakPreview" zoomScale="80" zoomScaleNormal="75" zoomScaleSheetLayoutView="80" zoomScalePageLayoutView="75" workbookViewId="0" topLeftCell="A1">
      <pane ySplit="6" topLeftCell="A88" activePane="bottomLeft" state="frozen"/>
      <selection pane="topLeft" activeCell="A1" sqref="A1"/>
      <selection pane="bottomLeft" activeCell="T114" sqref="T114"/>
    </sheetView>
  </sheetViews>
  <sheetFormatPr defaultColWidth="9.140625" defaultRowHeight="15"/>
  <cols>
    <col min="1" max="1" width="6.00390625" style="18" customWidth="1"/>
    <col min="2" max="2" width="17.421875" style="1" customWidth="1"/>
    <col min="3" max="3" width="11.8515625" style="1" customWidth="1"/>
    <col min="4" max="4" width="9.421875" style="18" customWidth="1"/>
    <col min="5" max="5" width="8.57421875" style="1" customWidth="1"/>
    <col min="6" max="6" width="9.57421875" style="1" customWidth="1"/>
    <col min="7" max="7" width="7.7109375" style="1" customWidth="1"/>
    <col min="8" max="8" width="7.421875" style="1" customWidth="1"/>
    <col min="9" max="9" width="6.7109375" style="1" customWidth="1"/>
    <col min="10" max="10" width="8.7109375" style="1" customWidth="1"/>
    <col min="11" max="11" width="9.8515625" style="1" customWidth="1"/>
    <col min="12" max="12" width="8.28125" style="1" customWidth="1"/>
    <col min="13" max="13" width="4.8515625" style="1" customWidth="1"/>
    <col min="14" max="14" width="5.00390625" style="1" customWidth="1"/>
    <col min="15" max="15" width="9.00390625" style="1" customWidth="1"/>
    <col min="16" max="16" width="9.8515625" style="1" customWidth="1"/>
    <col min="17" max="17" width="5.8515625" style="1" customWidth="1"/>
    <col min="18" max="18" width="4.421875" style="1" customWidth="1"/>
    <col min="19" max="19" width="4.28125" style="1" customWidth="1"/>
    <col min="20" max="20" width="10.00390625" style="25" customWidth="1"/>
    <col min="21" max="21" width="9.8515625" style="25" customWidth="1"/>
    <col min="22" max="22" width="7.00390625" style="1" customWidth="1"/>
    <col min="23" max="23" width="6.00390625" style="1" customWidth="1"/>
    <col min="24" max="24" width="5.140625" style="1" customWidth="1"/>
    <col min="25" max="26" width="9.8515625" style="25" customWidth="1"/>
    <col min="27" max="27" width="7.28125" style="1" customWidth="1"/>
    <col min="28" max="28" width="4.28125" style="1" customWidth="1"/>
    <col min="29" max="29" width="5.00390625" style="1" customWidth="1"/>
    <col min="30" max="30" width="10.00390625" style="1" customWidth="1"/>
    <col min="31" max="31" width="22.28125" style="1" hidden="1" customWidth="1"/>
    <col min="32" max="32" width="25.28125" style="1" hidden="1" customWidth="1"/>
    <col min="33" max="33" width="12.140625" style="1" hidden="1" customWidth="1"/>
    <col min="34" max="34" width="10.421875" style="1" hidden="1" customWidth="1"/>
    <col min="35" max="35" width="12.140625" style="19" customWidth="1"/>
    <col min="36" max="36" width="12.140625" style="1" customWidth="1"/>
    <col min="37" max="37" width="13.28125" style="1" customWidth="1"/>
    <col min="38" max="38" width="14.00390625" style="1" customWidth="1"/>
    <col min="39" max="39" width="14.421875" style="1" hidden="1" customWidth="1"/>
    <col min="40" max="41" width="10.421875" style="1" hidden="1" customWidth="1"/>
    <col min="42" max="43" width="9.140625" style="1" hidden="1" customWidth="1"/>
    <col min="44" max="44" width="14.8515625" style="1" customWidth="1"/>
    <col min="45" max="45" width="14.00390625" style="1" customWidth="1"/>
    <col min="46" max="51" width="9.140625" style="1" customWidth="1"/>
    <col min="52" max="52" width="13.28125" style="1" customWidth="1"/>
    <col min="53" max="53" width="15.140625" style="1" customWidth="1"/>
    <col min="54" max="55" width="12.7109375" style="1" customWidth="1"/>
    <col min="56" max="61" width="9.140625" style="1" customWidth="1"/>
    <col min="62" max="62" width="12.140625" style="1" bestFit="1" customWidth="1"/>
    <col min="63" max="16384" width="9.140625" style="1" customWidth="1"/>
  </cols>
  <sheetData>
    <row r="1" spans="1:30" ht="36" customHeight="1">
      <c r="A1" s="61"/>
      <c r="B1" s="62"/>
      <c r="C1" s="62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141"/>
      <c r="V1" s="141"/>
      <c r="W1" s="141"/>
      <c r="X1" s="141"/>
      <c r="Y1" s="141"/>
      <c r="Z1" s="141"/>
      <c r="AA1" s="141"/>
      <c r="AB1" s="141"/>
      <c r="AC1" s="141"/>
      <c r="AD1" s="141"/>
    </row>
    <row r="2" spans="1:30" ht="34.5" customHeight="1" thickBot="1">
      <c r="A2" s="144" t="s">
        <v>59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</row>
    <row r="3" spans="1:30" ht="15.75" customHeight="1">
      <c r="A3" s="159" t="s">
        <v>41</v>
      </c>
      <c r="B3" s="157" t="s">
        <v>42</v>
      </c>
      <c r="C3" s="157" t="s">
        <v>43</v>
      </c>
      <c r="D3" s="162" t="s">
        <v>5</v>
      </c>
      <c r="E3" s="164" t="s">
        <v>44</v>
      </c>
      <c r="F3" s="164"/>
      <c r="G3" s="164"/>
      <c r="H3" s="164"/>
      <c r="I3" s="164"/>
      <c r="J3" s="164"/>
      <c r="K3" s="164"/>
      <c r="L3" s="164"/>
      <c r="M3" s="164"/>
      <c r="N3" s="164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6"/>
    </row>
    <row r="4" spans="1:30" ht="15.75" customHeight="1">
      <c r="A4" s="160"/>
      <c r="B4" s="158"/>
      <c r="C4" s="158"/>
      <c r="D4" s="163"/>
      <c r="E4" s="142" t="s">
        <v>48</v>
      </c>
      <c r="F4" s="142"/>
      <c r="G4" s="142"/>
      <c r="H4" s="142"/>
      <c r="I4" s="142"/>
      <c r="J4" s="142" t="s">
        <v>49</v>
      </c>
      <c r="K4" s="142"/>
      <c r="L4" s="142"/>
      <c r="M4" s="142"/>
      <c r="N4" s="142"/>
      <c r="O4" s="142" t="s">
        <v>50</v>
      </c>
      <c r="P4" s="142"/>
      <c r="Q4" s="142"/>
      <c r="R4" s="142"/>
      <c r="S4" s="142"/>
      <c r="T4" s="142" t="s">
        <v>51</v>
      </c>
      <c r="U4" s="142"/>
      <c r="V4" s="142"/>
      <c r="W4" s="142"/>
      <c r="X4" s="142"/>
      <c r="Y4" s="142" t="s">
        <v>52</v>
      </c>
      <c r="Z4" s="142"/>
      <c r="AA4" s="142"/>
      <c r="AB4" s="142"/>
      <c r="AC4" s="142"/>
      <c r="AD4" s="143" t="s">
        <v>6</v>
      </c>
    </row>
    <row r="5" spans="1:32" ht="76.5" customHeight="1">
      <c r="A5" s="160"/>
      <c r="B5" s="158"/>
      <c r="C5" s="158"/>
      <c r="D5" s="163"/>
      <c r="E5" s="56" t="s">
        <v>7</v>
      </c>
      <c r="F5" s="56" t="s">
        <v>8</v>
      </c>
      <c r="G5" s="56" t="s">
        <v>9</v>
      </c>
      <c r="H5" s="56" t="s">
        <v>29</v>
      </c>
      <c r="I5" s="56" t="s">
        <v>30</v>
      </c>
      <c r="J5" s="56" t="s">
        <v>7</v>
      </c>
      <c r="K5" s="56" t="s">
        <v>8</v>
      </c>
      <c r="L5" s="56" t="s">
        <v>9</v>
      </c>
      <c r="M5" s="56" t="s">
        <v>29</v>
      </c>
      <c r="N5" s="56" t="s">
        <v>30</v>
      </c>
      <c r="O5" s="56" t="s">
        <v>7</v>
      </c>
      <c r="P5" s="56" t="s">
        <v>8</v>
      </c>
      <c r="Q5" s="56" t="s">
        <v>9</v>
      </c>
      <c r="R5" s="56" t="s">
        <v>29</v>
      </c>
      <c r="S5" s="56" t="s">
        <v>30</v>
      </c>
      <c r="T5" s="56" t="s">
        <v>7</v>
      </c>
      <c r="U5" s="56" t="s">
        <v>8</v>
      </c>
      <c r="V5" s="56" t="s">
        <v>9</v>
      </c>
      <c r="W5" s="56" t="s">
        <v>29</v>
      </c>
      <c r="X5" s="56" t="s">
        <v>30</v>
      </c>
      <c r="Y5" s="56" t="s">
        <v>7</v>
      </c>
      <c r="Z5" s="56" t="s">
        <v>8</v>
      </c>
      <c r="AA5" s="56" t="s">
        <v>9</v>
      </c>
      <c r="AB5" s="56" t="s">
        <v>29</v>
      </c>
      <c r="AC5" s="56" t="s">
        <v>30</v>
      </c>
      <c r="AD5" s="143"/>
      <c r="AF5" s="7"/>
    </row>
    <row r="6" spans="1:30" ht="27.75" customHeight="1">
      <c r="A6" s="64">
        <v>1</v>
      </c>
      <c r="B6" s="56">
        <v>2</v>
      </c>
      <c r="C6" s="56">
        <v>3</v>
      </c>
      <c r="D6" s="57">
        <v>4</v>
      </c>
      <c r="E6" s="56">
        <v>5</v>
      </c>
      <c r="F6" s="56">
        <v>6</v>
      </c>
      <c r="G6" s="56">
        <v>7</v>
      </c>
      <c r="H6" s="56">
        <v>8</v>
      </c>
      <c r="I6" s="56">
        <v>9</v>
      </c>
      <c r="J6" s="56">
        <v>10</v>
      </c>
      <c r="K6" s="56">
        <v>11</v>
      </c>
      <c r="L6" s="56">
        <v>12</v>
      </c>
      <c r="M6" s="56">
        <v>13</v>
      </c>
      <c r="N6" s="56">
        <v>14</v>
      </c>
      <c r="O6" s="56">
        <v>15</v>
      </c>
      <c r="P6" s="56">
        <v>16</v>
      </c>
      <c r="Q6" s="56">
        <v>17</v>
      </c>
      <c r="R6" s="56">
        <v>18</v>
      </c>
      <c r="S6" s="56">
        <v>19</v>
      </c>
      <c r="T6" s="56">
        <v>20</v>
      </c>
      <c r="U6" s="56">
        <v>21</v>
      </c>
      <c r="V6" s="56">
        <v>22</v>
      </c>
      <c r="W6" s="56">
        <v>23</v>
      </c>
      <c r="X6" s="56">
        <v>24</v>
      </c>
      <c r="Y6" s="56">
        <v>25</v>
      </c>
      <c r="Z6" s="56">
        <v>26</v>
      </c>
      <c r="AA6" s="56">
        <v>27</v>
      </c>
      <c r="AB6" s="56">
        <v>28</v>
      </c>
      <c r="AC6" s="56">
        <v>29</v>
      </c>
      <c r="AD6" s="63">
        <v>30</v>
      </c>
    </row>
    <row r="7" spans="1:30" ht="32.25" customHeight="1">
      <c r="A7" s="147" t="s">
        <v>76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9"/>
    </row>
    <row r="8" spans="1:55" ht="26.25" customHeight="1">
      <c r="A8" s="131" t="s">
        <v>63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6"/>
      <c r="AM8" s="10"/>
      <c r="BB8" s="1">
        <v>113187</v>
      </c>
      <c r="BC8" s="2" t="e">
        <f>#REF!+6230.3</f>
        <v>#REF!</v>
      </c>
    </row>
    <row r="9" spans="1:55" ht="30.75" customHeight="1">
      <c r="A9" s="153" t="s">
        <v>0</v>
      </c>
      <c r="B9" s="129" t="s">
        <v>82</v>
      </c>
      <c r="C9" s="56" t="s">
        <v>10</v>
      </c>
      <c r="D9" s="57" t="s">
        <v>53</v>
      </c>
      <c r="E9" s="52">
        <f aca="true" t="shared" si="0" ref="E9:E29">F9+G9+H9+I9</f>
        <v>45433.3</v>
      </c>
      <c r="F9" s="52">
        <v>45433.3</v>
      </c>
      <c r="G9" s="52">
        <v>0</v>
      </c>
      <c r="H9" s="52">
        <v>0</v>
      </c>
      <c r="I9" s="52">
        <v>0</v>
      </c>
      <c r="J9" s="52">
        <f>K9+L9+M9+N9</f>
        <v>45433.3</v>
      </c>
      <c r="K9" s="52">
        <v>45433.3</v>
      </c>
      <c r="L9" s="52">
        <v>0</v>
      </c>
      <c r="M9" s="52">
        <v>0</v>
      </c>
      <c r="N9" s="52">
        <v>0</v>
      </c>
      <c r="O9" s="52">
        <f>P9+Q9+R9+S9</f>
        <v>45433.3</v>
      </c>
      <c r="P9" s="52">
        <v>45433.3</v>
      </c>
      <c r="Q9" s="52">
        <v>0</v>
      </c>
      <c r="R9" s="52">
        <v>0</v>
      </c>
      <c r="S9" s="52">
        <v>0</v>
      </c>
      <c r="T9" s="52">
        <f>U9</f>
        <v>351232.5</v>
      </c>
      <c r="U9" s="52">
        <f>308063.7+43168.8</f>
        <v>351232.5</v>
      </c>
      <c r="V9" s="52">
        <v>0</v>
      </c>
      <c r="W9" s="52">
        <v>0</v>
      </c>
      <c r="X9" s="52">
        <v>0</v>
      </c>
      <c r="Y9" s="52">
        <f>Z9</f>
        <v>351232.5</v>
      </c>
      <c r="Z9" s="52">
        <f>308063.7+43168.8</f>
        <v>351232.5</v>
      </c>
      <c r="AA9" s="52">
        <v>0</v>
      </c>
      <c r="AB9" s="52">
        <v>0</v>
      </c>
      <c r="AC9" s="52">
        <v>0</v>
      </c>
      <c r="AD9" s="54">
        <f>Y9+T9+O9+J9+E9</f>
        <v>838764.9000000001</v>
      </c>
      <c r="AE9" s="2">
        <f>F9+F11+F13+F15+F17+F19+F21</f>
        <v>179215.99999999997</v>
      </c>
      <c r="AF9" s="2">
        <f>179216-190403.5</f>
        <v>-11187.5</v>
      </c>
      <c r="AR9" s="2"/>
      <c r="AS9" s="2"/>
      <c r="BB9" s="2" t="e">
        <f>#REF!+#REF!+#REF!+#REF!+#REF!+#REF!+#REF!+#REF!+#REF!+#REF!</f>
        <v>#REF!</v>
      </c>
      <c r="BC9" s="1">
        <f>9080-6038</f>
        <v>3042</v>
      </c>
    </row>
    <row r="10" spans="1:54" ht="41.25" customHeight="1">
      <c r="A10" s="153"/>
      <c r="B10" s="129"/>
      <c r="C10" s="56" t="s">
        <v>89</v>
      </c>
      <c r="D10" s="57" t="s">
        <v>53</v>
      </c>
      <c r="E10" s="52">
        <f t="shared" si="0"/>
        <v>28059.5</v>
      </c>
      <c r="F10" s="52">
        <f>28059.5</f>
        <v>28059.5</v>
      </c>
      <c r="G10" s="52">
        <v>0</v>
      </c>
      <c r="H10" s="52">
        <v>0</v>
      </c>
      <c r="I10" s="52">
        <v>0</v>
      </c>
      <c r="J10" s="52">
        <f>K10+L10+M10+N10</f>
        <v>27025</v>
      </c>
      <c r="K10" s="52">
        <v>27025</v>
      </c>
      <c r="L10" s="52">
        <v>0</v>
      </c>
      <c r="M10" s="52">
        <v>0</v>
      </c>
      <c r="N10" s="52">
        <v>0</v>
      </c>
      <c r="O10" s="52">
        <f>P10+Q10+R10+S10</f>
        <v>27025</v>
      </c>
      <c r="P10" s="52">
        <v>27025</v>
      </c>
      <c r="Q10" s="52">
        <v>0</v>
      </c>
      <c r="R10" s="52">
        <v>0</v>
      </c>
      <c r="S10" s="52">
        <v>0</v>
      </c>
      <c r="T10" s="52">
        <f>U10+V10+W10+X10</f>
        <v>20398</v>
      </c>
      <c r="U10" s="52">
        <f>22120-1722</f>
        <v>20398</v>
      </c>
      <c r="V10" s="52">
        <v>0</v>
      </c>
      <c r="W10" s="52">
        <v>0</v>
      </c>
      <c r="X10" s="52">
        <v>0</v>
      </c>
      <c r="Y10" s="52">
        <f>Z10+AA10+AB10+AC10</f>
        <v>20398</v>
      </c>
      <c r="Z10" s="52">
        <f>22120-1722</f>
        <v>20398</v>
      </c>
      <c r="AA10" s="52">
        <v>0</v>
      </c>
      <c r="AB10" s="52">
        <v>0</v>
      </c>
      <c r="AC10" s="52">
        <v>0</v>
      </c>
      <c r="AD10" s="54">
        <f aca="true" t="shared" si="1" ref="AD10:AD28">Y10+T10+O10+J10+E10</f>
        <v>122905.5</v>
      </c>
      <c r="AE10" s="2">
        <f>K9+K11+K13+K15+K17+K19+K21+K22</f>
        <v>198742.99999999997</v>
      </c>
      <c r="AF10" s="2">
        <f>E9+E11+E13+E15+E17+E19+E21+E22+E80+E35+E49+E51+E53+E54+E58+15694</f>
        <v>258407.99999999997</v>
      </c>
      <c r="AG10" s="2">
        <f>AF10-AE10</f>
        <v>59665</v>
      </c>
      <c r="AM10" s="2"/>
      <c r="AR10" s="2"/>
      <c r="BA10" s="2"/>
      <c r="BB10" s="2"/>
    </row>
    <row r="11" spans="1:54" ht="34.5" customHeight="1">
      <c r="A11" s="123" t="s">
        <v>1</v>
      </c>
      <c r="B11" s="129" t="s">
        <v>83</v>
      </c>
      <c r="C11" s="56" t="s">
        <v>10</v>
      </c>
      <c r="D11" s="57" t="s">
        <v>53</v>
      </c>
      <c r="E11" s="52">
        <f t="shared" si="0"/>
        <v>55397.7</v>
      </c>
      <c r="F11" s="52">
        <f>64141-8743.3</f>
        <v>55397.7</v>
      </c>
      <c r="G11" s="52">
        <v>0</v>
      </c>
      <c r="H11" s="52">
        <v>0</v>
      </c>
      <c r="I11" s="52">
        <v>0</v>
      </c>
      <c r="J11" s="52">
        <f>K11+L11+M11+N11</f>
        <v>64141</v>
      </c>
      <c r="K11" s="52">
        <v>64141</v>
      </c>
      <c r="L11" s="52">
        <v>0</v>
      </c>
      <c r="M11" s="52">
        <v>0</v>
      </c>
      <c r="N11" s="52">
        <v>0</v>
      </c>
      <c r="O11" s="52">
        <f>P11+Q11+R11+S11</f>
        <v>64141</v>
      </c>
      <c r="P11" s="52">
        <v>64141</v>
      </c>
      <c r="Q11" s="52">
        <v>0</v>
      </c>
      <c r="R11" s="52">
        <v>0</v>
      </c>
      <c r="S11" s="52">
        <v>0</v>
      </c>
      <c r="T11" s="52">
        <f>U11+V11+W11+X11</f>
        <v>316914</v>
      </c>
      <c r="U11" s="52">
        <f>205759+111155</f>
        <v>316914</v>
      </c>
      <c r="V11" s="52">
        <v>0</v>
      </c>
      <c r="W11" s="52">
        <v>0</v>
      </c>
      <c r="X11" s="52">
        <v>0</v>
      </c>
      <c r="Y11" s="52">
        <f>Z11+AA11+AB11+AC11</f>
        <v>316914</v>
      </c>
      <c r="Z11" s="52">
        <f>205759+111155</f>
        <v>316914</v>
      </c>
      <c r="AA11" s="52">
        <v>0</v>
      </c>
      <c r="AB11" s="52">
        <v>0</v>
      </c>
      <c r="AC11" s="52">
        <v>0</v>
      </c>
      <c r="AD11" s="54">
        <f t="shared" si="1"/>
        <v>817507.7</v>
      </c>
      <c r="AE11" s="2"/>
      <c r="AF11" s="2"/>
      <c r="AM11" s="2"/>
      <c r="BA11" s="2"/>
      <c r="BB11" s="2"/>
    </row>
    <row r="12" spans="1:54" ht="41.25" customHeight="1">
      <c r="A12" s="130"/>
      <c r="B12" s="129"/>
      <c r="C12" s="56" t="s">
        <v>89</v>
      </c>
      <c r="D12" s="57" t="s">
        <v>53</v>
      </c>
      <c r="E12" s="52">
        <f t="shared" si="0"/>
        <v>34261</v>
      </c>
      <c r="F12" s="52">
        <f>30000.4+4250-1076+921+165.6</f>
        <v>34261</v>
      </c>
      <c r="G12" s="52">
        <v>0</v>
      </c>
      <c r="H12" s="52">
        <v>0</v>
      </c>
      <c r="I12" s="52">
        <v>0</v>
      </c>
      <c r="J12" s="52">
        <f aca="true" t="shared" si="2" ref="J12:J22">K12+L12+M12+N12</f>
        <v>46642</v>
      </c>
      <c r="K12" s="52">
        <v>46642</v>
      </c>
      <c r="L12" s="52">
        <v>0</v>
      </c>
      <c r="M12" s="52">
        <v>0</v>
      </c>
      <c r="N12" s="52">
        <v>0</v>
      </c>
      <c r="O12" s="52">
        <f>P12+Q12+R12+S12</f>
        <v>50562</v>
      </c>
      <c r="P12" s="52">
        <v>50562</v>
      </c>
      <c r="Q12" s="52">
        <v>0</v>
      </c>
      <c r="R12" s="52">
        <v>0</v>
      </c>
      <c r="S12" s="52">
        <v>0</v>
      </c>
      <c r="T12" s="52">
        <f>U12+V12+W12+X12</f>
        <v>22104</v>
      </c>
      <c r="U12" s="52">
        <v>22104</v>
      </c>
      <c r="V12" s="52">
        <v>0</v>
      </c>
      <c r="W12" s="52">
        <v>0</v>
      </c>
      <c r="X12" s="52">
        <v>0</v>
      </c>
      <c r="Y12" s="52">
        <f>Z12+AA12+AB12+AC12</f>
        <v>22104</v>
      </c>
      <c r="Z12" s="52">
        <v>22104</v>
      </c>
      <c r="AA12" s="52">
        <v>0</v>
      </c>
      <c r="AB12" s="52">
        <v>0</v>
      </c>
      <c r="AC12" s="52">
        <v>0</v>
      </c>
      <c r="AD12" s="54">
        <f t="shared" si="1"/>
        <v>175673</v>
      </c>
      <c r="AE12" s="2"/>
      <c r="AF12" s="2"/>
      <c r="AK12" s="18"/>
      <c r="AM12" s="2"/>
      <c r="BA12" s="2"/>
      <c r="BB12" s="2"/>
    </row>
    <row r="13" spans="1:53" s="9" customFormat="1" ht="30.75" customHeight="1">
      <c r="A13" s="64" t="s">
        <v>2</v>
      </c>
      <c r="B13" s="129" t="s">
        <v>61</v>
      </c>
      <c r="C13" s="56" t="s">
        <v>10</v>
      </c>
      <c r="D13" s="57" t="s">
        <v>53</v>
      </c>
      <c r="E13" s="52">
        <f t="shared" si="0"/>
        <v>34609.3</v>
      </c>
      <c r="F13" s="53">
        <v>34609.3</v>
      </c>
      <c r="G13" s="52">
        <v>0</v>
      </c>
      <c r="H13" s="52">
        <v>0</v>
      </c>
      <c r="I13" s="52">
        <v>0</v>
      </c>
      <c r="J13" s="52">
        <f t="shared" si="2"/>
        <v>34609.3</v>
      </c>
      <c r="K13" s="53">
        <v>34609.3</v>
      </c>
      <c r="L13" s="52">
        <v>0</v>
      </c>
      <c r="M13" s="52">
        <v>0</v>
      </c>
      <c r="N13" s="52">
        <v>0</v>
      </c>
      <c r="O13" s="52">
        <f>P13+G13+H13+I13</f>
        <v>34609.3</v>
      </c>
      <c r="P13" s="53">
        <v>34609.3</v>
      </c>
      <c r="Q13" s="52">
        <v>0</v>
      </c>
      <c r="R13" s="52">
        <v>0</v>
      </c>
      <c r="S13" s="52">
        <v>0</v>
      </c>
      <c r="T13" s="52">
        <f>U13+L13+M13+N13</f>
        <v>128575.3</v>
      </c>
      <c r="U13" s="52">
        <f>61697+45926+20952.3</f>
        <v>128575.3</v>
      </c>
      <c r="V13" s="52">
        <v>0</v>
      </c>
      <c r="W13" s="52">
        <v>0</v>
      </c>
      <c r="X13" s="52">
        <v>0</v>
      </c>
      <c r="Y13" s="52">
        <f>Z13+Q13+R13+S13</f>
        <v>128575.3</v>
      </c>
      <c r="Z13" s="52">
        <f>61697+45926+20952.3</f>
        <v>128575.3</v>
      </c>
      <c r="AA13" s="52">
        <v>0</v>
      </c>
      <c r="AB13" s="52">
        <v>0</v>
      </c>
      <c r="AC13" s="52">
        <v>0</v>
      </c>
      <c r="AD13" s="54">
        <f t="shared" si="1"/>
        <v>360978.5</v>
      </c>
      <c r="AE13" s="8"/>
      <c r="AF13" s="8"/>
      <c r="AG13" s="8"/>
      <c r="AI13" s="19"/>
      <c r="AM13" s="11"/>
      <c r="BA13" s="8"/>
    </row>
    <row r="14" spans="1:39" ht="38.25" customHeight="1">
      <c r="A14" s="65"/>
      <c r="B14" s="129"/>
      <c r="C14" s="56" t="s">
        <v>89</v>
      </c>
      <c r="D14" s="57" t="s">
        <v>53</v>
      </c>
      <c r="E14" s="52">
        <f>F14+G14+H14+I14</f>
        <v>8476</v>
      </c>
      <c r="F14" s="52">
        <f>8446.3+29.7</f>
        <v>8476</v>
      </c>
      <c r="G14" s="52">
        <v>0</v>
      </c>
      <c r="H14" s="52">
        <v>0</v>
      </c>
      <c r="I14" s="52">
        <v>0</v>
      </c>
      <c r="J14" s="52">
        <f t="shared" si="2"/>
        <v>8608</v>
      </c>
      <c r="K14" s="52">
        <v>8608</v>
      </c>
      <c r="L14" s="52">
        <v>0</v>
      </c>
      <c r="M14" s="52">
        <v>0</v>
      </c>
      <c r="N14" s="52">
        <v>0</v>
      </c>
      <c r="O14" s="52">
        <f>P14+Q14+R14+S14</f>
        <v>8608</v>
      </c>
      <c r="P14" s="52">
        <v>8608</v>
      </c>
      <c r="Q14" s="52">
        <v>0</v>
      </c>
      <c r="R14" s="52">
        <v>0</v>
      </c>
      <c r="S14" s="52">
        <v>0</v>
      </c>
      <c r="T14" s="52">
        <f>U14+V14+W14+X14</f>
        <v>8247</v>
      </c>
      <c r="U14" s="52">
        <v>8247</v>
      </c>
      <c r="V14" s="52">
        <v>0</v>
      </c>
      <c r="W14" s="52">
        <v>0</v>
      </c>
      <c r="X14" s="52">
        <v>0</v>
      </c>
      <c r="Y14" s="52">
        <f>Z14+AA14+AB14+AC14</f>
        <v>8247</v>
      </c>
      <c r="Z14" s="52">
        <v>8247</v>
      </c>
      <c r="AA14" s="52">
        <v>0</v>
      </c>
      <c r="AB14" s="52">
        <v>0</v>
      </c>
      <c r="AC14" s="52">
        <v>0</v>
      </c>
      <c r="AD14" s="54">
        <f t="shared" si="1"/>
        <v>42186</v>
      </c>
      <c r="AE14" s="50"/>
      <c r="AJ14" s="2"/>
      <c r="AM14" s="10"/>
    </row>
    <row r="15" spans="1:39" ht="30" customHeight="1">
      <c r="A15" s="123" t="s">
        <v>64</v>
      </c>
      <c r="B15" s="138" t="s">
        <v>60</v>
      </c>
      <c r="C15" s="56" t="s">
        <v>10</v>
      </c>
      <c r="D15" s="57" t="s">
        <v>53</v>
      </c>
      <c r="E15" s="52">
        <f t="shared" si="0"/>
        <v>12515.6</v>
      </c>
      <c r="F15" s="52">
        <v>12515.6</v>
      </c>
      <c r="G15" s="52">
        <v>0</v>
      </c>
      <c r="H15" s="52">
        <v>0</v>
      </c>
      <c r="I15" s="52">
        <v>0</v>
      </c>
      <c r="J15" s="52">
        <f t="shared" si="2"/>
        <v>12515.6</v>
      </c>
      <c r="K15" s="52">
        <v>12515.6</v>
      </c>
      <c r="L15" s="52">
        <v>0</v>
      </c>
      <c r="M15" s="52">
        <v>0</v>
      </c>
      <c r="N15" s="52">
        <v>0</v>
      </c>
      <c r="O15" s="52">
        <f>P15</f>
        <v>12515.6</v>
      </c>
      <c r="P15" s="52">
        <v>12515.6</v>
      </c>
      <c r="Q15" s="52">
        <v>0</v>
      </c>
      <c r="R15" s="52">
        <v>0</v>
      </c>
      <c r="S15" s="52">
        <v>0</v>
      </c>
      <c r="T15" s="52">
        <f>U15</f>
        <v>20089</v>
      </c>
      <c r="U15" s="52">
        <f>20089</f>
        <v>20089</v>
      </c>
      <c r="V15" s="52">
        <v>0</v>
      </c>
      <c r="W15" s="52">
        <v>0</v>
      </c>
      <c r="X15" s="52">
        <v>0</v>
      </c>
      <c r="Y15" s="52">
        <f>Z15</f>
        <v>20089</v>
      </c>
      <c r="Z15" s="52">
        <f>20089</f>
        <v>20089</v>
      </c>
      <c r="AA15" s="52">
        <v>0</v>
      </c>
      <c r="AB15" s="52">
        <v>0</v>
      </c>
      <c r="AC15" s="52">
        <v>0</v>
      </c>
      <c r="AD15" s="54">
        <f t="shared" si="1"/>
        <v>77724.8</v>
      </c>
      <c r="AE15" s="2"/>
      <c r="AK15" s="19"/>
      <c r="AM15" s="10"/>
    </row>
    <row r="16" spans="1:37" ht="36" customHeight="1">
      <c r="A16" s="123"/>
      <c r="B16" s="154"/>
      <c r="C16" s="56" t="s">
        <v>89</v>
      </c>
      <c r="D16" s="57" t="s">
        <v>53</v>
      </c>
      <c r="E16" s="52">
        <f t="shared" si="0"/>
        <v>24010</v>
      </c>
      <c r="F16" s="52">
        <f>19587+4632+77.3-631+344.7</f>
        <v>24010</v>
      </c>
      <c r="G16" s="52">
        <v>0</v>
      </c>
      <c r="H16" s="52">
        <v>0</v>
      </c>
      <c r="I16" s="52">
        <v>0</v>
      </c>
      <c r="J16" s="52">
        <f t="shared" si="2"/>
        <v>24918</v>
      </c>
      <c r="K16" s="52">
        <v>24918</v>
      </c>
      <c r="L16" s="52">
        <v>0</v>
      </c>
      <c r="M16" s="52">
        <v>0</v>
      </c>
      <c r="N16" s="52">
        <v>0</v>
      </c>
      <c r="O16" s="52">
        <f>P16+Q16+R16+S16</f>
        <v>29200</v>
      </c>
      <c r="P16" s="52">
        <v>29200</v>
      </c>
      <c r="Q16" s="52">
        <v>0</v>
      </c>
      <c r="R16" s="52">
        <v>0</v>
      </c>
      <c r="S16" s="52">
        <v>0</v>
      </c>
      <c r="T16" s="52">
        <f>U16+V16+W16+X16</f>
        <v>11675</v>
      </c>
      <c r="U16" s="52">
        <v>11675</v>
      </c>
      <c r="V16" s="52">
        <v>0</v>
      </c>
      <c r="W16" s="52">
        <v>0</v>
      </c>
      <c r="X16" s="52">
        <v>0</v>
      </c>
      <c r="Y16" s="52">
        <f>Z16+AA16+AB16+AC16</f>
        <v>11675</v>
      </c>
      <c r="Z16" s="52">
        <v>11675</v>
      </c>
      <c r="AA16" s="52">
        <v>0</v>
      </c>
      <c r="AB16" s="52">
        <v>0</v>
      </c>
      <c r="AC16" s="52">
        <v>0</v>
      </c>
      <c r="AD16" s="54">
        <f t="shared" si="1"/>
        <v>101478</v>
      </c>
      <c r="AF16" s="1">
        <f>173082+4259</f>
        <v>177341</v>
      </c>
      <c r="AG16" s="1">
        <f>4259+4259+284</f>
        <v>8802</v>
      </c>
      <c r="AJ16" s="18"/>
      <c r="AK16" s="2"/>
    </row>
    <row r="17" spans="1:38" ht="28.5" customHeight="1">
      <c r="A17" s="123" t="s">
        <v>65</v>
      </c>
      <c r="B17" s="138" t="s">
        <v>86</v>
      </c>
      <c r="C17" s="56" t="s">
        <v>10</v>
      </c>
      <c r="D17" s="57" t="s">
        <v>53</v>
      </c>
      <c r="E17" s="52">
        <f t="shared" si="0"/>
        <v>9396.3</v>
      </c>
      <c r="F17" s="52">
        <v>9396.3</v>
      </c>
      <c r="G17" s="52">
        <v>0</v>
      </c>
      <c r="H17" s="52">
        <v>0</v>
      </c>
      <c r="I17" s="52">
        <v>0</v>
      </c>
      <c r="J17" s="52">
        <f t="shared" si="2"/>
        <v>9396.3</v>
      </c>
      <c r="K17" s="52">
        <v>9396.3</v>
      </c>
      <c r="L17" s="52">
        <v>0</v>
      </c>
      <c r="M17" s="52">
        <v>0</v>
      </c>
      <c r="N17" s="52">
        <v>0</v>
      </c>
      <c r="O17" s="52">
        <f>P17</f>
        <v>9396.3</v>
      </c>
      <c r="P17" s="52">
        <v>9396.3</v>
      </c>
      <c r="Q17" s="52">
        <v>0</v>
      </c>
      <c r="R17" s="52">
        <v>0</v>
      </c>
      <c r="S17" s="52">
        <v>0</v>
      </c>
      <c r="T17" s="52">
        <f>U17</f>
        <v>33526.6</v>
      </c>
      <c r="U17" s="52">
        <f>28212+3742.5+1572.1</f>
        <v>33526.6</v>
      </c>
      <c r="V17" s="52">
        <v>0</v>
      </c>
      <c r="W17" s="52">
        <v>0</v>
      </c>
      <c r="X17" s="52">
        <v>0</v>
      </c>
      <c r="Y17" s="52">
        <f>Z17</f>
        <v>33526.6</v>
      </c>
      <c r="Z17" s="52">
        <f>28212+3742.5+1572.1</f>
        <v>33526.6</v>
      </c>
      <c r="AA17" s="52">
        <v>0</v>
      </c>
      <c r="AB17" s="52">
        <v>0</v>
      </c>
      <c r="AC17" s="52">
        <v>0</v>
      </c>
      <c r="AD17" s="54">
        <f t="shared" si="1"/>
        <v>95242.1</v>
      </c>
      <c r="AH17" s="12"/>
      <c r="AK17" s="2"/>
      <c r="AL17" s="2"/>
    </row>
    <row r="18" spans="1:52" ht="37.5" customHeight="1">
      <c r="A18" s="123"/>
      <c r="B18" s="138"/>
      <c r="C18" s="56" t="s">
        <v>89</v>
      </c>
      <c r="D18" s="57" t="s">
        <v>53</v>
      </c>
      <c r="E18" s="52">
        <f t="shared" si="0"/>
        <v>2072.5</v>
      </c>
      <c r="F18" s="52">
        <f>2072.5</f>
        <v>2072.5</v>
      </c>
      <c r="G18" s="52">
        <v>0</v>
      </c>
      <c r="H18" s="52">
        <v>0</v>
      </c>
      <c r="I18" s="52">
        <v>0</v>
      </c>
      <c r="J18" s="52">
        <f t="shared" si="2"/>
        <v>2075</v>
      </c>
      <c r="K18" s="52">
        <v>2075</v>
      </c>
      <c r="L18" s="52">
        <v>0</v>
      </c>
      <c r="M18" s="52">
        <v>0</v>
      </c>
      <c r="N18" s="52">
        <v>0</v>
      </c>
      <c r="O18" s="52">
        <f aca="true" t="shared" si="3" ref="O18:O27">P18+Q18+R18+S18</f>
        <v>2075</v>
      </c>
      <c r="P18" s="52">
        <v>2075</v>
      </c>
      <c r="Q18" s="52">
        <v>0</v>
      </c>
      <c r="R18" s="52">
        <v>0</v>
      </c>
      <c r="S18" s="52">
        <v>0</v>
      </c>
      <c r="T18" s="52">
        <f>U18+V18+W18+X18</f>
        <v>2048</v>
      </c>
      <c r="U18" s="52">
        <f>326+1722</f>
        <v>2048</v>
      </c>
      <c r="V18" s="52">
        <v>0</v>
      </c>
      <c r="W18" s="52">
        <v>0</v>
      </c>
      <c r="X18" s="52">
        <v>0</v>
      </c>
      <c r="Y18" s="52">
        <f>Z18+AA18+AB18+AC18</f>
        <v>2048</v>
      </c>
      <c r="Z18" s="52">
        <f>326+1722</f>
        <v>2048</v>
      </c>
      <c r="AA18" s="52">
        <v>0</v>
      </c>
      <c r="AB18" s="52">
        <v>0</v>
      </c>
      <c r="AC18" s="52">
        <v>0</v>
      </c>
      <c r="AD18" s="54">
        <f t="shared" si="1"/>
        <v>10318.5</v>
      </c>
      <c r="AE18" s="2"/>
      <c r="AH18" s="12"/>
      <c r="AZ18" s="2"/>
    </row>
    <row r="19" spans="1:52" ht="27.75" customHeight="1">
      <c r="A19" s="123" t="s">
        <v>66</v>
      </c>
      <c r="B19" s="138" t="s">
        <v>88</v>
      </c>
      <c r="C19" s="56" t="s">
        <v>10</v>
      </c>
      <c r="D19" s="57" t="s">
        <v>53</v>
      </c>
      <c r="E19" s="52">
        <f t="shared" si="0"/>
        <v>15536.8</v>
      </c>
      <c r="F19" s="52">
        <f>20242.8-4706</f>
        <v>15536.8</v>
      </c>
      <c r="G19" s="52">
        <v>0</v>
      </c>
      <c r="H19" s="52">
        <v>0</v>
      </c>
      <c r="I19" s="52">
        <v>0</v>
      </c>
      <c r="J19" s="52">
        <f t="shared" si="2"/>
        <v>20242.8</v>
      </c>
      <c r="K19" s="52">
        <v>20242.8</v>
      </c>
      <c r="L19" s="52">
        <v>0</v>
      </c>
      <c r="M19" s="52">
        <v>0</v>
      </c>
      <c r="N19" s="52">
        <v>0</v>
      </c>
      <c r="O19" s="52">
        <f t="shared" si="3"/>
        <v>20242.8</v>
      </c>
      <c r="P19" s="52">
        <v>20242.8</v>
      </c>
      <c r="Q19" s="52">
        <v>0</v>
      </c>
      <c r="R19" s="52">
        <v>0</v>
      </c>
      <c r="S19" s="52">
        <v>0</v>
      </c>
      <c r="T19" s="52">
        <f>U19+V19+W19+X19</f>
        <v>148619</v>
      </c>
      <c r="U19" s="52">
        <f>121350.6+27268.4</f>
        <v>148619</v>
      </c>
      <c r="V19" s="52">
        <v>0</v>
      </c>
      <c r="W19" s="52">
        <v>0</v>
      </c>
      <c r="X19" s="52">
        <v>0</v>
      </c>
      <c r="Y19" s="52">
        <f>Z19+AA19+AB19+AC19</f>
        <v>148619</v>
      </c>
      <c r="Z19" s="52">
        <f>121350.6+27268.4</f>
        <v>148619</v>
      </c>
      <c r="AA19" s="52">
        <v>0</v>
      </c>
      <c r="AB19" s="52">
        <v>0</v>
      </c>
      <c r="AC19" s="52">
        <v>0</v>
      </c>
      <c r="AD19" s="54">
        <f t="shared" si="1"/>
        <v>353260.39999999997</v>
      </c>
      <c r="AH19" s="12"/>
      <c r="AR19" s="19"/>
      <c r="AS19" s="19"/>
      <c r="AZ19" s="2"/>
    </row>
    <row r="20" spans="1:52" ht="39.75" customHeight="1">
      <c r="A20" s="123"/>
      <c r="B20" s="138"/>
      <c r="C20" s="56" t="s">
        <v>89</v>
      </c>
      <c r="D20" s="57" t="s">
        <v>53</v>
      </c>
      <c r="E20" s="52">
        <f t="shared" si="0"/>
        <v>11464.4</v>
      </c>
      <c r="F20" s="52">
        <f>6588.4+4876</f>
        <v>11464.4</v>
      </c>
      <c r="G20" s="52">
        <v>0</v>
      </c>
      <c r="H20" s="52">
        <v>0</v>
      </c>
      <c r="I20" s="52">
        <v>0</v>
      </c>
      <c r="J20" s="52">
        <f t="shared" si="2"/>
        <v>14012</v>
      </c>
      <c r="K20" s="52">
        <v>14012</v>
      </c>
      <c r="L20" s="52">
        <v>0</v>
      </c>
      <c r="M20" s="52">
        <v>0</v>
      </c>
      <c r="N20" s="52">
        <v>0</v>
      </c>
      <c r="O20" s="52">
        <f t="shared" si="3"/>
        <v>19630</v>
      </c>
      <c r="P20" s="52">
        <v>19630</v>
      </c>
      <c r="Q20" s="52">
        <v>0</v>
      </c>
      <c r="R20" s="52">
        <v>0</v>
      </c>
      <c r="S20" s="52">
        <v>0</v>
      </c>
      <c r="T20" s="52">
        <f>U20+V20+W20+X20</f>
        <v>16478</v>
      </c>
      <c r="U20" s="52">
        <v>16478</v>
      </c>
      <c r="V20" s="52">
        <v>0</v>
      </c>
      <c r="W20" s="52">
        <v>0</v>
      </c>
      <c r="X20" s="52">
        <v>0</v>
      </c>
      <c r="Y20" s="52">
        <f>Z20+AA20+AB20+AC20</f>
        <v>16478</v>
      </c>
      <c r="Z20" s="52">
        <v>16478</v>
      </c>
      <c r="AA20" s="52">
        <v>0</v>
      </c>
      <c r="AB20" s="52">
        <v>0</v>
      </c>
      <c r="AC20" s="52">
        <v>0</v>
      </c>
      <c r="AD20" s="54">
        <f t="shared" si="1"/>
        <v>78062.4</v>
      </c>
      <c r="AH20" s="12"/>
      <c r="AZ20" s="2"/>
    </row>
    <row r="21" spans="1:37" s="9" customFormat="1" ht="106.5" customHeight="1">
      <c r="A21" s="64" t="s">
        <v>67</v>
      </c>
      <c r="B21" s="55" t="s">
        <v>81</v>
      </c>
      <c r="C21" s="56" t="s">
        <v>10</v>
      </c>
      <c r="D21" s="57" t="s">
        <v>53</v>
      </c>
      <c r="E21" s="52">
        <f t="shared" si="0"/>
        <v>6327</v>
      </c>
      <c r="F21" s="52">
        <f>2500-238+4065</f>
        <v>6327</v>
      </c>
      <c r="G21" s="52">
        <v>0</v>
      </c>
      <c r="H21" s="52">
        <v>0</v>
      </c>
      <c r="I21" s="52">
        <v>0</v>
      </c>
      <c r="J21" s="52">
        <f t="shared" si="2"/>
        <v>9099.4</v>
      </c>
      <c r="K21" s="52">
        <f>4065+5034.4</f>
        <v>9099.4</v>
      </c>
      <c r="L21" s="52">
        <v>0</v>
      </c>
      <c r="M21" s="52">
        <v>0</v>
      </c>
      <c r="N21" s="52">
        <v>0</v>
      </c>
      <c r="O21" s="52">
        <f t="shared" si="3"/>
        <v>9099.4</v>
      </c>
      <c r="P21" s="52">
        <f>5034.4+4065</f>
        <v>9099.4</v>
      </c>
      <c r="Q21" s="52">
        <v>0</v>
      </c>
      <c r="R21" s="52">
        <v>0</v>
      </c>
      <c r="S21" s="52">
        <v>0</v>
      </c>
      <c r="T21" s="52">
        <f>U21+V21+W21+X21</f>
        <v>15388.6</v>
      </c>
      <c r="U21" s="52">
        <v>15388.6</v>
      </c>
      <c r="V21" s="52">
        <v>0</v>
      </c>
      <c r="W21" s="52">
        <v>0</v>
      </c>
      <c r="X21" s="52">
        <v>0</v>
      </c>
      <c r="Y21" s="52">
        <f>Z21+AA21+AB21+AC21</f>
        <v>15388.6</v>
      </c>
      <c r="Z21" s="52">
        <v>15388.6</v>
      </c>
      <c r="AA21" s="52">
        <v>0</v>
      </c>
      <c r="AB21" s="52">
        <v>0</v>
      </c>
      <c r="AC21" s="52">
        <v>0</v>
      </c>
      <c r="AD21" s="54">
        <f t="shared" si="1"/>
        <v>55303</v>
      </c>
      <c r="AE21" s="8"/>
      <c r="AF21" s="8"/>
      <c r="AI21" s="19"/>
      <c r="AK21" s="8"/>
    </row>
    <row r="22" spans="1:37" s="9" customFormat="1" ht="82.5" customHeight="1">
      <c r="A22" s="64" t="s">
        <v>68</v>
      </c>
      <c r="B22" s="67" t="s">
        <v>87</v>
      </c>
      <c r="C22" s="56" t="s">
        <v>10</v>
      </c>
      <c r="D22" s="57" t="s">
        <v>53</v>
      </c>
      <c r="E22" s="52">
        <f t="shared" si="0"/>
        <v>732</v>
      </c>
      <c r="F22" s="68">
        <f>2006.7-18-1256.7</f>
        <v>732</v>
      </c>
      <c r="G22" s="68">
        <v>0</v>
      </c>
      <c r="H22" s="68">
        <v>0</v>
      </c>
      <c r="I22" s="68">
        <v>0</v>
      </c>
      <c r="J22" s="52">
        <f t="shared" si="2"/>
        <v>3305.3</v>
      </c>
      <c r="K22" s="52">
        <v>3305.3</v>
      </c>
      <c r="L22" s="68">
        <v>0</v>
      </c>
      <c r="M22" s="68">
        <v>0</v>
      </c>
      <c r="N22" s="68">
        <v>0</v>
      </c>
      <c r="O22" s="52">
        <f t="shared" si="3"/>
        <v>3305.3</v>
      </c>
      <c r="P22" s="52">
        <v>3305.3</v>
      </c>
      <c r="Q22" s="52">
        <v>0</v>
      </c>
      <c r="R22" s="52">
        <v>0</v>
      </c>
      <c r="S22" s="52">
        <v>0</v>
      </c>
      <c r="T22" s="52">
        <f>U22</f>
        <v>2000</v>
      </c>
      <c r="U22" s="52">
        <v>2000</v>
      </c>
      <c r="V22" s="52">
        <v>0</v>
      </c>
      <c r="W22" s="52">
        <v>0</v>
      </c>
      <c r="X22" s="52">
        <v>0</v>
      </c>
      <c r="Y22" s="52">
        <f>Z22</f>
        <v>2000</v>
      </c>
      <c r="Z22" s="52">
        <v>2000</v>
      </c>
      <c r="AA22" s="52">
        <v>0</v>
      </c>
      <c r="AB22" s="52">
        <v>0</v>
      </c>
      <c r="AC22" s="52">
        <v>0</v>
      </c>
      <c r="AD22" s="54">
        <f t="shared" si="1"/>
        <v>11342.6</v>
      </c>
      <c r="AE22" s="8"/>
      <c r="AF22" s="8"/>
      <c r="AI22" s="19"/>
      <c r="AK22" s="8"/>
    </row>
    <row r="23" spans="1:39" ht="39" customHeight="1">
      <c r="A23" s="64" t="s">
        <v>69</v>
      </c>
      <c r="B23" s="55" t="s">
        <v>73</v>
      </c>
      <c r="C23" s="56" t="s">
        <v>89</v>
      </c>
      <c r="D23" s="57" t="s">
        <v>53</v>
      </c>
      <c r="E23" s="52">
        <f t="shared" si="0"/>
        <v>2184.3</v>
      </c>
      <c r="F23" s="52">
        <f>2184.3</f>
        <v>2184.3</v>
      </c>
      <c r="G23" s="52">
        <v>0</v>
      </c>
      <c r="H23" s="52">
        <v>0</v>
      </c>
      <c r="I23" s="52">
        <v>0</v>
      </c>
      <c r="J23" s="52">
        <f>K23+L23+M23+N23</f>
        <v>3696</v>
      </c>
      <c r="K23" s="52">
        <v>3696</v>
      </c>
      <c r="L23" s="52">
        <v>0</v>
      </c>
      <c r="M23" s="52">
        <v>0</v>
      </c>
      <c r="N23" s="52">
        <v>0</v>
      </c>
      <c r="O23" s="52">
        <f t="shared" si="3"/>
        <v>3696</v>
      </c>
      <c r="P23" s="52">
        <v>3696</v>
      </c>
      <c r="Q23" s="52">
        <v>0</v>
      </c>
      <c r="R23" s="52">
        <v>0</v>
      </c>
      <c r="S23" s="52">
        <v>0</v>
      </c>
      <c r="T23" s="52">
        <f>U23+V23+W23+X23</f>
        <v>2145</v>
      </c>
      <c r="U23" s="52">
        <v>2145</v>
      </c>
      <c r="V23" s="52">
        <v>0</v>
      </c>
      <c r="W23" s="52">
        <v>0</v>
      </c>
      <c r="X23" s="52">
        <v>0</v>
      </c>
      <c r="Y23" s="52">
        <f>Z23+AA23+AB23+AC23</f>
        <v>2145</v>
      </c>
      <c r="Z23" s="52">
        <v>2145</v>
      </c>
      <c r="AA23" s="52">
        <v>0</v>
      </c>
      <c r="AB23" s="52">
        <v>0</v>
      </c>
      <c r="AC23" s="52">
        <v>0</v>
      </c>
      <c r="AD23" s="54">
        <f t="shared" si="1"/>
        <v>13866.3</v>
      </c>
      <c r="AE23" s="2"/>
      <c r="AM23" s="2"/>
    </row>
    <row r="24" spans="1:40" ht="43.5" customHeight="1">
      <c r="A24" s="64" t="s">
        <v>70</v>
      </c>
      <c r="B24" s="55" t="s">
        <v>80</v>
      </c>
      <c r="C24" s="56" t="s">
        <v>89</v>
      </c>
      <c r="D24" s="57" t="s">
        <v>53</v>
      </c>
      <c r="E24" s="52">
        <f t="shared" si="0"/>
        <v>6718</v>
      </c>
      <c r="F24" s="52">
        <f>6718</f>
        <v>6718</v>
      </c>
      <c r="G24" s="52">
        <v>0</v>
      </c>
      <c r="H24" s="52">
        <v>0</v>
      </c>
      <c r="I24" s="52">
        <v>0</v>
      </c>
      <c r="J24" s="52">
        <f>K24+L24+M24+N24</f>
        <v>6128</v>
      </c>
      <c r="K24" s="52">
        <v>6128</v>
      </c>
      <c r="L24" s="52">
        <v>0</v>
      </c>
      <c r="M24" s="52">
        <v>0</v>
      </c>
      <c r="N24" s="52">
        <v>0</v>
      </c>
      <c r="O24" s="52">
        <f t="shared" si="3"/>
        <v>6128</v>
      </c>
      <c r="P24" s="52">
        <v>6128</v>
      </c>
      <c r="Q24" s="52">
        <v>0</v>
      </c>
      <c r="R24" s="52">
        <v>0</v>
      </c>
      <c r="S24" s="52">
        <v>0</v>
      </c>
      <c r="T24" s="52">
        <f>U24+V24+W24+X24</f>
        <v>6403</v>
      </c>
      <c r="U24" s="52">
        <v>6403</v>
      </c>
      <c r="V24" s="52">
        <v>0</v>
      </c>
      <c r="W24" s="52">
        <v>0</v>
      </c>
      <c r="X24" s="52">
        <v>0</v>
      </c>
      <c r="Y24" s="52">
        <f>Z24+AA24+AB24+AC24</f>
        <v>6403</v>
      </c>
      <c r="Z24" s="52">
        <v>6403</v>
      </c>
      <c r="AA24" s="52">
        <v>0</v>
      </c>
      <c r="AB24" s="52">
        <v>0</v>
      </c>
      <c r="AC24" s="52">
        <v>0</v>
      </c>
      <c r="AD24" s="54">
        <f t="shared" si="1"/>
        <v>31780</v>
      </c>
      <c r="AE24" s="2"/>
      <c r="AM24" s="2"/>
      <c r="AN24" s="2"/>
    </row>
    <row r="25" spans="1:40" ht="42.75" customHeight="1">
      <c r="A25" s="64" t="s">
        <v>71</v>
      </c>
      <c r="B25" s="55" t="s">
        <v>58</v>
      </c>
      <c r="C25" s="56" t="s">
        <v>89</v>
      </c>
      <c r="D25" s="57" t="s">
        <v>53</v>
      </c>
      <c r="E25" s="52">
        <f t="shared" si="0"/>
        <v>25652.8</v>
      </c>
      <c r="F25" s="52">
        <f>25652.8</f>
        <v>25652.8</v>
      </c>
      <c r="G25" s="52">
        <v>0</v>
      </c>
      <c r="H25" s="52">
        <v>0</v>
      </c>
      <c r="I25" s="52">
        <v>0</v>
      </c>
      <c r="J25" s="52">
        <f>K25+L25+M25+N25</f>
        <v>20390</v>
      </c>
      <c r="K25" s="52">
        <v>20390</v>
      </c>
      <c r="L25" s="52">
        <v>0</v>
      </c>
      <c r="M25" s="52">
        <v>0</v>
      </c>
      <c r="N25" s="52">
        <v>0</v>
      </c>
      <c r="O25" s="52">
        <f t="shared" si="3"/>
        <v>20390</v>
      </c>
      <c r="P25" s="52">
        <v>20390</v>
      </c>
      <c r="Q25" s="52">
        <v>0</v>
      </c>
      <c r="R25" s="52">
        <v>0</v>
      </c>
      <c r="S25" s="52">
        <v>0</v>
      </c>
      <c r="T25" s="52">
        <f>U25+V25+W25+X25</f>
        <v>23777</v>
      </c>
      <c r="U25" s="52">
        <v>23777</v>
      </c>
      <c r="V25" s="52">
        <v>0</v>
      </c>
      <c r="W25" s="52">
        <v>0</v>
      </c>
      <c r="X25" s="52">
        <v>0</v>
      </c>
      <c r="Y25" s="52">
        <f>Z25+AA25+AB25+AC25</f>
        <v>23777</v>
      </c>
      <c r="Z25" s="52">
        <v>23777</v>
      </c>
      <c r="AA25" s="52">
        <v>0</v>
      </c>
      <c r="AB25" s="52">
        <v>0</v>
      </c>
      <c r="AC25" s="52">
        <v>0</v>
      </c>
      <c r="AD25" s="54">
        <f t="shared" si="1"/>
        <v>113986.8</v>
      </c>
      <c r="AE25" s="7"/>
      <c r="AM25" s="2"/>
      <c r="AN25" s="2"/>
    </row>
    <row r="26" spans="1:39" ht="46.5" customHeight="1">
      <c r="A26" s="64" t="s">
        <v>72</v>
      </c>
      <c r="B26" s="55" t="s">
        <v>54</v>
      </c>
      <c r="C26" s="56" t="s">
        <v>89</v>
      </c>
      <c r="D26" s="57" t="s">
        <v>53</v>
      </c>
      <c r="E26" s="52">
        <f t="shared" si="0"/>
        <v>1660</v>
      </c>
      <c r="F26" s="52">
        <f>1660</f>
        <v>1660</v>
      </c>
      <c r="G26" s="52">
        <v>0</v>
      </c>
      <c r="H26" s="52">
        <v>0</v>
      </c>
      <c r="I26" s="52">
        <v>0</v>
      </c>
      <c r="J26" s="52">
        <f>K26+L26+M26+N26</f>
        <v>1697</v>
      </c>
      <c r="K26" s="52">
        <v>1697</v>
      </c>
      <c r="L26" s="52">
        <v>0</v>
      </c>
      <c r="M26" s="52">
        <v>0</v>
      </c>
      <c r="N26" s="52">
        <v>0</v>
      </c>
      <c r="O26" s="52">
        <f t="shared" si="3"/>
        <v>1697</v>
      </c>
      <c r="P26" s="52">
        <v>1697</v>
      </c>
      <c r="Q26" s="52">
        <v>0</v>
      </c>
      <c r="R26" s="52">
        <v>0</v>
      </c>
      <c r="S26" s="52">
        <v>0</v>
      </c>
      <c r="T26" s="52">
        <f>U26+V26+W26+X26</f>
        <v>1672</v>
      </c>
      <c r="U26" s="52">
        <f>1284+388</f>
        <v>1672</v>
      </c>
      <c r="V26" s="52">
        <v>0</v>
      </c>
      <c r="W26" s="52">
        <v>0</v>
      </c>
      <c r="X26" s="52">
        <v>0</v>
      </c>
      <c r="Y26" s="52">
        <f>Z26+AA26+AB26+AC26</f>
        <v>1672</v>
      </c>
      <c r="Z26" s="52">
        <f>1284+388</f>
        <v>1672</v>
      </c>
      <c r="AA26" s="52">
        <v>0</v>
      </c>
      <c r="AB26" s="52">
        <v>0</v>
      </c>
      <c r="AC26" s="52">
        <v>0</v>
      </c>
      <c r="AD26" s="54">
        <f t="shared" si="1"/>
        <v>8398</v>
      </c>
      <c r="AE26" s="2"/>
      <c r="AM26" s="2"/>
    </row>
    <row r="27" spans="1:53" ht="148.5" customHeight="1">
      <c r="A27" s="64" t="s">
        <v>84</v>
      </c>
      <c r="B27" s="55" t="s">
        <v>55</v>
      </c>
      <c r="C27" s="56" t="s">
        <v>89</v>
      </c>
      <c r="D27" s="57" t="s">
        <v>53</v>
      </c>
      <c r="E27" s="52">
        <f t="shared" si="0"/>
        <v>26</v>
      </c>
      <c r="F27" s="52">
        <f>24+2</f>
        <v>26</v>
      </c>
      <c r="G27" s="52">
        <v>0</v>
      </c>
      <c r="H27" s="52">
        <v>0</v>
      </c>
      <c r="I27" s="52">
        <v>0</v>
      </c>
      <c r="J27" s="52">
        <f>K27+L27+M27+N27</f>
        <v>3</v>
      </c>
      <c r="K27" s="52">
        <v>3</v>
      </c>
      <c r="L27" s="52">
        <v>0</v>
      </c>
      <c r="M27" s="52">
        <v>0</v>
      </c>
      <c r="N27" s="52">
        <v>0</v>
      </c>
      <c r="O27" s="52">
        <f t="shared" si="3"/>
        <v>1</v>
      </c>
      <c r="P27" s="52">
        <v>1</v>
      </c>
      <c r="Q27" s="52">
        <v>0</v>
      </c>
      <c r="R27" s="52">
        <v>0</v>
      </c>
      <c r="S27" s="52">
        <v>0</v>
      </c>
      <c r="T27" s="52">
        <f>U27+V27+W27+X27</f>
        <v>19</v>
      </c>
      <c r="U27" s="52">
        <v>19</v>
      </c>
      <c r="V27" s="52">
        <v>0</v>
      </c>
      <c r="W27" s="52">
        <v>0</v>
      </c>
      <c r="X27" s="52">
        <v>0</v>
      </c>
      <c r="Y27" s="52">
        <f>Z27+AA27+AB27+AC27</f>
        <v>19</v>
      </c>
      <c r="Z27" s="52">
        <v>19</v>
      </c>
      <c r="AA27" s="52">
        <v>0</v>
      </c>
      <c r="AB27" s="52">
        <v>0</v>
      </c>
      <c r="AC27" s="52">
        <v>0</v>
      </c>
      <c r="AD27" s="54">
        <f t="shared" si="1"/>
        <v>68</v>
      </c>
      <c r="AE27" s="2"/>
      <c r="AM27" s="2"/>
      <c r="BA27" s="2"/>
    </row>
    <row r="28" spans="1:53" ht="165.75" customHeight="1">
      <c r="A28" s="64" t="s">
        <v>85</v>
      </c>
      <c r="B28" s="69" t="s">
        <v>105</v>
      </c>
      <c r="C28" s="70" t="s">
        <v>89</v>
      </c>
      <c r="D28" s="57">
        <v>2020</v>
      </c>
      <c r="E28" s="52">
        <f t="shared" si="0"/>
        <v>3123</v>
      </c>
      <c r="F28" s="52">
        <v>3123</v>
      </c>
      <c r="G28" s="52">
        <v>0</v>
      </c>
      <c r="H28" s="52">
        <v>0</v>
      </c>
      <c r="I28" s="52">
        <v>0</v>
      </c>
      <c r="J28" s="52">
        <v>0</v>
      </c>
      <c r="K28" s="52">
        <v>0</v>
      </c>
      <c r="L28" s="52">
        <v>0</v>
      </c>
      <c r="M28" s="52">
        <v>0</v>
      </c>
      <c r="N28" s="52">
        <v>0</v>
      </c>
      <c r="O28" s="52">
        <v>0</v>
      </c>
      <c r="P28" s="52">
        <v>0</v>
      </c>
      <c r="Q28" s="52">
        <v>0</v>
      </c>
      <c r="R28" s="52">
        <v>0</v>
      </c>
      <c r="S28" s="52">
        <v>0</v>
      </c>
      <c r="T28" s="52">
        <v>0</v>
      </c>
      <c r="U28" s="52">
        <v>0</v>
      </c>
      <c r="V28" s="52">
        <v>0</v>
      </c>
      <c r="W28" s="52">
        <v>0</v>
      </c>
      <c r="X28" s="52">
        <v>0</v>
      </c>
      <c r="Y28" s="52">
        <v>0</v>
      </c>
      <c r="Z28" s="52">
        <v>0</v>
      </c>
      <c r="AA28" s="52">
        <v>0</v>
      </c>
      <c r="AB28" s="52">
        <v>0</v>
      </c>
      <c r="AC28" s="52">
        <v>0</v>
      </c>
      <c r="AD28" s="54">
        <f t="shared" si="1"/>
        <v>3123</v>
      </c>
      <c r="AE28" s="2"/>
      <c r="AM28" s="2"/>
      <c r="BA28" s="2"/>
    </row>
    <row r="29" spans="1:39" ht="25.5" customHeight="1">
      <c r="A29" s="64"/>
      <c r="B29" s="55" t="s">
        <v>11</v>
      </c>
      <c r="C29" s="56"/>
      <c r="D29" s="57"/>
      <c r="E29" s="71">
        <f t="shared" si="0"/>
        <v>327655.5</v>
      </c>
      <c r="F29" s="71">
        <f>F28+F27+F26+F25+F24+F23+F22+F21+F20+F19+F18+F17+F16+F15+F14+F13+F12+F11+F10+F9</f>
        <v>327655.5</v>
      </c>
      <c r="G29" s="71">
        <f aca="true" t="shared" si="4" ref="G29:AC29">G28+G27+G26+G25+G24+G23+G22+G21+G20+G19+G18+G17+G16+G15+G14+G13+G12+G11+G10+G9</f>
        <v>0</v>
      </c>
      <c r="H29" s="71">
        <f t="shared" si="4"/>
        <v>0</v>
      </c>
      <c r="I29" s="71">
        <f t="shared" si="4"/>
        <v>0</v>
      </c>
      <c r="J29" s="71">
        <f t="shared" si="4"/>
        <v>353937</v>
      </c>
      <c r="K29" s="71">
        <f>K28+K27+K26+K25+K24+K23+K22+K21+K20+K19+K18+K17+K16+K15+K14+K13+K12+K11+K10+K9</f>
        <v>353937</v>
      </c>
      <c r="L29" s="71">
        <f t="shared" si="4"/>
        <v>0</v>
      </c>
      <c r="M29" s="71">
        <f t="shared" si="4"/>
        <v>0</v>
      </c>
      <c r="N29" s="71">
        <f t="shared" si="4"/>
        <v>0</v>
      </c>
      <c r="O29" s="71">
        <f t="shared" si="4"/>
        <v>367755</v>
      </c>
      <c r="P29" s="71">
        <f t="shared" si="4"/>
        <v>367755</v>
      </c>
      <c r="Q29" s="71">
        <f t="shared" si="4"/>
        <v>0</v>
      </c>
      <c r="R29" s="71">
        <f t="shared" si="4"/>
        <v>0</v>
      </c>
      <c r="S29" s="71">
        <f t="shared" si="4"/>
        <v>0</v>
      </c>
      <c r="T29" s="71">
        <f t="shared" si="4"/>
        <v>1131311</v>
      </c>
      <c r="U29" s="71">
        <f t="shared" si="4"/>
        <v>1131311</v>
      </c>
      <c r="V29" s="71">
        <f t="shared" si="4"/>
        <v>0</v>
      </c>
      <c r="W29" s="71">
        <f t="shared" si="4"/>
        <v>0</v>
      </c>
      <c r="X29" s="71">
        <f t="shared" si="4"/>
        <v>0</v>
      </c>
      <c r="Y29" s="71">
        <f t="shared" si="4"/>
        <v>1131311</v>
      </c>
      <c r="Z29" s="71">
        <f>Z28+Z27+Z26+Z25+Z24+Z23+Z22+Z21+Z20+Z19+Z18+Z17+Z16+Z15+Z14+Z13+Z12+Z11+Z10+Z9</f>
        <v>1131311</v>
      </c>
      <c r="AA29" s="71">
        <f t="shared" si="4"/>
        <v>0</v>
      </c>
      <c r="AB29" s="71">
        <f t="shared" si="4"/>
        <v>0</v>
      </c>
      <c r="AC29" s="71">
        <f t="shared" si="4"/>
        <v>0</v>
      </c>
      <c r="AD29" s="54">
        <f>Y29+T29+O29+J29+E29</f>
        <v>3311969.5</v>
      </c>
      <c r="AE29" s="2"/>
      <c r="AF29" s="2"/>
      <c r="AG29" s="2"/>
      <c r="AJ29" s="2"/>
      <c r="AM29" s="2"/>
    </row>
    <row r="30" spans="1:55" ht="24.75" customHeight="1">
      <c r="A30" s="150" t="s">
        <v>62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2"/>
      <c r="AE30" s="12"/>
      <c r="AF30" s="13"/>
      <c r="AG30" s="2"/>
      <c r="AH30" s="2"/>
      <c r="AJ30" s="5"/>
      <c r="AK30" s="3"/>
      <c r="AL30" s="5"/>
      <c r="AM30" s="5"/>
      <c r="AN30" s="5"/>
      <c r="AO30" s="3"/>
      <c r="BA30" s="2"/>
      <c r="BB30" s="2"/>
      <c r="BC30" s="2"/>
    </row>
    <row r="31" spans="1:55" ht="30" customHeight="1">
      <c r="A31" s="64" t="s">
        <v>3</v>
      </c>
      <c r="B31" s="55" t="s">
        <v>32</v>
      </c>
      <c r="C31" s="56" t="s">
        <v>39</v>
      </c>
      <c r="D31" s="57" t="s">
        <v>53</v>
      </c>
      <c r="E31" s="52">
        <f>F31</f>
        <v>9</v>
      </c>
      <c r="F31" s="52">
        <f>43-34</f>
        <v>9</v>
      </c>
      <c r="G31" s="52">
        <v>0</v>
      </c>
      <c r="H31" s="52">
        <v>0</v>
      </c>
      <c r="I31" s="52">
        <v>0</v>
      </c>
      <c r="J31" s="52">
        <f>K31</f>
        <v>43</v>
      </c>
      <c r="K31" s="52">
        <v>43</v>
      </c>
      <c r="L31" s="52">
        <v>0</v>
      </c>
      <c r="M31" s="52">
        <v>0</v>
      </c>
      <c r="N31" s="52">
        <v>0</v>
      </c>
      <c r="O31" s="52">
        <f>P31</f>
        <v>43</v>
      </c>
      <c r="P31" s="52">
        <v>43</v>
      </c>
      <c r="Q31" s="52">
        <v>0</v>
      </c>
      <c r="R31" s="52">
        <v>0</v>
      </c>
      <c r="S31" s="52">
        <v>0</v>
      </c>
      <c r="T31" s="52">
        <f>U31</f>
        <v>43</v>
      </c>
      <c r="U31" s="52">
        <v>43</v>
      </c>
      <c r="V31" s="52">
        <v>0</v>
      </c>
      <c r="W31" s="52">
        <v>0</v>
      </c>
      <c r="X31" s="52">
        <v>0</v>
      </c>
      <c r="Y31" s="52">
        <f>Z31</f>
        <v>43</v>
      </c>
      <c r="Z31" s="52">
        <v>43</v>
      </c>
      <c r="AA31" s="52">
        <v>0</v>
      </c>
      <c r="AB31" s="52">
        <v>0</v>
      </c>
      <c r="AC31" s="52">
        <v>0</v>
      </c>
      <c r="AD31" s="54">
        <f>Y31+T31+O31+J31+E31</f>
        <v>181</v>
      </c>
      <c r="AE31" s="12"/>
      <c r="AF31" s="13"/>
      <c r="AG31" s="2"/>
      <c r="AH31" s="2"/>
      <c r="AJ31" s="5"/>
      <c r="AK31" s="3"/>
      <c r="AL31" s="5"/>
      <c r="AM31" s="5"/>
      <c r="AN31" s="5"/>
      <c r="AO31" s="3"/>
      <c r="BA31" s="2"/>
      <c r="BB31" s="2"/>
      <c r="BC31" s="2"/>
    </row>
    <row r="32" spans="1:55" ht="33" customHeight="1">
      <c r="A32" s="64" t="s">
        <v>34</v>
      </c>
      <c r="B32" s="55" t="s">
        <v>33</v>
      </c>
      <c r="C32" s="56" t="s">
        <v>40</v>
      </c>
      <c r="D32" s="57" t="s">
        <v>53</v>
      </c>
      <c r="E32" s="52">
        <f>F32</f>
        <v>13.5</v>
      </c>
      <c r="F32" s="52">
        <f>68-54.5</f>
        <v>13.5</v>
      </c>
      <c r="G32" s="52">
        <v>0</v>
      </c>
      <c r="H32" s="52">
        <v>0</v>
      </c>
      <c r="I32" s="52">
        <v>0</v>
      </c>
      <c r="J32" s="52">
        <f>K32</f>
        <v>68</v>
      </c>
      <c r="K32" s="52">
        <v>68</v>
      </c>
      <c r="L32" s="52">
        <v>0</v>
      </c>
      <c r="M32" s="52">
        <v>0</v>
      </c>
      <c r="N32" s="52">
        <v>0</v>
      </c>
      <c r="O32" s="52">
        <f>P32</f>
        <v>68</v>
      </c>
      <c r="P32" s="52">
        <v>68</v>
      </c>
      <c r="Q32" s="52">
        <v>0</v>
      </c>
      <c r="R32" s="52">
        <v>0</v>
      </c>
      <c r="S32" s="52">
        <v>0</v>
      </c>
      <c r="T32" s="52">
        <f>U32</f>
        <v>68</v>
      </c>
      <c r="U32" s="52">
        <v>68</v>
      </c>
      <c r="V32" s="52">
        <v>0</v>
      </c>
      <c r="W32" s="52">
        <v>0</v>
      </c>
      <c r="X32" s="52">
        <v>0</v>
      </c>
      <c r="Y32" s="52">
        <f>Z32</f>
        <v>68</v>
      </c>
      <c r="Z32" s="52">
        <v>68</v>
      </c>
      <c r="AA32" s="52">
        <v>0</v>
      </c>
      <c r="AB32" s="52">
        <v>0</v>
      </c>
      <c r="AC32" s="52">
        <v>0</v>
      </c>
      <c r="AD32" s="54">
        <f>Y32+T32+O32+J32+E32</f>
        <v>285.5</v>
      </c>
      <c r="AE32" s="12"/>
      <c r="AF32" s="13"/>
      <c r="AG32" s="2"/>
      <c r="AH32" s="2"/>
      <c r="AJ32" s="5"/>
      <c r="AK32" s="3"/>
      <c r="AL32" s="5"/>
      <c r="AM32" s="5"/>
      <c r="AN32" s="5"/>
      <c r="AO32" s="3"/>
      <c r="BA32" s="2"/>
      <c r="BB32" s="2"/>
      <c r="BC32" s="2"/>
    </row>
    <row r="33" spans="1:53" ht="79.5" customHeight="1">
      <c r="A33" s="64" t="s">
        <v>35</v>
      </c>
      <c r="B33" s="55" t="s">
        <v>36</v>
      </c>
      <c r="C33" s="56" t="s">
        <v>10</v>
      </c>
      <c r="D33" s="57" t="s">
        <v>53</v>
      </c>
      <c r="E33" s="52">
        <f>F33</f>
        <v>87.5</v>
      </c>
      <c r="F33" s="52">
        <f>442-354.5</f>
        <v>87.5</v>
      </c>
      <c r="G33" s="52">
        <v>0</v>
      </c>
      <c r="H33" s="52">
        <v>0</v>
      </c>
      <c r="I33" s="52">
        <v>0</v>
      </c>
      <c r="J33" s="52">
        <f>K33</f>
        <v>442</v>
      </c>
      <c r="K33" s="52">
        <v>442</v>
      </c>
      <c r="L33" s="52">
        <v>0</v>
      </c>
      <c r="M33" s="52">
        <v>0</v>
      </c>
      <c r="N33" s="52">
        <v>0</v>
      </c>
      <c r="O33" s="52">
        <f>P33</f>
        <v>442</v>
      </c>
      <c r="P33" s="52">
        <v>442</v>
      </c>
      <c r="Q33" s="52">
        <v>0</v>
      </c>
      <c r="R33" s="52">
        <v>0</v>
      </c>
      <c r="S33" s="52">
        <v>0</v>
      </c>
      <c r="T33" s="52">
        <f>U33</f>
        <v>560</v>
      </c>
      <c r="U33" s="52">
        <f>442+118</f>
        <v>560</v>
      </c>
      <c r="V33" s="52">
        <v>0</v>
      </c>
      <c r="W33" s="52">
        <v>0</v>
      </c>
      <c r="X33" s="52">
        <v>0</v>
      </c>
      <c r="Y33" s="52">
        <f>Z33</f>
        <v>560</v>
      </c>
      <c r="Z33" s="52">
        <f>442+118</f>
        <v>560</v>
      </c>
      <c r="AA33" s="52">
        <v>0</v>
      </c>
      <c r="AB33" s="52">
        <v>0</v>
      </c>
      <c r="AC33" s="52">
        <v>0</v>
      </c>
      <c r="AD33" s="54">
        <f>Y33+T33+O33+J33+E33</f>
        <v>2091.5</v>
      </c>
      <c r="AE33" s="16"/>
      <c r="AF33" s="2"/>
      <c r="AG33" s="2"/>
      <c r="AH33" s="2"/>
      <c r="AJ33" s="5"/>
      <c r="AK33" s="3"/>
      <c r="AL33" s="5"/>
      <c r="AM33" s="5"/>
      <c r="AN33" s="14"/>
      <c r="AO33" s="3"/>
      <c r="AQ33" s="2"/>
      <c r="BA33" s="2"/>
    </row>
    <row r="34" spans="1:53" ht="71.25" customHeight="1">
      <c r="A34" s="64" t="s">
        <v>46</v>
      </c>
      <c r="B34" s="55" t="s">
        <v>123</v>
      </c>
      <c r="C34" s="56" t="s">
        <v>10</v>
      </c>
      <c r="D34" s="57" t="s">
        <v>53</v>
      </c>
      <c r="E34" s="52">
        <f>F34+G34</f>
        <v>1008</v>
      </c>
      <c r="F34" s="52">
        <f>60-15</f>
        <v>45</v>
      </c>
      <c r="G34" s="52">
        <v>963</v>
      </c>
      <c r="H34" s="52">
        <v>0</v>
      </c>
      <c r="I34" s="52">
        <v>0</v>
      </c>
      <c r="J34" s="52">
        <f>K34</f>
        <v>60</v>
      </c>
      <c r="K34" s="52">
        <f>60</f>
        <v>60</v>
      </c>
      <c r="L34" s="52">
        <v>0</v>
      </c>
      <c r="M34" s="52">
        <v>0</v>
      </c>
      <c r="N34" s="52">
        <v>0</v>
      </c>
      <c r="O34" s="52">
        <f>P34</f>
        <v>60</v>
      </c>
      <c r="P34" s="52">
        <f>60</f>
        <v>60</v>
      </c>
      <c r="Q34" s="52">
        <v>0</v>
      </c>
      <c r="R34" s="52">
        <v>0</v>
      </c>
      <c r="S34" s="52">
        <v>0</v>
      </c>
      <c r="T34" s="52">
        <f>U34</f>
        <v>60</v>
      </c>
      <c r="U34" s="52">
        <f>60</f>
        <v>60</v>
      </c>
      <c r="V34" s="52">
        <v>0</v>
      </c>
      <c r="W34" s="52">
        <v>0</v>
      </c>
      <c r="X34" s="52">
        <v>0</v>
      </c>
      <c r="Y34" s="52">
        <f>Z34</f>
        <v>60</v>
      </c>
      <c r="Z34" s="52">
        <f>60</f>
        <v>60</v>
      </c>
      <c r="AA34" s="52">
        <v>0</v>
      </c>
      <c r="AB34" s="52">
        <v>0</v>
      </c>
      <c r="AC34" s="52">
        <v>0</v>
      </c>
      <c r="AD34" s="54">
        <f>Y34+T34+O34+J34+E34</f>
        <v>1248</v>
      </c>
      <c r="AE34" s="16"/>
      <c r="AF34" s="2"/>
      <c r="AG34" s="2"/>
      <c r="AH34" s="2"/>
      <c r="AJ34" s="5"/>
      <c r="AK34" s="3"/>
      <c r="AL34" s="5"/>
      <c r="AM34" s="5"/>
      <c r="AN34" s="14"/>
      <c r="AO34" s="3"/>
      <c r="AQ34" s="2"/>
      <c r="BA34" s="2"/>
    </row>
    <row r="35" spans="1:53" ht="27.75" customHeight="1">
      <c r="A35" s="64"/>
      <c r="B35" s="55" t="s">
        <v>12</v>
      </c>
      <c r="C35" s="56"/>
      <c r="D35" s="57"/>
      <c r="E35" s="52">
        <f>F35+G35</f>
        <v>1118</v>
      </c>
      <c r="F35" s="52">
        <f>F34+F33+F32+F31</f>
        <v>155</v>
      </c>
      <c r="G35" s="52">
        <f>G34</f>
        <v>963</v>
      </c>
      <c r="H35" s="52">
        <f>H31+H32+H33</f>
        <v>0</v>
      </c>
      <c r="I35" s="52">
        <f>I31+I32+I33</f>
        <v>0</v>
      </c>
      <c r="J35" s="52">
        <f>K35</f>
        <v>613</v>
      </c>
      <c r="K35" s="52">
        <f>K34+K33+K32+K31</f>
        <v>613</v>
      </c>
      <c r="L35" s="52">
        <f>L31+L32+L33</f>
        <v>0</v>
      </c>
      <c r="M35" s="52">
        <f>M31+M32+M33</f>
        <v>0</v>
      </c>
      <c r="N35" s="52">
        <f>N31+N32+N33</f>
        <v>0</v>
      </c>
      <c r="O35" s="52">
        <f>P35</f>
        <v>613</v>
      </c>
      <c r="P35" s="52">
        <f>P34+P33+P32+P31</f>
        <v>613</v>
      </c>
      <c r="Q35" s="52">
        <f>Q31+Q32+Q33</f>
        <v>0</v>
      </c>
      <c r="R35" s="52">
        <f>R31+R32+R33</f>
        <v>0</v>
      </c>
      <c r="S35" s="52">
        <f>S31+S32+S33</f>
        <v>0</v>
      </c>
      <c r="T35" s="52">
        <f>U35</f>
        <v>731</v>
      </c>
      <c r="U35" s="52">
        <f>U34+U33+U32+U31</f>
        <v>731</v>
      </c>
      <c r="V35" s="52">
        <f>V31+V32+V33</f>
        <v>0</v>
      </c>
      <c r="W35" s="52">
        <f>W31+W32+W33</f>
        <v>0</v>
      </c>
      <c r="X35" s="52">
        <f>X31+X32+X33</f>
        <v>0</v>
      </c>
      <c r="Y35" s="52">
        <f>Z35</f>
        <v>731</v>
      </c>
      <c r="Z35" s="52">
        <f>Z34+Z33+Z32+Z31</f>
        <v>731</v>
      </c>
      <c r="AA35" s="52">
        <f>AA31+AA32+AA33</f>
        <v>0</v>
      </c>
      <c r="AB35" s="52">
        <f>AB31+AB32+AB33</f>
        <v>0</v>
      </c>
      <c r="AC35" s="52">
        <f>AC31+AC32+AC33</f>
        <v>0</v>
      </c>
      <c r="AD35" s="54">
        <f>Y35+T35+O35+J35+E35</f>
        <v>3806</v>
      </c>
      <c r="AE35" s="16"/>
      <c r="AF35" s="2"/>
      <c r="AG35" s="2"/>
      <c r="AH35" s="2"/>
      <c r="AJ35" s="5"/>
      <c r="AK35" s="3"/>
      <c r="AL35" s="5"/>
      <c r="AM35" s="5"/>
      <c r="AN35" s="14"/>
      <c r="AO35" s="3"/>
      <c r="AQ35" s="2"/>
      <c r="BA35" s="2"/>
    </row>
    <row r="36" spans="1:53" ht="30.75" customHeight="1">
      <c r="A36" s="131" t="s">
        <v>37</v>
      </c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3"/>
      <c r="AE36" s="16"/>
      <c r="AF36" s="2"/>
      <c r="AG36" s="2"/>
      <c r="AH36" s="2"/>
      <c r="AJ36" s="5"/>
      <c r="AK36" s="3"/>
      <c r="AL36" s="5"/>
      <c r="AM36" s="5"/>
      <c r="AN36" s="14"/>
      <c r="AO36" s="3"/>
      <c r="AQ36" s="2"/>
      <c r="BA36" s="2"/>
    </row>
    <row r="37" spans="1:53" ht="45" customHeight="1">
      <c r="A37" s="64" t="s">
        <v>22</v>
      </c>
      <c r="B37" s="55" t="s">
        <v>18</v>
      </c>
      <c r="C37" s="56" t="s">
        <v>10</v>
      </c>
      <c r="D37" s="57" t="s">
        <v>53</v>
      </c>
      <c r="E37" s="52">
        <f>F37+G37+H37+I37</f>
        <v>1679</v>
      </c>
      <c r="F37" s="52">
        <f>1908-229</f>
        <v>1679</v>
      </c>
      <c r="G37" s="52">
        <v>0</v>
      </c>
      <c r="H37" s="52">
        <v>0</v>
      </c>
      <c r="I37" s="52">
        <v>0</v>
      </c>
      <c r="J37" s="52">
        <f>K37+L37+M37+N37</f>
        <v>3942</v>
      </c>
      <c r="K37" s="52">
        <v>3942</v>
      </c>
      <c r="L37" s="52">
        <v>0</v>
      </c>
      <c r="M37" s="52">
        <v>0</v>
      </c>
      <c r="N37" s="52">
        <v>0</v>
      </c>
      <c r="O37" s="52">
        <f>P37+Q37+R37+S37</f>
        <v>3942</v>
      </c>
      <c r="P37" s="52">
        <v>3942</v>
      </c>
      <c r="Q37" s="52">
        <v>0</v>
      </c>
      <c r="R37" s="52">
        <v>0</v>
      </c>
      <c r="S37" s="52">
        <v>0</v>
      </c>
      <c r="T37" s="52">
        <f>U37+V37+W37+X37</f>
        <v>14197.5</v>
      </c>
      <c r="U37" s="52">
        <v>14197.5</v>
      </c>
      <c r="V37" s="52">
        <v>0</v>
      </c>
      <c r="W37" s="52">
        <v>0</v>
      </c>
      <c r="X37" s="52">
        <v>0</v>
      </c>
      <c r="Y37" s="52">
        <f>Z37+AA37+AB37+AC37</f>
        <v>14765.4</v>
      </c>
      <c r="Z37" s="52">
        <v>14765.4</v>
      </c>
      <c r="AA37" s="52">
        <v>0</v>
      </c>
      <c r="AB37" s="52">
        <v>0</v>
      </c>
      <c r="AC37" s="52">
        <v>0</v>
      </c>
      <c r="AD37" s="54">
        <f>Y37+T37+O37+J37+E37</f>
        <v>38525.9</v>
      </c>
      <c r="AE37" s="2"/>
      <c r="AF37" s="15"/>
      <c r="AG37" s="2"/>
      <c r="AH37" s="2"/>
      <c r="AI37" s="47"/>
      <c r="AJ37" s="5"/>
      <c r="AK37" s="5"/>
      <c r="AL37" s="5"/>
      <c r="AM37" s="3"/>
      <c r="AN37" s="5"/>
      <c r="AO37" s="3"/>
      <c r="BA37" s="2"/>
    </row>
    <row r="38" spans="1:53" ht="53.25" customHeight="1">
      <c r="A38" s="64" t="s">
        <v>23</v>
      </c>
      <c r="B38" s="55" t="s">
        <v>78</v>
      </c>
      <c r="C38" s="56" t="s">
        <v>10</v>
      </c>
      <c r="D38" s="57" t="s">
        <v>53</v>
      </c>
      <c r="E38" s="52">
        <f>F38+G38+H38+I38</f>
        <v>8643</v>
      </c>
      <c r="F38" s="52">
        <f>10265-1622</f>
        <v>8643</v>
      </c>
      <c r="G38" s="52">
        <v>0</v>
      </c>
      <c r="H38" s="52">
        <v>0</v>
      </c>
      <c r="I38" s="52">
        <v>0</v>
      </c>
      <c r="J38" s="52">
        <f>K38+L38+M38+N38</f>
        <v>10265</v>
      </c>
      <c r="K38" s="52">
        <v>10265</v>
      </c>
      <c r="L38" s="52">
        <v>0</v>
      </c>
      <c r="M38" s="52">
        <v>0</v>
      </c>
      <c r="N38" s="52">
        <v>0</v>
      </c>
      <c r="O38" s="52">
        <f>P38+Q38+R38+S38</f>
        <v>10265</v>
      </c>
      <c r="P38" s="52">
        <v>10265</v>
      </c>
      <c r="Q38" s="52">
        <v>0</v>
      </c>
      <c r="R38" s="52">
        <v>0</v>
      </c>
      <c r="S38" s="52">
        <v>0</v>
      </c>
      <c r="T38" s="52">
        <f>U38+V38+W38+X38</f>
        <v>8501</v>
      </c>
      <c r="U38" s="52">
        <v>8501</v>
      </c>
      <c r="V38" s="52">
        <v>0</v>
      </c>
      <c r="W38" s="52">
        <v>0</v>
      </c>
      <c r="X38" s="52">
        <v>0</v>
      </c>
      <c r="Y38" s="52">
        <f aca="true" t="shared" si="5" ref="Y38:Y49">Z38+AA38+AB38+AC38</f>
        <v>9042</v>
      </c>
      <c r="Z38" s="52">
        <v>9042</v>
      </c>
      <c r="AA38" s="52">
        <v>0</v>
      </c>
      <c r="AB38" s="52">
        <v>0</v>
      </c>
      <c r="AC38" s="52">
        <v>0</v>
      </c>
      <c r="AD38" s="54">
        <f aca="true" t="shared" si="6" ref="AD38:AD48">Y38+T38+O38+J38+E38</f>
        <v>46716</v>
      </c>
      <c r="AE38" s="2"/>
      <c r="AF38" s="15"/>
      <c r="AG38" s="2"/>
      <c r="AH38" s="2"/>
      <c r="AI38" s="47"/>
      <c r="AJ38" s="5"/>
      <c r="AK38" s="3"/>
      <c r="AL38" s="5"/>
      <c r="AM38" s="3"/>
      <c r="AN38" s="5"/>
      <c r="AO38" s="3"/>
      <c r="BA38" s="2"/>
    </row>
    <row r="39" spans="1:53" ht="48" customHeight="1">
      <c r="A39" s="64" t="s">
        <v>24</v>
      </c>
      <c r="B39" s="55" t="s">
        <v>31</v>
      </c>
      <c r="C39" s="56" t="s">
        <v>10</v>
      </c>
      <c r="D39" s="57" t="s">
        <v>53</v>
      </c>
      <c r="E39" s="52">
        <f>F39</f>
        <v>7188</v>
      </c>
      <c r="F39" s="52">
        <v>7188</v>
      </c>
      <c r="G39" s="52">
        <v>0</v>
      </c>
      <c r="H39" s="52">
        <v>0</v>
      </c>
      <c r="I39" s="52">
        <v>0</v>
      </c>
      <c r="J39" s="52">
        <f>K39</f>
        <v>7188</v>
      </c>
      <c r="K39" s="52">
        <v>7188</v>
      </c>
      <c r="L39" s="52">
        <v>0</v>
      </c>
      <c r="M39" s="52">
        <v>0</v>
      </c>
      <c r="N39" s="52">
        <v>0</v>
      </c>
      <c r="O39" s="52">
        <f>P39</f>
        <v>7188</v>
      </c>
      <c r="P39" s="52">
        <v>7188</v>
      </c>
      <c r="Q39" s="52">
        <v>0</v>
      </c>
      <c r="R39" s="52">
        <v>0</v>
      </c>
      <c r="S39" s="52">
        <v>0</v>
      </c>
      <c r="T39" s="52">
        <f>U39</f>
        <v>8401.1</v>
      </c>
      <c r="U39" s="52">
        <v>8401.1</v>
      </c>
      <c r="V39" s="52">
        <v>0</v>
      </c>
      <c r="W39" s="52">
        <v>0</v>
      </c>
      <c r="X39" s="52">
        <v>0</v>
      </c>
      <c r="Y39" s="52">
        <f t="shared" si="5"/>
        <v>8737.2</v>
      </c>
      <c r="Z39" s="52">
        <v>8737.2</v>
      </c>
      <c r="AA39" s="52">
        <v>0</v>
      </c>
      <c r="AB39" s="52">
        <v>0</v>
      </c>
      <c r="AC39" s="52">
        <v>0</v>
      </c>
      <c r="AD39" s="54">
        <f t="shared" si="6"/>
        <v>38702.3</v>
      </c>
      <c r="AE39" s="2"/>
      <c r="AF39" s="15"/>
      <c r="AG39" s="2"/>
      <c r="AH39" s="2"/>
      <c r="AI39" s="47"/>
      <c r="AJ39" s="5"/>
      <c r="AK39" s="3"/>
      <c r="AL39" s="5"/>
      <c r="AM39" s="3"/>
      <c r="AN39" s="5"/>
      <c r="AO39" s="3"/>
      <c r="BA39" s="2"/>
    </row>
    <row r="40" spans="1:53" ht="41.25" customHeight="1">
      <c r="A40" s="64" t="s">
        <v>25</v>
      </c>
      <c r="B40" s="55" t="s">
        <v>19</v>
      </c>
      <c r="C40" s="56" t="s">
        <v>10</v>
      </c>
      <c r="D40" s="57" t="s">
        <v>53</v>
      </c>
      <c r="E40" s="52">
        <f>F40+G40+H40+I40</f>
        <v>3078</v>
      </c>
      <c r="F40" s="52">
        <v>3078</v>
      </c>
      <c r="G40" s="52">
        <v>0</v>
      </c>
      <c r="H40" s="52">
        <v>0</v>
      </c>
      <c r="I40" s="52">
        <v>0</v>
      </c>
      <c r="J40" s="52">
        <f>K40+L40+M40+N40</f>
        <v>3078</v>
      </c>
      <c r="K40" s="52">
        <v>3078</v>
      </c>
      <c r="L40" s="52">
        <v>0</v>
      </c>
      <c r="M40" s="52">
        <v>0</v>
      </c>
      <c r="N40" s="52">
        <v>0</v>
      </c>
      <c r="O40" s="52">
        <f>P40+Q40+R40+S40</f>
        <v>3078</v>
      </c>
      <c r="P40" s="52">
        <v>3078</v>
      </c>
      <c r="Q40" s="52">
        <v>0</v>
      </c>
      <c r="R40" s="52">
        <v>0</v>
      </c>
      <c r="S40" s="52">
        <v>0</v>
      </c>
      <c r="T40" s="52">
        <f>U40+V40+W40+X40</f>
        <v>6371</v>
      </c>
      <c r="U40" s="52">
        <v>6371</v>
      </c>
      <c r="V40" s="52">
        <v>0</v>
      </c>
      <c r="W40" s="52">
        <v>0</v>
      </c>
      <c r="X40" s="52">
        <v>0</v>
      </c>
      <c r="Y40" s="52">
        <f t="shared" si="5"/>
        <v>6626</v>
      </c>
      <c r="Z40" s="52">
        <v>6626</v>
      </c>
      <c r="AA40" s="52">
        <v>0</v>
      </c>
      <c r="AB40" s="52">
        <v>0</v>
      </c>
      <c r="AC40" s="52">
        <v>0</v>
      </c>
      <c r="AD40" s="54">
        <f t="shared" si="6"/>
        <v>22231</v>
      </c>
      <c r="AE40" s="2"/>
      <c r="AF40" s="15"/>
      <c r="AG40" s="2"/>
      <c r="AH40" s="2"/>
      <c r="AI40" s="47"/>
      <c r="AJ40" s="5"/>
      <c r="AK40" s="3"/>
      <c r="AL40" s="5"/>
      <c r="AM40" s="3"/>
      <c r="AN40" s="5"/>
      <c r="AO40" s="3"/>
      <c r="BA40" s="2"/>
    </row>
    <row r="41" spans="1:53" ht="30" customHeight="1">
      <c r="A41" s="123" t="s">
        <v>26</v>
      </c>
      <c r="B41" s="122" t="s">
        <v>117</v>
      </c>
      <c r="C41" s="72" t="s">
        <v>10</v>
      </c>
      <c r="D41" s="73" t="s">
        <v>99</v>
      </c>
      <c r="E41" s="74">
        <f>F41+G41+H41</f>
        <v>0</v>
      </c>
      <c r="F41" s="74">
        <v>0</v>
      </c>
      <c r="G41" s="75">
        <v>0</v>
      </c>
      <c r="H41" s="75">
        <v>0</v>
      </c>
      <c r="I41" s="52">
        <v>0</v>
      </c>
      <c r="J41" s="52">
        <f>K41+L41+M41+N41</f>
        <v>16702</v>
      </c>
      <c r="K41" s="52">
        <v>16702</v>
      </c>
      <c r="L41" s="52">
        <v>0</v>
      </c>
      <c r="M41" s="52">
        <v>0</v>
      </c>
      <c r="N41" s="52">
        <v>0</v>
      </c>
      <c r="O41" s="52">
        <f>P41+Q41+R41+S41</f>
        <v>16702</v>
      </c>
      <c r="P41" s="52">
        <v>16702</v>
      </c>
      <c r="Q41" s="52">
        <v>0</v>
      </c>
      <c r="R41" s="52">
        <v>0</v>
      </c>
      <c r="S41" s="52">
        <v>0</v>
      </c>
      <c r="T41" s="52">
        <f>U41+V41+W41+X41</f>
        <v>12982.3</v>
      </c>
      <c r="U41" s="52">
        <v>12982.3</v>
      </c>
      <c r="V41" s="52">
        <v>0</v>
      </c>
      <c r="W41" s="52">
        <v>0</v>
      </c>
      <c r="X41" s="52">
        <v>0</v>
      </c>
      <c r="Y41" s="52">
        <f t="shared" si="5"/>
        <v>13502</v>
      </c>
      <c r="Z41" s="52">
        <v>13502</v>
      </c>
      <c r="AA41" s="52">
        <v>0</v>
      </c>
      <c r="AB41" s="52">
        <v>0</v>
      </c>
      <c r="AC41" s="52">
        <v>0</v>
      </c>
      <c r="AD41" s="54">
        <f t="shared" si="6"/>
        <v>59888.3</v>
      </c>
      <c r="AE41" s="2"/>
      <c r="AF41" s="15"/>
      <c r="AG41" s="2"/>
      <c r="AH41" s="2"/>
      <c r="AI41" s="47"/>
      <c r="AJ41" s="5"/>
      <c r="AK41" s="3"/>
      <c r="AL41" s="5"/>
      <c r="AM41" s="3"/>
      <c r="AN41" s="5"/>
      <c r="AO41" s="3"/>
      <c r="BA41" s="2"/>
    </row>
    <row r="42" spans="1:53" ht="32.25" customHeight="1">
      <c r="A42" s="123"/>
      <c r="B42" s="122"/>
      <c r="C42" s="70" t="s">
        <v>89</v>
      </c>
      <c r="D42" s="73">
        <v>2020</v>
      </c>
      <c r="E42" s="74">
        <f>F42+G42+H42</f>
        <v>0</v>
      </c>
      <c r="F42" s="74">
        <f>1337-1337</f>
        <v>0</v>
      </c>
      <c r="G42" s="75">
        <v>0</v>
      </c>
      <c r="H42" s="75">
        <v>0</v>
      </c>
      <c r="I42" s="52">
        <v>0</v>
      </c>
      <c r="J42" s="52">
        <v>0</v>
      </c>
      <c r="K42" s="52">
        <v>0</v>
      </c>
      <c r="L42" s="52">
        <v>0</v>
      </c>
      <c r="M42" s="52">
        <v>0</v>
      </c>
      <c r="N42" s="52">
        <v>0</v>
      </c>
      <c r="O42" s="52">
        <v>0</v>
      </c>
      <c r="P42" s="52">
        <v>0</v>
      </c>
      <c r="Q42" s="52">
        <v>0</v>
      </c>
      <c r="R42" s="52">
        <v>0</v>
      </c>
      <c r="S42" s="52">
        <v>0</v>
      </c>
      <c r="T42" s="52">
        <v>0</v>
      </c>
      <c r="U42" s="52">
        <v>0</v>
      </c>
      <c r="V42" s="52">
        <v>0</v>
      </c>
      <c r="W42" s="52">
        <v>0</v>
      </c>
      <c r="X42" s="52">
        <v>0</v>
      </c>
      <c r="Y42" s="52">
        <v>0</v>
      </c>
      <c r="Z42" s="52">
        <v>0</v>
      </c>
      <c r="AA42" s="52">
        <v>0</v>
      </c>
      <c r="AB42" s="52">
        <v>0</v>
      </c>
      <c r="AC42" s="52">
        <v>0</v>
      </c>
      <c r="AD42" s="54">
        <f t="shared" si="6"/>
        <v>0</v>
      </c>
      <c r="AE42" s="2"/>
      <c r="AF42" s="15"/>
      <c r="AG42" s="2"/>
      <c r="AH42" s="2"/>
      <c r="AI42" s="47"/>
      <c r="AJ42" s="5"/>
      <c r="AK42" s="3"/>
      <c r="AL42" s="5"/>
      <c r="AM42" s="3"/>
      <c r="AN42" s="5"/>
      <c r="AO42" s="3"/>
      <c r="BA42" s="2"/>
    </row>
    <row r="43" spans="1:53" ht="33.75" customHeight="1">
      <c r="A43" s="64" t="s">
        <v>27</v>
      </c>
      <c r="B43" s="55" t="s">
        <v>20</v>
      </c>
      <c r="C43" s="56" t="s">
        <v>10</v>
      </c>
      <c r="D43" s="57" t="s">
        <v>53</v>
      </c>
      <c r="E43" s="52">
        <f aca="true" t="shared" si="7" ref="E43:E49">F43+G43+H43+I43</f>
        <v>626</v>
      </c>
      <c r="F43" s="52">
        <f>629-3</f>
        <v>626</v>
      </c>
      <c r="G43" s="52">
        <v>0</v>
      </c>
      <c r="H43" s="52">
        <v>0</v>
      </c>
      <c r="I43" s="52">
        <v>0</v>
      </c>
      <c r="J43" s="52">
        <f>K43+L43+M43+N43</f>
        <v>885</v>
      </c>
      <c r="K43" s="52">
        <v>885</v>
      </c>
      <c r="L43" s="52">
        <v>0</v>
      </c>
      <c r="M43" s="52">
        <v>0</v>
      </c>
      <c r="N43" s="52">
        <v>0</v>
      </c>
      <c r="O43" s="52">
        <f>P43+Q43+R43+S43</f>
        <v>885</v>
      </c>
      <c r="P43" s="52">
        <v>885</v>
      </c>
      <c r="Q43" s="52">
        <v>0</v>
      </c>
      <c r="R43" s="52">
        <v>0</v>
      </c>
      <c r="S43" s="52">
        <v>0</v>
      </c>
      <c r="T43" s="52">
        <f>U43+V43+W43+X43</f>
        <v>968.6</v>
      </c>
      <c r="U43" s="52">
        <v>968.6</v>
      </c>
      <c r="V43" s="52">
        <v>0</v>
      </c>
      <c r="W43" s="52">
        <v>0</v>
      </c>
      <c r="X43" s="52">
        <v>0</v>
      </c>
      <c r="Y43" s="52">
        <f t="shared" si="5"/>
        <v>1007.4</v>
      </c>
      <c r="Z43" s="52">
        <v>1007.4</v>
      </c>
      <c r="AA43" s="52">
        <v>0</v>
      </c>
      <c r="AB43" s="52">
        <v>0</v>
      </c>
      <c r="AC43" s="52">
        <v>0</v>
      </c>
      <c r="AD43" s="54">
        <f t="shared" si="6"/>
        <v>4372</v>
      </c>
      <c r="AE43" s="2"/>
      <c r="AF43" s="15"/>
      <c r="AG43" s="2"/>
      <c r="AH43" s="2"/>
      <c r="AI43" s="47"/>
      <c r="AJ43" s="5"/>
      <c r="AK43" s="3"/>
      <c r="AL43" s="5"/>
      <c r="AM43" s="3"/>
      <c r="AN43" s="5"/>
      <c r="AO43" s="3"/>
      <c r="BA43" s="2"/>
    </row>
    <row r="44" spans="1:53" ht="45" customHeight="1">
      <c r="A44" s="64" t="s">
        <v>38</v>
      </c>
      <c r="B44" s="55" t="s">
        <v>118</v>
      </c>
      <c r="C44" s="56" t="s">
        <v>10</v>
      </c>
      <c r="D44" s="57" t="s">
        <v>53</v>
      </c>
      <c r="E44" s="52">
        <f t="shared" si="7"/>
        <v>218</v>
      </c>
      <c r="F44" s="52">
        <f>911-692-1</f>
        <v>218</v>
      </c>
      <c r="G44" s="52">
        <v>0</v>
      </c>
      <c r="H44" s="52">
        <v>0</v>
      </c>
      <c r="I44" s="52">
        <v>0</v>
      </c>
      <c r="J44" s="52">
        <f>K44+L44+M44+N44</f>
        <v>911</v>
      </c>
      <c r="K44" s="52">
        <v>911</v>
      </c>
      <c r="L44" s="52">
        <v>0</v>
      </c>
      <c r="M44" s="52">
        <v>0</v>
      </c>
      <c r="N44" s="52">
        <v>0</v>
      </c>
      <c r="O44" s="52">
        <f>P44+Q44+R44+S44</f>
        <v>911</v>
      </c>
      <c r="P44" s="52">
        <v>911</v>
      </c>
      <c r="Q44" s="52">
        <v>0</v>
      </c>
      <c r="R44" s="52">
        <v>0</v>
      </c>
      <c r="S44" s="52">
        <v>0</v>
      </c>
      <c r="T44" s="52">
        <f>U44+V44+W44+X44</f>
        <v>1035.5</v>
      </c>
      <c r="U44" s="52">
        <v>1035.5</v>
      </c>
      <c r="V44" s="52">
        <v>0</v>
      </c>
      <c r="W44" s="52">
        <v>0</v>
      </c>
      <c r="X44" s="52">
        <v>0</v>
      </c>
      <c r="Y44" s="52">
        <f t="shared" si="5"/>
        <v>1077</v>
      </c>
      <c r="Z44" s="52">
        <v>1077</v>
      </c>
      <c r="AA44" s="52">
        <v>0</v>
      </c>
      <c r="AB44" s="52">
        <v>0</v>
      </c>
      <c r="AC44" s="52">
        <v>0</v>
      </c>
      <c r="AD44" s="54">
        <f t="shared" si="6"/>
        <v>4152.5</v>
      </c>
      <c r="AE44" s="2"/>
      <c r="AF44" s="15"/>
      <c r="AG44" s="2"/>
      <c r="AH44" s="2"/>
      <c r="AI44" s="47"/>
      <c r="AJ44" s="5"/>
      <c r="AK44" s="3"/>
      <c r="AL44" s="5"/>
      <c r="AM44" s="3"/>
      <c r="AN44" s="5"/>
      <c r="AO44" s="3"/>
      <c r="BA44" s="2"/>
    </row>
    <row r="45" spans="1:53" s="25" customFormat="1" ht="74.25" customHeight="1">
      <c r="A45" s="64" t="s">
        <v>90</v>
      </c>
      <c r="B45" s="55" t="s">
        <v>103</v>
      </c>
      <c r="C45" s="56" t="s">
        <v>10</v>
      </c>
      <c r="D45" s="57">
        <v>2020</v>
      </c>
      <c r="E45" s="52">
        <f t="shared" si="7"/>
        <v>4091</v>
      </c>
      <c r="F45" s="52">
        <f>4162+5-353</f>
        <v>3814</v>
      </c>
      <c r="G45" s="52">
        <v>277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0</v>
      </c>
      <c r="O45" s="52">
        <v>0</v>
      </c>
      <c r="P45" s="52">
        <v>0</v>
      </c>
      <c r="Q45" s="52">
        <v>0</v>
      </c>
      <c r="R45" s="52">
        <v>0</v>
      </c>
      <c r="S45" s="52">
        <v>0</v>
      </c>
      <c r="T45" s="52">
        <v>0</v>
      </c>
      <c r="U45" s="52">
        <v>0</v>
      </c>
      <c r="V45" s="52">
        <v>0</v>
      </c>
      <c r="W45" s="52">
        <v>0</v>
      </c>
      <c r="X45" s="52">
        <v>0</v>
      </c>
      <c r="Y45" s="52">
        <v>0</v>
      </c>
      <c r="Z45" s="52">
        <v>0</v>
      </c>
      <c r="AA45" s="52">
        <v>0</v>
      </c>
      <c r="AB45" s="52">
        <v>0</v>
      </c>
      <c r="AC45" s="52">
        <v>0</v>
      </c>
      <c r="AD45" s="54">
        <f t="shared" si="6"/>
        <v>4091</v>
      </c>
      <c r="AE45" s="30"/>
      <c r="AF45" s="43"/>
      <c r="AG45" s="30"/>
      <c r="AH45" s="30"/>
      <c r="AI45" s="48"/>
      <c r="AJ45" s="22"/>
      <c r="AK45" s="22"/>
      <c r="AL45" s="22"/>
      <c r="AM45" s="21"/>
      <c r="AN45" s="22"/>
      <c r="AO45" s="21"/>
      <c r="BA45" s="30"/>
    </row>
    <row r="46" spans="1:53" s="40" customFormat="1" ht="48" customHeight="1">
      <c r="A46" s="64" t="s">
        <v>95</v>
      </c>
      <c r="B46" s="69" t="s">
        <v>104</v>
      </c>
      <c r="C46" s="76" t="s">
        <v>10</v>
      </c>
      <c r="D46" s="57">
        <v>2020</v>
      </c>
      <c r="E46" s="52">
        <f t="shared" si="7"/>
        <v>0</v>
      </c>
      <c r="F46" s="52">
        <f>6203-3597+326-2932</f>
        <v>0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2">
        <v>0</v>
      </c>
      <c r="O46" s="52">
        <v>0</v>
      </c>
      <c r="P46" s="52">
        <v>0</v>
      </c>
      <c r="Q46" s="52">
        <v>0</v>
      </c>
      <c r="R46" s="52">
        <v>0</v>
      </c>
      <c r="S46" s="52">
        <v>0</v>
      </c>
      <c r="T46" s="52">
        <v>0</v>
      </c>
      <c r="U46" s="52">
        <v>0</v>
      </c>
      <c r="V46" s="52">
        <v>0</v>
      </c>
      <c r="W46" s="52">
        <v>0</v>
      </c>
      <c r="X46" s="52">
        <v>0</v>
      </c>
      <c r="Y46" s="52">
        <v>0</v>
      </c>
      <c r="Z46" s="52">
        <v>0</v>
      </c>
      <c r="AA46" s="52">
        <v>0</v>
      </c>
      <c r="AB46" s="52">
        <v>0</v>
      </c>
      <c r="AC46" s="52">
        <v>0</v>
      </c>
      <c r="AD46" s="54">
        <f t="shared" si="6"/>
        <v>0</v>
      </c>
      <c r="AE46" s="41"/>
      <c r="AF46" s="42"/>
      <c r="AG46" s="41"/>
      <c r="AH46" s="41"/>
      <c r="AI46" s="44"/>
      <c r="AJ46" s="38"/>
      <c r="AK46" s="38"/>
      <c r="AL46" s="38"/>
      <c r="AM46" s="39"/>
      <c r="AN46" s="38"/>
      <c r="AO46" s="39"/>
      <c r="BA46" s="41"/>
    </row>
    <row r="47" spans="1:53" s="40" customFormat="1" ht="33.75" customHeight="1">
      <c r="A47" s="64" t="s">
        <v>96</v>
      </c>
      <c r="B47" s="77" t="s">
        <v>101</v>
      </c>
      <c r="C47" s="76" t="s">
        <v>10</v>
      </c>
      <c r="D47" s="57">
        <v>2020</v>
      </c>
      <c r="E47" s="52">
        <f t="shared" si="7"/>
        <v>882</v>
      </c>
      <c r="F47" s="52">
        <f>1243-1086-1+15</f>
        <v>171</v>
      </c>
      <c r="G47" s="52">
        <v>711</v>
      </c>
      <c r="H47" s="52">
        <v>0</v>
      </c>
      <c r="I47" s="52">
        <v>0</v>
      </c>
      <c r="J47" s="52">
        <v>0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2">
        <v>0</v>
      </c>
      <c r="R47" s="52">
        <v>0</v>
      </c>
      <c r="S47" s="52">
        <v>0</v>
      </c>
      <c r="T47" s="52">
        <v>0</v>
      </c>
      <c r="U47" s="52">
        <v>0</v>
      </c>
      <c r="V47" s="52">
        <v>0</v>
      </c>
      <c r="W47" s="52">
        <v>0</v>
      </c>
      <c r="X47" s="52">
        <v>0</v>
      </c>
      <c r="Y47" s="52">
        <v>0</v>
      </c>
      <c r="Z47" s="52">
        <v>0</v>
      </c>
      <c r="AA47" s="52">
        <v>0</v>
      </c>
      <c r="AB47" s="52">
        <v>0</v>
      </c>
      <c r="AC47" s="52">
        <v>0</v>
      </c>
      <c r="AD47" s="54">
        <f t="shared" si="6"/>
        <v>882</v>
      </c>
      <c r="AE47" s="41"/>
      <c r="AF47" s="42"/>
      <c r="AG47" s="41"/>
      <c r="AH47" s="41"/>
      <c r="AI47" s="44"/>
      <c r="AJ47" s="38"/>
      <c r="AK47" s="38"/>
      <c r="AL47" s="38"/>
      <c r="AM47" s="39"/>
      <c r="AN47" s="38"/>
      <c r="AO47" s="39"/>
      <c r="BA47" s="41"/>
    </row>
    <row r="48" spans="1:53" s="40" customFormat="1" ht="129" customHeight="1">
      <c r="A48" s="64" t="s">
        <v>97</v>
      </c>
      <c r="B48" s="69" t="s">
        <v>98</v>
      </c>
      <c r="C48" s="70" t="s">
        <v>89</v>
      </c>
      <c r="D48" s="57">
        <v>2020</v>
      </c>
      <c r="E48" s="52">
        <f t="shared" si="7"/>
        <v>9140</v>
      </c>
      <c r="F48" s="52">
        <f>9551-411</f>
        <v>9140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0</v>
      </c>
      <c r="R48" s="52">
        <v>0</v>
      </c>
      <c r="S48" s="52">
        <v>0</v>
      </c>
      <c r="T48" s="52">
        <v>0</v>
      </c>
      <c r="U48" s="52">
        <v>0</v>
      </c>
      <c r="V48" s="52">
        <v>0</v>
      </c>
      <c r="W48" s="52">
        <v>0</v>
      </c>
      <c r="X48" s="52">
        <v>0</v>
      </c>
      <c r="Y48" s="52">
        <v>0</v>
      </c>
      <c r="Z48" s="52">
        <v>0</v>
      </c>
      <c r="AA48" s="52">
        <v>0</v>
      </c>
      <c r="AB48" s="52">
        <v>0</v>
      </c>
      <c r="AC48" s="52">
        <v>0</v>
      </c>
      <c r="AD48" s="54">
        <f t="shared" si="6"/>
        <v>9140</v>
      </c>
      <c r="AE48" s="41"/>
      <c r="AF48" s="42"/>
      <c r="AG48" s="41"/>
      <c r="AH48" s="41"/>
      <c r="AI48" s="44"/>
      <c r="AJ48" s="38"/>
      <c r="AK48" s="39"/>
      <c r="AL48" s="38"/>
      <c r="AM48" s="39"/>
      <c r="AN48" s="38"/>
      <c r="AO48" s="39"/>
      <c r="BA48" s="41"/>
    </row>
    <row r="49" spans="1:53" s="9" customFormat="1" ht="30" customHeight="1">
      <c r="A49" s="64"/>
      <c r="B49" s="55" t="s">
        <v>13</v>
      </c>
      <c r="C49" s="52"/>
      <c r="D49" s="57"/>
      <c r="E49" s="52">
        <f t="shared" si="7"/>
        <v>35545</v>
      </c>
      <c r="F49" s="52">
        <f>F37+F38+F39+F40+G41+F43+F44+F45+F46+F47+F48+F41+F42</f>
        <v>34557</v>
      </c>
      <c r="G49" s="52">
        <f>G45+G47</f>
        <v>988</v>
      </c>
      <c r="H49" s="52">
        <f>H45</f>
        <v>0</v>
      </c>
      <c r="I49" s="52">
        <f>I45</f>
        <v>0</v>
      </c>
      <c r="J49" s="52">
        <f>K49+L49+M49+N49</f>
        <v>42971</v>
      </c>
      <c r="K49" s="52">
        <f>K37+K38+K39+K40+K41+K43+K44</f>
        <v>42971</v>
      </c>
      <c r="L49" s="52">
        <f>L37+L38+L39+L40+L41+L43+L44</f>
        <v>0</v>
      </c>
      <c r="M49" s="52">
        <f>M37+M38+M39+M40+M41+M43+M44</f>
        <v>0</v>
      </c>
      <c r="N49" s="52">
        <f>N37+N38+N39+N40+N41+N43+N44</f>
        <v>0</v>
      </c>
      <c r="O49" s="52">
        <f>P49</f>
        <v>42971</v>
      </c>
      <c r="P49" s="52">
        <f>P44+P43+P41+P40+P39+P38+P37</f>
        <v>42971</v>
      </c>
      <c r="Q49" s="52">
        <f>SUM(Q37:Q43)</f>
        <v>0</v>
      </c>
      <c r="R49" s="52">
        <f>SUM(R37:R43)</f>
        <v>0</v>
      </c>
      <c r="S49" s="52">
        <f>SUM(S37:S43)</f>
        <v>0</v>
      </c>
      <c r="T49" s="52">
        <f>U49</f>
        <v>52457</v>
      </c>
      <c r="U49" s="52">
        <f>U44+U43+U41+U40+U39+U38+U37</f>
        <v>52457</v>
      </c>
      <c r="V49" s="52">
        <f>SUM(V37:V43)</f>
        <v>0</v>
      </c>
      <c r="W49" s="52">
        <f>SUM(W37:W43)</f>
        <v>0</v>
      </c>
      <c r="X49" s="52">
        <f>SUM(X37:X43)</f>
        <v>0</v>
      </c>
      <c r="Y49" s="52">
        <f t="shared" si="5"/>
        <v>54757.00000000001</v>
      </c>
      <c r="Z49" s="52">
        <f>Z44+Z43+Z41+Z40+Z39+Z38+Z37</f>
        <v>54757.00000000001</v>
      </c>
      <c r="AA49" s="52">
        <f>SUM(AA37:AA43)</f>
        <v>0</v>
      </c>
      <c r="AB49" s="52">
        <f>SUM(AB37:AB43)</f>
        <v>0</v>
      </c>
      <c r="AC49" s="52">
        <f>SUM(AC37:AC43)</f>
        <v>0</v>
      </c>
      <c r="AD49" s="54">
        <f>Y49+T49+O49+J49+E49</f>
        <v>228701</v>
      </c>
      <c r="AE49" s="8"/>
      <c r="AF49" s="8"/>
      <c r="AG49" s="8"/>
      <c r="AH49" s="8"/>
      <c r="AI49" s="19"/>
      <c r="AJ49" s="8"/>
      <c r="AK49" s="8"/>
      <c r="AM49" s="8"/>
      <c r="BA49" s="8"/>
    </row>
    <row r="50" spans="1:39" ht="28.5" customHeight="1">
      <c r="A50" s="135" t="s">
        <v>74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7"/>
      <c r="AF50" s="2"/>
      <c r="AM50" s="2"/>
    </row>
    <row r="51" spans="1:30" ht="31.5" customHeight="1">
      <c r="A51" s="123" t="s">
        <v>4</v>
      </c>
      <c r="B51" s="138" t="s">
        <v>28</v>
      </c>
      <c r="C51" s="56" t="s">
        <v>10</v>
      </c>
      <c r="D51" s="57" t="s">
        <v>53</v>
      </c>
      <c r="E51" s="52">
        <f>F51+G51+H51+I51</f>
        <v>5943</v>
      </c>
      <c r="F51" s="52">
        <f>3830+170+192-3638+129+1622</f>
        <v>2305</v>
      </c>
      <c r="G51" s="52">
        <f>3638</f>
        <v>3638</v>
      </c>
      <c r="H51" s="52">
        <v>0</v>
      </c>
      <c r="I51" s="52">
        <v>0</v>
      </c>
      <c r="J51" s="52">
        <f>K51+L51+M51+N51</f>
        <v>1788</v>
      </c>
      <c r="K51" s="52">
        <v>1788</v>
      </c>
      <c r="L51" s="52">
        <v>0</v>
      </c>
      <c r="M51" s="52">
        <v>0</v>
      </c>
      <c r="N51" s="52">
        <v>0</v>
      </c>
      <c r="O51" s="52">
        <f>P51+Q51+R51+S51</f>
        <v>1788</v>
      </c>
      <c r="P51" s="52">
        <v>1788</v>
      </c>
      <c r="Q51" s="52">
        <v>0</v>
      </c>
      <c r="R51" s="52">
        <v>0</v>
      </c>
      <c r="S51" s="52">
        <v>0</v>
      </c>
      <c r="T51" s="52">
        <f>U51+V51+W51+X51</f>
        <v>1934</v>
      </c>
      <c r="U51" s="52">
        <v>1934</v>
      </c>
      <c r="V51" s="52">
        <v>0</v>
      </c>
      <c r="W51" s="52">
        <v>0</v>
      </c>
      <c r="X51" s="52">
        <v>0</v>
      </c>
      <c r="Y51" s="52">
        <f>Z51</f>
        <v>1934</v>
      </c>
      <c r="Z51" s="52">
        <v>1934</v>
      </c>
      <c r="AA51" s="52">
        <v>0</v>
      </c>
      <c r="AB51" s="52">
        <v>0</v>
      </c>
      <c r="AC51" s="52">
        <v>0</v>
      </c>
      <c r="AD51" s="54">
        <f aca="true" t="shared" si="8" ref="AD51:AD56">Y51+T51+O51+J51+E51</f>
        <v>13387</v>
      </c>
    </row>
    <row r="52" spans="1:35" s="34" customFormat="1" ht="35.25" customHeight="1">
      <c r="A52" s="123"/>
      <c r="B52" s="138"/>
      <c r="C52" s="56" t="s">
        <v>89</v>
      </c>
      <c r="D52" s="57" t="s">
        <v>91</v>
      </c>
      <c r="E52" s="52">
        <f>F52</f>
        <v>362.1</v>
      </c>
      <c r="F52" s="52">
        <v>362.1</v>
      </c>
      <c r="G52" s="52">
        <v>0</v>
      </c>
      <c r="H52" s="52">
        <v>0</v>
      </c>
      <c r="I52" s="52">
        <v>0</v>
      </c>
      <c r="J52" s="52">
        <f>K52+L52+M52+N52</f>
        <v>311</v>
      </c>
      <c r="K52" s="52">
        <v>311</v>
      </c>
      <c r="L52" s="52">
        <v>0</v>
      </c>
      <c r="M52" s="52">
        <v>0</v>
      </c>
      <c r="N52" s="52">
        <v>0</v>
      </c>
      <c r="O52" s="52">
        <f>P52+Q52+R52+S52</f>
        <v>311</v>
      </c>
      <c r="P52" s="52">
        <v>311</v>
      </c>
      <c r="Q52" s="52">
        <v>0</v>
      </c>
      <c r="R52" s="52">
        <v>0</v>
      </c>
      <c r="S52" s="52">
        <v>0</v>
      </c>
      <c r="T52" s="52">
        <f>U52+V52+W52+X52</f>
        <v>0</v>
      </c>
      <c r="U52" s="52">
        <v>0</v>
      </c>
      <c r="V52" s="52">
        <v>0</v>
      </c>
      <c r="W52" s="52">
        <v>0</v>
      </c>
      <c r="X52" s="52">
        <v>0</v>
      </c>
      <c r="Y52" s="52">
        <f>Z52</f>
        <v>0</v>
      </c>
      <c r="Z52" s="52">
        <v>0</v>
      </c>
      <c r="AA52" s="52">
        <v>0</v>
      </c>
      <c r="AB52" s="52">
        <v>0</v>
      </c>
      <c r="AC52" s="52">
        <v>0</v>
      </c>
      <c r="AD52" s="54">
        <f t="shared" si="8"/>
        <v>984.1</v>
      </c>
      <c r="AI52" s="45"/>
    </row>
    <row r="53" spans="1:54" ht="56.25" customHeight="1">
      <c r="A53" s="64" t="s">
        <v>14</v>
      </c>
      <c r="B53" s="55" t="s">
        <v>77</v>
      </c>
      <c r="C53" s="56" t="s">
        <v>10</v>
      </c>
      <c r="D53" s="57" t="s">
        <v>53</v>
      </c>
      <c r="E53" s="52">
        <f>F53</f>
        <v>0</v>
      </c>
      <c r="F53" s="52">
        <f>1000-129-871</f>
        <v>0</v>
      </c>
      <c r="G53" s="52">
        <v>0</v>
      </c>
      <c r="H53" s="52">
        <v>0</v>
      </c>
      <c r="I53" s="52">
        <v>0</v>
      </c>
      <c r="J53" s="52">
        <f>K53+L53+M53+N53</f>
        <v>1000</v>
      </c>
      <c r="K53" s="52">
        <v>1000</v>
      </c>
      <c r="L53" s="52">
        <v>0</v>
      </c>
      <c r="M53" s="52">
        <v>0</v>
      </c>
      <c r="N53" s="52">
        <v>0</v>
      </c>
      <c r="O53" s="52">
        <f>P53+Q53+R53+S53</f>
        <v>1000</v>
      </c>
      <c r="P53" s="52">
        <v>1000</v>
      </c>
      <c r="Q53" s="52">
        <v>0</v>
      </c>
      <c r="R53" s="52">
        <v>0</v>
      </c>
      <c r="S53" s="52">
        <v>0</v>
      </c>
      <c r="T53" s="52">
        <f>U53</f>
        <v>1000</v>
      </c>
      <c r="U53" s="52">
        <v>1000</v>
      </c>
      <c r="V53" s="52">
        <v>0</v>
      </c>
      <c r="W53" s="52">
        <v>0</v>
      </c>
      <c r="X53" s="52">
        <v>0</v>
      </c>
      <c r="Y53" s="52">
        <f>Z53</f>
        <v>1000</v>
      </c>
      <c r="Z53" s="52">
        <v>1000</v>
      </c>
      <c r="AA53" s="52">
        <v>0</v>
      </c>
      <c r="AB53" s="52">
        <v>0</v>
      </c>
      <c r="AC53" s="52">
        <v>0</v>
      </c>
      <c r="AD53" s="54">
        <f t="shared" si="8"/>
        <v>4000</v>
      </c>
      <c r="AE53" s="2"/>
      <c r="BA53" s="2"/>
      <c r="BB53" s="2"/>
    </row>
    <row r="54" spans="1:53" ht="23.25" customHeight="1">
      <c r="A54" s="123" t="s">
        <v>17</v>
      </c>
      <c r="B54" s="138" t="s">
        <v>45</v>
      </c>
      <c r="C54" s="56" t="s">
        <v>10</v>
      </c>
      <c r="D54" s="57" t="s">
        <v>53</v>
      </c>
      <c r="E54" s="52">
        <f>F54</f>
        <v>9323</v>
      </c>
      <c r="F54" s="52">
        <f>2469+300+996+2719+2100-132+871</f>
        <v>9323</v>
      </c>
      <c r="G54" s="52">
        <v>0</v>
      </c>
      <c r="H54" s="52">
        <v>0</v>
      </c>
      <c r="I54" s="52">
        <v>0</v>
      </c>
      <c r="J54" s="52">
        <f>K54+L54+M54+N54</f>
        <v>3769</v>
      </c>
      <c r="K54" s="52">
        <f>2469+300+1000</f>
        <v>3769</v>
      </c>
      <c r="L54" s="52">
        <v>0</v>
      </c>
      <c r="M54" s="52">
        <v>0</v>
      </c>
      <c r="N54" s="52">
        <v>0</v>
      </c>
      <c r="O54" s="52">
        <f>P54+Q54+R54+S54</f>
        <v>3769</v>
      </c>
      <c r="P54" s="52">
        <f>2469+300+1000</f>
        <v>3769</v>
      </c>
      <c r="Q54" s="52">
        <v>0</v>
      </c>
      <c r="R54" s="52">
        <v>0</v>
      </c>
      <c r="S54" s="52">
        <v>0</v>
      </c>
      <c r="T54" s="52">
        <f>U54+V54+W54+X54</f>
        <v>6025</v>
      </c>
      <c r="U54" s="52">
        <v>6025</v>
      </c>
      <c r="V54" s="52">
        <v>0</v>
      </c>
      <c r="W54" s="52">
        <v>0</v>
      </c>
      <c r="X54" s="52">
        <v>0</v>
      </c>
      <c r="Y54" s="52">
        <f>Z54</f>
        <v>6025</v>
      </c>
      <c r="Z54" s="52">
        <v>6025</v>
      </c>
      <c r="AA54" s="52">
        <v>0</v>
      </c>
      <c r="AB54" s="52">
        <v>0</v>
      </c>
      <c r="AC54" s="52">
        <v>0</v>
      </c>
      <c r="AD54" s="54">
        <f t="shared" si="8"/>
        <v>28911</v>
      </c>
      <c r="AI54" s="124"/>
      <c r="AJ54" s="124"/>
      <c r="AK54" s="124"/>
      <c r="AL54" s="124"/>
      <c r="AM54" s="124"/>
      <c r="AN54" s="124"/>
      <c r="AO54" s="124"/>
      <c r="AP54" s="124"/>
      <c r="AQ54" s="124"/>
      <c r="AR54" s="124"/>
      <c r="BA54" s="2"/>
    </row>
    <row r="55" spans="1:53" s="34" customFormat="1" ht="35.25" customHeight="1">
      <c r="A55" s="123"/>
      <c r="B55" s="138"/>
      <c r="C55" s="56" t="s">
        <v>89</v>
      </c>
      <c r="D55" s="57" t="s">
        <v>53</v>
      </c>
      <c r="E55" s="52">
        <f>F55+G55+H55+I55</f>
        <v>2397.9</v>
      </c>
      <c r="F55" s="52">
        <f>1927.2-32+502.7</f>
        <v>2397.9</v>
      </c>
      <c r="G55" s="52">
        <v>0</v>
      </c>
      <c r="H55" s="52">
        <v>0</v>
      </c>
      <c r="I55" s="52">
        <v>0</v>
      </c>
      <c r="J55" s="52">
        <f>K55+L55+M55+N55</f>
        <v>1402</v>
      </c>
      <c r="K55" s="52">
        <v>1402</v>
      </c>
      <c r="L55" s="52">
        <v>0</v>
      </c>
      <c r="M55" s="52">
        <v>0</v>
      </c>
      <c r="N55" s="52">
        <v>0</v>
      </c>
      <c r="O55" s="52">
        <f>P55+Q55+R55+S55</f>
        <v>1402</v>
      </c>
      <c r="P55" s="52">
        <v>1402</v>
      </c>
      <c r="Q55" s="52">
        <v>0</v>
      </c>
      <c r="R55" s="52">
        <v>0</v>
      </c>
      <c r="S55" s="52">
        <v>0</v>
      </c>
      <c r="T55" s="52">
        <f>U55+V55+W55+X55</f>
        <v>1870</v>
      </c>
      <c r="U55" s="52">
        <v>1870</v>
      </c>
      <c r="V55" s="52">
        <v>0</v>
      </c>
      <c r="W55" s="52">
        <v>0</v>
      </c>
      <c r="X55" s="52">
        <v>0</v>
      </c>
      <c r="Y55" s="52">
        <f>Z55+AA55+AB55+AC55</f>
        <v>1870</v>
      </c>
      <c r="Z55" s="52">
        <v>1870</v>
      </c>
      <c r="AA55" s="52">
        <v>0</v>
      </c>
      <c r="AB55" s="52">
        <v>0</v>
      </c>
      <c r="AC55" s="52">
        <v>0</v>
      </c>
      <c r="AD55" s="54">
        <f t="shared" si="8"/>
        <v>8941.9</v>
      </c>
      <c r="AE55" s="35"/>
      <c r="AF55" s="35"/>
      <c r="AI55" s="121"/>
      <c r="AJ55" s="121"/>
      <c r="AK55" s="121"/>
      <c r="AL55" s="60"/>
      <c r="AM55" s="51"/>
      <c r="AN55" s="51"/>
      <c r="AO55" s="51"/>
      <c r="AP55" s="51"/>
      <c r="AQ55" s="51"/>
      <c r="AR55" s="51"/>
      <c r="BA55" s="35"/>
    </row>
    <row r="56" spans="1:54" s="9" customFormat="1" ht="32.25" customHeight="1">
      <c r="A56" s="64"/>
      <c r="B56" s="55" t="s">
        <v>15</v>
      </c>
      <c r="C56" s="56"/>
      <c r="D56" s="57"/>
      <c r="E56" s="52">
        <f>F56+G56+H56+I56</f>
        <v>18026</v>
      </c>
      <c r="F56" s="52">
        <f>F51+F53+F54+F55+F52</f>
        <v>14388</v>
      </c>
      <c r="G56" s="52">
        <f>G51+G53+G54+G55</f>
        <v>3638</v>
      </c>
      <c r="H56" s="52">
        <f>H51+H53+H54+H55</f>
        <v>0</v>
      </c>
      <c r="I56" s="52">
        <f>I51+I53+I54+I55</f>
        <v>0</v>
      </c>
      <c r="J56" s="52">
        <f>J51+J53+J54+J55+J52</f>
        <v>8270</v>
      </c>
      <c r="K56" s="52">
        <f>K51+K53+K54+K55+K52</f>
        <v>8270</v>
      </c>
      <c r="L56" s="52">
        <f aca="true" t="shared" si="9" ref="L56:AC56">L51+L53+L54+L55+L52</f>
        <v>0</v>
      </c>
      <c r="M56" s="52">
        <f t="shared" si="9"/>
        <v>0</v>
      </c>
      <c r="N56" s="52">
        <f t="shared" si="9"/>
        <v>0</v>
      </c>
      <c r="O56" s="52">
        <f t="shared" si="9"/>
        <v>8270</v>
      </c>
      <c r="P56" s="52">
        <f t="shared" si="9"/>
        <v>8270</v>
      </c>
      <c r="Q56" s="52">
        <f t="shared" si="9"/>
        <v>0</v>
      </c>
      <c r="R56" s="52">
        <f t="shared" si="9"/>
        <v>0</v>
      </c>
      <c r="S56" s="52">
        <f t="shared" si="9"/>
        <v>0</v>
      </c>
      <c r="T56" s="52">
        <f t="shared" si="9"/>
        <v>10829</v>
      </c>
      <c r="U56" s="52">
        <f t="shared" si="9"/>
        <v>10829</v>
      </c>
      <c r="V56" s="52">
        <f t="shared" si="9"/>
        <v>0</v>
      </c>
      <c r="W56" s="52">
        <f t="shared" si="9"/>
        <v>0</v>
      </c>
      <c r="X56" s="52">
        <f t="shared" si="9"/>
        <v>0</v>
      </c>
      <c r="Y56" s="52">
        <f t="shared" si="9"/>
        <v>10829</v>
      </c>
      <c r="Z56" s="52">
        <f t="shared" si="9"/>
        <v>10829</v>
      </c>
      <c r="AA56" s="52">
        <f t="shared" si="9"/>
        <v>0</v>
      </c>
      <c r="AB56" s="52">
        <f t="shared" si="9"/>
        <v>0</v>
      </c>
      <c r="AC56" s="52">
        <f t="shared" si="9"/>
        <v>0</v>
      </c>
      <c r="AD56" s="54">
        <f t="shared" si="8"/>
        <v>56224</v>
      </c>
      <c r="AE56" s="31">
        <f>E56-E55-E52</f>
        <v>15266</v>
      </c>
      <c r="AF56" s="31">
        <v>10829</v>
      </c>
      <c r="AG56" s="31"/>
      <c r="AH56" s="31"/>
      <c r="AI56" s="49"/>
      <c r="AJ56" s="8"/>
      <c r="BA56" s="8"/>
      <c r="BB56" s="8"/>
    </row>
    <row r="57" spans="1:38" s="9" customFormat="1" ht="30.75" customHeight="1">
      <c r="A57" s="131" t="s">
        <v>75</v>
      </c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3"/>
      <c r="AI57" s="46"/>
      <c r="AL57" s="37"/>
    </row>
    <row r="58" spans="1:35" s="9" customFormat="1" ht="68.25" customHeight="1">
      <c r="A58" s="64" t="s">
        <v>16</v>
      </c>
      <c r="B58" s="55" t="s">
        <v>79</v>
      </c>
      <c r="C58" s="56" t="s">
        <v>10</v>
      </c>
      <c r="D58" s="57" t="s">
        <v>102</v>
      </c>
      <c r="E58" s="52">
        <f>F58+G58+H58+I58</f>
        <v>3575</v>
      </c>
      <c r="F58" s="52">
        <v>1723</v>
      </c>
      <c r="G58" s="52">
        <v>1852</v>
      </c>
      <c r="H58" s="52">
        <v>0</v>
      </c>
      <c r="I58" s="52">
        <v>0</v>
      </c>
      <c r="J58" s="52">
        <f>K58+L58+M58+N58</f>
        <v>1852</v>
      </c>
      <c r="K58" s="52">
        <v>0</v>
      </c>
      <c r="L58" s="52">
        <v>1852</v>
      </c>
      <c r="M58" s="52">
        <v>0</v>
      </c>
      <c r="N58" s="52">
        <v>0</v>
      </c>
      <c r="O58" s="52">
        <v>0</v>
      </c>
      <c r="P58" s="52">
        <v>0</v>
      </c>
      <c r="Q58" s="52">
        <v>0</v>
      </c>
      <c r="R58" s="52">
        <v>0</v>
      </c>
      <c r="S58" s="52">
        <v>0</v>
      </c>
      <c r="T58" s="52" t="s">
        <v>56</v>
      </c>
      <c r="U58" s="52">
        <v>0</v>
      </c>
      <c r="V58" s="52" t="s">
        <v>56</v>
      </c>
      <c r="W58" s="52">
        <v>0</v>
      </c>
      <c r="X58" s="52">
        <v>0</v>
      </c>
      <c r="Y58" s="52" t="s">
        <v>56</v>
      </c>
      <c r="Z58" s="52">
        <v>0</v>
      </c>
      <c r="AA58" s="52" t="s">
        <v>56</v>
      </c>
      <c r="AB58" s="52">
        <v>0</v>
      </c>
      <c r="AC58" s="52">
        <v>0</v>
      </c>
      <c r="AD58" s="54">
        <f>4540*2+E58+J58</f>
        <v>14507</v>
      </c>
      <c r="AE58" s="8"/>
      <c r="AI58" s="46"/>
    </row>
    <row r="59" spans="1:35" s="9" customFormat="1" ht="25.5" customHeight="1">
      <c r="A59" s="64"/>
      <c r="B59" s="55" t="s">
        <v>21</v>
      </c>
      <c r="C59" s="56"/>
      <c r="D59" s="57"/>
      <c r="E59" s="52">
        <f aca="true" t="shared" si="10" ref="E59:Q59">E58</f>
        <v>3575</v>
      </c>
      <c r="F59" s="52">
        <f t="shared" si="10"/>
        <v>1723</v>
      </c>
      <c r="G59" s="52">
        <f t="shared" si="10"/>
        <v>1852</v>
      </c>
      <c r="H59" s="52">
        <f t="shared" si="10"/>
        <v>0</v>
      </c>
      <c r="I59" s="52">
        <f t="shared" si="10"/>
        <v>0</v>
      </c>
      <c r="J59" s="52">
        <f t="shared" si="10"/>
        <v>1852</v>
      </c>
      <c r="K59" s="52">
        <f t="shared" si="10"/>
        <v>0</v>
      </c>
      <c r="L59" s="52">
        <f t="shared" si="10"/>
        <v>1852</v>
      </c>
      <c r="M59" s="52">
        <f t="shared" si="10"/>
        <v>0</v>
      </c>
      <c r="N59" s="52">
        <f t="shared" si="10"/>
        <v>0</v>
      </c>
      <c r="O59" s="52">
        <v>0</v>
      </c>
      <c r="P59" s="52">
        <f t="shared" si="10"/>
        <v>0</v>
      </c>
      <c r="Q59" s="52">
        <f t="shared" si="10"/>
        <v>0</v>
      </c>
      <c r="R59" s="52">
        <f aca="true" t="shared" si="11" ref="R59:AD59">R58</f>
        <v>0</v>
      </c>
      <c r="S59" s="52">
        <f t="shared" si="11"/>
        <v>0</v>
      </c>
      <c r="T59" s="52" t="str">
        <f t="shared" si="11"/>
        <v>4540*</v>
      </c>
      <c r="U59" s="52">
        <f t="shared" si="11"/>
        <v>0</v>
      </c>
      <c r="V59" s="52" t="str">
        <f t="shared" si="11"/>
        <v>4540*</v>
      </c>
      <c r="W59" s="52">
        <f t="shared" si="11"/>
        <v>0</v>
      </c>
      <c r="X59" s="52">
        <f t="shared" si="11"/>
        <v>0</v>
      </c>
      <c r="Y59" s="52" t="str">
        <f t="shared" si="11"/>
        <v>4540*</v>
      </c>
      <c r="Z59" s="52">
        <f t="shared" si="11"/>
        <v>0</v>
      </c>
      <c r="AA59" s="52" t="str">
        <f t="shared" si="11"/>
        <v>4540*</v>
      </c>
      <c r="AB59" s="52">
        <f t="shared" si="11"/>
        <v>0</v>
      </c>
      <c r="AC59" s="52">
        <f t="shared" si="11"/>
        <v>0</v>
      </c>
      <c r="AD59" s="54">
        <f t="shared" si="11"/>
        <v>14507</v>
      </c>
      <c r="AE59" s="8"/>
      <c r="AI59" s="46"/>
    </row>
    <row r="60" spans="1:31" ht="19.5" customHeight="1" hidden="1">
      <c r="A60" s="127"/>
      <c r="B60" s="134"/>
      <c r="C60" s="134"/>
      <c r="D60" s="128"/>
      <c r="E60" s="79"/>
      <c r="F60" s="80"/>
      <c r="G60" s="81"/>
      <c r="H60" s="81"/>
      <c r="I60" s="81"/>
      <c r="J60" s="82"/>
      <c r="K60" s="82"/>
      <c r="L60" s="81"/>
      <c r="M60" s="81"/>
      <c r="N60" s="81"/>
      <c r="O60" s="82"/>
      <c r="P60" s="79"/>
      <c r="Q60" s="81"/>
      <c r="R60" s="81"/>
      <c r="S60" s="81"/>
      <c r="T60" s="83">
        <v>277465</v>
      </c>
      <c r="U60" s="84" t="e">
        <f>#REF!+#REF!+#REF!+#REF!+#REF!+#REF!+#REF!</f>
        <v>#REF!</v>
      </c>
      <c r="V60" s="81"/>
      <c r="W60" s="81"/>
      <c r="X60" s="81"/>
      <c r="Y60" s="85"/>
      <c r="Z60" s="125">
        <v>276574</v>
      </c>
      <c r="AA60" s="126"/>
      <c r="AB60" s="81"/>
      <c r="AC60" s="81"/>
      <c r="AD60" s="86"/>
      <c r="AE60" s="2"/>
    </row>
    <row r="61" spans="1:31" ht="19.5" customHeight="1" hidden="1">
      <c r="A61" s="127"/>
      <c r="B61" s="128"/>
      <c r="C61" s="78"/>
      <c r="D61" s="78"/>
      <c r="E61" s="79"/>
      <c r="F61" s="80"/>
      <c r="G61" s="81"/>
      <c r="H61" s="81"/>
      <c r="I61" s="81"/>
      <c r="J61" s="82"/>
      <c r="K61" s="84"/>
      <c r="L61" s="81"/>
      <c r="M61" s="81"/>
      <c r="N61" s="81"/>
      <c r="O61" s="82"/>
      <c r="P61" s="87"/>
      <c r="Q61" s="81"/>
      <c r="R61" s="81"/>
      <c r="S61" s="81"/>
      <c r="T61" s="84"/>
      <c r="U61" s="83"/>
      <c r="V61" s="81"/>
      <c r="W61" s="81"/>
      <c r="X61" s="81"/>
      <c r="Y61" s="84"/>
      <c r="Z61" s="155"/>
      <c r="AA61" s="156"/>
      <c r="AB61" s="81"/>
      <c r="AC61" s="81"/>
      <c r="AD61" s="86" t="e">
        <f>AD93+2283</f>
        <v>#VALUE!</v>
      </c>
      <c r="AE61" s="2"/>
    </row>
    <row r="62" spans="1:30" ht="25.5" customHeight="1" hidden="1">
      <c r="A62" s="127"/>
      <c r="B62" s="128"/>
      <c r="C62" s="79"/>
      <c r="D62" s="88"/>
      <c r="E62" s="89"/>
      <c r="F62" s="90"/>
      <c r="G62" s="91"/>
      <c r="H62" s="91"/>
      <c r="I62" s="91"/>
      <c r="J62" s="92"/>
      <c r="K62" s="93"/>
      <c r="L62" s="94"/>
      <c r="M62" s="94"/>
      <c r="N62" s="94"/>
      <c r="O62" s="92"/>
      <c r="P62" s="91">
        <f>683+708+892</f>
        <v>2283</v>
      </c>
      <c r="Q62" s="91"/>
      <c r="R62" s="91"/>
      <c r="S62" s="71"/>
      <c r="T62" s="89"/>
      <c r="U62" s="90"/>
      <c r="V62" s="91"/>
      <c r="W62" s="91"/>
      <c r="X62" s="91"/>
      <c r="Y62" s="89"/>
      <c r="Z62" s="90"/>
      <c r="AA62" s="91"/>
      <c r="AB62" s="91"/>
      <c r="AC62" s="91"/>
      <c r="AD62" s="86"/>
    </row>
    <row r="63" spans="1:30" ht="15" customHeight="1" hidden="1">
      <c r="A63" s="95"/>
      <c r="B63" s="96"/>
      <c r="C63" s="97"/>
      <c r="D63" s="98"/>
      <c r="E63" s="89"/>
      <c r="F63" s="90"/>
      <c r="G63" s="91"/>
      <c r="H63" s="91"/>
      <c r="I63" s="91"/>
      <c r="J63" s="89"/>
      <c r="K63" s="99"/>
      <c r="L63" s="91"/>
      <c r="M63" s="91"/>
      <c r="N63" s="91"/>
      <c r="O63" s="89"/>
      <c r="P63" s="99"/>
      <c r="Q63" s="91"/>
      <c r="R63" s="91"/>
      <c r="S63" s="91"/>
      <c r="T63" s="89"/>
      <c r="U63" s="90"/>
      <c r="V63" s="91"/>
      <c r="W63" s="91"/>
      <c r="X63" s="91"/>
      <c r="Y63" s="89"/>
      <c r="Z63" s="90" t="e">
        <f>Z60-#REF!</f>
        <v>#REF!</v>
      </c>
      <c r="AA63" s="91"/>
      <c r="AB63" s="91"/>
      <c r="AC63" s="91"/>
      <c r="AD63" s="100"/>
    </row>
    <row r="64" spans="1:31" ht="15" customHeight="1" hidden="1">
      <c r="A64" s="95"/>
      <c r="B64" s="81"/>
      <c r="C64" s="101"/>
      <c r="D64" s="102"/>
      <c r="E64" s="89"/>
      <c r="F64" s="90"/>
      <c r="G64" s="91"/>
      <c r="H64" s="71"/>
      <c r="I64" s="91"/>
      <c r="J64" s="89"/>
      <c r="K64" s="90"/>
      <c r="L64" s="91"/>
      <c r="M64" s="91"/>
      <c r="N64" s="91"/>
      <c r="O64" s="89"/>
      <c r="P64" s="103"/>
      <c r="Q64" s="91"/>
      <c r="R64" s="91"/>
      <c r="S64" s="91"/>
      <c r="T64" s="89"/>
      <c r="U64" s="90"/>
      <c r="V64" s="91"/>
      <c r="W64" s="91"/>
      <c r="X64" s="91"/>
      <c r="Y64" s="89"/>
      <c r="Z64" s="90"/>
      <c r="AA64" s="91"/>
      <c r="AB64" s="91"/>
      <c r="AC64" s="91"/>
      <c r="AD64" s="86"/>
      <c r="AE64" s="2"/>
    </row>
    <row r="65" spans="1:30" ht="15" hidden="1">
      <c r="A65" s="95"/>
      <c r="B65" s="81"/>
      <c r="C65" s="79"/>
      <c r="D65" s="104"/>
      <c r="E65" s="89"/>
      <c r="F65" s="90"/>
      <c r="G65" s="91"/>
      <c r="H65" s="91"/>
      <c r="I65" s="91"/>
      <c r="J65" s="89"/>
      <c r="K65" s="90"/>
      <c r="L65" s="91"/>
      <c r="M65" s="91"/>
      <c r="N65" s="91"/>
      <c r="O65" s="89"/>
      <c r="P65" s="99"/>
      <c r="Q65" s="91"/>
      <c r="R65" s="91"/>
      <c r="S65" s="91"/>
      <c r="T65" s="89">
        <v>20000000</v>
      </c>
      <c r="U65" s="90">
        <f>T65*8%</f>
        <v>1600000</v>
      </c>
      <c r="V65" s="91"/>
      <c r="W65" s="91"/>
      <c r="X65" s="91"/>
      <c r="Y65" s="89"/>
      <c r="Z65" s="90"/>
      <c r="AA65" s="91"/>
      <c r="AB65" s="91"/>
      <c r="AC65" s="91"/>
      <c r="AD65" s="105"/>
    </row>
    <row r="66" spans="1:30" ht="15" hidden="1">
      <c r="A66" s="95"/>
      <c r="B66" s="81"/>
      <c r="C66" s="79"/>
      <c r="D66" s="102"/>
      <c r="E66" s="106"/>
      <c r="F66" s="79"/>
      <c r="G66" s="139"/>
      <c r="H66" s="140"/>
      <c r="I66" s="79"/>
      <c r="J66" s="107"/>
      <c r="K66" s="81"/>
      <c r="L66" s="81"/>
      <c r="M66" s="81"/>
      <c r="N66" s="81"/>
      <c r="O66" s="84"/>
      <c r="P66" s="82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100"/>
    </row>
    <row r="67" spans="1:30" ht="116.25" customHeight="1" hidden="1">
      <c r="A67" s="95"/>
      <c r="B67" s="81"/>
      <c r="C67" s="81"/>
      <c r="D67" s="104"/>
      <c r="E67" s="106"/>
      <c r="F67" s="82"/>
      <c r="G67" s="81"/>
      <c r="H67" s="81"/>
      <c r="I67" s="81"/>
      <c r="J67" s="106"/>
      <c r="K67" s="82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105"/>
    </row>
    <row r="68" spans="1:30" ht="15" hidden="1">
      <c r="A68" s="95"/>
      <c r="B68" s="81"/>
      <c r="C68" s="81"/>
      <c r="D68" s="104"/>
      <c r="E68" s="106"/>
      <c r="F68" s="79"/>
      <c r="G68" s="81"/>
      <c r="H68" s="81"/>
      <c r="I68" s="81"/>
      <c r="J68" s="82"/>
      <c r="K68" s="81"/>
      <c r="L68" s="81"/>
      <c r="M68" s="81"/>
      <c r="N68" s="81"/>
      <c r="O68" s="81"/>
      <c r="P68" s="81"/>
      <c r="Q68" s="81"/>
      <c r="R68" s="81"/>
      <c r="S68" s="81"/>
      <c r="T68" s="79">
        <f>U93-T60</f>
        <v>921833</v>
      </c>
      <c r="U68" s="84"/>
      <c r="V68" s="81"/>
      <c r="W68" s="81"/>
      <c r="X68" s="81"/>
      <c r="Y68" s="81"/>
      <c r="Z68" s="81"/>
      <c r="AA68" s="81"/>
      <c r="AB68" s="81"/>
      <c r="AC68" s="81"/>
      <c r="AD68" s="100"/>
    </row>
    <row r="69" spans="1:30" ht="15" hidden="1">
      <c r="A69" s="95"/>
      <c r="B69" s="81"/>
      <c r="C69" s="81"/>
      <c r="D69" s="104"/>
      <c r="E69" s="81"/>
      <c r="F69" s="81"/>
      <c r="G69" s="81"/>
      <c r="H69" s="81"/>
      <c r="I69" s="81"/>
      <c r="J69" s="79"/>
      <c r="K69" s="81"/>
      <c r="L69" s="81"/>
      <c r="M69" s="81"/>
      <c r="N69" s="81"/>
      <c r="O69" s="81"/>
      <c r="P69" s="81"/>
      <c r="Q69" s="81"/>
      <c r="R69" s="81"/>
      <c r="S69" s="81"/>
      <c r="T69" s="83" t="e">
        <f>T59+T56+T29+T49+T35+#REF!</f>
        <v>#VALUE!</v>
      </c>
      <c r="U69" s="81"/>
      <c r="V69" s="81"/>
      <c r="W69" s="81"/>
      <c r="X69" s="81"/>
      <c r="Y69" s="81"/>
      <c r="Z69" s="79" t="e">
        <f>#REF!-Z60</f>
        <v>#REF!</v>
      </c>
      <c r="AA69" s="81"/>
      <c r="AB69" s="81"/>
      <c r="AC69" s="81"/>
      <c r="AD69" s="100"/>
    </row>
    <row r="70" spans="1:30" ht="15" hidden="1">
      <c r="A70" s="95"/>
      <c r="B70" s="81"/>
      <c r="C70" s="81"/>
      <c r="D70" s="104"/>
      <c r="E70" s="81"/>
      <c r="F70" s="79"/>
      <c r="G70" s="108"/>
      <c r="H70" s="81"/>
      <c r="I70" s="81"/>
      <c r="J70" s="79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100"/>
    </row>
    <row r="71" spans="1:30" ht="15" hidden="1">
      <c r="A71" s="95"/>
      <c r="B71" s="81"/>
      <c r="C71" s="81"/>
      <c r="D71" s="104"/>
      <c r="E71" s="81"/>
      <c r="F71" s="79"/>
      <c r="G71" s="81"/>
      <c r="H71" s="81"/>
      <c r="I71" s="81"/>
      <c r="J71" s="79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100"/>
    </row>
    <row r="72" spans="1:30" ht="15" hidden="1">
      <c r="A72" s="95"/>
      <c r="B72" s="81"/>
      <c r="C72" s="81"/>
      <c r="D72" s="104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79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100"/>
    </row>
    <row r="73" spans="1:30" ht="15" hidden="1">
      <c r="A73" s="95"/>
      <c r="B73" s="81"/>
      <c r="C73" s="81"/>
      <c r="D73" s="104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100"/>
    </row>
    <row r="74" spans="1:30" ht="15" hidden="1">
      <c r="A74" s="95"/>
      <c r="B74" s="81"/>
      <c r="C74" s="81"/>
      <c r="D74" s="104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100"/>
    </row>
    <row r="75" spans="1:30" ht="15" hidden="1">
      <c r="A75" s="95"/>
      <c r="B75" s="81"/>
      <c r="C75" s="81"/>
      <c r="D75" s="104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100"/>
    </row>
    <row r="76" spans="1:30" ht="15" hidden="1">
      <c r="A76" s="95"/>
      <c r="B76" s="81"/>
      <c r="C76" s="81"/>
      <c r="D76" s="104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4">
        <f>F93+K93+P93+U93+Z93+174</f>
        <v>3622883</v>
      </c>
      <c r="U76" s="81"/>
      <c r="V76" s="81"/>
      <c r="W76" s="81"/>
      <c r="X76" s="81"/>
      <c r="Y76" s="81"/>
      <c r="Z76" s="81"/>
      <c r="AA76" s="81"/>
      <c r="AB76" s="81"/>
      <c r="AC76" s="81"/>
      <c r="AD76" s="100">
        <v>15</v>
      </c>
    </row>
    <row r="77" spans="1:30" ht="15" hidden="1">
      <c r="A77" s="95"/>
      <c r="B77" s="81"/>
      <c r="C77" s="81"/>
      <c r="D77" s="104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 t="s">
        <v>47</v>
      </c>
      <c r="U77" s="83" t="e">
        <f>#REF!+#REF!+#REF!+#REF!+#REF!+#REF!</f>
        <v>#REF!</v>
      </c>
      <c r="V77" s="81"/>
      <c r="W77" s="81"/>
      <c r="X77" s="81">
        <v>36952</v>
      </c>
      <c r="Y77" s="81">
        <v>100</v>
      </c>
      <c r="Z77" s="81">
        <f>36003+949</f>
        <v>36952</v>
      </c>
      <c r="AA77" s="81">
        <v>105.4</v>
      </c>
      <c r="AB77" s="81"/>
      <c r="AC77" s="81"/>
      <c r="AD77" s="105" t="e">
        <f>U77-36003</f>
        <v>#REF!</v>
      </c>
    </row>
    <row r="78" spans="1:30" ht="15" hidden="1">
      <c r="A78" s="95"/>
      <c r="B78" s="81"/>
      <c r="C78" s="81"/>
      <c r="D78" s="104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>
        <v>100</v>
      </c>
      <c r="U78" s="109" t="e">
        <f>#REF!+#REF!+#REF!+#REF!+#REF!+#REF!</f>
        <v>#REF!</v>
      </c>
      <c r="V78" s="81"/>
      <c r="W78" s="81"/>
      <c r="X78" s="81">
        <v>1884.4</v>
      </c>
      <c r="Y78" s="81">
        <f>X78*Y77/X77</f>
        <v>5.09958865555315</v>
      </c>
      <c r="Z78" s="81">
        <v>35067.6</v>
      </c>
      <c r="AA78" s="81">
        <v>100</v>
      </c>
      <c r="AB78" s="81"/>
      <c r="AC78" s="81"/>
      <c r="AD78" s="105" t="e">
        <f>U77-36003</f>
        <v>#REF!</v>
      </c>
    </row>
    <row r="79" spans="1:30" ht="29.25" customHeight="1">
      <c r="A79" s="131" t="s">
        <v>111</v>
      </c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3"/>
    </row>
    <row r="80" spans="1:30" ht="30" customHeight="1">
      <c r="A80" s="123" t="s">
        <v>106</v>
      </c>
      <c r="B80" s="138" t="s">
        <v>78</v>
      </c>
      <c r="C80" s="56" t="s">
        <v>10</v>
      </c>
      <c r="D80" s="57" t="s">
        <v>53</v>
      </c>
      <c r="E80" s="52">
        <f aca="true" t="shared" si="12" ref="E80:E93">F80+G80+H80+I80</f>
        <v>7262</v>
      </c>
      <c r="F80" s="52">
        <f>1500+238+5524</f>
        <v>7262</v>
      </c>
      <c r="G80" s="52">
        <v>0</v>
      </c>
      <c r="H80" s="52">
        <v>0</v>
      </c>
      <c r="I80" s="52">
        <v>0</v>
      </c>
      <c r="J80" s="52">
        <f>K80</f>
        <v>1500</v>
      </c>
      <c r="K80" s="52">
        <v>1500</v>
      </c>
      <c r="L80" s="52">
        <v>0</v>
      </c>
      <c r="M80" s="52">
        <v>0</v>
      </c>
      <c r="N80" s="52">
        <v>0</v>
      </c>
      <c r="O80" s="52">
        <f>P80+Q80+R80+S80</f>
        <v>1500</v>
      </c>
      <c r="P80" s="52">
        <v>1500</v>
      </c>
      <c r="Q80" s="52">
        <v>0</v>
      </c>
      <c r="R80" s="52">
        <v>0</v>
      </c>
      <c r="S80" s="52">
        <v>0</v>
      </c>
      <c r="T80" s="52">
        <f>U80+V80+W80+X80</f>
        <v>3970</v>
      </c>
      <c r="U80" s="52">
        <v>3970</v>
      </c>
      <c r="V80" s="52">
        <v>0</v>
      </c>
      <c r="W80" s="52">
        <v>0</v>
      </c>
      <c r="X80" s="52">
        <v>0</v>
      </c>
      <c r="Y80" s="52">
        <f>Z80+AA80+AB80+AC80</f>
        <v>3970</v>
      </c>
      <c r="Z80" s="52">
        <v>3970</v>
      </c>
      <c r="AA80" s="52">
        <v>0</v>
      </c>
      <c r="AB80" s="52">
        <v>0</v>
      </c>
      <c r="AC80" s="52">
        <v>0</v>
      </c>
      <c r="AD80" s="54">
        <f>Y80+T80+O80+J80+E80</f>
        <v>18202</v>
      </c>
    </row>
    <row r="81" spans="1:30" ht="37.5" customHeight="1">
      <c r="A81" s="123"/>
      <c r="B81" s="138"/>
      <c r="C81" s="56" t="s">
        <v>89</v>
      </c>
      <c r="D81" s="57" t="s">
        <v>91</v>
      </c>
      <c r="E81" s="52">
        <f t="shared" si="12"/>
        <v>78</v>
      </c>
      <c r="F81" s="52">
        <v>78</v>
      </c>
      <c r="G81" s="52">
        <v>0</v>
      </c>
      <c r="H81" s="52">
        <v>0</v>
      </c>
      <c r="I81" s="52">
        <v>0</v>
      </c>
      <c r="J81" s="52">
        <f>K81+L81+M81+N81</f>
        <v>260</v>
      </c>
      <c r="K81" s="52">
        <v>260</v>
      </c>
      <c r="L81" s="52">
        <v>0</v>
      </c>
      <c r="M81" s="52">
        <v>0</v>
      </c>
      <c r="N81" s="52">
        <v>0</v>
      </c>
      <c r="O81" s="52">
        <f>P81+Q81+R81+S81</f>
        <v>260</v>
      </c>
      <c r="P81" s="52">
        <v>260</v>
      </c>
      <c r="Q81" s="52">
        <v>0</v>
      </c>
      <c r="R81" s="52">
        <v>0</v>
      </c>
      <c r="S81" s="52">
        <v>0</v>
      </c>
      <c r="T81" s="52">
        <f>U81+V81+W81+X81</f>
        <v>0</v>
      </c>
      <c r="U81" s="52">
        <v>0</v>
      </c>
      <c r="V81" s="52">
        <v>0</v>
      </c>
      <c r="W81" s="52">
        <v>0</v>
      </c>
      <c r="X81" s="52">
        <v>0</v>
      </c>
      <c r="Y81" s="52">
        <f>Z81+AA81+AB81+AC81</f>
        <v>0</v>
      </c>
      <c r="Z81" s="52">
        <v>0</v>
      </c>
      <c r="AA81" s="52">
        <v>0</v>
      </c>
      <c r="AB81" s="52">
        <v>0</v>
      </c>
      <c r="AC81" s="52">
        <v>0</v>
      </c>
      <c r="AD81" s="54">
        <f aca="true" t="shared" si="13" ref="AD81:AD88">Y81+T81+O81+J81+E81</f>
        <v>598</v>
      </c>
    </row>
    <row r="82" spans="1:38" ht="33" customHeight="1">
      <c r="A82" s="64" t="s">
        <v>107</v>
      </c>
      <c r="B82" s="55" t="s">
        <v>92</v>
      </c>
      <c r="C82" s="56" t="s">
        <v>10</v>
      </c>
      <c r="D82" s="57" t="s">
        <v>91</v>
      </c>
      <c r="E82" s="52">
        <f t="shared" si="12"/>
        <v>550</v>
      </c>
      <c r="F82" s="52">
        <f>1500-950</f>
        <v>550</v>
      </c>
      <c r="G82" s="52">
        <v>0</v>
      </c>
      <c r="H82" s="52">
        <v>0</v>
      </c>
      <c r="I82" s="52">
        <v>0</v>
      </c>
      <c r="J82" s="52">
        <f>K82+L82+M82+N82</f>
        <v>1500</v>
      </c>
      <c r="K82" s="52">
        <v>1500</v>
      </c>
      <c r="L82" s="52">
        <v>0</v>
      </c>
      <c r="M82" s="52">
        <v>0</v>
      </c>
      <c r="N82" s="52">
        <v>0</v>
      </c>
      <c r="O82" s="52">
        <f>P82+Q82+R82+S82</f>
        <v>1500</v>
      </c>
      <c r="P82" s="52">
        <v>1500</v>
      </c>
      <c r="Q82" s="52">
        <v>0</v>
      </c>
      <c r="R82" s="52">
        <v>0</v>
      </c>
      <c r="S82" s="52">
        <v>0</v>
      </c>
      <c r="T82" s="52">
        <f>U82+V82+W82+X82</f>
        <v>0</v>
      </c>
      <c r="U82" s="52">
        <v>0</v>
      </c>
      <c r="V82" s="52">
        <v>0</v>
      </c>
      <c r="W82" s="52">
        <v>0</v>
      </c>
      <c r="X82" s="52">
        <v>0</v>
      </c>
      <c r="Y82" s="52">
        <f>Z82+AA82+AB82+AC82</f>
        <v>0</v>
      </c>
      <c r="Z82" s="52">
        <v>0</v>
      </c>
      <c r="AA82" s="52">
        <v>0</v>
      </c>
      <c r="AB82" s="52">
        <v>0</v>
      </c>
      <c r="AC82" s="52">
        <v>0</v>
      </c>
      <c r="AD82" s="54">
        <f t="shared" si="13"/>
        <v>3550</v>
      </c>
      <c r="AI82" s="124"/>
      <c r="AJ82" s="124"/>
      <c r="AK82" s="124"/>
      <c r="AL82" s="124"/>
    </row>
    <row r="83" spans="1:30" ht="42" customHeight="1">
      <c r="A83" s="64" t="s">
        <v>108</v>
      </c>
      <c r="B83" s="55" t="s">
        <v>93</v>
      </c>
      <c r="C83" s="56" t="s">
        <v>10</v>
      </c>
      <c r="D83" s="57" t="s">
        <v>91</v>
      </c>
      <c r="E83" s="52">
        <f t="shared" si="12"/>
        <v>577</v>
      </c>
      <c r="F83" s="52">
        <f>620-43</f>
        <v>577</v>
      </c>
      <c r="G83" s="52">
        <v>0</v>
      </c>
      <c r="H83" s="52">
        <v>0</v>
      </c>
      <c r="I83" s="52">
        <v>0</v>
      </c>
      <c r="J83" s="52">
        <f>K83+L83+M83+N83</f>
        <v>620</v>
      </c>
      <c r="K83" s="52">
        <v>620</v>
      </c>
      <c r="L83" s="52">
        <v>0</v>
      </c>
      <c r="M83" s="52">
        <v>0</v>
      </c>
      <c r="N83" s="52">
        <v>0</v>
      </c>
      <c r="O83" s="52">
        <f>P83+Q83+R83+S83</f>
        <v>620</v>
      </c>
      <c r="P83" s="52">
        <v>620</v>
      </c>
      <c r="Q83" s="52">
        <v>0</v>
      </c>
      <c r="R83" s="52">
        <v>0</v>
      </c>
      <c r="S83" s="52">
        <v>0</v>
      </c>
      <c r="T83" s="52">
        <f>U83+V83+W83+X83</f>
        <v>0</v>
      </c>
      <c r="U83" s="52">
        <v>0</v>
      </c>
      <c r="V83" s="52">
        <v>0</v>
      </c>
      <c r="W83" s="52">
        <v>0</v>
      </c>
      <c r="X83" s="52">
        <v>0</v>
      </c>
      <c r="Y83" s="52">
        <f>Z83+AA83+AB83+AC83</f>
        <v>0</v>
      </c>
      <c r="Z83" s="52">
        <v>0</v>
      </c>
      <c r="AA83" s="52">
        <v>0</v>
      </c>
      <c r="AB83" s="52">
        <v>0</v>
      </c>
      <c r="AC83" s="52">
        <v>0</v>
      </c>
      <c r="AD83" s="54">
        <f t="shared" si="13"/>
        <v>1817</v>
      </c>
    </row>
    <row r="84" spans="1:30" ht="88.5" customHeight="1">
      <c r="A84" s="64" t="s">
        <v>110</v>
      </c>
      <c r="B84" s="66" t="s">
        <v>100</v>
      </c>
      <c r="C84" s="70" t="s">
        <v>89</v>
      </c>
      <c r="D84" s="57">
        <v>2020</v>
      </c>
      <c r="E84" s="52">
        <f t="shared" si="12"/>
        <v>1703.5</v>
      </c>
      <c r="F84" s="52">
        <f>1700+203.5-200</f>
        <v>1703.5</v>
      </c>
      <c r="G84" s="52">
        <v>0</v>
      </c>
      <c r="H84" s="52">
        <v>0</v>
      </c>
      <c r="I84" s="52">
        <v>0</v>
      </c>
      <c r="J84" s="52">
        <v>0</v>
      </c>
      <c r="K84" s="52">
        <v>0</v>
      </c>
      <c r="L84" s="52">
        <v>0</v>
      </c>
      <c r="M84" s="52">
        <v>0</v>
      </c>
      <c r="N84" s="52">
        <v>0</v>
      </c>
      <c r="O84" s="52">
        <v>0</v>
      </c>
      <c r="P84" s="52">
        <v>0</v>
      </c>
      <c r="Q84" s="52">
        <v>0</v>
      </c>
      <c r="R84" s="52">
        <v>0</v>
      </c>
      <c r="S84" s="52">
        <v>0</v>
      </c>
      <c r="T84" s="52">
        <v>0</v>
      </c>
      <c r="U84" s="52">
        <v>0</v>
      </c>
      <c r="V84" s="52">
        <v>0</v>
      </c>
      <c r="W84" s="52">
        <v>0</v>
      </c>
      <c r="X84" s="52">
        <v>0</v>
      </c>
      <c r="Y84" s="52">
        <v>0</v>
      </c>
      <c r="Z84" s="52">
        <v>0</v>
      </c>
      <c r="AA84" s="52">
        <v>0</v>
      </c>
      <c r="AB84" s="52">
        <v>0</v>
      </c>
      <c r="AC84" s="52">
        <v>0</v>
      </c>
      <c r="AD84" s="54">
        <f t="shared" si="13"/>
        <v>1703.5</v>
      </c>
    </row>
    <row r="85" spans="1:35" s="40" customFormat="1" ht="88.5" customHeight="1">
      <c r="A85" s="123" t="s">
        <v>109</v>
      </c>
      <c r="B85" s="138" t="s">
        <v>94</v>
      </c>
      <c r="C85" s="56" t="s">
        <v>10</v>
      </c>
      <c r="D85" s="57">
        <v>2020</v>
      </c>
      <c r="E85" s="52">
        <f t="shared" si="12"/>
        <v>73</v>
      </c>
      <c r="F85" s="52">
        <v>4</v>
      </c>
      <c r="G85" s="52">
        <v>69</v>
      </c>
      <c r="H85" s="52">
        <v>0</v>
      </c>
      <c r="I85" s="52">
        <v>0</v>
      </c>
      <c r="J85" s="52">
        <v>0</v>
      </c>
      <c r="K85" s="52">
        <v>0</v>
      </c>
      <c r="L85" s="52">
        <v>0</v>
      </c>
      <c r="M85" s="52">
        <v>0</v>
      </c>
      <c r="N85" s="52">
        <v>0</v>
      </c>
      <c r="O85" s="52">
        <f>P85+Q85+R85+S85</f>
        <v>0</v>
      </c>
      <c r="P85" s="52">
        <v>0</v>
      </c>
      <c r="Q85" s="52">
        <v>0</v>
      </c>
      <c r="R85" s="52">
        <v>0</v>
      </c>
      <c r="S85" s="52">
        <v>0</v>
      </c>
      <c r="T85" s="52">
        <f>U85+V85+W85+X85</f>
        <v>0</v>
      </c>
      <c r="U85" s="52">
        <v>0</v>
      </c>
      <c r="V85" s="52">
        <v>0</v>
      </c>
      <c r="W85" s="52">
        <v>0</v>
      </c>
      <c r="X85" s="52">
        <v>0</v>
      </c>
      <c r="Y85" s="52">
        <f>Z85+AA85+AB85+AC85</f>
        <v>0</v>
      </c>
      <c r="Z85" s="52">
        <v>0</v>
      </c>
      <c r="AA85" s="52">
        <v>0</v>
      </c>
      <c r="AB85" s="52">
        <v>0</v>
      </c>
      <c r="AC85" s="52">
        <v>0</v>
      </c>
      <c r="AD85" s="54">
        <f t="shared" si="13"/>
        <v>73</v>
      </c>
      <c r="AI85" s="44"/>
    </row>
    <row r="86" spans="1:35" s="40" customFormat="1" ht="75.75" customHeight="1">
      <c r="A86" s="123"/>
      <c r="B86" s="138"/>
      <c r="C86" s="56" t="s">
        <v>112</v>
      </c>
      <c r="D86" s="57" t="s">
        <v>116</v>
      </c>
      <c r="E86" s="52">
        <f t="shared" si="12"/>
        <v>227.1</v>
      </c>
      <c r="F86" s="52">
        <v>0</v>
      </c>
      <c r="G86" s="52">
        <v>227.1</v>
      </c>
      <c r="H86" s="52">
        <v>0</v>
      </c>
      <c r="I86" s="52">
        <v>0</v>
      </c>
      <c r="J86" s="52">
        <v>0</v>
      </c>
      <c r="K86" s="52">
        <v>0</v>
      </c>
      <c r="L86" s="52">
        <v>0</v>
      </c>
      <c r="M86" s="52">
        <v>0</v>
      </c>
      <c r="N86" s="52">
        <v>0</v>
      </c>
      <c r="O86" s="52">
        <f>P86+Q86+R86+S86</f>
        <v>0</v>
      </c>
      <c r="P86" s="52">
        <v>0</v>
      </c>
      <c r="Q86" s="52">
        <v>0</v>
      </c>
      <c r="R86" s="52">
        <v>0</v>
      </c>
      <c r="S86" s="52">
        <v>0</v>
      </c>
      <c r="T86" s="52">
        <f>U86+V86+W86+X86</f>
        <v>0</v>
      </c>
      <c r="U86" s="52">
        <v>0</v>
      </c>
      <c r="V86" s="52">
        <v>0</v>
      </c>
      <c r="W86" s="52">
        <v>0</v>
      </c>
      <c r="X86" s="52">
        <v>0</v>
      </c>
      <c r="Y86" s="52">
        <f>Z86+AA86+AB86+AC86</f>
        <v>0</v>
      </c>
      <c r="Z86" s="52">
        <v>0</v>
      </c>
      <c r="AA86" s="52">
        <v>0</v>
      </c>
      <c r="AB86" s="52">
        <v>0</v>
      </c>
      <c r="AC86" s="52">
        <v>0</v>
      </c>
      <c r="AD86" s="54">
        <f t="shared" si="13"/>
        <v>227.1</v>
      </c>
      <c r="AI86" s="44"/>
    </row>
    <row r="87" spans="1:35" s="40" customFormat="1" ht="79.5" customHeight="1">
      <c r="A87" s="123"/>
      <c r="B87" s="138"/>
      <c r="C87" s="56" t="s">
        <v>113</v>
      </c>
      <c r="D87" s="57" t="s">
        <v>116</v>
      </c>
      <c r="E87" s="52">
        <f t="shared" si="12"/>
        <v>383.2</v>
      </c>
      <c r="F87" s="52">
        <v>0</v>
      </c>
      <c r="G87" s="52">
        <v>383.2</v>
      </c>
      <c r="H87" s="52">
        <v>0</v>
      </c>
      <c r="I87" s="52">
        <v>0</v>
      </c>
      <c r="J87" s="52">
        <v>0</v>
      </c>
      <c r="K87" s="52">
        <v>0</v>
      </c>
      <c r="L87" s="52">
        <v>0</v>
      </c>
      <c r="M87" s="52">
        <v>0</v>
      </c>
      <c r="N87" s="52">
        <v>0</v>
      </c>
      <c r="O87" s="52">
        <f>P87+Q87+R87+S87</f>
        <v>0</v>
      </c>
      <c r="P87" s="52">
        <v>0</v>
      </c>
      <c r="Q87" s="52">
        <v>0</v>
      </c>
      <c r="R87" s="52">
        <v>0</v>
      </c>
      <c r="S87" s="52">
        <v>0</v>
      </c>
      <c r="T87" s="52">
        <f>U87+V87+W87+X87</f>
        <v>0</v>
      </c>
      <c r="U87" s="52">
        <v>0</v>
      </c>
      <c r="V87" s="52">
        <v>0</v>
      </c>
      <c r="W87" s="52">
        <v>0</v>
      </c>
      <c r="X87" s="52">
        <v>0</v>
      </c>
      <c r="Y87" s="52">
        <f>Z87+AA87+AB87+AC87</f>
        <v>0</v>
      </c>
      <c r="Z87" s="52">
        <v>0</v>
      </c>
      <c r="AA87" s="52">
        <v>0</v>
      </c>
      <c r="AB87" s="52">
        <v>0</v>
      </c>
      <c r="AC87" s="52">
        <v>0</v>
      </c>
      <c r="AD87" s="54">
        <f t="shared" si="13"/>
        <v>383.2</v>
      </c>
      <c r="AI87" s="44"/>
    </row>
    <row r="88" spans="1:35" s="40" customFormat="1" ht="76.5" customHeight="1">
      <c r="A88" s="123"/>
      <c r="B88" s="138"/>
      <c r="C88" s="56" t="s">
        <v>114</v>
      </c>
      <c r="D88" s="57" t="s">
        <v>116</v>
      </c>
      <c r="E88" s="52">
        <f t="shared" si="12"/>
        <v>176.1</v>
      </c>
      <c r="F88" s="52">
        <v>0</v>
      </c>
      <c r="G88" s="52">
        <v>176.1</v>
      </c>
      <c r="H88" s="52">
        <v>0</v>
      </c>
      <c r="I88" s="52">
        <v>0</v>
      </c>
      <c r="J88" s="52">
        <v>0</v>
      </c>
      <c r="K88" s="52">
        <v>0</v>
      </c>
      <c r="L88" s="52">
        <v>0</v>
      </c>
      <c r="M88" s="52">
        <v>0</v>
      </c>
      <c r="N88" s="52">
        <v>0</v>
      </c>
      <c r="O88" s="52">
        <f>P88+Q88+R88+S88</f>
        <v>0</v>
      </c>
      <c r="P88" s="52">
        <v>0</v>
      </c>
      <c r="Q88" s="52">
        <v>0</v>
      </c>
      <c r="R88" s="52">
        <v>0</v>
      </c>
      <c r="S88" s="52">
        <v>0</v>
      </c>
      <c r="T88" s="52">
        <f>U88+V88+W88+X88</f>
        <v>0</v>
      </c>
      <c r="U88" s="52">
        <v>0</v>
      </c>
      <c r="V88" s="52">
        <v>0</v>
      </c>
      <c r="W88" s="52">
        <v>0</v>
      </c>
      <c r="X88" s="52">
        <v>0</v>
      </c>
      <c r="Y88" s="52">
        <f>Z88+AA88+AB88+AC88</f>
        <v>0</v>
      </c>
      <c r="Z88" s="52">
        <v>0</v>
      </c>
      <c r="AA88" s="52">
        <v>0</v>
      </c>
      <c r="AB88" s="52">
        <v>0</v>
      </c>
      <c r="AC88" s="52">
        <v>0</v>
      </c>
      <c r="AD88" s="54">
        <f t="shared" si="13"/>
        <v>176.1</v>
      </c>
      <c r="AI88" s="44"/>
    </row>
    <row r="89" spans="1:30" ht="56.25" customHeight="1">
      <c r="A89" s="64"/>
      <c r="B89" s="55" t="s">
        <v>122</v>
      </c>
      <c r="C89" s="56"/>
      <c r="D89" s="57"/>
      <c r="E89" s="52">
        <f t="shared" si="12"/>
        <v>10243.5</v>
      </c>
      <c r="F89" s="52">
        <f>F85+F84+F83+F82+F81+F80+F86+F87+F88</f>
        <v>10174.5</v>
      </c>
      <c r="G89" s="52">
        <f>G85+G84+G83+G82+G81+G80</f>
        <v>69</v>
      </c>
      <c r="H89" s="52">
        <f aca="true" t="shared" si="14" ref="H89:AC89">H85+H84+H83+H82+H81+H80+H86+H87+H88</f>
        <v>0</v>
      </c>
      <c r="I89" s="52">
        <f t="shared" si="14"/>
        <v>0</v>
      </c>
      <c r="J89" s="52">
        <f t="shared" si="14"/>
        <v>3880</v>
      </c>
      <c r="K89" s="52">
        <f t="shared" si="14"/>
        <v>3880</v>
      </c>
      <c r="L89" s="52">
        <f t="shared" si="14"/>
        <v>0</v>
      </c>
      <c r="M89" s="52">
        <f t="shared" si="14"/>
        <v>0</v>
      </c>
      <c r="N89" s="52">
        <f t="shared" si="14"/>
        <v>0</v>
      </c>
      <c r="O89" s="52">
        <f t="shared" si="14"/>
        <v>3880</v>
      </c>
      <c r="P89" s="52">
        <f t="shared" si="14"/>
        <v>3880</v>
      </c>
      <c r="Q89" s="52">
        <f t="shared" si="14"/>
        <v>0</v>
      </c>
      <c r="R89" s="52">
        <f t="shared" si="14"/>
        <v>0</v>
      </c>
      <c r="S89" s="52">
        <f t="shared" si="14"/>
        <v>0</v>
      </c>
      <c r="T89" s="52">
        <f t="shared" si="14"/>
        <v>3970</v>
      </c>
      <c r="U89" s="52">
        <f t="shared" si="14"/>
        <v>3970</v>
      </c>
      <c r="V89" s="52">
        <f t="shared" si="14"/>
        <v>0</v>
      </c>
      <c r="W89" s="52">
        <f t="shared" si="14"/>
        <v>0</v>
      </c>
      <c r="X89" s="52">
        <f t="shared" si="14"/>
        <v>0</v>
      </c>
      <c r="Y89" s="52">
        <f t="shared" si="14"/>
        <v>3970</v>
      </c>
      <c r="Z89" s="52">
        <f t="shared" si="14"/>
        <v>3970</v>
      </c>
      <c r="AA89" s="52">
        <f t="shared" si="14"/>
        <v>0</v>
      </c>
      <c r="AB89" s="52">
        <f t="shared" si="14"/>
        <v>0</v>
      </c>
      <c r="AC89" s="52">
        <f t="shared" si="14"/>
        <v>0</v>
      </c>
      <c r="AD89" s="54">
        <f>Y89+T89+O89+J89+E89</f>
        <v>25943.5</v>
      </c>
    </row>
    <row r="90" spans="1:30" ht="45.75" customHeight="1">
      <c r="A90" s="64"/>
      <c r="B90" s="55" t="s">
        <v>120</v>
      </c>
      <c r="C90" s="56"/>
      <c r="D90" s="57"/>
      <c r="E90" s="52">
        <f>F90+G90+H90+I90</f>
        <v>786.4</v>
      </c>
      <c r="F90" s="52">
        <f>0</f>
        <v>0</v>
      </c>
      <c r="G90" s="52">
        <f>G88+G87+G86</f>
        <v>786.4</v>
      </c>
      <c r="H90" s="52">
        <f aca="true" t="shared" si="15" ref="H90:AD90">H88+H87+H86</f>
        <v>0</v>
      </c>
      <c r="I90" s="52">
        <f t="shared" si="15"/>
        <v>0</v>
      </c>
      <c r="J90" s="52">
        <f t="shared" si="15"/>
        <v>0</v>
      </c>
      <c r="K90" s="52">
        <f t="shared" si="15"/>
        <v>0</v>
      </c>
      <c r="L90" s="52">
        <f t="shared" si="15"/>
        <v>0</v>
      </c>
      <c r="M90" s="52">
        <f t="shared" si="15"/>
        <v>0</v>
      </c>
      <c r="N90" s="52">
        <f t="shared" si="15"/>
        <v>0</v>
      </c>
      <c r="O90" s="52">
        <f t="shared" si="15"/>
        <v>0</v>
      </c>
      <c r="P90" s="52">
        <f t="shared" si="15"/>
        <v>0</v>
      </c>
      <c r="Q90" s="52">
        <f t="shared" si="15"/>
        <v>0</v>
      </c>
      <c r="R90" s="52">
        <f t="shared" si="15"/>
        <v>0</v>
      </c>
      <c r="S90" s="52">
        <f t="shared" si="15"/>
        <v>0</v>
      </c>
      <c r="T90" s="52">
        <f t="shared" si="15"/>
        <v>0</v>
      </c>
      <c r="U90" s="52">
        <f t="shared" si="15"/>
        <v>0</v>
      </c>
      <c r="V90" s="52">
        <f t="shared" si="15"/>
        <v>0</v>
      </c>
      <c r="W90" s="52">
        <f t="shared" si="15"/>
        <v>0</v>
      </c>
      <c r="X90" s="52">
        <f t="shared" si="15"/>
        <v>0</v>
      </c>
      <c r="Y90" s="52">
        <f t="shared" si="15"/>
        <v>0</v>
      </c>
      <c r="Z90" s="52">
        <f t="shared" si="15"/>
        <v>0</v>
      </c>
      <c r="AA90" s="52">
        <f t="shared" si="15"/>
        <v>0</v>
      </c>
      <c r="AB90" s="52">
        <f t="shared" si="15"/>
        <v>0</v>
      </c>
      <c r="AC90" s="52">
        <f t="shared" si="15"/>
        <v>0</v>
      </c>
      <c r="AD90" s="54">
        <f t="shared" si="15"/>
        <v>786.4</v>
      </c>
    </row>
    <row r="91" spans="1:44" s="9" customFormat="1" ht="65.25" customHeight="1">
      <c r="A91" s="110"/>
      <c r="B91" s="111" t="s">
        <v>121</v>
      </c>
      <c r="C91" s="112"/>
      <c r="D91" s="113"/>
      <c r="E91" s="58">
        <f>F91+G91+H91+I91</f>
        <v>396163</v>
      </c>
      <c r="F91" s="58">
        <f aca="true" t="shared" si="16" ref="F91:S91">F89+F59+F56+F49+F35+F29</f>
        <v>388653</v>
      </c>
      <c r="G91" s="58">
        <f t="shared" si="16"/>
        <v>7510</v>
      </c>
      <c r="H91" s="58">
        <f t="shared" si="16"/>
        <v>0</v>
      </c>
      <c r="I91" s="58">
        <f t="shared" si="16"/>
        <v>0</v>
      </c>
      <c r="J91" s="58">
        <f t="shared" si="16"/>
        <v>411523</v>
      </c>
      <c r="K91" s="58">
        <f t="shared" si="16"/>
        <v>409671</v>
      </c>
      <c r="L91" s="58">
        <f t="shared" si="16"/>
        <v>1852</v>
      </c>
      <c r="M91" s="58">
        <f t="shared" si="16"/>
        <v>0</v>
      </c>
      <c r="N91" s="58">
        <f t="shared" si="16"/>
        <v>0</v>
      </c>
      <c r="O91" s="58">
        <f t="shared" si="16"/>
        <v>423489</v>
      </c>
      <c r="P91" s="58">
        <f t="shared" si="16"/>
        <v>423489</v>
      </c>
      <c r="Q91" s="58">
        <f t="shared" si="16"/>
        <v>0</v>
      </c>
      <c r="R91" s="58">
        <f t="shared" si="16"/>
        <v>0</v>
      </c>
      <c r="S91" s="58">
        <f t="shared" si="16"/>
        <v>0</v>
      </c>
      <c r="T91" s="58">
        <f>U91+4540</f>
        <v>1203838</v>
      </c>
      <c r="U91" s="58">
        <f>U89+U59+U56+U49+U35+U29</f>
        <v>1199298</v>
      </c>
      <c r="V91" s="58" t="s">
        <v>56</v>
      </c>
      <c r="W91" s="58">
        <f>W89+W59+W56+W49+W35+W29</f>
        <v>0</v>
      </c>
      <c r="X91" s="58">
        <f>X89+X59+X56+X49+X35+X29</f>
        <v>0</v>
      </c>
      <c r="Y91" s="58">
        <f>Z91+4540</f>
        <v>1206138</v>
      </c>
      <c r="Z91" s="58">
        <f>Z89+Z59+Z56+Z49+Z35+Z29</f>
        <v>1201598</v>
      </c>
      <c r="AA91" s="58" t="s">
        <v>56</v>
      </c>
      <c r="AB91" s="58">
        <f>AB89+AB59+AB56+AB49+AB35+AB29</f>
        <v>0</v>
      </c>
      <c r="AC91" s="58">
        <f>AC89+AC59+AC56+AC49+AC35+AC29</f>
        <v>0</v>
      </c>
      <c r="AD91" s="114">
        <f>AD89+AD59+AD56+AD49+AD35+AD29</f>
        <v>3641151</v>
      </c>
      <c r="AI91" s="46"/>
      <c r="AJ91" s="8"/>
      <c r="AK91" s="8"/>
      <c r="AL91" s="8"/>
      <c r="AR91" s="8"/>
    </row>
    <row r="92" spans="1:44" ht="46.5" customHeight="1">
      <c r="A92" s="64"/>
      <c r="B92" s="115" t="s">
        <v>120</v>
      </c>
      <c r="C92" s="56"/>
      <c r="D92" s="57"/>
      <c r="E92" s="52">
        <f>F92+G92+H92+I92</f>
        <v>786.4</v>
      </c>
      <c r="F92" s="52">
        <f>F88+F87+F86</f>
        <v>0</v>
      </c>
      <c r="G92" s="52">
        <f aca="true" t="shared" si="17" ref="G92:AC92">G88+G87+G86</f>
        <v>786.4</v>
      </c>
      <c r="H92" s="52">
        <f t="shared" si="17"/>
        <v>0</v>
      </c>
      <c r="I92" s="52">
        <f t="shared" si="17"/>
        <v>0</v>
      </c>
      <c r="J92" s="52">
        <f t="shared" si="17"/>
        <v>0</v>
      </c>
      <c r="K92" s="52">
        <f t="shared" si="17"/>
        <v>0</v>
      </c>
      <c r="L92" s="52">
        <f t="shared" si="17"/>
        <v>0</v>
      </c>
      <c r="M92" s="52">
        <f t="shared" si="17"/>
        <v>0</v>
      </c>
      <c r="N92" s="52">
        <f t="shared" si="17"/>
        <v>0</v>
      </c>
      <c r="O92" s="52">
        <f t="shared" si="17"/>
        <v>0</v>
      </c>
      <c r="P92" s="52">
        <f t="shared" si="17"/>
        <v>0</v>
      </c>
      <c r="Q92" s="52">
        <f t="shared" si="17"/>
        <v>0</v>
      </c>
      <c r="R92" s="52">
        <f t="shared" si="17"/>
        <v>0</v>
      </c>
      <c r="S92" s="52">
        <f t="shared" si="17"/>
        <v>0</v>
      </c>
      <c r="T92" s="52">
        <f t="shared" si="17"/>
        <v>0</v>
      </c>
      <c r="U92" s="52">
        <f t="shared" si="17"/>
        <v>0</v>
      </c>
      <c r="V92" s="52">
        <f t="shared" si="17"/>
        <v>0</v>
      </c>
      <c r="W92" s="52">
        <f t="shared" si="17"/>
        <v>0</v>
      </c>
      <c r="X92" s="52">
        <f t="shared" si="17"/>
        <v>0</v>
      </c>
      <c r="Y92" s="52">
        <f t="shared" si="17"/>
        <v>0</v>
      </c>
      <c r="Z92" s="52">
        <f t="shared" si="17"/>
        <v>0</v>
      </c>
      <c r="AA92" s="52">
        <f t="shared" si="17"/>
        <v>0</v>
      </c>
      <c r="AB92" s="52">
        <f t="shared" si="17"/>
        <v>0</v>
      </c>
      <c r="AC92" s="52">
        <f t="shared" si="17"/>
        <v>0</v>
      </c>
      <c r="AD92" s="54">
        <f>AD88+AD87+AD86</f>
        <v>786.4</v>
      </c>
      <c r="AJ92" s="2"/>
      <c r="AR92" s="2"/>
    </row>
    <row r="93" spans="1:46" s="9" customFormat="1" ht="51.75" customHeight="1" thickBot="1">
      <c r="A93" s="116"/>
      <c r="B93" s="117" t="s">
        <v>119</v>
      </c>
      <c r="C93" s="118"/>
      <c r="D93" s="119"/>
      <c r="E93" s="59">
        <f t="shared" si="12"/>
        <v>396949.4</v>
      </c>
      <c r="F93" s="59">
        <f>F92+F91</f>
        <v>388653</v>
      </c>
      <c r="G93" s="59">
        <f aca="true" t="shared" si="18" ref="G93:S93">G92+G91</f>
        <v>8296.4</v>
      </c>
      <c r="H93" s="59">
        <f t="shared" si="18"/>
        <v>0</v>
      </c>
      <c r="I93" s="59">
        <f t="shared" si="18"/>
        <v>0</v>
      </c>
      <c r="J93" s="59">
        <f t="shared" si="18"/>
        <v>411523</v>
      </c>
      <c r="K93" s="59">
        <f t="shared" si="18"/>
        <v>409671</v>
      </c>
      <c r="L93" s="59">
        <f t="shared" si="18"/>
        <v>1852</v>
      </c>
      <c r="M93" s="59">
        <f t="shared" si="18"/>
        <v>0</v>
      </c>
      <c r="N93" s="59">
        <f t="shared" si="18"/>
        <v>0</v>
      </c>
      <c r="O93" s="59">
        <f t="shared" si="18"/>
        <v>423489</v>
      </c>
      <c r="P93" s="59">
        <f t="shared" si="18"/>
        <v>423489</v>
      </c>
      <c r="Q93" s="59">
        <f t="shared" si="18"/>
        <v>0</v>
      </c>
      <c r="R93" s="59">
        <f t="shared" si="18"/>
        <v>0</v>
      </c>
      <c r="S93" s="59">
        <f t="shared" si="18"/>
        <v>0</v>
      </c>
      <c r="T93" s="59">
        <f>T101+4540+W93+U93+X93</f>
        <v>1203838</v>
      </c>
      <c r="U93" s="59">
        <f>U56+U29+U49+U35+U59+U89</f>
        <v>1199298</v>
      </c>
      <c r="V93" s="59" t="s">
        <v>56</v>
      </c>
      <c r="W93" s="59">
        <f>W59</f>
        <v>0</v>
      </c>
      <c r="X93" s="59">
        <f>X59</f>
        <v>0</v>
      </c>
      <c r="Y93" s="59">
        <f>Z93+4540+AB93+AC93</f>
        <v>1206138</v>
      </c>
      <c r="Z93" s="59">
        <f>Z56+Z29+Z49+Z35+Z59+Z89</f>
        <v>1201598</v>
      </c>
      <c r="AA93" s="59" t="s">
        <v>56</v>
      </c>
      <c r="AB93" s="59">
        <f>AB59</f>
        <v>0</v>
      </c>
      <c r="AC93" s="59">
        <f>AC59</f>
        <v>0</v>
      </c>
      <c r="AD93" s="120" t="s">
        <v>115</v>
      </c>
      <c r="AI93" s="46"/>
      <c r="AJ93" s="46"/>
      <c r="AL93" s="8"/>
      <c r="AR93" s="8"/>
      <c r="AT93" s="8"/>
    </row>
    <row r="94" spans="1:45" ht="26.25" customHeight="1">
      <c r="A94" s="26"/>
      <c r="B94" s="161" t="s">
        <v>57</v>
      </c>
      <c r="C94" s="161"/>
      <c r="D94" s="161"/>
      <c r="E94" s="161"/>
      <c r="F94" s="161"/>
      <c r="G94" s="161"/>
      <c r="H94" s="161"/>
      <c r="I94" s="161"/>
      <c r="J94" s="161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9"/>
      <c r="V94" s="24"/>
      <c r="W94" s="24"/>
      <c r="X94" s="24"/>
      <c r="Y94" s="24"/>
      <c r="Z94" s="24"/>
      <c r="AA94" s="24"/>
      <c r="AB94" s="21"/>
      <c r="AC94" s="21"/>
      <c r="AD94" s="23"/>
      <c r="AE94" s="2">
        <f>4540+4540+2198</f>
        <v>11278</v>
      </c>
      <c r="AJ94" s="2"/>
      <c r="AK94" s="19"/>
      <c r="AL94" s="2"/>
      <c r="AS94" s="2"/>
    </row>
    <row r="95" spans="1:31" ht="15">
      <c r="A95" s="6"/>
      <c r="B95" s="3"/>
      <c r="C95" s="3"/>
      <c r="D95" s="6"/>
      <c r="E95" s="3"/>
      <c r="F95" s="4"/>
      <c r="G95" s="4"/>
      <c r="H95" s="3"/>
      <c r="I95" s="5"/>
      <c r="J95" s="3"/>
      <c r="K95" s="5"/>
      <c r="L95" s="3"/>
      <c r="M95" s="3"/>
      <c r="N95" s="3"/>
      <c r="O95" s="3"/>
      <c r="P95" s="3"/>
      <c r="Q95" s="3"/>
      <c r="R95" s="3"/>
      <c r="S95" s="3"/>
      <c r="T95" s="23"/>
      <c r="U95" s="27"/>
      <c r="V95" s="28"/>
      <c r="W95" s="3"/>
      <c r="X95" s="3"/>
      <c r="Y95" s="23"/>
      <c r="Z95" s="26"/>
      <c r="AA95" s="3"/>
      <c r="AB95" s="3"/>
      <c r="AC95" s="3"/>
      <c r="AD95" s="4"/>
      <c r="AE95" s="2"/>
    </row>
    <row r="96" spans="1:30" ht="15" hidden="1">
      <c r="A96" s="6"/>
      <c r="B96" s="3"/>
      <c r="C96" s="3"/>
      <c r="D96" s="6"/>
      <c r="E96" s="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 spans="1:30" ht="15" hidden="1">
      <c r="A97" s="6"/>
      <c r="B97" s="3"/>
      <c r="C97" s="3"/>
      <c r="D97" s="6"/>
      <c r="E97" s="3"/>
      <c r="F97" s="32"/>
      <c r="G97" s="4"/>
      <c r="H97" s="32"/>
      <c r="I97" s="32"/>
      <c r="J97" s="32"/>
      <c r="K97" s="33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"/>
      <c r="AD97" s="4"/>
    </row>
    <row r="98" spans="1:30" ht="15" hidden="1">
      <c r="A98" s="6"/>
      <c r="B98" s="3"/>
      <c r="C98" s="3"/>
      <c r="D98" s="6"/>
      <c r="E98" s="4"/>
      <c r="F98" s="33"/>
      <c r="G98" s="5"/>
      <c r="H98" s="3"/>
      <c r="I98" s="3"/>
      <c r="J98" s="33"/>
      <c r="K98" s="33"/>
      <c r="L98" s="5"/>
      <c r="M98" s="3"/>
      <c r="N98" s="3"/>
      <c r="O98" s="3"/>
      <c r="P98" s="33"/>
      <c r="Q98" s="5"/>
      <c r="R98" s="3"/>
      <c r="S98" s="3"/>
      <c r="T98" s="21"/>
      <c r="U98" s="21"/>
      <c r="V98" s="3"/>
      <c r="W98" s="3"/>
      <c r="X98" s="3"/>
      <c r="Y98" s="21"/>
      <c r="Z98" s="21"/>
      <c r="AA98" s="3"/>
      <c r="AB98" s="3"/>
      <c r="AC98" s="3"/>
      <c r="AD98" s="5"/>
    </row>
    <row r="99" spans="1:30" ht="15" hidden="1">
      <c r="A99" s="6"/>
      <c r="B99" s="3"/>
      <c r="C99" s="3"/>
      <c r="D99" s="6"/>
      <c r="E99" s="3"/>
      <c r="F99" s="3"/>
      <c r="G99" s="3"/>
      <c r="H99" s="3"/>
      <c r="I99" s="3"/>
      <c r="J99" s="3"/>
      <c r="K99" s="3"/>
      <c r="L99" s="3"/>
      <c r="M99" s="3"/>
      <c r="N99" s="3"/>
      <c r="O99" s="4"/>
      <c r="P99" s="3"/>
      <c r="Q99" s="3"/>
      <c r="R99" s="3"/>
      <c r="S99" s="3"/>
      <c r="T99" s="21"/>
      <c r="U99" s="21"/>
      <c r="V99" s="3"/>
      <c r="W99" s="3"/>
      <c r="X99" s="3"/>
      <c r="Y99" s="21"/>
      <c r="Z99" s="21"/>
      <c r="AA99" s="3"/>
      <c r="AB99" s="3"/>
      <c r="AC99" s="3"/>
      <c r="AD99" s="3"/>
    </row>
    <row r="100" spans="1:30" ht="15" hidden="1">
      <c r="A100" s="6"/>
      <c r="B100" s="3"/>
      <c r="C100" s="3"/>
      <c r="D100" s="6"/>
      <c r="E100" s="33"/>
      <c r="F100" s="3"/>
      <c r="G100" s="3"/>
      <c r="H100" s="3"/>
      <c r="I100" s="3"/>
      <c r="J100" s="33"/>
      <c r="K100" s="3"/>
      <c r="L100" s="3"/>
      <c r="M100" s="3"/>
      <c r="N100" s="3"/>
      <c r="O100" s="4"/>
      <c r="P100" s="3"/>
      <c r="Q100" s="5"/>
      <c r="R100" s="3"/>
      <c r="S100" s="3"/>
      <c r="T100" s="21"/>
      <c r="U100" s="21"/>
      <c r="V100" s="3"/>
      <c r="W100" s="3"/>
      <c r="X100" s="3"/>
      <c r="Y100" s="22"/>
      <c r="Z100" s="21"/>
      <c r="AA100" s="3"/>
      <c r="AB100" s="3"/>
      <c r="AC100" s="3"/>
      <c r="AD100" s="5"/>
    </row>
    <row r="101" spans="1:30" ht="15" hidden="1">
      <c r="A101" s="6"/>
      <c r="B101" s="3"/>
      <c r="C101" s="3"/>
      <c r="D101" s="6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21"/>
      <c r="U101" s="21"/>
      <c r="V101" s="3"/>
      <c r="W101" s="3"/>
      <c r="X101" s="3"/>
      <c r="Y101" s="21"/>
      <c r="Z101" s="21"/>
      <c r="AA101" s="3"/>
      <c r="AB101" s="3"/>
      <c r="AC101" s="3"/>
      <c r="AD101" s="3"/>
    </row>
    <row r="102" spans="21:30" ht="18.75" hidden="1">
      <c r="U102" s="37"/>
      <c r="AD102" s="2"/>
    </row>
    <row r="103" ht="15" hidden="1">
      <c r="U103" s="20"/>
    </row>
    <row r="104" spans="6:15" ht="15" hidden="1">
      <c r="F104" s="36"/>
      <c r="J104" s="36"/>
      <c r="O104" s="36"/>
    </row>
    <row r="105" spans="6:21" ht="15" hidden="1">
      <c r="F105" s="36"/>
      <c r="G105" s="2"/>
      <c r="K105" s="2"/>
      <c r="O105" s="2"/>
      <c r="P105" s="2"/>
      <c r="U105" s="20"/>
    </row>
    <row r="106" ht="15" hidden="1">
      <c r="AA106" s="19"/>
    </row>
    <row r="107" ht="15" hidden="1"/>
    <row r="108" ht="15" hidden="1"/>
    <row r="109" ht="15" hidden="1"/>
    <row r="110" spans="5:30" ht="15">
      <c r="E110" s="17"/>
      <c r="AD110" s="17"/>
    </row>
    <row r="111" spans="6:46" ht="15">
      <c r="F111" s="2"/>
      <c r="J111" s="17"/>
      <c r="AT111" s="2"/>
    </row>
    <row r="112" spans="6:30" ht="15">
      <c r="F112" s="2"/>
      <c r="I112" s="2"/>
      <c r="J112" s="17"/>
      <c r="AA112" s="2"/>
      <c r="AD112" s="17"/>
    </row>
    <row r="113" spans="6:12" ht="15">
      <c r="F113" s="2"/>
      <c r="L113" s="2"/>
    </row>
    <row r="115" ht="15">
      <c r="AA115" s="17"/>
    </row>
  </sheetData>
  <sheetProtection/>
  <mergeCells count="51">
    <mergeCell ref="Z61:AA61"/>
    <mergeCell ref="C3:C5"/>
    <mergeCell ref="A3:A5"/>
    <mergeCell ref="O4:S4"/>
    <mergeCell ref="AI82:AL82"/>
    <mergeCell ref="B94:J94"/>
    <mergeCell ref="E4:I4"/>
    <mergeCell ref="D3:D5"/>
    <mergeCell ref="E3:AD3"/>
    <mergeCell ref="B3:B5"/>
    <mergeCell ref="A30:AD30"/>
    <mergeCell ref="A9:A10"/>
    <mergeCell ref="A17:A18"/>
    <mergeCell ref="B17:B18"/>
    <mergeCell ref="B15:B16"/>
    <mergeCell ref="B19:B20"/>
    <mergeCell ref="U1:AD1"/>
    <mergeCell ref="Y4:AC4"/>
    <mergeCell ref="AD4:AD5"/>
    <mergeCell ref="A2:AD2"/>
    <mergeCell ref="J4:N4"/>
    <mergeCell ref="B9:B10"/>
    <mergeCell ref="A8:AD8"/>
    <mergeCell ref="T4:X4"/>
    <mergeCell ref="A7:AD7"/>
    <mergeCell ref="A85:A88"/>
    <mergeCell ref="B85:B88"/>
    <mergeCell ref="A79:AD79"/>
    <mergeCell ref="B54:B55"/>
    <mergeCell ref="B51:B52"/>
    <mergeCell ref="B13:B14"/>
    <mergeCell ref="A15:A16"/>
    <mergeCell ref="B80:B81"/>
    <mergeCell ref="A80:A81"/>
    <mergeCell ref="G66:H66"/>
    <mergeCell ref="A62:B62"/>
    <mergeCell ref="A61:B61"/>
    <mergeCell ref="B11:B12"/>
    <mergeCell ref="A11:A12"/>
    <mergeCell ref="A54:A55"/>
    <mergeCell ref="A57:AD57"/>
    <mergeCell ref="A36:AD36"/>
    <mergeCell ref="A60:D60"/>
    <mergeCell ref="A50:AD50"/>
    <mergeCell ref="A19:A20"/>
    <mergeCell ref="AI55:AK55"/>
    <mergeCell ref="B41:B42"/>
    <mergeCell ref="A41:A42"/>
    <mergeCell ref="AI54:AR54"/>
    <mergeCell ref="A51:A52"/>
    <mergeCell ref="Z60:AA60"/>
  </mergeCells>
  <printOptions horizontalCentered="1" verticalCentered="1"/>
  <pageMargins left="0.2362204724409449" right="0.15748031496062992" top="0.7874015748031497" bottom="0.31496062992125984" header="0.11811023622047245" footer="0.2362204724409449"/>
  <pageSetup firstPageNumber="4" useFirstPageNumber="1" horizontalDpi="600" verticalDpi="600" orientation="landscape" pageOrder="overThenDown" paperSize="9" scale="60" r:id="rId1"/>
  <headerFooter differentFirst="1">
    <oddHeader>&amp;C&amp;"Times New Roman,обычный"&amp;12&amp;P</oddHeader>
    <firstHeader>&amp;C&amp;"Times New Roman,обычный"&amp;12&amp;P&amp;R&amp;"Times New Roman,обычный"Приложение к постановлению 
алминистрации городского округа Тольятти
от__________№_________
Приложение № 1 к муниципальной программе
 "Тольятти - чистый город на 2020-2024 годы"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cityhall</dc:creator>
  <cp:keywords/>
  <dc:description/>
  <cp:lastModifiedBy>Рогачева Елена Евгеньевна</cp:lastModifiedBy>
  <cp:lastPrinted>2020-12-15T12:36:29Z</cp:lastPrinted>
  <dcterms:created xsi:type="dcterms:W3CDTF">2009-09-03T06:56:12Z</dcterms:created>
  <dcterms:modified xsi:type="dcterms:W3CDTF">2020-12-26T05:12:24Z</dcterms:modified>
  <cp:category/>
  <cp:version/>
  <cp:contentType/>
  <cp:contentStatus/>
</cp:coreProperties>
</file>