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28" yWindow="156" windowWidth="10500" windowHeight="10140" activeTab="0"/>
  </bookViews>
  <sheets>
    <sheet name="Прил.1 (мероприятия) " sheetId="1" r:id="rId1"/>
  </sheets>
  <definedNames>
    <definedName name="_xlnm.Print_Titles" localSheetId="0">'Прил.1 (мероприятия) '!$9:$9</definedName>
    <definedName name="_xlnm.Print_Area" localSheetId="0">'Прил.1 (мероприятия) '!$A$1:$AD$56</definedName>
  </definedNames>
  <calcPr fullCalcOnLoad="1"/>
</workbook>
</file>

<file path=xl/sharedStrings.xml><?xml version="1.0" encoding="utf-8"?>
<sst xmlns="http://schemas.openxmlformats.org/spreadsheetml/2006/main" count="413" uniqueCount="137">
  <si>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</si>
  <si>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</si>
  <si>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</si>
  <si>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</si>
  <si>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</si>
  <si>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</si>
  <si>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</si>
  <si>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</si>
  <si>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</si>
  <si>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</si>
  <si>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</si>
  <si>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</si>
  <si>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</si>
  <si>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</si>
  <si>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</si>
  <si>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</si>
  <si>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</si>
  <si>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</si>
  <si>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</si>
  <si>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</si>
  <si>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</si>
  <si>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</si>
  <si>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</si>
  <si>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</si>
  <si>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</si>
  <si>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</si>
  <si>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</si>
  <si>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</si>
  <si>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</si>
  <si>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</si>
  <si>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</si>
  <si>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</si>
  <si>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</si>
  <si>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</si>
  <si>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</si>
  <si>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</si>
  <si>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</si>
  <si>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</si>
  <si>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</si>
  <si>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Лесовосстановление</t>
  </si>
  <si>
    <t>Проведение агротехнического ухода за лесными культурами</t>
  </si>
  <si>
    <t>Обработка почвы под лесные культуры</t>
  </si>
  <si>
    <t>Дополнение лесных культур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</si>
  <si>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</si>
  <si>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</si>
  <si>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</si>
  <si>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</si>
  <si>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</si>
  <si>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</si>
  <si>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</si>
  <si>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</si>
  <si>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</si>
  <si>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</si>
  <si>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</si>
  <si>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</si>
  <si>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</si>
  <si>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</si>
  <si>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</si>
  <si>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</si>
  <si>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</si>
  <si>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</si>
  <si>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</si>
  <si>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</si>
  <si>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</si>
  <si>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</si>
  <si>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</si>
  <si>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</si>
  <si>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</si>
  <si>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</si>
  <si>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Расчистка неликвидных лесных участков, пострадавших в результате засухи и последствий лесных пожаров</t>
  </si>
  <si>
    <t>2020-2023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</si>
  <si>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</si>
  <si>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</si>
  <si>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</si>
  <si>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</si>
  <si>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</si>
  <si>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</si>
  <si>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</si>
  <si>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</si>
  <si>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</si>
  <si>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</si>
  <si>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</si>
  <si>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</si>
  <si>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</si>
  <si>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6.1.2</t>
  </si>
  <si>
    <t>6.1.1</t>
  </si>
  <si>
    <t>Итого по задаче 6:</t>
  </si>
  <si>
    <t>Содержание противопожарных железобетонных резервуаров (Эксплуатация и ремонт пожарных водоемов)</t>
  </si>
  <si>
    <t>4.2</t>
  </si>
  <si>
    <t>Подготовка каталога координат характерных точек границ Тольяттинского лесничества</t>
  </si>
  <si>
    <t>область</t>
  </si>
  <si>
    <t>город</t>
  </si>
  <si>
    <t>3.5</t>
  </si>
  <si>
    <t>Установка и (или) ремонт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</si>
  <si>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</si>
  <si>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</si>
  <si>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</si>
  <si>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</si>
  <si>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</si>
  <si>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</si>
  <si>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</si>
  <si>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</si>
  <si>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 xml:space="preserve"> 1.7</t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</si>
  <si>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</si>
  <si>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</si>
  <si>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Эксплуатация лесных дорог, предназначенных для охраны лесов от пожаров </t>
  </si>
  <si>
    <t xml:space="preserve">ДГХ,                           МКУ "Тольяттинское лесничество" </t>
  </si>
  <si>
    <t>всего</t>
  </si>
  <si>
    <t>1.8</t>
  </si>
  <si>
    <t xml:space="preserve"> 1.8</t>
  </si>
  <si>
    <t>ВСЕГО</t>
  </si>
  <si>
    <t>1.2+1.6+2.5+5.1</t>
  </si>
  <si>
    <t>задача 3:</t>
  </si>
  <si>
    <t>задача 6: техника</t>
  </si>
  <si>
    <t>МБУ Зеленстрой</t>
  </si>
  <si>
    <t xml:space="preserve"> 1.1</t>
  </si>
  <si>
    <t xml:space="preserve"> 2.2</t>
  </si>
  <si>
    <t xml:space="preserve"> 2.3</t>
  </si>
  <si>
    <t>4.1 Содержание МКУ</t>
  </si>
  <si>
    <t>Итого</t>
  </si>
  <si>
    <t xml:space="preserve"> МКУ Тольяттинское лесничество</t>
  </si>
  <si>
    <t>1.1+1.6 (со соф-ем)</t>
  </si>
  <si>
    <t>ИТОГО по ПРОГРАММЕ</t>
  </si>
  <si>
    <t>Прочистка</t>
  </si>
  <si>
    <t>Прочистка 144,2тр+Прокладка147,2</t>
  </si>
  <si>
    <t xml:space="preserve">Приобретение основных средств учреждений, не относящихся к объектам капитального  строительства </t>
  </si>
  <si>
    <t>2021-2023</t>
  </si>
  <si>
    <t>2022-2023</t>
  </si>
  <si>
    <t>2020-2022</t>
  </si>
  <si>
    <t xml:space="preserve">Прокладка, прочистка и обновление просек </t>
  </si>
  <si>
    <t>Устройство, прочистка и обновление противопожарных минерализованных полос</t>
  </si>
  <si>
    <t>2.7</t>
  </si>
  <si>
    <t>Подготовка лесных участков для создания лесных культур</t>
  </si>
  <si>
    <t>1.8+2.7 (с соф-м)</t>
  </si>
  <si>
    <t xml:space="preserve">Приложение </t>
  </si>
  <si>
    <t xml:space="preserve"> 2.5</t>
  </si>
  <si>
    <r>
      <t>2023:  (62 город +501 област</t>
    </r>
    <r>
      <rPr>
        <sz val="16"/>
        <color indexed="8"/>
        <rFont val="Times New Roman"/>
        <family val="1"/>
      </rPr>
      <t>ь) +</t>
    </r>
    <r>
      <rPr>
        <sz val="16"/>
        <rFont val="Times New Roman"/>
        <family val="1"/>
      </rPr>
      <t xml:space="preserve"> 563 город</t>
    </r>
    <r>
      <rPr>
        <sz val="16"/>
        <color indexed="8"/>
        <rFont val="Times New Roman"/>
        <family val="1"/>
      </rPr>
      <t xml:space="preserve">      </t>
    </r>
    <r>
      <rPr>
        <sz val="16"/>
        <color indexed="10"/>
        <rFont val="Times New Roman"/>
        <family val="1"/>
      </rPr>
      <t xml:space="preserve">       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</si>
</sst>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67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67" fillId="33" borderId="0" xfId="0" applyNumberFormat="1" applyFont="1" applyFill="1" applyAlignment="1">
      <alignment vertical="center" wrapText="1"/>
    </xf>
    <xf numFmtId="0" fontId="68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2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9" fillId="33" borderId="11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0" fillId="33" borderId="11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70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7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3" fontId="69" fillId="33" borderId="10" xfId="0" applyNumberFormat="1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71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75" fillId="33" borderId="16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3" fontId="73" fillId="33" borderId="13" xfId="0" applyNumberFormat="1" applyFont="1" applyFill="1" applyBorder="1" applyAlignment="1">
      <alignment horizontal="left" vertical="center" wrapText="1"/>
    </xf>
    <xf numFmtId="3" fontId="73" fillId="33" borderId="0" xfId="0" applyNumberFormat="1" applyFont="1" applyFill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17" xfId="42" applyNumberFormat="1" applyFont="1" applyFill="1" applyBorder="1" applyAlignment="1">
      <alignment horizontal="left" vertical="center" wrapText="1"/>
    </xf>
    <xf numFmtId="3" fontId="6" fillId="33" borderId="11" xfId="42" applyNumberFormat="1" applyFont="1" applyFill="1" applyBorder="1" applyAlignment="1">
      <alignment horizontal="left" vertical="center" wrapText="1"/>
    </xf>
    <xf numFmtId="49" fontId="6" fillId="33" borderId="15" xfId="42" applyNumberFormat="1" applyFont="1" applyFill="1" applyBorder="1" applyAlignment="1">
      <alignment horizontal="center" vertical="center" wrapText="1"/>
    </xf>
    <xf numFmtId="49" fontId="6" fillId="33" borderId="18" xfId="42" applyNumberFormat="1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0" fillId="33" borderId="12" xfId="42" applyFont="1" applyFill="1" applyBorder="1" applyAlignment="1">
      <alignment horizontal="right" vertical="center" wrapText="1"/>
    </xf>
    <xf numFmtId="0" fontId="10" fillId="33" borderId="11" xfId="42" applyFont="1" applyFill="1" applyBorder="1" applyAlignment="1">
      <alignment horizontal="right" vertical="center" wrapText="1"/>
    </xf>
    <xf numFmtId="0" fontId="69" fillId="33" borderId="12" xfId="0" applyFont="1" applyFill="1" applyBorder="1" applyAlignment="1">
      <alignment horizontal="left" vertical="center" wrapText="1"/>
    </xf>
    <xf numFmtId="0" fontId="69" fillId="33" borderId="17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78" fillId="33" borderId="17" xfId="0" applyFont="1" applyFill="1" applyBorder="1" applyAlignment="1">
      <alignment horizontal="right" vertical="center"/>
    </xf>
    <xf numFmtId="0" fontId="78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left" vertical="center" wrapText="1"/>
    </xf>
    <xf numFmtId="0" fontId="78" fillId="33" borderId="17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3" fontId="6" fillId="33" borderId="15" xfId="42" applyNumberFormat="1" applyFont="1" applyFill="1" applyBorder="1" applyAlignment="1">
      <alignment horizontal="left" vertical="center" wrapText="1"/>
    </xf>
    <xf numFmtId="3" fontId="6" fillId="33" borderId="18" xfId="42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textRotation="90" wrapText="1"/>
    </xf>
    <xf numFmtId="0" fontId="14" fillId="33" borderId="19" xfId="0" applyFont="1" applyFill="1" applyBorder="1" applyAlignment="1">
      <alignment horizontal="center" vertical="center" textRotation="90" wrapText="1"/>
    </xf>
    <xf numFmtId="0" fontId="14" fillId="33" borderId="18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239750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2"/>
  <sheetViews>
    <sheetView tabSelected="1" view="pageBreakPreview" zoomScale="50" zoomScaleNormal="60" zoomScaleSheetLayoutView="50" zoomScalePageLayoutView="4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E14" sqref="AE14"/>
    </sheetView>
  </sheetViews>
  <sheetFormatPr defaultColWidth="9.140625" defaultRowHeight="15"/>
  <cols>
    <col min="1" max="1" width="8.7109375" style="18" customWidth="1"/>
    <col min="2" max="2" width="36.0039062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5.57421875" style="58" customWidth="1"/>
    <col min="32" max="32" width="48.7109375" style="1" customWidth="1"/>
    <col min="33" max="33" width="9.140625" style="1" customWidth="1"/>
    <col min="34" max="16384" width="9.140625" style="1" customWidth="1"/>
  </cols>
  <sheetData>
    <row r="1" spans="1:31" s="2" customFormat="1" ht="15" customHeight="1">
      <c r="A1" s="16"/>
      <c r="Y1" s="77" t="s">
        <v>134</v>
      </c>
      <c r="Z1" s="77"/>
      <c r="AA1" s="77"/>
      <c r="AB1" s="77"/>
      <c r="AC1" s="77"/>
      <c r="AD1" s="77"/>
      <c r="AE1" s="35"/>
    </row>
    <row r="2" spans="1:31" s="2" customFormat="1" ht="48" customHeight="1">
      <c r="A2" s="16"/>
      <c r="B2" s="96"/>
      <c r="C2" s="96"/>
      <c r="E2" s="97"/>
      <c r="F2" s="97"/>
      <c r="G2" s="97"/>
      <c r="H2" s="97"/>
      <c r="I2" s="97"/>
      <c r="W2" s="17"/>
      <c r="Y2" s="77" t="s">
        <v>36</v>
      </c>
      <c r="Z2" s="77"/>
      <c r="AA2" s="77"/>
      <c r="AB2" s="77"/>
      <c r="AC2" s="77"/>
      <c r="AD2" s="77"/>
      <c r="AE2" s="35"/>
    </row>
    <row r="3" spans="6:30" ht="24.75" customHeight="1">
      <c r="F3" s="19"/>
      <c r="W3" s="19"/>
      <c r="Y3" s="78" t="s">
        <v>37</v>
      </c>
      <c r="Z3" s="78"/>
      <c r="AA3" s="78"/>
      <c r="AB3" s="78"/>
      <c r="AC3" s="78"/>
      <c r="AD3" s="78"/>
    </row>
    <row r="4" spans="6:30" ht="56.25" customHeight="1">
      <c r="F4" s="19"/>
      <c r="X4" s="19"/>
      <c r="Y4" s="77" t="s">
        <v>48</v>
      </c>
      <c r="Z4" s="77"/>
      <c r="AA4" s="77"/>
      <c r="AB4" s="77"/>
      <c r="AC4" s="77"/>
      <c r="AD4" s="77"/>
    </row>
    <row r="5" spans="1:30" ht="68.2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31.5" customHeight="1">
      <c r="A6" s="80" t="s">
        <v>25</v>
      </c>
      <c r="B6" s="84" t="s">
        <v>26</v>
      </c>
      <c r="C6" s="84" t="s">
        <v>27</v>
      </c>
      <c r="D6" s="84" t="s">
        <v>1</v>
      </c>
      <c r="E6" s="84" t="s">
        <v>9</v>
      </c>
      <c r="F6" s="84"/>
      <c r="G6" s="84"/>
      <c r="H6" s="84"/>
      <c r="I6" s="84"/>
      <c r="J6" s="84"/>
      <c r="K6" s="84"/>
      <c r="L6" s="84"/>
      <c r="M6" s="84"/>
      <c r="N6" s="84"/>
      <c r="O6" s="84" t="s">
        <v>9</v>
      </c>
      <c r="P6" s="84"/>
      <c r="Q6" s="84"/>
      <c r="R6" s="84"/>
      <c r="S6" s="84"/>
      <c r="T6" s="84"/>
      <c r="U6" s="84"/>
      <c r="V6" s="84"/>
      <c r="W6" s="84"/>
      <c r="X6" s="84"/>
      <c r="Y6" s="84" t="s">
        <v>9</v>
      </c>
      <c r="Z6" s="84"/>
      <c r="AA6" s="84"/>
      <c r="AB6" s="84"/>
      <c r="AC6" s="84"/>
      <c r="AD6" s="84"/>
    </row>
    <row r="7" spans="1:30" ht="31.5" customHeight="1">
      <c r="A7" s="80"/>
      <c r="B7" s="84"/>
      <c r="C7" s="84"/>
      <c r="D7" s="84"/>
      <c r="E7" s="85" t="s">
        <v>38</v>
      </c>
      <c r="F7" s="85"/>
      <c r="G7" s="85"/>
      <c r="H7" s="85"/>
      <c r="I7" s="85"/>
      <c r="J7" s="85" t="s">
        <v>43</v>
      </c>
      <c r="K7" s="85"/>
      <c r="L7" s="85"/>
      <c r="M7" s="85"/>
      <c r="N7" s="85"/>
      <c r="O7" s="85" t="s">
        <v>44</v>
      </c>
      <c r="P7" s="85"/>
      <c r="Q7" s="85"/>
      <c r="R7" s="85"/>
      <c r="S7" s="85"/>
      <c r="T7" s="85" t="s">
        <v>45</v>
      </c>
      <c r="U7" s="85"/>
      <c r="V7" s="85"/>
      <c r="W7" s="85"/>
      <c r="X7" s="85"/>
      <c r="Y7" s="85" t="s">
        <v>46</v>
      </c>
      <c r="Z7" s="85"/>
      <c r="AA7" s="85"/>
      <c r="AB7" s="85"/>
      <c r="AC7" s="85"/>
      <c r="AD7" s="84" t="s">
        <v>2</v>
      </c>
    </row>
    <row r="8" spans="1:30" ht="54.75" customHeight="1">
      <c r="A8" s="80"/>
      <c r="B8" s="84"/>
      <c r="C8" s="84"/>
      <c r="D8" s="84"/>
      <c r="E8" s="55" t="s">
        <v>3</v>
      </c>
      <c r="F8" s="55" t="s">
        <v>0</v>
      </c>
      <c r="G8" s="55" t="s">
        <v>10</v>
      </c>
      <c r="H8" s="55" t="s">
        <v>28</v>
      </c>
      <c r="I8" s="55" t="s">
        <v>29</v>
      </c>
      <c r="J8" s="55" t="s">
        <v>3</v>
      </c>
      <c r="K8" s="55" t="s">
        <v>0</v>
      </c>
      <c r="L8" s="55" t="s">
        <v>10</v>
      </c>
      <c r="M8" s="55" t="s">
        <v>28</v>
      </c>
      <c r="N8" s="55" t="s">
        <v>29</v>
      </c>
      <c r="O8" s="55" t="s">
        <v>3</v>
      </c>
      <c r="P8" s="55" t="s">
        <v>0</v>
      </c>
      <c r="Q8" s="55" t="s">
        <v>10</v>
      </c>
      <c r="R8" s="55" t="s">
        <v>28</v>
      </c>
      <c r="S8" s="55" t="s">
        <v>29</v>
      </c>
      <c r="T8" s="64" t="s">
        <v>3</v>
      </c>
      <c r="U8" s="64" t="s">
        <v>0</v>
      </c>
      <c r="V8" s="64" t="s">
        <v>10</v>
      </c>
      <c r="W8" s="64" t="s">
        <v>28</v>
      </c>
      <c r="X8" s="64" t="s">
        <v>29</v>
      </c>
      <c r="Y8" s="64" t="s">
        <v>3</v>
      </c>
      <c r="Z8" s="64" t="s">
        <v>0</v>
      </c>
      <c r="AA8" s="64" t="s">
        <v>10</v>
      </c>
      <c r="AB8" s="55" t="s">
        <v>28</v>
      </c>
      <c r="AC8" s="55" t="s">
        <v>29</v>
      </c>
      <c r="AD8" s="84"/>
    </row>
    <row r="9" spans="1:30" ht="23.25" customHeight="1">
      <c r="A9" s="20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64">
        <v>20</v>
      </c>
      <c r="U9" s="64">
        <v>21</v>
      </c>
      <c r="V9" s="64">
        <v>22</v>
      </c>
      <c r="W9" s="64">
        <v>23</v>
      </c>
      <c r="X9" s="64">
        <v>24</v>
      </c>
      <c r="Y9" s="64">
        <v>25</v>
      </c>
      <c r="Z9" s="64">
        <v>26</v>
      </c>
      <c r="AA9" s="64">
        <v>27</v>
      </c>
      <c r="AB9" s="55">
        <v>28</v>
      </c>
      <c r="AC9" s="55">
        <v>29</v>
      </c>
      <c r="AD9" s="55">
        <v>30</v>
      </c>
    </row>
    <row r="10" spans="1:31" ht="32.25" customHeight="1">
      <c r="A10" s="112" t="s">
        <v>64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4"/>
      <c r="AE10" s="36"/>
    </row>
    <row r="11" spans="1:30" ht="35.25" customHeight="1">
      <c r="A11" s="103" t="s">
        <v>53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1:31" ht="72" customHeight="1">
      <c r="A12" s="10" t="s">
        <v>4</v>
      </c>
      <c r="B12" s="54" t="s">
        <v>105</v>
      </c>
      <c r="C12" s="51" t="s">
        <v>106</v>
      </c>
      <c r="D12" s="12" t="s">
        <v>126</v>
      </c>
      <c r="E12" s="5">
        <f>F12+G12+H12+I12</f>
        <v>0</v>
      </c>
      <c r="F12" s="6">
        <v>0</v>
      </c>
      <c r="G12" s="6">
        <v>0</v>
      </c>
      <c r="H12" s="6">
        <v>0</v>
      </c>
      <c r="I12" s="6">
        <v>0</v>
      </c>
      <c r="J12" s="5">
        <f>K12+L12+M12+N12</f>
        <v>0</v>
      </c>
      <c r="K12" s="6">
        <v>0</v>
      </c>
      <c r="L12" s="6">
        <v>0</v>
      </c>
      <c r="M12" s="6">
        <v>0</v>
      </c>
      <c r="N12" s="6">
        <v>0</v>
      </c>
      <c r="O12" s="5">
        <f>P12+Q12+R12+S12</f>
        <v>599</v>
      </c>
      <c r="P12" s="6">
        <f>0+599</f>
        <v>599</v>
      </c>
      <c r="Q12" s="6">
        <v>0</v>
      </c>
      <c r="R12" s="6">
        <v>0</v>
      </c>
      <c r="S12" s="6">
        <v>0</v>
      </c>
      <c r="T12" s="5">
        <f>U12+V12+W12+X12</f>
        <v>2957</v>
      </c>
      <c r="U12" s="6">
        <f>62+563-62+2394</f>
        <v>2957</v>
      </c>
      <c r="V12" s="6">
        <f>501-501</f>
        <v>0</v>
      </c>
      <c r="W12" s="6">
        <v>0</v>
      </c>
      <c r="X12" s="6">
        <v>0</v>
      </c>
      <c r="Y12" s="5">
        <f>Z12+AA12+AB12+AC12</f>
        <v>1126</v>
      </c>
      <c r="Z12" s="6">
        <f>62+563</f>
        <v>625</v>
      </c>
      <c r="AA12" s="6">
        <v>501</v>
      </c>
      <c r="AB12" s="6">
        <v>0</v>
      </c>
      <c r="AC12" s="6">
        <v>0</v>
      </c>
      <c r="AD12" s="5">
        <f>E12+J12+O12+T12+Y12</f>
        <v>4682</v>
      </c>
      <c r="AE12" s="74" t="s">
        <v>136</v>
      </c>
    </row>
    <row r="13" spans="1:30" ht="85.5" customHeight="1">
      <c r="A13" s="44" t="s">
        <v>5</v>
      </c>
      <c r="B13" s="45" t="s">
        <v>130</v>
      </c>
      <c r="C13" s="9" t="s">
        <v>74</v>
      </c>
      <c r="D13" s="12" t="s">
        <v>49</v>
      </c>
      <c r="E13" s="5">
        <f aca="true" t="shared" si="0" ref="E13:E21">F13+G13+H13+I13</f>
        <v>166</v>
      </c>
      <c r="F13" s="6">
        <v>166</v>
      </c>
      <c r="G13" s="6">
        <v>0</v>
      </c>
      <c r="H13" s="6">
        <v>0</v>
      </c>
      <c r="I13" s="6">
        <v>0</v>
      </c>
      <c r="J13" s="5">
        <f aca="true" t="shared" si="1" ref="J13:J21">K13+L13+M13+N13</f>
        <v>166</v>
      </c>
      <c r="K13" s="6">
        <v>166</v>
      </c>
      <c r="L13" s="6">
        <v>0</v>
      </c>
      <c r="M13" s="6">
        <v>0</v>
      </c>
      <c r="N13" s="6">
        <v>0</v>
      </c>
      <c r="O13" s="5">
        <f aca="true" t="shared" si="2" ref="O13:O21">P13+Q13+R13+S13</f>
        <v>221</v>
      </c>
      <c r="P13" s="6">
        <v>221</v>
      </c>
      <c r="Q13" s="6">
        <v>0</v>
      </c>
      <c r="R13" s="6">
        <v>0</v>
      </c>
      <c r="S13" s="6">
        <v>0</v>
      </c>
      <c r="T13" s="5">
        <f aca="true" t="shared" si="3" ref="T13:T21">U13+V13+W13+X13</f>
        <v>968</v>
      </c>
      <c r="U13" s="6">
        <v>968</v>
      </c>
      <c r="V13" s="6">
        <v>0</v>
      </c>
      <c r="W13" s="6">
        <v>0</v>
      </c>
      <c r="X13" s="6">
        <v>0</v>
      </c>
      <c r="Y13" s="5">
        <f aca="true" t="shared" si="4" ref="Y13:Y21">Z13+AA13+AB13+AC13</f>
        <v>968</v>
      </c>
      <c r="Z13" s="6">
        <v>968</v>
      </c>
      <c r="AA13" s="6">
        <v>0</v>
      </c>
      <c r="AB13" s="6">
        <v>0</v>
      </c>
      <c r="AC13" s="6">
        <v>0</v>
      </c>
      <c r="AD13" s="5">
        <f>E13+J13+O13+T13+Y13</f>
        <v>2489</v>
      </c>
    </row>
    <row r="14" spans="1:33" ht="47.25" customHeight="1">
      <c r="A14" s="10" t="s">
        <v>6</v>
      </c>
      <c r="B14" s="11" t="s">
        <v>30</v>
      </c>
      <c r="C14" s="9" t="s">
        <v>73</v>
      </c>
      <c r="D14" s="12" t="s">
        <v>70</v>
      </c>
      <c r="E14" s="5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81" t="s">
        <v>71</v>
      </c>
      <c r="K14" s="82"/>
      <c r="L14" s="82"/>
      <c r="M14" s="82"/>
      <c r="N14" s="83"/>
      <c r="O14" s="81" t="s">
        <v>71</v>
      </c>
      <c r="P14" s="82"/>
      <c r="Q14" s="82"/>
      <c r="R14" s="82"/>
      <c r="S14" s="83"/>
      <c r="T14" s="81" t="s">
        <v>71</v>
      </c>
      <c r="U14" s="82"/>
      <c r="V14" s="82"/>
      <c r="W14" s="82"/>
      <c r="X14" s="83"/>
      <c r="Y14" s="81" t="s">
        <v>71</v>
      </c>
      <c r="Z14" s="82"/>
      <c r="AA14" s="82"/>
      <c r="AB14" s="82"/>
      <c r="AC14" s="83"/>
      <c r="AD14" s="5">
        <f>E14</f>
        <v>0</v>
      </c>
      <c r="AE14" s="37"/>
      <c r="AF14" s="7"/>
      <c r="AG14" s="7"/>
    </row>
    <row r="15" spans="1:35" ht="57" customHeight="1">
      <c r="A15" s="10" t="s">
        <v>7</v>
      </c>
      <c r="B15" s="11" t="s">
        <v>93</v>
      </c>
      <c r="C15" s="9" t="s">
        <v>73</v>
      </c>
      <c r="D15" s="12">
        <v>2021</v>
      </c>
      <c r="E15" s="5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5">
        <f t="shared" si="1"/>
        <v>0</v>
      </c>
      <c r="K15" s="6">
        <v>0</v>
      </c>
      <c r="L15" s="6">
        <v>0</v>
      </c>
      <c r="M15" s="6">
        <v>0</v>
      </c>
      <c r="N15" s="6">
        <v>0</v>
      </c>
      <c r="O15" s="5">
        <f t="shared" si="2"/>
        <v>1037</v>
      </c>
      <c r="P15" s="6">
        <f>0+1384-169-178</f>
        <v>1037</v>
      </c>
      <c r="Q15" s="6">
        <v>0</v>
      </c>
      <c r="R15" s="6">
        <v>0</v>
      </c>
      <c r="S15" s="6">
        <v>0</v>
      </c>
      <c r="T15" s="5">
        <f t="shared" si="3"/>
        <v>0</v>
      </c>
      <c r="U15" s="6">
        <f>588-588</f>
        <v>0</v>
      </c>
      <c r="V15" s="6">
        <v>0</v>
      </c>
      <c r="W15" s="6">
        <v>0</v>
      </c>
      <c r="X15" s="6">
        <v>0</v>
      </c>
      <c r="Y15" s="5">
        <f t="shared" si="4"/>
        <v>0</v>
      </c>
      <c r="Z15" s="6">
        <f>588-588</f>
        <v>0</v>
      </c>
      <c r="AA15" s="6">
        <v>0</v>
      </c>
      <c r="AB15" s="6">
        <v>0</v>
      </c>
      <c r="AC15" s="6">
        <v>0</v>
      </c>
      <c r="AD15" s="5">
        <f>E15+J15+O15+T15+Y15</f>
        <v>1037</v>
      </c>
      <c r="AE15" s="89"/>
      <c r="AF15" s="90"/>
      <c r="AG15" s="90"/>
      <c r="AH15" s="90"/>
      <c r="AI15" s="90"/>
    </row>
    <row r="16" spans="1:30" ht="54" customHeight="1">
      <c r="A16" s="10" t="s">
        <v>8</v>
      </c>
      <c r="B16" s="11" t="s">
        <v>12</v>
      </c>
      <c r="C16" s="9" t="s">
        <v>73</v>
      </c>
      <c r="D16" s="12"/>
      <c r="E16" s="5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5">
        <f t="shared" si="1"/>
        <v>0</v>
      </c>
      <c r="K16" s="6">
        <v>0</v>
      </c>
      <c r="L16" s="6">
        <v>0</v>
      </c>
      <c r="M16" s="6">
        <v>0</v>
      </c>
      <c r="N16" s="6">
        <v>0</v>
      </c>
      <c r="O16" s="5">
        <f t="shared" si="2"/>
        <v>0</v>
      </c>
      <c r="P16" s="6">
        <v>0</v>
      </c>
      <c r="Q16" s="6">
        <v>0</v>
      </c>
      <c r="R16" s="6">
        <v>0</v>
      </c>
      <c r="S16" s="6">
        <v>0</v>
      </c>
      <c r="T16" s="5">
        <f t="shared" si="3"/>
        <v>0</v>
      </c>
      <c r="U16" s="6">
        <f>100-100</f>
        <v>0</v>
      </c>
      <c r="V16" s="6">
        <v>0</v>
      </c>
      <c r="W16" s="6">
        <v>0</v>
      </c>
      <c r="X16" s="6">
        <v>0</v>
      </c>
      <c r="Y16" s="5">
        <f t="shared" si="4"/>
        <v>0</v>
      </c>
      <c r="Z16" s="6">
        <f>100-100</f>
        <v>0</v>
      </c>
      <c r="AA16" s="6">
        <v>0</v>
      </c>
      <c r="AB16" s="6">
        <v>0</v>
      </c>
      <c r="AC16" s="6">
        <v>0</v>
      </c>
      <c r="AD16" s="5">
        <f>E16+J16+O16+T16+Y16</f>
        <v>0</v>
      </c>
    </row>
    <row r="17" spans="1:30" ht="67.5" customHeight="1">
      <c r="A17" s="75" t="s">
        <v>60</v>
      </c>
      <c r="B17" s="76" t="s">
        <v>87</v>
      </c>
      <c r="C17" s="9" t="s">
        <v>72</v>
      </c>
      <c r="D17" s="12" t="s">
        <v>49</v>
      </c>
      <c r="E17" s="5">
        <f t="shared" si="0"/>
        <v>51</v>
      </c>
      <c r="F17" s="6">
        <v>51</v>
      </c>
      <c r="G17" s="6">
        <v>0</v>
      </c>
      <c r="H17" s="6">
        <v>0</v>
      </c>
      <c r="I17" s="6">
        <v>0</v>
      </c>
      <c r="J17" s="5">
        <f t="shared" si="1"/>
        <v>51</v>
      </c>
      <c r="K17" s="6">
        <f>0+51+172-172</f>
        <v>51</v>
      </c>
      <c r="L17" s="6">
        <f>0+1389-1389</f>
        <v>0</v>
      </c>
      <c r="M17" s="6">
        <v>0</v>
      </c>
      <c r="N17" s="6">
        <v>0</v>
      </c>
      <c r="O17" s="5">
        <f t="shared" si="2"/>
        <v>52</v>
      </c>
      <c r="P17" s="6">
        <f>0+51+1</f>
        <v>52</v>
      </c>
      <c r="Q17" s="6">
        <v>0</v>
      </c>
      <c r="R17" s="6">
        <v>0</v>
      </c>
      <c r="S17" s="6">
        <v>0</v>
      </c>
      <c r="T17" s="5">
        <f t="shared" si="3"/>
        <v>113</v>
      </c>
      <c r="U17" s="6">
        <v>113</v>
      </c>
      <c r="V17" s="6">
        <v>0</v>
      </c>
      <c r="W17" s="6">
        <v>0</v>
      </c>
      <c r="X17" s="6">
        <v>0</v>
      </c>
      <c r="Y17" s="5">
        <f t="shared" si="4"/>
        <v>113</v>
      </c>
      <c r="Z17" s="6">
        <v>113</v>
      </c>
      <c r="AA17" s="6">
        <v>0</v>
      </c>
      <c r="AB17" s="6">
        <v>0</v>
      </c>
      <c r="AC17" s="6">
        <v>0</v>
      </c>
      <c r="AD17" s="5">
        <f>E17+J17+O17+T17+Y17</f>
        <v>380</v>
      </c>
    </row>
    <row r="18" spans="1:30" ht="155.25" customHeight="1">
      <c r="A18" s="10" t="s">
        <v>98</v>
      </c>
      <c r="B18" s="11" t="s">
        <v>104</v>
      </c>
      <c r="C18" s="9" t="s">
        <v>73</v>
      </c>
      <c r="D18" s="12">
        <v>2022</v>
      </c>
      <c r="E18" s="5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5" t="s">
        <v>35</v>
      </c>
      <c r="K18" s="6" t="s">
        <v>35</v>
      </c>
      <c r="L18" s="6" t="s">
        <v>35</v>
      </c>
      <c r="M18" s="6" t="s">
        <v>35</v>
      </c>
      <c r="N18" s="6" t="s">
        <v>35</v>
      </c>
      <c r="O18" s="5" t="s">
        <v>35</v>
      </c>
      <c r="P18" s="6" t="s">
        <v>35</v>
      </c>
      <c r="Q18" s="6" t="s">
        <v>35</v>
      </c>
      <c r="R18" s="6" t="s">
        <v>35</v>
      </c>
      <c r="S18" s="6" t="s">
        <v>35</v>
      </c>
      <c r="T18" s="5">
        <f t="shared" si="3"/>
        <v>1848</v>
      </c>
      <c r="U18" s="6">
        <v>1848</v>
      </c>
      <c r="V18" s="6">
        <v>0</v>
      </c>
      <c r="W18" s="6">
        <v>0</v>
      </c>
      <c r="X18" s="6">
        <v>0</v>
      </c>
      <c r="Y18" s="5" t="s">
        <v>35</v>
      </c>
      <c r="Z18" s="6" t="s">
        <v>35</v>
      </c>
      <c r="AA18" s="6" t="s">
        <v>35</v>
      </c>
      <c r="AB18" s="6" t="s">
        <v>35</v>
      </c>
      <c r="AC18" s="6" t="s">
        <v>35</v>
      </c>
      <c r="AD18" s="5">
        <f>T18</f>
        <v>1848</v>
      </c>
    </row>
    <row r="19" spans="1:31" ht="51.75" customHeight="1">
      <c r="A19" s="98" t="s">
        <v>108</v>
      </c>
      <c r="B19" s="115" t="s">
        <v>129</v>
      </c>
      <c r="C19" s="9" t="s">
        <v>101</v>
      </c>
      <c r="D19" s="12">
        <v>2023</v>
      </c>
      <c r="E19" s="5" t="s">
        <v>35</v>
      </c>
      <c r="F19" s="6" t="s">
        <v>35</v>
      </c>
      <c r="G19" s="6" t="s">
        <v>35</v>
      </c>
      <c r="H19" s="6" t="s">
        <v>35</v>
      </c>
      <c r="I19" s="6" t="s">
        <v>35</v>
      </c>
      <c r="J19" s="5" t="s">
        <v>35</v>
      </c>
      <c r="K19" s="6" t="s">
        <v>35</v>
      </c>
      <c r="L19" s="6" t="s">
        <v>35</v>
      </c>
      <c r="M19" s="6" t="s">
        <v>35</v>
      </c>
      <c r="N19" s="6" t="s">
        <v>35</v>
      </c>
      <c r="O19" s="5" t="s">
        <v>35</v>
      </c>
      <c r="P19" s="6" t="s">
        <v>35</v>
      </c>
      <c r="Q19" s="6" t="s">
        <v>35</v>
      </c>
      <c r="R19" s="6" t="s">
        <v>35</v>
      </c>
      <c r="S19" s="6" t="s">
        <v>35</v>
      </c>
      <c r="T19" s="5" t="s">
        <v>35</v>
      </c>
      <c r="U19" s="6" t="s">
        <v>35</v>
      </c>
      <c r="V19" s="6" t="s">
        <v>35</v>
      </c>
      <c r="W19" s="6" t="s">
        <v>35</v>
      </c>
      <c r="X19" s="6" t="s">
        <v>35</v>
      </c>
      <c r="Y19" s="5">
        <f>Z19+AA19+AB19+AC19</f>
        <v>65</v>
      </c>
      <c r="Z19" s="6">
        <v>7</v>
      </c>
      <c r="AA19" s="6">
        <v>58</v>
      </c>
      <c r="AB19" s="6">
        <v>0</v>
      </c>
      <c r="AC19" s="6">
        <v>0</v>
      </c>
      <c r="AD19" s="65">
        <f>Y19</f>
        <v>65</v>
      </c>
      <c r="AE19" s="63" t="s">
        <v>123</v>
      </c>
    </row>
    <row r="20" spans="1:31" ht="51.75" customHeight="1">
      <c r="A20" s="99"/>
      <c r="B20" s="116"/>
      <c r="C20" s="9" t="s">
        <v>73</v>
      </c>
      <c r="D20" s="12" t="s">
        <v>127</v>
      </c>
      <c r="E20" s="5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5" t="s">
        <v>35</v>
      </c>
      <c r="K20" s="6" t="s">
        <v>35</v>
      </c>
      <c r="L20" s="6" t="s">
        <v>35</v>
      </c>
      <c r="M20" s="6" t="s">
        <v>35</v>
      </c>
      <c r="N20" s="6" t="s">
        <v>35</v>
      </c>
      <c r="O20" s="5" t="s">
        <v>35</v>
      </c>
      <c r="P20" s="6" t="s">
        <v>35</v>
      </c>
      <c r="Q20" s="6" t="s">
        <v>35</v>
      </c>
      <c r="R20" s="6" t="s">
        <v>35</v>
      </c>
      <c r="S20" s="6" t="s">
        <v>35</v>
      </c>
      <c r="T20" s="5">
        <f t="shared" si="3"/>
        <v>291</v>
      </c>
      <c r="U20" s="6">
        <v>291</v>
      </c>
      <c r="V20" s="6">
        <v>0</v>
      </c>
      <c r="W20" s="6">
        <v>0</v>
      </c>
      <c r="X20" s="6">
        <v>0</v>
      </c>
      <c r="Y20" s="5">
        <f>Z20+AA20+AB20+AC20</f>
        <v>291</v>
      </c>
      <c r="Z20" s="66">
        <v>291</v>
      </c>
      <c r="AA20" s="6">
        <v>0</v>
      </c>
      <c r="AB20" s="6">
        <v>0</v>
      </c>
      <c r="AC20" s="6">
        <v>0</v>
      </c>
      <c r="AD20" s="65">
        <f>T20+Y20</f>
        <v>582</v>
      </c>
      <c r="AE20" s="58" t="s">
        <v>124</v>
      </c>
    </row>
    <row r="21" spans="1:31" s="3" customFormat="1" ht="36" customHeight="1">
      <c r="A21" s="101" t="s">
        <v>13</v>
      </c>
      <c r="B21" s="102"/>
      <c r="C21" s="46"/>
      <c r="D21" s="47"/>
      <c r="E21" s="5">
        <f t="shared" si="0"/>
        <v>217</v>
      </c>
      <c r="F21" s="5">
        <f>SUM(F12:F17)</f>
        <v>217</v>
      </c>
      <c r="G21" s="5">
        <f>SUM(G12:G17)</f>
        <v>0</v>
      </c>
      <c r="H21" s="5">
        <f>SUM(H12:H17)</f>
        <v>0</v>
      </c>
      <c r="I21" s="5">
        <f>SUM(I12:I17)</f>
        <v>0</v>
      </c>
      <c r="J21" s="5">
        <f t="shared" si="1"/>
        <v>217</v>
      </c>
      <c r="K21" s="5">
        <f>SUM(K12:K17)</f>
        <v>217</v>
      </c>
      <c r="L21" s="5">
        <f>SUM(L12:L17)</f>
        <v>0</v>
      </c>
      <c r="M21" s="5">
        <f>SUM(M12:M17)</f>
        <v>0</v>
      </c>
      <c r="N21" s="5">
        <f>SUM(N12:N17)</f>
        <v>0</v>
      </c>
      <c r="O21" s="5">
        <f t="shared" si="2"/>
        <v>1909</v>
      </c>
      <c r="P21" s="5">
        <f>P12+P13+P15+P17</f>
        <v>1909</v>
      </c>
      <c r="Q21" s="5">
        <f>SUM(Q12:Q17)</f>
        <v>0</v>
      </c>
      <c r="R21" s="5">
        <f>SUM(R12:R17)</f>
        <v>0</v>
      </c>
      <c r="S21" s="5">
        <f>SUM(S12:S17)</f>
        <v>0</v>
      </c>
      <c r="T21" s="5">
        <f t="shared" si="3"/>
        <v>6177</v>
      </c>
      <c r="U21" s="5">
        <f>SUM(U12:U20)</f>
        <v>6177</v>
      </c>
      <c r="V21" s="5">
        <f>SUM(V12:V20)</f>
        <v>0</v>
      </c>
      <c r="W21" s="5">
        <f>SUM(W12:W20)</f>
        <v>0</v>
      </c>
      <c r="X21" s="5">
        <f>SUM(X12:X20)</f>
        <v>0</v>
      </c>
      <c r="Y21" s="5">
        <f t="shared" si="4"/>
        <v>2563</v>
      </c>
      <c r="Z21" s="5">
        <f>SUM(Z12:Z20)</f>
        <v>2004</v>
      </c>
      <c r="AA21" s="5">
        <f>SUM(AA12:AA20)</f>
        <v>559</v>
      </c>
      <c r="AB21" s="5">
        <f>SUM(AB12:AB17)</f>
        <v>0</v>
      </c>
      <c r="AC21" s="5">
        <f>SUM(AC12:AC17)</f>
        <v>0</v>
      </c>
      <c r="AD21" s="5">
        <f>SUM(AD12:AD20)</f>
        <v>11083</v>
      </c>
      <c r="AE21" s="39">
        <f>E21+J21+O21+T21+Y21</f>
        <v>11083</v>
      </c>
    </row>
    <row r="22" spans="1:30" ht="39.75" customHeight="1">
      <c r="A22" s="103" t="s">
        <v>54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5"/>
    </row>
    <row r="23" spans="1:34" ht="98.25" customHeight="1">
      <c r="A23" s="10" t="s">
        <v>14</v>
      </c>
      <c r="B23" s="11" t="s">
        <v>16</v>
      </c>
      <c r="C23" s="9" t="s">
        <v>11</v>
      </c>
      <c r="D23" s="12">
        <v>2019</v>
      </c>
      <c r="E23" s="5">
        <f>F23+G23+H23+I23</f>
        <v>847</v>
      </c>
      <c r="F23" s="6">
        <f>1292-187-187-71</f>
        <v>847</v>
      </c>
      <c r="G23" s="6">
        <v>0</v>
      </c>
      <c r="H23" s="6">
        <v>0</v>
      </c>
      <c r="I23" s="6">
        <v>0</v>
      </c>
      <c r="J23" s="5">
        <f>K23+L23+M23+N23</f>
        <v>0</v>
      </c>
      <c r="K23" s="6">
        <f>1338-1338</f>
        <v>0</v>
      </c>
      <c r="L23" s="6">
        <v>0</v>
      </c>
      <c r="M23" s="6">
        <v>0</v>
      </c>
      <c r="N23" s="6">
        <v>0</v>
      </c>
      <c r="O23" s="5">
        <f>P23+Q23+R23+S23</f>
        <v>0</v>
      </c>
      <c r="P23" s="6">
        <f>1338-1338</f>
        <v>0</v>
      </c>
      <c r="Q23" s="6">
        <v>0</v>
      </c>
      <c r="R23" s="6">
        <v>0</v>
      </c>
      <c r="S23" s="6">
        <v>0</v>
      </c>
      <c r="T23" s="5">
        <f>U23+V23+W23+X23</f>
        <v>0</v>
      </c>
      <c r="U23" s="6">
        <f>3058-3058</f>
        <v>0</v>
      </c>
      <c r="V23" s="6">
        <v>0</v>
      </c>
      <c r="W23" s="6">
        <v>0</v>
      </c>
      <c r="X23" s="6">
        <v>0</v>
      </c>
      <c r="Y23" s="5">
        <f>Z23+AA23+AB23+AC23</f>
        <v>0</v>
      </c>
      <c r="Z23" s="6">
        <f>3058-3058</f>
        <v>0</v>
      </c>
      <c r="AA23" s="6">
        <v>0</v>
      </c>
      <c r="AB23" s="6">
        <v>0</v>
      </c>
      <c r="AC23" s="6">
        <v>0</v>
      </c>
      <c r="AD23" s="5">
        <f aca="true" t="shared" si="5" ref="AD23:AD29">E23+J23+O23+T23+Y23</f>
        <v>847</v>
      </c>
      <c r="AE23" s="37"/>
      <c r="AF23" s="8"/>
      <c r="AG23" s="8"/>
      <c r="AH23" s="7"/>
    </row>
    <row r="24" spans="1:30" ht="47.25" customHeight="1">
      <c r="A24" s="10" t="s">
        <v>15</v>
      </c>
      <c r="B24" s="11" t="s">
        <v>61</v>
      </c>
      <c r="C24" s="9" t="s">
        <v>73</v>
      </c>
      <c r="D24" s="12" t="s">
        <v>49</v>
      </c>
      <c r="E24" s="5">
        <f aca="true" t="shared" si="6" ref="E24:E31">F24+G24+H24+I24</f>
        <v>1468</v>
      </c>
      <c r="F24" s="6">
        <v>1468</v>
      </c>
      <c r="G24" s="6">
        <v>0</v>
      </c>
      <c r="H24" s="6">
        <v>0</v>
      </c>
      <c r="I24" s="6">
        <v>0</v>
      </c>
      <c r="J24" s="5">
        <f aca="true" t="shared" si="7" ref="J24:J31">K24+L24+M24+N24</f>
        <v>1102</v>
      </c>
      <c r="K24" s="6">
        <f>977+491-366</f>
        <v>1102</v>
      </c>
      <c r="L24" s="6">
        <v>0</v>
      </c>
      <c r="M24" s="6">
        <v>0</v>
      </c>
      <c r="N24" s="6">
        <v>0</v>
      </c>
      <c r="O24" s="5">
        <f aca="true" t="shared" si="8" ref="O24:O31">P24+Q24+R24+S24</f>
        <v>672</v>
      </c>
      <c r="P24" s="6">
        <f>1183-255-256</f>
        <v>672</v>
      </c>
      <c r="Q24" s="6">
        <v>0</v>
      </c>
      <c r="R24" s="6">
        <v>0</v>
      </c>
      <c r="S24" s="6">
        <v>0</v>
      </c>
      <c r="T24" s="65">
        <f aca="true" t="shared" si="9" ref="T24:T31">U24+V24+W24+X24</f>
        <v>1468</v>
      </c>
      <c r="U24" s="66">
        <f>1468</f>
        <v>1468</v>
      </c>
      <c r="V24" s="66">
        <v>0</v>
      </c>
      <c r="W24" s="66">
        <v>0</v>
      </c>
      <c r="X24" s="66">
        <v>0</v>
      </c>
      <c r="Y24" s="65">
        <f aca="true" t="shared" si="10" ref="Y24:Y31">Z24+AA24+AB24+AC24</f>
        <v>1468</v>
      </c>
      <c r="Z24" s="66">
        <v>1468</v>
      </c>
      <c r="AA24" s="6">
        <v>0</v>
      </c>
      <c r="AB24" s="6">
        <v>0</v>
      </c>
      <c r="AC24" s="6">
        <v>0</v>
      </c>
      <c r="AD24" s="5">
        <f t="shared" si="5"/>
        <v>6178</v>
      </c>
    </row>
    <row r="25" spans="1:30" ht="60" customHeight="1">
      <c r="A25" s="10" t="s">
        <v>17</v>
      </c>
      <c r="B25" s="11" t="s">
        <v>32</v>
      </c>
      <c r="C25" s="9" t="s">
        <v>73</v>
      </c>
      <c r="D25" s="12" t="s">
        <v>49</v>
      </c>
      <c r="E25" s="5">
        <f t="shared" si="6"/>
        <v>932</v>
      </c>
      <c r="F25" s="6">
        <f>1053-60-61</f>
        <v>932</v>
      </c>
      <c r="G25" s="6">
        <v>0</v>
      </c>
      <c r="H25" s="6">
        <v>0</v>
      </c>
      <c r="I25" s="6">
        <v>0</v>
      </c>
      <c r="J25" s="5">
        <f t="shared" si="7"/>
        <v>395</v>
      </c>
      <c r="K25" s="6">
        <f>1053-658</f>
        <v>395</v>
      </c>
      <c r="L25" s="6">
        <v>0</v>
      </c>
      <c r="M25" s="6">
        <v>0</v>
      </c>
      <c r="N25" s="6">
        <v>0</v>
      </c>
      <c r="O25" s="5">
        <f t="shared" si="8"/>
        <v>704</v>
      </c>
      <c r="P25" s="6">
        <f>1053-349</f>
        <v>704</v>
      </c>
      <c r="Q25" s="6">
        <v>0</v>
      </c>
      <c r="R25" s="6">
        <v>0</v>
      </c>
      <c r="S25" s="6">
        <v>0</v>
      </c>
      <c r="T25" s="65">
        <f t="shared" si="9"/>
        <v>1053</v>
      </c>
      <c r="U25" s="66">
        <f>1553-500</f>
        <v>1053</v>
      </c>
      <c r="V25" s="66">
        <v>0</v>
      </c>
      <c r="W25" s="66">
        <v>0</v>
      </c>
      <c r="X25" s="66">
        <v>0</v>
      </c>
      <c r="Y25" s="65">
        <f t="shared" si="10"/>
        <v>1053</v>
      </c>
      <c r="Z25" s="66">
        <f>1553-500</f>
        <v>1053</v>
      </c>
      <c r="AA25" s="6">
        <v>0</v>
      </c>
      <c r="AB25" s="6">
        <v>0</v>
      </c>
      <c r="AC25" s="6">
        <v>0</v>
      </c>
      <c r="AD25" s="5">
        <f t="shared" si="5"/>
        <v>4137</v>
      </c>
    </row>
    <row r="26" spans="1:30" ht="74.25" customHeight="1">
      <c r="A26" s="44" t="s">
        <v>18</v>
      </c>
      <c r="B26" s="48" t="s">
        <v>33</v>
      </c>
      <c r="C26" s="9" t="s">
        <v>73</v>
      </c>
      <c r="D26" s="12" t="s">
        <v>49</v>
      </c>
      <c r="E26" s="5">
        <f t="shared" si="6"/>
        <v>1661</v>
      </c>
      <c r="F26" s="6">
        <v>1661</v>
      </c>
      <c r="G26" s="6">
        <v>0</v>
      </c>
      <c r="H26" s="6">
        <v>0</v>
      </c>
      <c r="I26" s="6">
        <v>0</v>
      </c>
      <c r="J26" s="81" t="s">
        <v>71</v>
      </c>
      <c r="K26" s="82"/>
      <c r="L26" s="82"/>
      <c r="M26" s="82"/>
      <c r="N26" s="83"/>
      <c r="O26" s="81" t="s">
        <v>71</v>
      </c>
      <c r="P26" s="82"/>
      <c r="Q26" s="82"/>
      <c r="R26" s="82"/>
      <c r="S26" s="83"/>
      <c r="T26" s="81" t="s">
        <v>71</v>
      </c>
      <c r="U26" s="82"/>
      <c r="V26" s="82"/>
      <c r="W26" s="82"/>
      <c r="X26" s="83"/>
      <c r="Y26" s="81" t="s">
        <v>71</v>
      </c>
      <c r="Z26" s="82"/>
      <c r="AA26" s="82"/>
      <c r="AB26" s="82"/>
      <c r="AC26" s="83"/>
      <c r="AD26" s="5">
        <f>E26</f>
        <v>1661</v>
      </c>
    </row>
    <row r="27" spans="1:34" ht="81" customHeight="1">
      <c r="A27" s="98" t="s">
        <v>31</v>
      </c>
      <c r="B27" s="128" t="s">
        <v>69</v>
      </c>
      <c r="C27" s="9" t="s">
        <v>79</v>
      </c>
      <c r="D27" s="12" t="s">
        <v>49</v>
      </c>
      <c r="E27" s="5">
        <f t="shared" si="6"/>
        <v>578</v>
      </c>
      <c r="F27" s="6">
        <v>87</v>
      </c>
      <c r="G27" s="6">
        <v>491</v>
      </c>
      <c r="H27" s="6">
        <v>0</v>
      </c>
      <c r="I27" s="6">
        <v>0</v>
      </c>
      <c r="J27" s="5">
        <f t="shared" si="7"/>
        <v>7309</v>
      </c>
      <c r="K27" s="6">
        <f>0+1338+698-377</f>
        <v>1659</v>
      </c>
      <c r="L27" s="6">
        <f>0+5650</f>
        <v>5650</v>
      </c>
      <c r="M27" s="6">
        <v>0</v>
      </c>
      <c r="N27" s="6">
        <v>0</v>
      </c>
      <c r="O27" s="5">
        <f t="shared" si="8"/>
        <v>921</v>
      </c>
      <c r="P27" s="6">
        <f>795+126</f>
        <v>921</v>
      </c>
      <c r="Q27" s="6">
        <v>0</v>
      </c>
      <c r="R27" s="6">
        <v>0</v>
      </c>
      <c r="S27" s="6">
        <v>0</v>
      </c>
      <c r="T27" s="5">
        <f t="shared" si="9"/>
        <v>783</v>
      </c>
      <c r="U27" s="6">
        <f>403+783-403</f>
        <v>783</v>
      </c>
      <c r="V27" s="6">
        <f>0+3260-3260</f>
        <v>0</v>
      </c>
      <c r="W27" s="6">
        <v>0</v>
      </c>
      <c r="X27" s="6">
        <v>0</v>
      </c>
      <c r="Y27" s="5">
        <f t="shared" si="10"/>
        <v>783</v>
      </c>
      <c r="Z27" s="6">
        <v>783</v>
      </c>
      <c r="AA27" s="6">
        <v>0</v>
      </c>
      <c r="AB27" s="6">
        <v>0</v>
      </c>
      <c r="AC27" s="6">
        <v>0</v>
      </c>
      <c r="AD27" s="5">
        <f t="shared" si="5"/>
        <v>10374</v>
      </c>
      <c r="AE27" s="8"/>
      <c r="AF27" s="60"/>
      <c r="AG27" s="8"/>
      <c r="AH27" s="7"/>
    </row>
    <row r="28" spans="1:34" ht="45" customHeight="1">
      <c r="A28" s="99"/>
      <c r="B28" s="129"/>
      <c r="C28" s="9" t="s">
        <v>73</v>
      </c>
      <c r="D28" s="12">
        <v>2022</v>
      </c>
      <c r="E28" s="5" t="s">
        <v>35</v>
      </c>
      <c r="F28" s="6" t="s">
        <v>35</v>
      </c>
      <c r="G28" s="6" t="s">
        <v>35</v>
      </c>
      <c r="H28" s="6" t="s">
        <v>35</v>
      </c>
      <c r="I28" s="6" t="s">
        <v>35</v>
      </c>
      <c r="J28" s="5" t="s">
        <v>35</v>
      </c>
      <c r="K28" s="6" t="s">
        <v>35</v>
      </c>
      <c r="L28" s="6" t="s">
        <v>35</v>
      </c>
      <c r="M28" s="6" t="s">
        <v>35</v>
      </c>
      <c r="N28" s="6" t="s">
        <v>35</v>
      </c>
      <c r="O28" s="5" t="s">
        <v>35</v>
      </c>
      <c r="P28" s="6" t="s">
        <v>35</v>
      </c>
      <c r="Q28" s="6" t="s">
        <v>35</v>
      </c>
      <c r="R28" s="6" t="s">
        <v>35</v>
      </c>
      <c r="S28" s="6" t="s">
        <v>35</v>
      </c>
      <c r="T28" s="5">
        <f>U28+V28+W28+X28</f>
        <v>591</v>
      </c>
      <c r="U28" s="6">
        <v>591</v>
      </c>
      <c r="V28" s="6">
        <v>0</v>
      </c>
      <c r="W28" s="6">
        <v>0</v>
      </c>
      <c r="X28" s="6">
        <v>0</v>
      </c>
      <c r="Y28" s="5" t="s">
        <v>35</v>
      </c>
      <c r="Z28" s="6" t="s">
        <v>35</v>
      </c>
      <c r="AA28" s="6" t="s">
        <v>35</v>
      </c>
      <c r="AB28" s="6" t="s">
        <v>35</v>
      </c>
      <c r="AC28" s="6" t="s">
        <v>35</v>
      </c>
      <c r="AD28" s="5">
        <f>T28</f>
        <v>591</v>
      </c>
      <c r="AE28" s="8"/>
      <c r="AF28" s="60"/>
      <c r="AG28" s="8"/>
      <c r="AH28" s="7"/>
    </row>
    <row r="29" spans="1:30" ht="45" customHeight="1">
      <c r="A29" s="10" t="s">
        <v>34</v>
      </c>
      <c r="B29" s="21" t="s">
        <v>55</v>
      </c>
      <c r="C29" s="9" t="s">
        <v>73</v>
      </c>
      <c r="D29" s="12"/>
      <c r="E29" s="5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5">
        <f t="shared" si="7"/>
        <v>0</v>
      </c>
      <c r="K29" s="6">
        <v>0</v>
      </c>
      <c r="L29" s="6">
        <v>0</v>
      </c>
      <c r="M29" s="6">
        <v>0</v>
      </c>
      <c r="N29" s="6">
        <v>0</v>
      </c>
      <c r="O29" s="5">
        <f t="shared" si="8"/>
        <v>0</v>
      </c>
      <c r="P29" s="6">
        <v>0</v>
      </c>
      <c r="Q29" s="6">
        <v>0</v>
      </c>
      <c r="R29" s="6">
        <v>0</v>
      </c>
      <c r="S29" s="6">
        <v>0</v>
      </c>
      <c r="T29" s="5">
        <f t="shared" si="9"/>
        <v>0</v>
      </c>
      <c r="U29" s="6">
        <f>100-100</f>
        <v>0</v>
      </c>
      <c r="V29" s="6">
        <v>0</v>
      </c>
      <c r="W29" s="6">
        <v>0</v>
      </c>
      <c r="X29" s="6">
        <v>0</v>
      </c>
      <c r="Y29" s="5">
        <f t="shared" si="10"/>
        <v>0</v>
      </c>
      <c r="Z29" s="6">
        <f>100-100</f>
        <v>0</v>
      </c>
      <c r="AA29" s="6">
        <v>0</v>
      </c>
      <c r="AB29" s="6">
        <v>0</v>
      </c>
      <c r="AC29" s="6">
        <v>0</v>
      </c>
      <c r="AD29" s="5">
        <f t="shared" si="5"/>
        <v>0</v>
      </c>
    </row>
    <row r="30" spans="1:31" ht="65.25" customHeight="1">
      <c r="A30" s="10" t="s">
        <v>131</v>
      </c>
      <c r="B30" s="21" t="s">
        <v>132</v>
      </c>
      <c r="C30" s="9" t="s">
        <v>79</v>
      </c>
      <c r="D30" s="12">
        <v>2022</v>
      </c>
      <c r="E30" s="5" t="s">
        <v>35</v>
      </c>
      <c r="F30" s="6" t="s">
        <v>35</v>
      </c>
      <c r="G30" s="6" t="s">
        <v>35</v>
      </c>
      <c r="H30" s="6" t="s">
        <v>35</v>
      </c>
      <c r="I30" s="6" t="s">
        <v>35</v>
      </c>
      <c r="J30" s="5" t="s">
        <v>35</v>
      </c>
      <c r="K30" s="6" t="s">
        <v>35</v>
      </c>
      <c r="L30" s="6" t="s">
        <v>35</v>
      </c>
      <c r="M30" s="6" t="s">
        <v>35</v>
      </c>
      <c r="N30" s="6" t="s">
        <v>35</v>
      </c>
      <c r="O30" s="5" t="s">
        <v>35</v>
      </c>
      <c r="P30" s="6" t="s">
        <v>35</v>
      </c>
      <c r="Q30" s="6" t="s">
        <v>35</v>
      </c>
      <c r="R30" s="6" t="s">
        <v>35</v>
      </c>
      <c r="S30" s="6" t="s">
        <v>35</v>
      </c>
      <c r="T30" s="5">
        <f>U30+V30+W30+X30</f>
        <v>4898</v>
      </c>
      <c r="U30" s="6">
        <v>539</v>
      </c>
      <c r="V30" s="6">
        <v>4359</v>
      </c>
      <c r="W30" s="6">
        <v>0</v>
      </c>
      <c r="X30" s="6">
        <v>0</v>
      </c>
      <c r="Y30" s="5" t="s">
        <v>35</v>
      </c>
      <c r="Z30" s="6" t="s">
        <v>35</v>
      </c>
      <c r="AA30" s="6" t="s">
        <v>35</v>
      </c>
      <c r="AB30" s="6" t="s">
        <v>35</v>
      </c>
      <c r="AC30" s="6" t="s">
        <v>35</v>
      </c>
      <c r="AD30" s="5">
        <f>T30</f>
        <v>4898</v>
      </c>
      <c r="AE30" s="74"/>
    </row>
    <row r="31" spans="1:31" ht="36" customHeight="1">
      <c r="A31" s="106" t="s">
        <v>19</v>
      </c>
      <c r="B31" s="107"/>
      <c r="C31" s="46"/>
      <c r="D31" s="49"/>
      <c r="E31" s="5">
        <f t="shared" si="6"/>
        <v>5486</v>
      </c>
      <c r="F31" s="5">
        <f>SUM(F23:F29)</f>
        <v>4995</v>
      </c>
      <c r="G31" s="5">
        <f>SUM(G23:G29)</f>
        <v>491</v>
      </c>
      <c r="H31" s="5">
        <f>SUM(H23:H29)</f>
        <v>0</v>
      </c>
      <c r="I31" s="5">
        <f>SUM(I23:I29)</f>
        <v>0</v>
      </c>
      <c r="J31" s="5">
        <f t="shared" si="7"/>
        <v>8806</v>
      </c>
      <c r="K31" s="5">
        <f>SUM(K23:K29)</f>
        <v>3156</v>
      </c>
      <c r="L31" s="5">
        <f>SUM(L23:L29)</f>
        <v>5650</v>
      </c>
      <c r="M31" s="5">
        <f>SUM(M23:M29)</f>
        <v>0</v>
      </c>
      <c r="N31" s="5">
        <f>SUM(N23:N29)</f>
        <v>0</v>
      </c>
      <c r="O31" s="5">
        <f t="shared" si="8"/>
        <v>2297</v>
      </c>
      <c r="P31" s="5">
        <f>SUM(P23:P29)</f>
        <v>2297</v>
      </c>
      <c r="Q31" s="5">
        <f>SUM(Q23:Q29)</f>
        <v>0</v>
      </c>
      <c r="R31" s="5">
        <f>SUM(R23:R29)</f>
        <v>0</v>
      </c>
      <c r="S31" s="5">
        <f>SUM(S23:S29)</f>
        <v>0</v>
      </c>
      <c r="T31" s="5">
        <f t="shared" si="9"/>
        <v>8793</v>
      </c>
      <c r="U31" s="5">
        <f>SUM(U23:U30)</f>
        <v>4434</v>
      </c>
      <c r="V31" s="5">
        <f>SUM(V23:V30)</f>
        <v>4359</v>
      </c>
      <c r="W31" s="5">
        <f>SUM(W23:W30)</f>
        <v>0</v>
      </c>
      <c r="X31" s="5">
        <f>SUM(X23:X30)</f>
        <v>0</v>
      </c>
      <c r="Y31" s="5">
        <f t="shared" si="10"/>
        <v>3304</v>
      </c>
      <c r="Z31" s="5">
        <f>SUM(Z23:Z29)</f>
        <v>3304</v>
      </c>
      <c r="AA31" s="5">
        <f>SUM(AA23:AA29)</f>
        <v>0</v>
      </c>
      <c r="AB31" s="5">
        <f>SUM(AB23:AB29)</f>
        <v>0</v>
      </c>
      <c r="AC31" s="5">
        <f>SUM(AC23:AC29)</f>
        <v>0</v>
      </c>
      <c r="AD31" s="5">
        <f>SUM(AD23:AD30)</f>
        <v>28686</v>
      </c>
      <c r="AE31" s="39">
        <f>E31+J31+O31+T31+Y31</f>
        <v>28686</v>
      </c>
    </row>
    <row r="32" spans="1:32" ht="40.5" customHeight="1">
      <c r="A32" s="108" t="s">
        <v>67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36"/>
      <c r="AF32" s="61"/>
    </row>
    <row r="33" spans="1:32" ht="69.75" customHeight="1">
      <c r="A33" s="10" t="s">
        <v>20</v>
      </c>
      <c r="B33" s="22" t="s">
        <v>39</v>
      </c>
      <c r="C33" s="9" t="s">
        <v>75</v>
      </c>
      <c r="D33" s="6" t="s">
        <v>49</v>
      </c>
      <c r="E33" s="5">
        <f>F33+G33+H33+I33</f>
        <v>1962</v>
      </c>
      <c r="F33" s="6">
        <v>399</v>
      </c>
      <c r="G33" s="6">
        <v>1563</v>
      </c>
      <c r="H33" s="6">
        <v>0</v>
      </c>
      <c r="I33" s="6">
        <v>0</v>
      </c>
      <c r="J33" s="5">
        <f>K33+L33+M33+N33</f>
        <v>3632</v>
      </c>
      <c r="K33" s="6">
        <f>350+64</f>
        <v>414</v>
      </c>
      <c r="L33" s="6">
        <f>2832+386</f>
        <v>3218</v>
      </c>
      <c r="M33" s="6">
        <v>0</v>
      </c>
      <c r="N33" s="6">
        <v>0</v>
      </c>
      <c r="O33" s="5">
        <f aca="true" t="shared" si="11" ref="O33:O38">P33+Q33+R33+S33</f>
        <v>2839</v>
      </c>
      <c r="P33" s="6">
        <v>324</v>
      </c>
      <c r="Q33" s="6">
        <v>2515</v>
      </c>
      <c r="R33" s="6">
        <v>0</v>
      </c>
      <c r="S33" s="6">
        <v>0</v>
      </c>
      <c r="T33" s="5">
        <f>U33+V33+W33+X33</f>
        <v>2009</v>
      </c>
      <c r="U33" s="6">
        <f>285-64</f>
        <v>221</v>
      </c>
      <c r="V33" s="6">
        <f>2308-520</f>
        <v>1788</v>
      </c>
      <c r="W33" s="6">
        <v>0</v>
      </c>
      <c r="X33" s="6">
        <v>0</v>
      </c>
      <c r="Y33" s="65">
        <f>Z33+AA33+AB33+AC33</f>
        <v>1999</v>
      </c>
      <c r="Z33" s="66">
        <f>220</f>
        <v>220</v>
      </c>
      <c r="AA33" s="66">
        <v>1779</v>
      </c>
      <c r="AB33" s="6">
        <v>0</v>
      </c>
      <c r="AC33" s="6">
        <v>0</v>
      </c>
      <c r="AD33" s="5">
        <f>E33+J33+O33+T33+Y33</f>
        <v>12441</v>
      </c>
      <c r="AF33" s="67"/>
    </row>
    <row r="34" spans="1:32" ht="66.75" customHeight="1">
      <c r="A34" s="10" t="s">
        <v>21</v>
      </c>
      <c r="B34" s="23" t="s">
        <v>40</v>
      </c>
      <c r="C34" s="9" t="s">
        <v>76</v>
      </c>
      <c r="D34" s="6" t="s">
        <v>49</v>
      </c>
      <c r="E34" s="5">
        <f>F34+G34+H34+I34</f>
        <v>2460</v>
      </c>
      <c r="F34" s="6">
        <f>656-13</f>
        <v>643</v>
      </c>
      <c r="G34" s="6">
        <f>1838-21</f>
        <v>1817</v>
      </c>
      <c r="H34" s="6">
        <v>0</v>
      </c>
      <c r="I34" s="6">
        <v>0</v>
      </c>
      <c r="J34" s="5">
        <f>K34+L34+M34+N34</f>
        <v>2966</v>
      </c>
      <c r="K34" s="6">
        <f>227+153</f>
        <v>380</v>
      </c>
      <c r="L34" s="6">
        <f>1379+1207</f>
        <v>2586</v>
      </c>
      <c r="M34" s="6">
        <v>0</v>
      </c>
      <c r="N34" s="6">
        <v>0</v>
      </c>
      <c r="O34" s="5">
        <f t="shared" si="11"/>
        <v>2372</v>
      </c>
      <c r="P34" s="6">
        <f>1362+264-151</f>
        <v>1475</v>
      </c>
      <c r="Q34" s="6">
        <f>0+2094-1197</f>
        <v>897</v>
      </c>
      <c r="R34" s="6">
        <v>0</v>
      </c>
      <c r="S34" s="6">
        <v>0</v>
      </c>
      <c r="T34" s="5">
        <f>U34+V34+W34+X34</f>
        <v>1288</v>
      </c>
      <c r="U34" s="6">
        <f>212-70</f>
        <v>142</v>
      </c>
      <c r="V34" s="6">
        <f>1716-570</f>
        <v>1146</v>
      </c>
      <c r="W34" s="6">
        <v>0</v>
      </c>
      <c r="X34" s="6">
        <v>0</v>
      </c>
      <c r="Y34" s="65">
        <f>Z34+AA34+AB34+AC34</f>
        <v>1896</v>
      </c>
      <c r="Z34" s="66">
        <f>209</f>
        <v>209</v>
      </c>
      <c r="AA34" s="66">
        <v>1687</v>
      </c>
      <c r="AB34" s="6">
        <v>0</v>
      </c>
      <c r="AC34" s="6">
        <v>0</v>
      </c>
      <c r="AD34" s="5">
        <f>E34+J34+O34+T34+Y34</f>
        <v>10982</v>
      </c>
      <c r="AF34" s="67"/>
    </row>
    <row r="35" spans="1:40" ht="69.75" customHeight="1">
      <c r="A35" s="10" t="s">
        <v>50</v>
      </c>
      <c r="B35" s="23" t="s">
        <v>42</v>
      </c>
      <c r="C35" s="9" t="s">
        <v>77</v>
      </c>
      <c r="D35" s="6" t="s">
        <v>49</v>
      </c>
      <c r="E35" s="5">
        <f>F35+G35+H35+I35</f>
        <v>1126</v>
      </c>
      <c r="F35" s="6">
        <f>250-21</f>
        <v>229</v>
      </c>
      <c r="G35" s="6">
        <f>980-83</f>
        <v>897</v>
      </c>
      <c r="H35" s="6">
        <v>0</v>
      </c>
      <c r="I35" s="6">
        <v>0</v>
      </c>
      <c r="J35" s="5">
        <f>K35+L35+M35+N35</f>
        <v>967</v>
      </c>
      <c r="K35" s="6">
        <f>92+21</f>
        <v>113</v>
      </c>
      <c r="L35" s="6">
        <f>748+106</f>
        <v>854</v>
      </c>
      <c r="M35" s="6">
        <v>0</v>
      </c>
      <c r="N35" s="6">
        <v>0</v>
      </c>
      <c r="O35" s="5">
        <f t="shared" si="11"/>
        <v>1685</v>
      </c>
      <c r="P35" s="6">
        <f>89+109</f>
        <v>198</v>
      </c>
      <c r="Q35" s="6">
        <f>717+770</f>
        <v>1487</v>
      </c>
      <c r="R35" s="6">
        <v>0</v>
      </c>
      <c r="S35" s="6">
        <v>0</v>
      </c>
      <c r="T35" s="5">
        <f>U35+V35+W35+X35</f>
        <v>1135</v>
      </c>
      <c r="U35" s="6">
        <f>127-2</f>
        <v>125</v>
      </c>
      <c r="V35" s="6">
        <f>1027-17</f>
        <v>1010</v>
      </c>
      <c r="W35" s="6">
        <v>0</v>
      </c>
      <c r="X35" s="6">
        <v>0</v>
      </c>
      <c r="Y35" s="5">
        <f>Z35+AA35+AB35+AC35</f>
        <v>1843</v>
      </c>
      <c r="Z35" s="6">
        <v>203</v>
      </c>
      <c r="AA35" s="6">
        <v>1640</v>
      </c>
      <c r="AB35" s="6">
        <v>0</v>
      </c>
      <c r="AC35" s="6">
        <v>0</v>
      </c>
      <c r="AD35" s="5">
        <f>E35+J35+O35+T35+Y35</f>
        <v>6756</v>
      </c>
      <c r="AF35" s="67"/>
      <c r="AN35" s="4"/>
    </row>
    <row r="36" spans="1:32" ht="69.75" customHeight="1">
      <c r="A36" s="10" t="s">
        <v>51</v>
      </c>
      <c r="B36" s="23" t="s">
        <v>41</v>
      </c>
      <c r="C36" s="9" t="s">
        <v>78</v>
      </c>
      <c r="D36" s="6" t="s">
        <v>49</v>
      </c>
      <c r="E36" s="5">
        <f>F36+G36+H36+I36</f>
        <v>184</v>
      </c>
      <c r="F36" s="6">
        <v>37</v>
      </c>
      <c r="G36" s="6">
        <v>147</v>
      </c>
      <c r="H36" s="6">
        <v>0</v>
      </c>
      <c r="I36" s="6">
        <v>0</v>
      </c>
      <c r="J36" s="5">
        <f>K36+L36+M36+N36</f>
        <v>341</v>
      </c>
      <c r="K36" s="6">
        <f>33+6</f>
        <v>39</v>
      </c>
      <c r="L36" s="6">
        <f>265+37</f>
        <v>302</v>
      </c>
      <c r="M36" s="6">
        <v>0</v>
      </c>
      <c r="N36" s="6">
        <v>0</v>
      </c>
      <c r="O36" s="5">
        <f t="shared" si="11"/>
        <v>366</v>
      </c>
      <c r="P36" s="6">
        <f>417+39-126</f>
        <v>330</v>
      </c>
      <c r="Q36" s="6">
        <f>0+36</f>
        <v>36</v>
      </c>
      <c r="R36" s="6">
        <v>0</v>
      </c>
      <c r="S36" s="6">
        <v>0</v>
      </c>
      <c r="T36" s="5">
        <f>U36+V36+W36+X36</f>
        <v>367</v>
      </c>
      <c r="U36" s="6">
        <f>36+4</f>
        <v>40</v>
      </c>
      <c r="V36" s="6">
        <f>286+41</f>
        <v>327</v>
      </c>
      <c r="W36" s="6">
        <v>0</v>
      </c>
      <c r="X36" s="6">
        <v>0</v>
      </c>
      <c r="Y36" s="65">
        <f>Z36+AA36+AB36+AC36</f>
        <v>321</v>
      </c>
      <c r="Z36" s="66">
        <f>35</f>
        <v>35</v>
      </c>
      <c r="AA36" s="66">
        <v>286</v>
      </c>
      <c r="AB36" s="6">
        <v>0</v>
      </c>
      <c r="AC36" s="6">
        <v>0</v>
      </c>
      <c r="AD36" s="5">
        <f>E36+J36+O36+T36+Y36</f>
        <v>1579</v>
      </c>
      <c r="AF36" s="67"/>
    </row>
    <row r="37" spans="1:30" ht="186" customHeight="1">
      <c r="A37" s="10" t="s">
        <v>92</v>
      </c>
      <c r="B37" s="50" t="s">
        <v>103</v>
      </c>
      <c r="C37" s="9" t="s">
        <v>11</v>
      </c>
      <c r="D37" s="12">
        <v>2021</v>
      </c>
      <c r="E37" s="5" t="s">
        <v>35</v>
      </c>
      <c r="F37" s="6" t="s">
        <v>35</v>
      </c>
      <c r="G37" s="6" t="s">
        <v>35</v>
      </c>
      <c r="H37" s="6" t="s">
        <v>35</v>
      </c>
      <c r="I37" s="6" t="s">
        <v>35</v>
      </c>
      <c r="J37" s="5" t="s">
        <v>35</v>
      </c>
      <c r="K37" s="6" t="s">
        <v>35</v>
      </c>
      <c r="L37" s="6" t="s">
        <v>35</v>
      </c>
      <c r="M37" s="6" t="s">
        <v>35</v>
      </c>
      <c r="N37" s="6" t="s">
        <v>35</v>
      </c>
      <c r="O37" s="5">
        <f t="shared" si="11"/>
        <v>259</v>
      </c>
      <c r="P37" s="6">
        <v>65</v>
      </c>
      <c r="Q37" s="6">
        <v>194</v>
      </c>
      <c r="R37" s="6">
        <v>0</v>
      </c>
      <c r="S37" s="6">
        <v>0</v>
      </c>
      <c r="T37" s="5" t="s">
        <v>35</v>
      </c>
      <c r="U37" s="6" t="s">
        <v>35</v>
      </c>
      <c r="V37" s="6" t="s">
        <v>35</v>
      </c>
      <c r="W37" s="6" t="s">
        <v>35</v>
      </c>
      <c r="X37" s="6" t="s">
        <v>35</v>
      </c>
      <c r="Y37" s="5" t="s">
        <v>35</v>
      </c>
      <c r="Z37" s="6" t="s">
        <v>35</v>
      </c>
      <c r="AA37" s="6" t="s">
        <v>35</v>
      </c>
      <c r="AB37" s="6" t="s">
        <v>35</v>
      </c>
      <c r="AC37" s="6" t="s">
        <v>35</v>
      </c>
      <c r="AD37" s="5">
        <f>O37</f>
        <v>259</v>
      </c>
    </row>
    <row r="38" spans="1:31" ht="45" customHeight="1">
      <c r="A38" s="106" t="s">
        <v>22</v>
      </c>
      <c r="B38" s="107"/>
      <c r="C38" s="56"/>
      <c r="D38" s="13"/>
      <c r="E38" s="5">
        <f>F38+G38+H38+I38</f>
        <v>5732</v>
      </c>
      <c r="F38" s="5">
        <f>SUM(F33:F36)</f>
        <v>1308</v>
      </c>
      <c r="G38" s="5">
        <f>SUM(G33:G36)</f>
        <v>4424</v>
      </c>
      <c r="H38" s="5">
        <f>SUM(H33:H36)</f>
        <v>0</v>
      </c>
      <c r="I38" s="5">
        <f>SUM(I33:I36)</f>
        <v>0</v>
      </c>
      <c r="J38" s="5">
        <f>K38+L38+M38+N38</f>
        <v>7906</v>
      </c>
      <c r="K38" s="5">
        <f>SUM(K33:K36)</f>
        <v>946</v>
      </c>
      <c r="L38" s="5">
        <f>SUM(L33:L36)</f>
        <v>6960</v>
      </c>
      <c r="M38" s="5">
        <f>SUM(M33:M36)</f>
        <v>0</v>
      </c>
      <c r="N38" s="5">
        <f>SUM(N33:N36)</f>
        <v>0</v>
      </c>
      <c r="O38" s="5">
        <f t="shared" si="11"/>
        <v>7521</v>
      </c>
      <c r="P38" s="5">
        <f>SUM(P33:P37)</f>
        <v>2392</v>
      </c>
      <c r="Q38" s="5">
        <f>SUM(Q33:Q37)</f>
        <v>5129</v>
      </c>
      <c r="R38" s="5">
        <f>SUM(R33:R37)</f>
        <v>0</v>
      </c>
      <c r="S38" s="5">
        <f>SUM(S33:S37)</f>
        <v>0</v>
      </c>
      <c r="T38" s="5">
        <f>U38+V38+W38+X38</f>
        <v>4799</v>
      </c>
      <c r="U38" s="5">
        <f>SUM(U33:U37)</f>
        <v>528</v>
      </c>
      <c r="V38" s="5">
        <f>SUM(V33:V37)</f>
        <v>4271</v>
      </c>
      <c r="W38" s="5">
        <f>SUM(W33:W36)</f>
        <v>0</v>
      </c>
      <c r="X38" s="5">
        <f>SUM(X33:X36)</f>
        <v>0</v>
      </c>
      <c r="Y38" s="5">
        <f>Z38+AA38+AB38+AC38</f>
        <v>6059</v>
      </c>
      <c r="Z38" s="5">
        <f>SUM(Z33:Z36)</f>
        <v>667</v>
      </c>
      <c r="AA38" s="5">
        <f>SUM(AA33:AA36)</f>
        <v>5392</v>
      </c>
      <c r="AB38" s="5">
        <f>SUM(AB33:AB36)</f>
        <v>0</v>
      </c>
      <c r="AC38" s="5">
        <f>SUM(AC33:AC36)</f>
        <v>0</v>
      </c>
      <c r="AD38" s="5">
        <f>SUM(AD33:AD37)</f>
        <v>32017</v>
      </c>
      <c r="AE38" s="39">
        <f>E38+J38+O38+T38+Y38</f>
        <v>32017</v>
      </c>
    </row>
    <row r="39" spans="1:30" ht="45" customHeight="1">
      <c r="A39" s="91" t="s">
        <v>59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/>
    </row>
    <row r="40" spans="1:31" ht="57" customHeight="1">
      <c r="A40" s="24" t="s">
        <v>56</v>
      </c>
      <c r="B40" s="25" t="s">
        <v>58</v>
      </c>
      <c r="C40" s="9" t="s">
        <v>73</v>
      </c>
      <c r="D40" s="12" t="s">
        <v>52</v>
      </c>
      <c r="E40" s="5">
        <f>F40+G40+H40+I40</f>
        <v>2386</v>
      </c>
      <c r="F40" s="6">
        <v>2386</v>
      </c>
      <c r="G40" s="6">
        <v>0</v>
      </c>
      <c r="H40" s="6">
        <v>0</v>
      </c>
      <c r="I40" s="6">
        <v>0</v>
      </c>
      <c r="J40" s="5">
        <f>K40+L40+M40+N40</f>
        <v>7524</v>
      </c>
      <c r="K40" s="6">
        <f>0+7563-39</f>
        <v>7524</v>
      </c>
      <c r="L40" s="6">
        <v>0</v>
      </c>
      <c r="M40" s="6">
        <v>0</v>
      </c>
      <c r="N40" s="6">
        <v>0</v>
      </c>
      <c r="O40" s="5">
        <f>P40+Q40+R40+S40</f>
        <v>6474</v>
      </c>
      <c r="P40" s="6">
        <f>5663+113+175+304+50+169</f>
        <v>6474</v>
      </c>
      <c r="Q40" s="6">
        <v>0</v>
      </c>
      <c r="R40" s="6">
        <v>0</v>
      </c>
      <c r="S40" s="6">
        <v>0</v>
      </c>
      <c r="T40" s="5">
        <f>U40+V40+W40+X40</f>
        <v>9332</v>
      </c>
      <c r="U40" s="6">
        <f>9279+53</f>
        <v>9332</v>
      </c>
      <c r="V40" s="6">
        <v>0</v>
      </c>
      <c r="W40" s="6">
        <v>0</v>
      </c>
      <c r="X40" s="6">
        <v>0</v>
      </c>
      <c r="Y40" s="5">
        <f>Z40+AA40+AB40+AC40</f>
        <v>7299</v>
      </c>
      <c r="Z40" s="6">
        <v>7299</v>
      </c>
      <c r="AA40" s="6">
        <v>0</v>
      </c>
      <c r="AB40" s="6">
        <v>0</v>
      </c>
      <c r="AC40" s="6">
        <v>0</v>
      </c>
      <c r="AD40" s="5">
        <f>E40+J40+O40+T40+Y40</f>
        <v>33015</v>
      </c>
      <c r="AE40" s="68"/>
    </row>
    <row r="41" spans="1:30" ht="81" customHeight="1">
      <c r="A41" s="24" t="s">
        <v>88</v>
      </c>
      <c r="B41" s="34" t="s">
        <v>89</v>
      </c>
      <c r="C41" s="9" t="s">
        <v>11</v>
      </c>
      <c r="D41" s="12">
        <v>2020</v>
      </c>
      <c r="E41" s="5" t="s">
        <v>35</v>
      </c>
      <c r="F41" s="6" t="s">
        <v>35</v>
      </c>
      <c r="G41" s="6" t="s">
        <v>35</v>
      </c>
      <c r="H41" s="6" t="s">
        <v>35</v>
      </c>
      <c r="I41" s="6" t="s">
        <v>35</v>
      </c>
      <c r="J41" s="5">
        <f>K41+L41+M41+N41</f>
        <v>297</v>
      </c>
      <c r="K41" s="6">
        <f>300-3</f>
        <v>297</v>
      </c>
      <c r="L41" s="6">
        <v>0</v>
      </c>
      <c r="M41" s="6">
        <v>0</v>
      </c>
      <c r="N41" s="6">
        <v>0</v>
      </c>
      <c r="O41" s="5" t="s">
        <v>35</v>
      </c>
      <c r="P41" s="6" t="s">
        <v>35</v>
      </c>
      <c r="Q41" s="6" t="s">
        <v>35</v>
      </c>
      <c r="R41" s="6" t="s">
        <v>35</v>
      </c>
      <c r="S41" s="6" t="s">
        <v>35</v>
      </c>
      <c r="T41" s="5" t="s">
        <v>35</v>
      </c>
      <c r="U41" s="6" t="s">
        <v>35</v>
      </c>
      <c r="V41" s="6" t="s">
        <v>35</v>
      </c>
      <c r="W41" s="6" t="s">
        <v>35</v>
      </c>
      <c r="X41" s="6" t="s">
        <v>35</v>
      </c>
      <c r="Y41" s="5" t="s">
        <v>35</v>
      </c>
      <c r="Z41" s="6" t="s">
        <v>35</v>
      </c>
      <c r="AA41" s="6" t="s">
        <v>35</v>
      </c>
      <c r="AB41" s="6" t="s">
        <v>35</v>
      </c>
      <c r="AC41" s="6" t="s">
        <v>35</v>
      </c>
      <c r="AD41" s="5">
        <f>J41</f>
        <v>297</v>
      </c>
    </row>
    <row r="42" spans="1:31" ht="38.25" customHeight="1">
      <c r="A42" s="26"/>
      <c r="B42" s="27" t="s">
        <v>57</v>
      </c>
      <c r="C42" s="56"/>
      <c r="D42" s="13"/>
      <c r="E42" s="5">
        <f>F42+G42+H42+I42</f>
        <v>2386</v>
      </c>
      <c r="F42" s="5">
        <f>SUM(F40)</f>
        <v>2386</v>
      </c>
      <c r="G42" s="5">
        <f>SUM(G40)</f>
        <v>0</v>
      </c>
      <c r="H42" s="5">
        <f>SUM(H40)</f>
        <v>0</v>
      </c>
      <c r="I42" s="5">
        <f>SUM(I40)</f>
        <v>0</v>
      </c>
      <c r="J42" s="5">
        <f>K42+L42+M42+N42</f>
        <v>7821</v>
      </c>
      <c r="K42" s="5">
        <f>SUM(K40+K41)</f>
        <v>7821</v>
      </c>
      <c r="L42" s="5">
        <f>SUM(L40)</f>
        <v>0</v>
      </c>
      <c r="M42" s="5">
        <f>SUM(M40)</f>
        <v>0</v>
      </c>
      <c r="N42" s="5">
        <f>SUM(N40)</f>
        <v>0</v>
      </c>
      <c r="O42" s="5">
        <f>P42+Q42+R42+S42</f>
        <v>6474</v>
      </c>
      <c r="P42" s="5">
        <f>SUM(P40)</f>
        <v>6474</v>
      </c>
      <c r="Q42" s="5">
        <f>SUM(Q40)</f>
        <v>0</v>
      </c>
      <c r="R42" s="5">
        <f>SUM(R40)</f>
        <v>0</v>
      </c>
      <c r="S42" s="5">
        <f>SUM(S40)</f>
        <v>0</v>
      </c>
      <c r="T42" s="5">
        <f>U42+V42+W42+X42</f>
        <v>9332</v>
      </c>
      <c r="U42" s="5">
        <f>SUM(U40)</f>
        <v>9332</v>
      </c>
      <c r="V42" s="5">
        <f>SUM(V40)</f>
        <v>0</v>
      </c>
      <c r="W42" s="5">
        <f>SUM(W40)</f>
        <v>0</v>
      </c>
      <c r="X42" s="5">
        <f>SUM(X40)</f>
        <v>0</v>
      </c>
      <c r="Y42" s="5">
        <f>Z42+AA42+AB42+AC42</f>
        <v>7299</v>
      </c>
      <c r="Z42" s="5">
        <f>SUM(Z40)</f>
        <v>7299</v>
      </c>
      <c r="AA42" s="5">
        <f>SUM(AA40)</f>
        <v>0</v>
      </c>
      <c r="AB42" s="5">
        <f>SUM(AB40)</f>
        <v>0</v>
      </c>
      <c r="AC42" s="5">
        <f>SUM(AC40)</f>
        <v>0</v>
      </c>
      <c r="AD42" s="5">
        <f>SUM(AD40+AD41)</f>
        <v>33312</v>
      </c>
      <c r="AE42" s="39">
        <f>E42+J42+O42+T42+Y42</f>
        <v>33312</v>
      </c>
    </row>
    <row r="43" spans="1:31" ht="38.25" customHeight="1">
      <c r="A43" s="91" t="s">
        <v>68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3"/>
      <c r="AE43" s="36"/>
    </row>
    <row r="44" spans="1:30" ht="60" customHeight="1">
      <c r="A44" s="24" t="s">
        <v>65</v>
      </c>
      <c r="B44" s="22" t="s">
        <v>23</v>
      </c>
      <c r="C44" s="9" t="s">
        <v>72</v>
      </c>
      <c r="D44" s="12" t="s">
        <v>49</v>
      </c>
      <c r="E44" s="5">
        <f>F44+G44+H44+I44</f>
        <v>289</v>
      </c>
      <c r="F44" s="6">
        <f>427-69-69</f>
        <v>289</v>
      </c>
      <c r="G44" s="6">
        <v>0</v>
      </c>
      <c r="H44" s="6">
        <v>0</v>
      </c>
      <c r="I44" s="6">
        <v>0</v>
      </c>
      <c r="J44" s="5">
        <f>K44+L44+M44+N44</f>
        <v>377</v>
      </c>
      <c r="K44" s="6">
        <f>0+377</f>
        <v>377</v>
      </c>
      <c r="L44" s="6">
        <v>0</v>
      </c>
      <c r="M44" s="6">
        <v>0</v>
      </c>
      <c r="N44" s="6">
        <v>0</v>
      </c>
      <c r="O44" s="5">
        <f>P44+Q44+R44+S44</f>
        <v>1332</v>
      </c>
      <c r="P44" s="6">
        <v>1332</v>
      </c>
      <c r="Q44" s="6">
        <v>0</v>
      </c>
      <c r="R44" s="6">
        <v>0</v>
      </c>
      <c r="S44" s="6">
        <v>0</v>
      </c>
      <c r="T44" s="5">
        <f>U44+V44+W44+X44</f>
        <v>1180</v>
      </c>
      <c r="U44" s="6">
        <v>1180</v>
      </c>
      <c r="V44" s="6">
        <v>0</v>
      </c>
      <c r="W44" s="6">
        <v>0</v>
      </c>
      <c r="X44" s="6">
        <v>0</v>
      </c>
      <c r="Y44" s="5">
        <f>Z44+AA44+AB44+AC44</f>
        <v>1180</v>
      </c>
      <c r="Z44" s="6">
        <v>1180</v>
      </c>
      <c r="AA44" s="6">
        <v>0</v>
      </c>
      <c r="AB44" s="6">
        <v>0</v>
      </c>
      <c r="AC44" s="6">
        <v>0</v>
      </c>
      <c r="AD44" s="5">
        <f>E44+J44+O44+T44+Y44</f>
        <v>4358</v>
      </c>
    </row>
    <row r="45" spans="1:30" ht="55.5" customHeight="1">
      <c r="A45" s="10" t="s">
        <v>66</v>
      </c>
      <c r="B45" s="11" t="s">
        <v>63</v>
      </c>
      <c r="C45" s="9" t="s">
        <v>73</v>
      </c>
      <c r="D45" s="9"/>
      <c r="E45" s="5">
        <f>F45+G45+H45+I45</f>
        <v>0</v>
      </c>
      <c r="F45" s="6">
        <v>0</v>
      </c>
      <c r="G45" s="6">
        <v>0</v>
      </c>
      <c r="H45" s="6">
        <v>0</v>
      </c>
      <c r="I45" s="6">
        <v>0</v>
      </c>
      <c r="J45" s="5">
        <f>K45+L45+M45+N45</f>
        <v>0</v>
      </c>
      <c r="K45" s="6">
        <v>0</v>
      </c>
      <c r="L45" s="6">
        <v>0</v>
      </c>
      <c r="M45" s="6">
        <v>0</v>
      </c>
      <c r="N45" s="6">
        <v>0</v>
      </c>
      <c r="O45" s="5">
        <f>P45+Q45+R45+S45</f>
        <v>0</v>
      </c>
      <c r="P45" s="6">
        <v>0</v>
      </c>
      <c r="Q45" s="6">
        <v>0</v>
      </c>
      <c r="R45" s="6">
        <v>0</v>
      </c>
      <c r="S45" s="6">
        <v>0</v>
      </c>
      <c r="T45" s="5">
        <f>U45+V45+W45+X45</f>
        <v>0</v>
      </c>
      <c r="U45" s="6">
        <f>976-976</f>
        <v>0</v>
      </c>
      <c r="V45" s="6">
        <v>0</v>
      </c>
      <c r="W45" s="6">
        <v>0</v>
      </c>
      <c r="X45" s="6">
        <v>0</v>
      </c>
      <c r="Y45" s="5">
        <f>Z45+AA45+AB45+AC45</f>
        <v>0</v>
      </c>
      <c r="Z45" s="6">
        <f>0+976-976</f>
        <v>0</v>
      </c>
      <c r="AA45" s="6">
        <v>0</v>
      </c>
      <c r="AB45" s="6">
        <v>0</v>
      </c>
      <c r="AC45" s="6">
        <v>0</v>
      </c>
      <c r="AD45" s="5">
        <f>E45+J45+O45+T45+Y45</f>
        <v>0</v>
      </c>
    </row>
    <row r="46" spans="1:31" ht="50.25" customHeight="1">
      <c r="A46" s="28"/>
      <c r="B46" s="29" t="s">
        <v>62</v>
      </c>
      <c r="C46" s="56"/>
      <c r="D46" s="13"/>
      <c r="E46" s="5">
        <f>F46+G46+H46+I46</f>
        <v>289</v>
      </c>
      <c r="F46" s="5">
        <f>SUM(F44:F45)</f>
        <v>289</v>
      </c>
      <c r="G46" s="5">
        <f>SUM(G44:G45)</f>
        <v>0</v>
      </c>
      <c r="H46" s="5">
        <f>SUM(H44:H45)</f>
        <v>0</v>
      </c>
      <c r="I46" s="5">
        <f>SUM(I44:I45)</f>
        <v>0</v>
      </c>
      <c r="J46" s="5">
        <f>K46+L46+M46+N46</f>
        <v>377</v>
      </c>
      <c r="K46" s="5">
        <f>SUM(K44:K45)</f>
        <v>377</v>
      </c>
      <c r="L46" s="5">
        <f>SUM(L44:L45)</f>
        <v>0</v>
      </c>
      <c r="M46" s="5">
        <f>SUM(M44:M45)</f>
        <v>0</v>
      </c>
      <c r="N46" s="5">
        <f>SUM(N44:N45)</f>
        <v>0</v>
      </c>
      <c r="O46" s="5">
        <f>P46+Q46+R46+S46</f>
        <v>1332</v>
      </c>
      <c r="P46" s="5">
        <f>SUM(P44:P45)</f>
        <v>1332</v>
      </c>
      <c r="Q46" s="5">
        <f>SUM(Q44:Q45)</f>
        <v>0</v>
      </c>
      <c r="R46" s="5">
        <f>SUM(R44:R45)</f>
        <v>0</v>
      </c>
      <c r="S46" s="5">
        <f>SUM(S44:S45)</f>
        <v>0</v>
      </c>
      <c r="T46" s="5">
        <f>U46+V46+W46+X46</f>
        <v>1180</v>
      </c>
      <c r="U46" s="5">
        <f>SUM(U44:U45)</f>
        <v>1180</v>
      </c>
      <c r="V46" s="5">
        <f>SUM(V44:V45)</f>
        <v>0</v>
      </c>
      <c r="W46" s="5">
        <f>SUM(W44:W45)</f>
        <v>0</v>
      </c>
      <c r="X46" s="5">
        <f>SUM(X44:X45)</f>
        <v>0</v>
      </c>
      <c r="Y46" s="5">
        <f>Z46+AA46+AB46+AC46</f>
        <v>1180</v>
      </c>
      <c r="Z46" s="5">
        <f>SUM(Z44:Z45)</f>
        <v>1180</v>
      </c>
      <c r="AA46" s="5">
        <f>SUM(AA44:AA45)</f>
        <v>0</v>
      </c>
      <c r="AB46" s="5">
        <f>SUM(AB44:AB45)</f>
        <v>0</v>
      </c>
      <c r="AC46" s="5">
        <f>SUM(AC44:AC45)</f>
        <v>0</v>
      </c>
      <c r="AD46" s="5">
        <f>AD44+AD45</f>
        <v>4358</v>
      </c>
      <c r="AE46" s="39">
        <f>E46+J46+O46+T46+Y46</f>
        <v>4358</v>
      </c>
    </row>
    <row r="47" spans="1:31" ht="50.25" customHeight="1">
      <c r="A47" s="91" t="s">
        <v>82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3"/>
      <c r="AE47" s="59"/>
    </row>
    <row r="48" spans="1:31" ht="85.5" customHeight="1">
      <c r="A48" s="24" t="s">
        <v>83</v>
      </c>
      <c r="B48" s="25" t="s">
        <v>125</v>
      </c>
      <c r="C48" s="56"/>
      <c r="D48" s="12" t="s">
        <v>128</v>
      </c>
      <c r="E48" s="5" t="s">
        <v>35</v>
      </c>
      <c r="F48" s="5" t="s">
        <v>35</v>
      </c>
      <c r="G48" s="5" t="s">
        <v>35</v>
      </c>
      <c r="H48" s="5" t="s">
        <v>35</v>
      </c>
      <c r="I48" s="5" t="s">
        <v>35</v>
      </c>
      <c r="J48" s="5">
        <f>J49+J51</f>
        <v>8465</v>
      </c>
      <c r="K48" s="6">
        <f>K49+K51</f>
        <v>1120</v>
      </c>
      <c r="L48" s="6">
        <f>L49+L51</f>
        <v>7345</v>
      </c>
      <c r="M48" s="6">
        <f>M49+M51</f>
        <v>0</v>
      </c>
      <c r="N48" s="6">
        <f>N49+N51</f>
        <v>0</v>
      </c>
      <c r="O48" s="5">
        <f>O49+O50+O51</f>
        <v>9322</v>
      </c>
      <c r="P48" s="5">
        <f>P49+P50+P51</f>
        <v>1025</v>
      </c>
      <c r="Q48" s="5">
        <f>Q49+Q50+Q51</f>
        <v>8297</v>
      </c>
      <c r="R48" s="5">
        <f>R49+R50+R51</f>
        <v>0</v>
      </c>
      <c r="S48" s="5">
        <f>S49+S50+S51</f>
        <v>0</v>
      </c>
      <c r="T48" s="5">
        <f>U48+V48+W48+X48</f>
        <v>75551</v>
      </c>
      <c r="U48" s="5">
        <f>U51+U52</f>
        <v>12155</v>
      </c>
      <c r="V48" s="5">
        <f>V51+V52</f>
        <v>63396</v>
      </c>
      <c r="W48" s="5">
        <f>W51+W52</f>
        <v>0</v>
      </c>
      <c r="X48" s="5">
        <f>X51+X52</f>
        <v>0</v>
      </c>
      <c r="Y48" s="5" t="s">
        <v>35</v>
      </c>
      <c r="Z48" s="5" t="s">
        <v>35</v>
      </c>
      <c r="AA48" s="5" t="s">
        <v>35</v>
      </c>
      <c r="AB48" s="5" t="s">
        <v>35</v>
      </c>
      <c r="AC48" s="5" t="s">
        <v>35</v>
      </c>
      <c r="AD48" s="5">
        <f>J48+O48+T48</f>
        <v>93338</v>
      </c>
      <c r="AE48" s="59"/>
    </row>
    <row r="49" spans="1:31" ht="74.25" customHeight="1">
      <c r="A49" s="94" t="s">
        <v>85</v>
      </c>
      <c r="B49" s="117" t="s">
        <v>80</v>
      </c>
      <c r="C49" s="9" t="s">
        <v>97</v>
      </c>
      <c r="D49" s="12" t="s">
        <v>94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>
        <f>K49+L49+M49+N49</f>
        <v>3017</v>
      </c>
      <c r="K49" s="6">
        <f>309+211</f>
        <v>520</v>
      </c>
      <c r="L49" s="6">
        <v>2497</v>
      </c>
      <c r="M49" s="6">
        <v>0</v>
      </c>
      <c r="N49" s="6">
        <v>0</v>
      </c>
      <c r="O49" s="5">
        <f>P49+Q49+R49+S49</f>
        <v>6823</v>
      </c>
      <c r="P49" s="6">
        <v>750</v>
      </c>
      <c r="Q49" s="6">
        <v>6073</v>
      </c>
      <c r="R49" s="6">
        <v>0</v>
      </c>
      <c r="S49" s="6">
        <v>0</v>
      </c>
      <c r="T49" s="5" t="s">
        <v>35</v>
      </c>
      <c r="U49" s="5" t="s">
        <v>35</v>
      </c>
      <c r="V49" s="5" t="s">
        <v>35</v>
      </c>
      <c r="W49" s="5" t="s">
        <v>35</v>
      </c>
      <c r="X49" s="5" t="s">
        <v>35</v>
      </c>
      <c r="Y49" s="5" t="s">
        <v>35</v>
      </c>
      <c r="Z49" s="5" t="s">
        <v>35</v>
      </c>
      <c r="AA49" s="5" t="s">
        <v>35</v>
      </c>
      <c r="AB49" s="5" t="s">
        <v>35</v>
      </c>
      <c r="AC49" s="5" t="s">
        <v>35</v>
      </c>
      <c r="AD49" s="5">
        <f>J49+O49</f>
        <v>9840</v>
      </c>
      <c r="AE49" s="59"/>
    </row>
    <row r="50" spans="1:31" ht="50.25" customHeight="1">
      <c r="A50" s="95"/>
      <c r="B50" s="118"/>
      <c r="C50" s="9" t="s">
        <v>96</v>
      </c>
      <c r="D50" s="12">
        <v>2021</v>
      </c>
      <c r="E50" s="5" t="s">
        <v>35</v>
      </c>
      <c r="F50" s="5" t="s">
        <v>35</v>
      </c>
      <c r="G50" s="5" t="s">
        <v>35</v>
      </c>
      <c r="H50" s="5" t="s">
        <v>35</v>
      </c>
      <c r="I50" s="5" t="s">
        <v>35</v>
      </c>
      <c r="J50" s="5" t="s">
        <v>35</v>
      </c>
      <c r="K50" s="5" t="s">
        <v>35</v>
      </c>
      <c r="L50" s="5" t="s">
        <v>35</v>
      </c>
      <c r="M50" s="5" t="s">
        <v>35</v>
      </c>
      <c r="N50" s="5" t="s">
        <v>35</v>
      </c>
      <c r="O50" s="5">
        <f>P50+Q50+R50+S50</f>
        <v>941</v>
      </c>
      <c r="P50" s="6">
        <f>104</f>
        <v>104</v>
      </c>
      <c r="Q50" s="6">
        <v>837</v>
      </c>
      <c r="R50" s="6">
        <v>0</v>
      </c>
      <c r="S50" s="6">
        <v>0</v>
      </c>
      <c r="T50" s="5" t="s">
        <v>35</v>
      </c>
      <c r="U50" s="5" t="s">
        <v>35</v>
      </c>
      <c r="V50" s="5" t="s">
        <v>35</v>
      </c>
      <c r="W50" s="5" t="s">
        <v>35</v>
      </c>
      <c r="X50" s="5" t="s">
        <v>35</v>
      </c>
      <c r="Y50" s="5" t="s">
        <v>35</v>
      </c>
      <c r="Z50" s="5" t="s">
        <v>35</v>
      </c>
      <c r="AA50" s="5" t="s">
        <v>35</v>
      </c>
      <c r="AB50" s="5" t="s">
        <v>35</v>
      </c>
      <c r="AC50" s="5" t="s">
        <v>35</v>
      </c>
      <c r="AD50" s="5">
        <f>O50</f>
        <v>941</v>
      </c>
      <c r="AE50" s="59"/>
    </row>
    <row r="51" spans="1:31" ht="69" customHeight="1">
      <c r="A51" s="24" t="s">
        <v>84</v>
      </c>
      <c r="B51" s="25" t="s">
        <v>81</v>
      </c>
      <c r="C51" s="9" t="s">
        <v>95</v>
      </c>
      <c r="D51" s="12" t="s">
        <v>128</v>
      </c>
      <c r="E51" s="5" t="s">
        <v>35</v>
      </c>
      <c r="F51" s="5" t="s">
        <v>35</v>
      </c>
      <c r="G51" s="5" t="s">
        <v>35</v>
      </c>
      <c r="H51" s="5" t="s">
        <v>35</v>
      </c>
      <c r="I51" s="5" t="s">
        <v>35</v>
      </c>
      <c r="J51" s="5">
        <f>K51+L51+M51+N51</f>
        <v>5448</v>
      </c>
      <c r="K51" s="6">
        <v>600</v>
      </c>
      <c r="L51" s="6">
        <v>4848</v>
      </c>
      <c r="M51" s="6">
        <v>0</v>
      </c>
      <c r="N51" s="6">
        <v>0</v>
      </c>
      <c r="O51" s="5">
        <f>P51+Q51+R51+S51</f>
        <v>1558</v>
      </c>
      <c r="P51" s="6">
        <v>171</v>
      </c>
      <c r="Q51" s="6">
        <v>1387</v>
      </c>
      <c r="R51" s="6">
        <v>0</v>
      </c>
      <c r="S51" s="6">
        <v>0</v>
      </c>
      <c r="T51" s="5">
        <f>U51+V51+W51+X51</f>
        <v>19001</v>
      </c>
      <c r="U51" s="6">
        <f>2568-478</f>
        <v>2090</v>
      </c>
      <c r="V51" s="6">
        <f>15951+960</f>
        <v>16911</v>
      </c>
      <c r="W51" s="6">
        <v>0</v>
      </c>
      <c r="X51" s="6">
        <v>0</v>
      </c>
      <c r="Y51" s="5" t="s">
        <v>35</v>
      </c>
      <c r="Z51" s="5" t="s">
        <v>35</v>
      </c>
      <c r="AA51" s="5" t="s">
        <v>35</v>
      </c>
      <c r="AB51" s="5" t="s">
        <v>35</v>
      </c>
      <c r="AC51" s="5" t="s">
        <v>35</v>
      </c>
      <c r="AD51" s="5">
        <f>J51+O51+T51</f>
        <v>26007</v>
      </c>
      <c r="AE51" s="59"/>
    </row>
    <row r="52" spans="1:32" ht="69" customHeight="1">
      <c r="A52" s="24" t="s">
        <v>99</v>
      </c>
      <c r="B52" s="25" t="s">
        <v>100</v>
      </c>
      <c r="C52" s="9" t="s">
        <v>101</v>
      </c>
      <c r="D52" s="12">
        <v>2022</v>
      </c>
      <c r="E52" s="5" t="s">
        <v>35</v>
      </c>
      <c r="F52" s="6" t="s">
        <v>35</v>
      </c>
      <c r="G52" s="6" t="s">
        <v>35</v>
      </c>
      <c r="H52" s="6" t="s">
        <v>35</v>
      </c>
      <c r="I52" s="6" t="s">
        <v>35</v>
      </c>
      <c r="J52" s="5" t="s">
        <v>35</v>
      </c>
      <c r="K52" s="6" t="s">
        <v>35</v>
      </c>
      <c r="L52" s="6" t="s">
        <v>35</v>
      </c>
      <c r="M52" s="6" t="s">
        <v>35</v>
      </c>
      <c r="N52" s="6" t="s">
        <v>35</v>
      </c>
      <c r="O52" s="5" t="s">
        <v>35</v>
      </c>
      <c r="P52" s="6" t="s">
        <v>35</v>
      </c>
      <c r="Q52" s="6" t="s">
        <v>35</v>
      </c>
      <c r="R52" s="6" t="s">
        <v>35</v>
      </c>
      <c r="S52" s="6" t="s">
        <v>35</v>
      </c>
      <c r="T52" s="5">
        <f>U52+V52+W52+X52</f>
        <v>56550</v>
      </c>
      <c r="U52" s="6">
        <f>9871+478-403+119</f>
        <v>10065</v>
      </c>
      <c r="V52" s="6">
        <f>49744-960-3260+961</f>
        <v>46485</v>
      </c>
      <c r="W52" s="6">
        <v>0</v>
      </c>
      <c r="X52" s="6">
        <v>0</v>
      </c>
      <c r="Y52" s="5" t="s">
        <v>35</v>
      </c>
      <c r="Z52" s="6" t="s">
        <v>35</v>
      </c>
      <c r="AA52" s="6" t="s">
        <v>35</v>
      </c>
      <c r="AB52" s="6" t="s">
        <v>35</v>
      </c>
      <c r="AC52" s="6" t="s">
        <v>35</v>
      </c>
      <c r="AD52" s="5">
        <f>T52</f>
        <v>56550</v>
      </c>
      <c r="AE52" s="86"/>
      <c r="AF52" s="87"/>
    </row>
    <row r="53" spans="1:31" ht="42" customHeight="1">
      <c r="A53" s="28"/>
      <c r="B53" s="29" t="s">
        <v>86</v>
      </c>
      <c r="C53" s="56"/>
      <c r="D53" s="13"/>
      <c r="E53" s="5" t="s">
        <v>35</v>
      </c>
      <c r="F53" s="5" t="s">
        <v>35</v>
      </c>
      <c r="G53" s="5" t="s">
        <v>35</v>
      </c>
      <c r="H53" s="5" t="s">
        <v>35</v>
      </c>
      <c r="I53" s="5" t="s">
        <v>35</v>
      </c>
      <c r="J53" s="5">
        <f>J48</f>
        <v>8465</v>
      </c>
      <c r="K53" s="5">
        <f>K48</f>
        <v>1120</v>
      </c>
      <c r="L53" s="5">
        <f>L48</f>
        <v>7345</v>
      </c>
      <c r="M53" s="5">
        <f>M48</f>
        <v>0</v>
      </c>
      <c r="N53" s="5">
        <f>N48</f>
        <v>0</v>
      </c>
      <c r="O53" s="5">
        <f>P53+Q53+R53+S53</f>
        <v>9322</v>
      </c>
      <c r="P53" s="5">
        <f>P48</f>
        <v>1025</v>
      </c>
      <c r="Q53" s="5">
        <f>Q48</f>
        <v>8297</v>
      </c>
      <c r="R53" s="5">
        <f>R48</f>
        <v>0</v>
      </c>
      <c r="S53" s="5">
        <f>S48</f>
        <v>0</v>
      </c>
      <c r="T53" s="5">
        <f>U53+V53+W53+X53</f>
        <v>75551</v>
      </c>
      <c r="U53" s="5">
        <f>U48</f>
        <v>12155</v>
      </c>
      <c r="V53" s="5">
        <f>V48</f>
        <v>63396</v>
      </c>
      <c r="W53" s="5">
        <f>W48</f>
        <v>0</v>
      </c>
      <c r="X53" s="5">
        <f>X48</f>
        <v>0</v>
      </c>
      <c r="Y53" s="5" t="s">
        <v>35</v>
      </c>
      <c r="Z53" s="5" t="s">
        <v>35</v>
      </c>
      <c r="AA53" s="5" t="s">
        <v>35</v>
      </c>
      <c r="AB53" s="5" t="s">
        <v>35</v>
      </c>
      <c r="AC53" s="5" t="s">
        <v>35</v>
      </c>
      <c r="AD53" s="5">
        <f>AD48</f>
        <v>93338</v>
      </c>
      <c r="AE53" s="40">
        <f>J53+O53+T53</f>
        <v>93338</v>
      </c>
    </row>
    <row r="54" spans="1:32" ht="45.75" customHeight="1">
      <c r="A54" s="88" t="s">
        <v>24</v>
      </c>
      <c r="B54" s="88"/>
      <c r="C54" s="13"/>
      <c r="D54" s="13"/>
      <c r="E54" s="5">
        <f>F54+G54+H54+I54</f>
        <v>14110</v>
      </c>
      <c r="F54" s="5">
        <f>F21+F31+F38+F42+F46</f>
        <v>9195</v>
      </c>
      <c r="G54" s="5">
        <f>G21+G31+G38+G42+G46</f>
        <v>4915</v>
      </c>
      <c r="H54" s="5">
        <f>H21+H31+H38+H42+H46</f>
        <v>0</v>
      </c>
      <c r="I54" s="5">
        <f>I21+I31+I38+I42+I46</f>
        <v>0</v>
      </c>
      <c r="J54" s="5">
        <f>K54+L54+M54+N54</f>
        <v>33592</v>
      </c>
      <c r="K54" s="5">
        <f>K21+K31+K38+K42+K46+K53</f>
        <v>13637</v>
      </c>
      <c r="L54" s="5">
        <f>L21+L31+L38+L42+L46+L53</f>
        <v>19955</v>
      </c>
      <c r="M54" s="5">
        <f>M21+M31+M38+M42+M46</f>
        <v>0</v>
      </c>
      <c r="N54" s="5">
        <f>N21+N31+N38+N42+N46</f>
        <v>0</v>
      </c>
      <c r="O54" s="5">
        <f>P54+Q54+R54+S54</f>
        <v>28855</v>
      </c>
      <c r="P54" s="5">
        <f>P21+P31+P38+P42+P46+P53</f>
        <v>15429</v>
      </c>
      <c r="Q54" s="5">
        <f>Q21+Q31+Q38+Q42+Q46+Q53</f>
        <v>13426</v>
      </c>
      <c r="R54" s="5">
        <f>R21+R31+R38+R42+R46+R53</f>
        <v>0</v>
      </c>
      <c r="S54" s="5">
        <f>S21+S31+S38+S42+S46+S53</f>
        <v>0</v>
      </c>
      <c r="T54" s="5">
        <f>U54+V54+W54+X54</f>
        <v>105832</v>
      </c>
      <c r="U54" s="5">
        <f>U21+U31+U38+U42+U46+U53</f>
        <v>33806</v>
      </c>
      <c r="V54" s="5">
        <f>V21+V31+V38+V42+V46+V53</f>
        <v>72026</v>
      </c>
      <c r="W54" s="5">
        <f>W21+W31+W38+W42+W46+W53</f>
        <v>0</v>
      </c>
      <c r="X54" s="5">
        <f>X21+X31+X38+X42+X46+X53</f>
        <v>0</v>
      </c>
      <c r="Y54" s="5">
        <f>Z54+AA54+AB54+AC54</f>
        <v>20405</v>
      </c>
      <c r="Z54" s="5">
        <f>Z21+Z31+Z38+Z42+Z46</f>
        <v>14454</v>
      </c>
      <c r="AA54" s="5">
        <f>AA21+AA31+AA38+AA42+AA46</f>
        <v>5951</v>
      </c>
      <c r="AB54" s="5">
        <f>AB21+AB31+AB38+AB42+AB46</f>
        <v>0</v>
      </c>
      <c r="AC54" s="5">
        <f>AC21+AC31+AC38+AC42+AC46</f>
        <v>0</v>
      </c>
      <c r="AD54" s="5">
        <f>AD21+AD31+AD38+AD42+AD46+AD53</f>
        <v>202794</v>
      </c>
      <c r="AE54" s="59"/>
      <c r="AF54" s="4"/>
    </row>
    <row r="55" spans="1:32" ht="33" customHeight="1" thickBot="1">
      <c r="A55" s="30"/>
      <c r="B55" s="30"/>
      <c r="C55" s="14"/>
      <c r="D55" s="14"/>
      <c r="E55" s="57"/>
      <c r="F55" s="57"/>
      <c r="G55" s="57"/>
      <c r="H55" s="57"/>
      <c r="I55" s="57"/>
      <c r="J55" s="57"/>
      <c r="K55" s="57"/>
      <c r="L55" s="42"/>
      <c r="M55" s="42"/>
      <c r="N55" s="42"/>
      <c r="O55" s="42"/>
      <c r="P55" s="42"/>
      <c r="Q55" s="42"/>
      <c r="R55" s="57"/>
      <c r="S55" s="57"/>
      <c r="T55" s="62"/>
      <c r="U55" s="62"/>
      <c r="V55" s="62"/>
      <c r="W55" s="62"/>
      <c r="X55" s="62"/>
      <c r="Y55" s="62"/>
      <c r="Z55" s="62"/>
      <c r="AA55" s="62"/>
      <c r="AB55" s="57"/>
      <c r="AC55" s="57"/>
      <c r="AD55" s="57"/>
      <c r="AE55" s="59"/>
      <c r="AF55" s="4"/>
    </row>
    <row r="56" spans="1:32" ht="24" customHeight="1">
      <c r="A56" s="30"/>
      <c r="B56" s="30"/>
      <c r="C56" s="14"/>
      <c r="D56" s="1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100"/>
      <c r="Q56" s="100"/>
      <c r="R56" s="100"/>
      <c r="S56" s="100"/>
      <c r="T56" s="73"/>
      <c r="U56" s="73"/>
      <c r="V56" s="73"/>
      <c r="W56" s="73"/>
      <c r="X56" s="73"/>
      <c r="Y56" s="73"/>
      <c r="Z56" s="73"/>
      <c r="AA56" s="73"/>
      <c r="AB56" s="57"/>
      <c r="AC56" s="57"/>
      <c r="AD56" s="57"/>
      <c r="AE56" s="59"/>
      <c r="AF56" s="4"/>
    </row>
    <row r="57" spans="1:32" ht="15" customHeight="1">
      <c r="A57" s="30"/>
      <c r="B57" s="30"/>
      <c r="C57" s="14"/>
      <c r="D57" s="1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62"/>
      <c r="U57" s="62"/>
      <c r="V57" s="62"/>
      <c r="W57" s="62"/>
      <c r="X57" s="62"/>
      <c r="Y57" s="62"/>
      <c r="Z57" s="62"/>
      <c r="AA57" s="62"/>
      <c r="AB57" s="57"/>
      <c r="AC57" s="57"/>
      <c r="AD57" s="57"/>
      <c r="AE57" s="59"/>
      <c r="AF57" s="4"/>
    </row>
    <row r="58" spans="1:31" ht="21" customHeight="1">
      <c r="A58" s="30"/>
      <c r="B58" s="30"/>
      <c r="C58" s="14"/>
      <c r="D58" s="14"/>
      <c r="E58" s="57"/>
      <c r="F58" s="57"/>
      <c r="G58" s="57"/>
      <c r="H58" s="57"/>
      <c r="I58" s="57"/>
      <c r="J58" s="57"/>
      <c r="K58" s="57"/>
      <c r="L58" s="100"/>
      <c r="M58" s="100"/>
      <c r="N58" s="57"/>
      <c r="O58" s="57"/>
      <c r="P58" s="57"/>
      <c r="Q58" s="57"/>
      <c r="R58" s="57"/>
      <c r="S58" s="57"/>
      <c r="T58" s="62"/>
      <c r="U58" s="62"/>
      <c r="V58" s="62"/>
      <c r="W58" s="62"/>
      <c r="X58" s="62"/>
      <c r="Y58" s="62"/>
      <c r="Z58" s="62"/>
      <c r="AA58" s="62"/>
      <c r="AB58" s="57"/>
      <c r="AC58" s="53" t="s">
        <v>91</v>
      </c>
      <c r="AD58" s="57">
        <f>F54+K54+P54+U54+Z54</f>
        <v>86521</v>
      </c>
      <c r="AE58" s="59"/>
    </row>
    <row r="59" spans="1:31" ht="21" customHeight="1">
      <c r="A59" s="31"/>
      <c r="B59" s="15"/>
      <c r="C59" s="15"/>
      <c r="D59" s="15"/>
      <c r="E59" s="15"/>
      <c r="F59" s="32"/>
      <c r="G59" s="15"/>
      <c r="H59" s="15"/>
      <c r="I59" s="15"/>
      <c r="J59" s="15"/>
      <c r="K59" s="15"/>
      <c r="L59" s="111"/>
      <c r="M59" s="111"/>
      <c r="N59" s="41"/>
      <c r="O59" s="57"/>
      <c r="P59" s="57"/>
      <c r="Q59" s="57"/>
      <c r="R59" s="100"/>
      <c r="S59" s="100"/>
      <c r="T59" s="62"/>
      <c r="U59" s="62"/>
      <c r="V59" s="62"/>
      <c r="W59" s="62"/>
      <c r="X59" s="62"/>
      <c r="Y59" s="62"/>
      <c r="Z59" s="62"/>
      <c r="AA59" s="62"/>
      <c r="AB59" s="15"/>
      <c r="AC59" s="52" t="s">
        <v>90</v>
      </c>
      <c r="AD59" s="33">
        <f>G54+L54+Q54+V54+AA54</f>
        <v>116273</v>
      </c>
      <c r="AE59" s="38"/>
    </row>
    <row r="60" spans="1:31" ht="21" customHeight="1">
      <c r="A60" s="3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11"/>
      <c r="M60" s="111"/>
      <c r="N60" s="41"/>
      <c r="O60" s="14"/>
      <c r="P60" s="57"/>
      <c r="Q60" s="57"/>
      <c r="R60" s="57"/>
      <c r="S60" s="57"/>
      <c r="T60" s="62"/>
      <c r="U60" s="62"/>
      <c r="V60" s="62"/>
      <c r="W60" s="62"/>
      <c r="X60" s="62"/>
      <c r="Y60" s="62"/>
      <c r="Z60" s="62"/>
      <c r="AA60" s="62"/>
      <c r="AB60" s="15"/>
      <c r="AC60" s="52" t="s">
        <v>107</v>
      </c>
      <c r="AD60" s="33">
        <f>AD58+AD59</f>
        <v>202794</v>
      </c>
      <c r="AE60" s="38"/>
    </row>
    <row r="61" spans="1:31" ht="21">
      <c r="A61" s="3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20" t="s">
        <v>114</v>
      </c>
      <c r="R61" s="84" t="s">
        <v>111</v>
      </c>
      <c r="S61" s="84"/>
      <c r="T61" s="69">
        <f>U61+V61</f>
        <v>3044</v>
      </c>
      <c r="U61" s="69">
        <f>U13+U17+U27+U44</f>
        <v>3044</v>
      </c>
      <c r="V61" s="69">
        <f>V13+V17+V44</f>
        <v>0</v>
      </c>
      <c r="W61" s="70"/>
      <c r="X61" s="70"/>
      <c r="Y61" s="69">
        <f>Z61+AA61</f>
        <v>3044</v>
      </c>
      <c r="Z61" s="69">
        <f>Z13+Z17+Z27+Z44</f>
        <v>3044</v>
      </c>
      <c r="AA61" s="69">
        <f>AA13+AA17+AA27+AA44</f>
        <v>0</v>
      </c>
      <c r="AB61" s="15"/>
      <c r="AC61" s="15"/>
      <c r="AD61" s="15"/>
      <c r="AE61" s="38"/>
    </row>
    <row r="62" spans="1:31" ht="27" customHeight="1">
      <c r="A62" s="3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21"/>
      <c r="R62" s="84" t="s">
        <v>133</v>
      </c>
      <c r="S62" s="84"/>
      <c r="T62" s="69">
        <f>U62+V62</f>
        <v>4898</v>
      </c>
      <c r="U62" s="69">
        <f>U30</f>
        <v>539</v>
      </c>
      <c r="V62" s="69">
        <f>V30</f>
        <v>4359</v>
      </c>
      <c r="W62" s="70"/>
      <c r="X62" s="70"/>
      <c r="Y62" s="69">
        <f>Z62+AA62</f>
        <v>65</v>
      </c>
      <c r="Z62" s="69">
        <f>Z19</f>
        <v>7</v>
      </c>
      <c r="AA62" s="69">
        <f>AA19</f>
        <v>58</v>
      </c>
      <c r="AB62" s="15"/>
      <c r="AC62" s="15"/>
      <c r="AD62" s="15"/>
      <c r="AE62" s="38"/>
    </row>
    <row r="63" spans="1:31" ht="21">
      <c r="A63" s="3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21"/>
      <c r="R63" s="84" t="s">
        <v>112</v>
      </c>
      <c r="S63" s="84"/>
      <c r="T63" s="69">
        <f>U63+V63</f>
        <v>4799</v>
      </c>
      <c r="U63" s="69">
        <f>U38</f>
        <v>528</v>
      </c>
      <c r="V63" s="69">
        <f>V38</f>
        <v>4271</v>
      </c>
      <c r="W63" s="70"/>
      <c r="X63" s="70"/>
      <c r="Y63" s="69">
        <f>Z63+AA63</f>
        <v>6059</v>
      </c>
      <c r="Z63" s="69">
        <f>Z38</f>
        <v>667</v>
      </c>
      <c r="AA63" s="69">
        <f>AA38</f>
        <v>5392</v>
      </c>
      <c r="AB63" s="15"/>
      <c r="AC63" s="15"/>
      <c r="AD63" s="15"/>
      <c r="AE63" s="38"/>
    </row>
    <row r="64" spans="1:31" ht="21">
      <c r="A64" s="3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21"/>
      <c r="R64" s="84" t="s">
        <v>113</v>
      </c>
      <c r="S64" s="84"/>
      <c r="T64" s="69">
        <f>U64+V64</f>
        <v>75551</v>
      </c>
      <c r="U64" s="69">
        <f>U53</f>
        <v>12155</v>
      </c>
      <c r="V64" s="69">
        <f>V53</f>
        <v>63396</v>
      </c>
      <c r="W64" s="70"/>
      <c r="X64" s="70"/>
      <c r="Y64" s="69"/>
      <c r="Z64" s="43"/>
      <c r="AA64" s="43"/>
      <c r="AB64" s="15"/>
      <c r="AC64" s="15"/>
      <c r="AD64" s="15"/>
      <c r="AE64" s="38"/>
    </row>
    <row r="65" spans="1:31" ht="21">
      <c r="A65" s="3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2"/>
      <c r="R65" s="123" t="s">
        <v>110</v>
      </c>
      <c r="S65" s="124"/>
      <c r="T65" s="71">
        <f>U65+V65</f>
        <v>88292</v>
      </c>
      <c r="U65" s="71">
        <f>SUM(U61:U64)</f>
        <v>16266</v>
      </c>
      <c r="V65" s="71">
        <f>SUM(V61:V64)</f>
        <v>72026</v>
      </c>
      <c r="W65" s="72"/>
      <c r="X65" s="72"/>
      <c r="Y65" s="71">
        <f>Z65+AA65</f>
        <v>9168</v>
      </c>
      <c r="Z65" s="71">
        <f>SUM(Z61:Z64)</f>
        <v>3718</v>
      </c>
      <c r="AA65" s="71">
        <f>SUM(AA61:AA64)</f>
        <v>5450</v>
      </c>
      <c r="AB65" s="15"/>
      <c r="AC65" s="15"/>
      <c r="AD65" s="15"/>
      <c r="AE65" s="38"/>
    </row>
    <row r="66" spans="1:31" ht="21">
      <c r="A66" s="3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38"/>
    </row>
    <row r="67" spans="1:31" ht="21" customHeight="1">
      <c r="A67" s="3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27" t="s">
        <v>120</v>
      </c>
      <c r="R67" s="126" t="s">
        <v>115</v>
      </c>
      <c r="S67" s="84"/>
      <c r="T67" s="69">
        <f aca="true" t="shared" si="12" ref="T67:T76">U67+V67</f>
        <v>2957</v>
      </c>
      <c r="U67" s="69">
        <f>U12</f>
        <v>2957</v>
      </c>
      <c r="V67" s="69">
        <f>V12</f>
        <v>0</v>
      </c>
      <c r="W67" s="70"/>
      <c r="X67" s="70"/>
      <c r="Y67" s="69">
        <f aca="true" t="shared" si="13" ref="Y67:Y76">Z67+AA67</f>
        <v>563</v>
      </c>
      <c r="Z67" s="69">
        <f>Z12-62</f>
        <v>563</v>
      </c>
      <c r="AA67" s="69">
        <f>AA12-501</f>
        <v>0</v>
      </c>
      <c r="AB67" s="70"/>
      <c r="AC67" s="15"/>
      <c r="AD67" s="15"/>
      <c r="AE67" s="38"/>
    </row>
    <row r="68" spans="1:31" ht="21">
      <c r="A68" s="3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27"/>
      <c r="R68" s="84" t="s">
        <v>102</v>
      </c>
      <c r="S68" s="84"/>
      <c r="T68" s="69">
        <f t="shared" si="12"/>
        <v>1848</v>
      </c>
      <c r="U68" s="69">
        <f>U18</f>
        <v>1848</v>
      </c>
      <c r="V68" s="69">
        <f>V18</f>
        <v>0</v>
      </c>
      <c r="W68" s="70"/>
      <c r="X68" s="70"/>
      <c r="Y68" s="69">
        <f t="shared" si="13"/>
        <v>0</v>
      </c>
      <c r="Z68" s="43">
        <f>0</f>
        <v>0</v>
      </c>
      <c r="AA68" s="43">
        <f>0</f>
        <v>0</v>
      </c>
      <c r="AB68" s="70"/>
      <c r="AC68" s="15"/>
      <c r="AD68" s="15"/>
      <c r="AE68" s="38"/>
    </row>
    <row r="69" spans="1:31" ht="21">
      <c r="A69" s="3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27"/>
      <c r="R69" s="126" t="s">
        <v>109</v>
      </c>
      <c r="S69" s="84"/>
      <c r="T69" s="69">
        <f t="shared" si="12"/>
        <v>291</v>
      </c>
      <c r="U69" s="69">
        <f>U20</f>
        <v>291</v>
      </c>
      <c r="V69" s="69">
        <f>V20</f>
        <v>0</v>
      </c>
      <c r="W69" s="70"/>
      <c r="X69" s="70"/>
      <c r="Y69" s="69">
        <f t="shared" si="13"/>
        <v>291</v>
      </c>
      <c r="Z69" s="69">
        <f>Z20</f>
        <v>291</v>
      </c>
      <c r="AA69" s="69">
        <f>AA20</f>
        <v>0</v>
      </c>
      <c r="AB69" s="70"/>
      <c r="AC69" s="15"/>
      <c r="AD69" s="15"/>
      <c r="AE69" s="38"/>
    </row>
    <row r="70" spans="1:31" ht="21">
      <c r="A70" s="3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27"/>
      <c r="R70" s="84" t="s">
        <v>116</v>
      </c>
      <c r="S70" s="84"/>
      <c r="T70" s="69">
        <f t="shared" si="12"/>
        <v>1468</v>
      </c>
      <c r="U70" s="69">
        <f>U24</f>
        <v>1468</v>
      </c>
      <c r="V70" s="69">
        <f>V24</f>
        <v>0</v>
      </c>
      <c r="W70" s="70"/>
      <c r="X70" s="70"/>
      <c r="Y70" s="69">
        <f t="shared" si="13"/>
        <v>1468</v>
      </c>
      <c r="Z70" s="69">
        <f>Z24</f>
        <v>1468</v>
      </c>
      <c r="AA70" s="69">
        <f>AA24</f>
        <v>0</v>
      </c>
      <c r="AB70" s="70"/>
      <c r="AC70" s="15"/>
      <c r="AD70" s="15"/>
      <c r="AE70" s="38"/>
    </row>
    <row r="71" spans="1:31" ht="21">
      <c r="A71" s="3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27"/>
      <c r="R71" s="84" t="s">
        <v>117</v>
      </c>
      <c r="S71" s="84"/>
      <c r="T71" s="69">
        <f t="shared" si="12"/>
        <v>1053</v>
      </c>
      <c r="U71" s="69">
        <f>U25</f>
        <v>1053</v>
      </c>
      <c r="V71" s="69">
        <f>V25</f>
        <v>0</v>
      </c>
      <c r="W71" s="70"/>
      <c r="X71" s="70"/>
      <c r="Y71" s="69">
        <f t="shared" si="13"/>
        <v>1053</v>
      </c>
      <c r="Z71" s="69">
        <f>Z25</f>
        <v>1053</v>
      </c>
      <c r="AA71" s="69">
        <f>AA25</f>
        <v>0</v>
      </c>
      <c r="AB71" s="70"/>
      <c r="AC71" s="15"/>
      <c r="AD71" s="15"/>
      <c r="AE71" s="38"/>
    </row>
    <row r="72" spans="1:31" ht="21">
      <c r="A72" s="3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27"/>
      <c r="R72" s="84" t="s">
        <v>135</v>
      </c>
      <c r="S72" s="84"/>
      <c r="T72" s="69">
        <f>U72+V72</f>
        <v>591</v>
      </c>
      <c r="U72" s="69">
        <f>U28</f>
        <v>591</v>
      </c>
      <c r="V72" s="69">
        <f>V28</f>
        <v>0</v>
      </c>
      <c r="W72" s="70"/>
      <c r="X72" s="70"/>
      <c r="Y72" s="69">
        <f t="shared" si="13"/>
        <v>0</v>
      </c>
      <c r="Z72" s="69">
        <v>0</v>
      </c>
      <c r="AA72" s="69">
        <v>0</v>
      </c>
      <c r="AB72" s="70"/>
      <c r="AC72" s="15"/>
      <c r="AD72" s="15"/>
      <c r="AE72" s="38"/>
    </row>
    <row r="73" spans="1:31" ht="21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27"/>
      <c r="R73" s="119" t="s">
        <v>118</v>
      </c>
      <c r="S73" s="119"/>
      <c r="T73" s="69">
        <f t="shared" si="12"/>
        <v>9332</v>
      </c>
      <c r="U73" s="69">
        <f>U42</f>
        <v>9332</v>
      </c>
      <c r="V73" s="69">
        <f>V42</f>
        <v>0</v>
      </c>
      <c r="W73" s="70"/>
      <c r="X73" s="70"/>
      <c r="Y73" s="69">
        <f t="shared" si="13"/>
        <v>7299</v>
      </c>
      <c r="Z73" s="69">
        <f>Z42</f>
        <v>7299</v>
      </c>
      <c r="AA73" s="69">
        <f>AA42</f>
        <v>0</v>
      </c>
      <c r="AB73" s="70"/>
      <c r="AC73" s="15"/>
      <c r="AD73" s="15"/>
      <c r="AE73" s="38"/>
    </row>
    <row r="74" spans="1:31" ht="21">
      <c r="A74" s="3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27"/>
      <c r="R74" s="125" t="s">
        <v>119</v>
      </c>
      <c r="S74" s="125"/>
      <c r="T74" s="71">
        <f t="shared" si="12"/>
        <v>17540</v>
      </c>
      <c r="U74" s="71">
        <f>SUM(U67:U73)</f>
        <v>17540</v>
      </c>
      <c r="V74" s="71">
        <f>SUM(V67:V73)</f>
        <v>0</v>
      </c>
      <c r="W74" s="70"/>
      <c r="X74" s="70"/>
      <c r="Y74" s="71">
        <f t="shared" si="13"/>
        <v>10674</v>
      </c>
      <c r="Z74" s="71">
        <f>SUM(Z67:Z73)</f>
        <v>10674</v>
      </c>
      <c r="AA74" s="71">
        <f>SUM(AA67:AA73)</f>
        <v>0</v>
      </c>
      <c r="AB74" s="70"/>
      <c r="AC74" s="15"/>
      <c r="AD74" s="15"/>
      <c r="AE74" s="38"/>
    </row>
    <row r="75" spans="1:31" ht="26.25" customHeight="1">
      <c r="A75" s="3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27"/>
      <c r="R75" s="84" t="s">
        <v>121</v>
      </c>
      <c r="S75" s="84"/>
      <c r="T75" s="69">
        <f t="shared" si="12"/>
        <v>0</v>
      </c>
      <c r="U75" s="69"/>
      <c r="V75" s="69"/>
      <c r="W75" s="70"/>
      <c r="X75" s="70"/>
      <c r="Y75" s="69">
        <f t="shared" si="13"/>
        <v>563</v>
      </c>
      <c r="Z75" s="69">
        <f>Z12-563</f>
        <v>62</v>
      </c>
      <c r="AA75" s="69">
        <f>AA12+AA20</f>
        <v>501</v>
      </c>
      <c r="AB75" s="70"/>
      <c r="AC75" s="15"/>
      <c r="AD75" s="15"/>
      <c r="AE75" s="38"/>
    </row>
    <row r="76" spans="1:31" ht="33.75" customHeight="1">
      <c r="A76" s="3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27"/>
      <c r="R76" s="125" t="s">
        <v>110</v>
      </c>
      <c r="S76" s="125"/>
      <c r="T76" s="71">
        <f t="shared" si="12"/>
        <v>17540</v>
      </c>
      <c r="U76" s="71">
        <f>U74+U75</f>
        <v>17540</v>
      </c>
      <c r="V76" s="71">
        <f>V74+V75</f>
        <v>0</v>
      </c>
      <c r="W76" s="70"/>
      <c r="X76" s="70"/>
      <c r="Y76" s="71">
        <f t="shared" si="13"/>
        <v>11237</v>
      </c>
      <c r="Z76" s="71">
        <f>Z74+Z75</f>
        <v>10736</v>
      </c>
      <c r="AA76" s="71">
        <f>AA74+AA75</f>
        <v>501</v>
      </c>
      <c r="AB76" s="70"/>
      <c r="AC76" s="15"/>
      <c r="AD76" s="15"/>
      <c r="AE76" s="38"/>
    </row>
    <row r="77" spans="1:31" ht="21">
      <c r="A77" s="3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15"/>
      <c r="AD77" s="15"/>
      <c r="AE77" s="38"/>
    </row>
    <row r="78" spans="1:31" ht="35.25" customHeight="1">
      <c r="A78" s="3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25" t="s">
        <v>122</v>
      </c>
      <c r="R78" s="125"/>
      <c r="S78" s="125"/>
      <c r="T78" s="71">
        <f>U78+V78</f>
        <v>105832</v>
      </c>
      <c r="U78" s="71">
        <f>U65+U76</f>
        <v>33806</v>
      </c>
      <c r="V78" s="71">
        <f>V65+V76</f>
        <v>72026</v>
      </c>
      <c r="W78" s="72"/>
      <c r="X78" s="72"/>
      <c r="Y78" s="71">
        <f>Z78+AA78</f>
        <v>20405</v>
      </c>
      <c r="Z78" s="71">
        <f>Z65+Z76</f>
        <v>14454</v>
      </c>
      <c r="AA78" s="71">
        <f>AA65+AA76</f>
        <v>5951</v>
      </c>
      <c r="AB78" s="70"/>
      <c r="AC78" s="15"/>
      <c r="AD78" s="15"/>
      <c r="AE78" s="38"/>
    </row>
    <row r="79" spans="1:31" ht="21">
      <c r="A79" s="3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38"/>
    </row>
    <row r="80" spans="1:31" ht="21">
      <c r="A80" s="3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38"/>
    </row>
    <row r="81" spans="1:31" ht="21">
      <c r="A81" s="3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38"/>
    </row>
    <row r="82" spans="1:31" ht="21">
      <c r="A82" s="31"/>
      <c r="B82" s="15"/>
      <c r="C82" s="15"/>
      <c r="D82" s="15"/>
      <c r="E82" s="15"/>
      <c r="F82" s="15"/>
      <c r="G82" s="15"/>
      <c r="H82" s="15"/>
      <c r="I82" s="15"/>
      <c r="J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38"/>
    </row>
    <row r="83" spans="1:31" ht="21">
      <c r="A83" s="3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38"/>
    </row>
    <row r="84" spans="1:31" ht="21">
      <c r="A84" s="3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38"/>
    </row>
    <row r="85" spans="1:31" ht="21">
      <c r="A85" s="3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38"/>
    </row>
    <row r="86" spans="1:31" ht="21">
      <c r="A86" s="3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38"/>
    </row>
    <row r="87" spans="1:31" ht="21">
      <c r="A87" s="3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38"/>
    </row>
    <row r="88" spans="1:31" ht="21">
      <c r="A88" s="3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38"/>
    </row>
    <row r="89" spans="1:31" ht="21">
      <c r="A89" s="3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38"/>
    </row>
    <row r="90" spans="1:31" ht="21">
      <c r="A90" s="3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38"/>
    </row>
    <row r="91" spans="1:31" ht="21">
      <c r="A91" s="3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38"/>
    </row>
    <row r="92" spans="1:31" ht="21">
      <c r="A92" s="3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38"/>
    </row>
    <row r="93" spans="1:31" ht="21">
      <c r="A93" s="3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38"/>
    </row>
    <row r="94" spans="1:31" ht="21">
      <c r="A94" s="3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38"/>
    </row>
    <row r="95" spans="1:31" ht="21">
      <c r="A95" s="3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38"/>
    </row>
    <row r="96" spans="1:31" ht="21">
      <c r="A96" s="3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38"/>
    </row>
    <row r="97" spans="1:31" ht="21">
      <c r="A97" s="3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38"/>
    </row>
    <row r="98" spans="1:31" ht="21">
      <c r="A98" s="3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38"/>
    </row>
    <row r="99" spans="1:31" ht="21">
      <c r="A99" s="3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38"/>
    </row>
    <row r="100" spans="1:31" ht="21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38"/>
    </row>
    <row r="101" spans="1:31" ht="21">
      <c r="A101" s="3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38"/>
    </row>
    <row r="102" spans="1:31" ht="21">
      <c r="A102" s="3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38"/>
    </row>
    <row r="103" spans="1:31" ht="21">
      <c r="A103" s="3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38"/>
    </row>
    <row r="104" spans="1:31" ht="21">
      <c r="A104" s="3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38"/>
    </row>
    <row r="105" spans="1:31" ht="21">
      <c r="A105" s="3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38"/>
    </row>
    <row r="106" spans="1:31" ht="21">
      <c r="A106" s="3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38"/>
    </row>
    <row r="107" spans="1:31" ht="21">
      <c r="A107" s="3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38"/>
    </row>
    <row r="108" spans="1:31" ht="21">
      <c r="A108" s="3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38"/>
    </row>
    <row r="109" spans="1:31" ht="21">
      <c r="A109" s="3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38"/>
    </row>
    <row r="110" spans="1:31" ht="21">
      <c r="A110" s="3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38"/>
    </row>
    <row r="111" spans="1:31" ht="21">
      <c r="A111" s="3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38"/>
    </row>
    <row r="112" spans="1:31" ht="21">
      <c r="A112" s="3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38"/>
    </row>
    <row r="113" spans="1:31" ht="21">
      <c r="A113" s="3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38"/>
    </row>
    <row r="114" spans="1:31" ht="21">
      <c r="A114" s="3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38"/>
    </row>
    <row r="115" spans="1:31" ht="21">
      <c r="A115" s="3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38"/>
    </row>
    <row r="116" spans="1:31" ht="21">
      <c r="A116" s="3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38"/>
    </row>
    <row r="117" spans="1:31" ht="21">
      <c r="A117" s="3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38"/>
    </row>
    <row r="118" spans="1:31" ht="21">
      <c r="A118" s="3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38"/>
    </row>
    <row r="119" spans="1:31" ht="21">
      <c r="A119" s="3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38"/>
    </row>
    <row r="120" spans="1:31" ht="21">
      <c r="A120" s="3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38"/>
    </row>
    <row r="121" spans="1:31" ht="21">
      <c r="A121" s="3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38"/>
    </row>
    <row r="122" spans="1:31" ht="21">
      <c r="A122" s="3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38"/>
    </row>
    <row r="123" spans="1:31" ht="21">
      <c r="A123" s="3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38"/>
    </row>
    <row r="124" spans="1:31" ht="21">
      <c r="A124" s="3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38"/>
    </row>
    <row r="125" spans="1:31" ht="21">
      <c r="A125" s="3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38"/>
    </row>
    <row r="126" spans="1:31" ht="21">
      <c r="A126" s="3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38"/>
    </row>
    <row r="127" spans="1:31" ht="21">
      <c r="A127" s="3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38"/>
    </row>
    <row r="128" spans="1:31" ht="21">
      <c r="A128" s="3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38"/>
    </row>
    <row r="129" spans="1:31" ht="21">
      <c r="A129" s="3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38"/>
    </row>
    <row r="130" spans="1:31" ht="21">
      <c r="A130" s="3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38"/>
    </row>
    <row r="131" spans="1:31" ht="21">
      <c r="A131" s="3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38"/>
    </row>
    <row r="132" spans="1:31" ht="21">
      <c r="A132" s="3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38"/>
    </row>
    <row r="133" spans="1:31" ht="21">
      <c r="A133" s="3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38"/>
    </row>
    <row r="134" spans="1:31" ht="21">
      <c r="A134" s="3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38"/>
    </row>
    <row r="135" spans="1:31" ht="21">
      <c r="A135" s="3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38"/>
    </row>
    <row r="136" spans="1:31" ht="21">
      <c r="A136" s="3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38"/>
    </row>
    <row r="137" spans="1:31" ht="21">
      <c r="A137" s="3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38"/>
    </row>
    <row r="138" spans="1:31" ht="21">
      <c r="A138" s="3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38"/>
    </row>
    <row r="139" spans="1:31" ht="21">
      <c r="A139" s="3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38"/>
    </row>
    <row r="140" spans="1:31" ht="21">
      <c r="A140" s="3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38"/>
    </row>
    <row r="141" spans="1:31" ht="21">
      <c r="A141" s="3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38"/>
    </row>
    <row r="142" spans="1:31" ht="21">
      <c r="A142" s="3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38"/>
    </row>
    <row r="143" spans="1:31" ht="21">
      <c r="A143" s="3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38"/>
    </row>
    <row r="144" spans="1:31" ht="21">
      <c r="A144" s="3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38"/>
    </row>
    <row r="145" spans="1:31" ht="21">
      <c r="A145" s="3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38"/>
    </row>
    <row r="146" spans="1:31" ht="21">
      <c r="A146" s="3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38"/>
    </row>
    <row r="147" spans="1:31" ht="21">
      <c r="A147" s="3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38"/>
    </row>
    <row r="148" spans="1:31" ht="21">
      <c r="A148" s="3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38"/>
    </row>
    <row r="149" spans="1:31" ht="21">
      <c r="A149" s="3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38"/>
    </row>
    <row r="150" spans="1:31" ht="21">
      <c r="A150" s="3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38"/>
    </row>
    <row r="151" spans="1:31" ht="21">
      <c r="A151" s="3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38"/>
    </row>
    <row r="152" spans="1:31" ht="21">
      <c r="A152" s="3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38"/>
    </row>
    <row r="153" spans="1:31" ht="21">
      <c r="A153" s="3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38"/>
    </row>
    <row r="154" spans="1:31" ht="21">
      <c r="A154" s="3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38"/>
    </row>
    <row r="155" spans="1:31" ht="21">
      <c r="A155" s="3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38"/>
    </row>
    <row r="156" spans="1:31" ht="21">
      <c r="A156" s="3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38"/>
    </row>
    <row r="157" spans="1:31" ht="21">
      <c r="A157" s="3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38"/>
    </row>
    <row r="158" spans="1:31" ht="21">
      <c r="A158" s="3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38"/>
    </row>
    <row r="159" spans="1:31" ht="21">
      <c r="A159" s="3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38"/>
    </row>
    <row r="160" spans="1:31" ht="21">
      <c r="A160" s="3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38"/>
    </row>
    <row r="161" spans="1:31" ht="21">
      <c r="A161" s="3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38"/>
    </row>
    <row r="162" spans="1:31" ht="21">
      <c r="A162" s="3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38"/>
    </row>
    <row r="163" spans="1:31" ht="21">
      <c r="A163" s="3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38"/>
    </row>
    <row r="164" spans="1:31" ht="21">
      <c r="A164" s="3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38"/>
    </row>
    <row r="165" spans="1:31" ht="21">
      <c r="A165" s="3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38"/>
    </row>
    <row r="166" spans="1:31" ht="21">
      <c r="A166" s="3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38"/>
    </row>
    <row r="167" spans="1:31" ht="21">
      <c r="A167" s="3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38"/>
    </row>
    <row r="168" spans="1:31" ht="21">
      <c r="A168" s="3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38"/>
    </row>
    <row r="169" spans="1:31" ht="21">
      <c r="A169" s="3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38"/>
    </row>
    <row r="170" spans="1:31" ht="21">
      <c r="A170" s="3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38"/>
    </row>
    <row r="171" spans="1:31" ht="21">
      <c r="A171" s="3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38"/>
    </row>
    <row r="172" spans="1:31" ht="21">
      <c r="A172" s="3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38"/>
    </row>
    <row r="173" spans="1:31" ht="21">
      <c r="A173" s="3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38"/>
    </row>
    <row r="174" spans="1:31" ht="21">
      <c r="A174" s="3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38"/>
    </row>
    <row r="175" spans="1:31" ht="21">
      <c r="A175" s="3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38"/>
    </row>
    <row r="176" spans="1:31" ht="21">
      <c r="A176" s="3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38"/>
    </row>
    <row r="177" spans="1:31" ht="21">
      <c r="A177" s="3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38"/>
    </row>
    <row r="178" spans="1:31" ht="21">
      <c r="A178" s="3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38"/>
    </row>
    <row r="179" spans="1:31" ht="21">
      <c r="A179" s="3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38"/>
    </row>
    <row r="180" spans="1:31" ht="21">
      <c r="A180" s="3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38"/>
    </row>
    <row r="181" spans="1:31" ht="21">
      <c r="A181" s="3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38"/>
    </row>
    <row r="182" spans="1:31" ht="21">
      <c r="A182" s="3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38"/>
    </row>
    <row r="183" spans="1:31" ht="21">
      <c r="A183" s="3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38"/>
    </row>
    <row r="184" spans="1:31" ht="21">
      <c r="A184" s="3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38"/>
    </row>
    <row r="185" spans="1:31" ht="21">
      <c r="A185" s="3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38"/>
    </row>
    <row r="186" spans="1:31" ht="21">
      <c r="A186" s="3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38"/>
    </row>
    <row r="187" spans="1:31" ht="21">
      <c r="A187" s="3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38"/>
    </row>
    <row r="188" spans="1:31" ht="21">
      <c r="A188" s="3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38"/>
    </row>
    <row r="189" spans="1:31" ht="21">
      <c r="A189" s="3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38"/>
    </row>
    <row r="190" spans="1:31" ht="21">
      <c r="A190" s="3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38"/>
    </row>
    <row r="191" spans="1:31" ht="21">
      <c r="A191" s="3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38"/>
    </row>
    <row r="192" spans="1:31" ht="21">
      <c r="A192" s="3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38"/>
    </row>
    <row r="193" spans="1:31" ht="21">
      <c r="A193" s="3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38"/>
    </row>
    <row r="194" spans="1:31" ht="21">
      <c r="A194" s="3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38"/>
    </row>
    <row r="195" spans="1:31" ht="21">
      <c r="A195" s="3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38"/>
    </row>
    <row r="196" spans="1:31" ht="21">
      <c r="A196" s="3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38"/>
    </row>
    <row r="197" spans="1:31" ht="21">
      <c r="A197" s="3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38"/>
    </row>
    <row r="198" spans="1:31" ht="21">
      <c r="A198" s="3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38"/>
    </row>
    <row r="199" spans="1:31" ht="21">
      <c r="A199" s="3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38"/>
    </row>
    <row r="200" spans="1:31" ht="21">
      <c r="A200" s="3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38"/>
    </row>
    <row r="201" spans="1:31" ht="21">
      <c r="A201" s="3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38"/>
    </row>
    <row r="202" spans="1:31" ht="21">
      <c r="A202" s="3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38"/>
    </row>
    <row r="203" spans="1:31" ht="21">
      <c r="A203" s="3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38"/>
    </row>
    <row r="204" spans="1:31" ht="21">
      <c r="A204" s="3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38"/>
    </row>
    <row r="205" spans="1:31" ht="21">
      <c r="A205" s="3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38"/>
    </row>
    <row r="206" spans="1:31" ht="21">
      <c r="A206" s="3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38"/>
    </row>
    <row r="207" spans="1:31" ht="21">
      <c r="A207" s="3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38"/>
    </row>
    <row r="208" spans="1:31" ht="21">
      <c r="A208" s="3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38"/>
    </row>
    <row r="209" spans="1:31" ht="21">
      <c r="A209" s="31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38"/>
    </row>
    <row r="210" spans="1:31" ht="21">
      <c r="A210" s="31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38"/>
    </row>
    <row r="211" spans="1:31" ht="21">
      <c r="A211" s="31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38"/>
    </row>
    <row r="212" spans="1:31" ht="21">
      <c r="A212" s="31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38"/>
    </row>
    <row r="213" spans="1:31" ht="21">
      <c r="A213" s="31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38"/>
    </row>
    <row r="214" spans="1:31" ht="21">
      <c r="A214" s="31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38"/>
    </row>
    <row r="215" spans="1:31" ht="21">
      <c r="A215" s="31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38"/>
    </row>
    <row r="216" spans="1:31" ht="21">
      <c r="A216" s="31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38"/>
    </row>
    <row r="217" spans="1:31" ht="21">
      <c r="A217" s="3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38"/>
    </row>
    <row r="218" spans="1:31" ht="21">
      <c r="A218" s="31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38"/>
    </row>
    <row r="219" spans="1:31" ht="21">
      <c r="A219" s="31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38"/>
    </row>
    <row r="220" spans="1:31" ht="21">
      <c r="A220" s="31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38"/>
    </row>
    <row r="221" spans="1:31" ht="21">
      <c r="A221" s="31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38"/>
    </row>
    <row r="222" spans="1:31" ht="21">
      <c r="A222" s="31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38"/>
    </row>
  </sheetData>
  <sheetProtection/>
  <mergeCells count="70">
    <mergeCell ref="A27:A28"/>
    <mergeCell ref="B27:B28"/>
    <mergeCell ref="R72:S72"/>
    <mergeCell ref="Q78:S78"/>
    <mergeCell ref="R67:S67"/>
    <mergeCell ref="R68:S68"/>
    <mergeCell ref="R69:S69"/>
    <mergeCell ref="R70:S70"/>
    <mergeCell ref="R71:S71"/>
    <mergeCell ref="R74:S74"/>
    <mergeCell ref="R75:S75"/>
    <mergeCell ref="Q67:Q76"/>
    <mergeCell ref="R76:S76"/>
    <mergeCell ref="R73:S73"/>
    <mergeCell ref="R61:S61"/>
    <mergeCell ref="R62:S62"/>
    <mergeCell ref="R63:S63"/>
    <mergeCell ref="R64:S64"/>
    <mergeCell ref="Q61:Q65"/>
    <mergeCell ref="R65:S65"/>
    <mergeCell ref="L59:M59"/>
    <mergeCell ref="L60:M60"/>
    <mergeCell ref="A10:AD10"/>
    <mergeCell ref="A11:AD11"/>
    <mergeCell ref="J14:N14"/>
    <mergeCell ref="O14:S14"/>
    <mergeCell ref="B19:B20"/>
    <mergeCell ref="R59:S59"/>
    <mergeCell ref="B49:B50"/>
    <mergeCell ref="T26:X26"/>
    <mergeCell ref="B6:B8"/>
    <mergeCell ref="C6:C8"/>
    <mergeCell ref="Y26:AC26"/>
    <mergeCell ref="A19:A20"/>
    <mergeCell ref="L58:M58"/>
    <mergeCell ref="A21:B21"/>
    <mergeCell ref="A22:AD22"/>
    <mergeCell ref="P56:S56"/>
    <mergeCell ref="A38:B38"/>
    <mergeCell ref="A31:B31"/>
    <mergeCell ref="AE52:AF52"/>
    <mergeCell ref="A54:B54"/>
    <mergeCell ref="AE15:AI15"/>
    <mergeCell ref="O26:S26"/>
    <mergeCell ref="A47:AD47"/>
    <mergeCell ref="A49:A50"/>
    <mergeCell ref="A39:AD39"/>
    <mergeCell ref="A43:AD43"/>
    <mergeCell ref="J26:N26"/>
    <mergeCell ref="A32:AD32"/>
    <mergeCell ref="Y14:AC14"/>
    <mergeCell ref="O6:X6"/>
    <mergeCell ref="Y6:AD6"/>
    <mergeCell ref="E7:I7"/>
    <mergeCell ref="J7:N7"/>
    <mergeCell ref="D6:D8"/>
    <mergeCell ref="E6:N6"/>
    <mergeCell ref="Y7:AC7"/>
    <mergeCell ref="AD7:AD8"/>
    <mergeCell ref="T14:X14"/>
    <mergeCell ref="Y1:AD1"/>
    <mergeCell ref="Y2:AD2"/>
    <mergeCell ref="Y3:AD3"/>
    <mergeCell ref="Y4:AD4"/>
    <mergeCell ref="A5:AD5"/>
    <mergeCell ref="A6:A8"/>
    <mergeCell ref="O7:S7"/>
    <mergeCell ref="T7:X7"/>
    <mergeCell ref="B2:C2"/>
    <mergeCell ref="E2:I2"/>
  </mergeCells>
  <hyperlinks>
    <hyperlink ref="A21" location="P77" display="P77"/>
  </hyperlinks>
  <printOptions verticalCentered="1"/>
  <pageMargins left="0.15748031496062992" right="0.15748031496062992" top="0.7480314960629921" bottom="0.5118110236220472" header="0.31496062992125984" footer="0.2362204724409449"/>
  <pageSetup firstPageNumber="3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2022-06-30T06:13:18Z</cp:lastPrinted>
  <dcterms:created xsi:type="dcterms:W3CDTF">2013-08-30T10:11:22Z</dcterms:created>
  <dcterms:modified xsi:type="dcterms:W3CDTF">2022-06-30T06:17:32Z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